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style1.xml" ContentType="application/vnd.ms-office.chartstyle+xml"/>
  <Override PartName="/xl/charts/colors1.xml" ContentType="application/vnd.ms-office.chartcolorstyle+xml"/>
  <Override PartName="/xl/charts/chart11.xml" ContentType="application/vnd.openxmlformats-officedocument.drawingml.chart+xml"/>
  <Override PartName="/xl/charts/style2.xml" ContentType="application/vnd.ms-office.chartstyle+xml"/>
  <Override PartName="/xl/charts/colors2.xml" ContentType="application/vnd.ms-office.chartcolorstyle+xml"/>
  <Override PartName="/xl/charts/chart12.xml" ContentType="application/vnd.openxmlformats-officedocument.drawingml.chart+xml"/>
  <Override PartName="/xl/charts/style3.xml" ContentType="application/vnd.ms-office.chartstyle+xml"/>
  <Override PartName="/xl/charts/colors3.xml" ContentType="application/vnd.ms-office.chartcolorstyle+xml"/>
  <Override PartName="/xl/charts/chart13.xml" ContentType="application/vnd.openxmlformats-officedocument.drawingml.chart+xml"/>
  <Override PartName="/xl/charts/style4.xml" ContentType="application/vnd.ms-office.chartstyle+xml"/>
  <Override PartName="/xl/charts/colors4.xml" ContentType="application/vnd.ms-office.chartcolorstyle+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pivotTables/pivotTable45.xml" ContentType="application/vnd.openxmlformats-officedocument.spreadsheetml.pivotTable+xml"/>
  <Override PartName="/xl/pivotTables/pivotTable46.xml" ContentType="application/vnd.openxmlformats-officedocument.spreadsheetml.pivotTable+xml"/>
  <Override PartName="/xl/pivotTables/pivotTable47.xml" ContentType="application/vnd.openxmlformats-officedocument.spreadsheetml.pivotTable+xml"/>
  <Override PartName="/xl/pivotTables/pivotTable48.xml" ContentType="application/vnd.openxmlformats-officedocument.spreadsheetml.pivotTable+xml"/>
  <Override PartName="/xl/pivotTables/pivotTable49.xml" ContentType="application/vnd.openxmlformats-officedocument.spreadsheetml.pivotTable+xml"/>
  <Override PartName="/xl/pivotTables/pivotTable50.xml" ContentType="application/vnd.openxmlformats-officedocument.spreadsheetml.pivotTable+xml"/>
  <Override PartName="/xl/pivotTables/pivotTable51.xml" ContentType="application/vnd.openxmlformats-officedocument.spreadsheetml.pivotTable+xml"/>
  <Override PartName="/xl/pivotTables/pivotTable52.xml" ContentType="application/vnd.openxmlformats-officedocument.spreadsheetml.pivotTable+xml"/>
  <Override PartName="/xl/pivotTables/pivotTable53.xml" ContentType="application/vnd.openxmlformats-officedocument.spreadsheetml.pivotTable+xml"/>
  <Override PartName="/xl/pivotTables/pivotTable54.xml" ContentType="application/vnd.openxmlformats-officedocument.spreadsheetml.pivotTable+xml"/>
  <Override PartName="/xl/pivotTables/pivotTable55.xml" ContentType="application/vnd.openxmlformats-officedocument.spreadsheetml.pivotTable+xml"/>
  <Override PartName="/xl/pivotTables/pivotTable56.xml" ContentType="application/vnd.openxmlformats-officedocument.spreadsheetml.pivotTable+xml"/>
  <Override PartName="/xl/pivotTables/pivotTable57.xml" ContentType="application/vnd.openxmlformats-officedocument.spreadsheetml.pivotTable+xml"/>
  <Override PartName="/xl/pivotTables/pivotTable58.xml" ContentType="application/vnd.openxmlformats-officedocument.spreadsheetml.pivotTable+xml"/>
  <Override PartName="/xl/pivotTables/pivotTable59.xml" ContentType="application/vnd.openxmlformats-officedocument.spreadsheetml.pivotTable+xml"/>
  <Override PartName="/xl/pivotTables/pivotTable60.xml" ContentType="application/vnd.openxmlformats-officedocument.spreadsheetml.pivotTable+xml"/>
  <Override PartName="/xl/pivotTables/pivotTable61.xml" ContentType="application/vnd.openxmlformats-officedocument.spreadsheetml.pivotTable+xml"/>
  <Override PartName="/xl/pivotTables/pivotTable62.xml" ContentType="application/vnd.openxmlformats-officedocument.spreadsheetml.pivotTable+xml"/>
  <Override PartName="/xl/pivotTables/pivotTable63.xml" ContentType="application/vnd.openxmlformats-officedocument.spreadsheetml.pivotTable+xml"/>
  <Override PartName="/xl/pivotTables/pivotTable64.xml" ContentType="application/vnd.openxmlformats-officedocument.spreadsheetml.pivotTable+xml"/>
  <Override PartName="/xl/pivotTables/pivotTable65.xml" ContentType="application/vnd.openxmlformats-officedocument.spreadsheetml.pivotTable+xml"/>
  <Override PartName="/xl/pivotTables/pivotTable66.xml" ContentType="application/vnd.openxmlformats-officedocument.spreadsheetml.pivotTable+xml"/>
  <Override PartName="/xl/pivotTables/pivotTable67.xml" ContentType="application/vnd.openxmlformats-officedocument.spreadsheetml.pivotTable+xml"/>
  <Override PartName="/xl/pivotTables/pivotTable68.xml" ContentType="application/vnd.openxmlformats-officedocument.spreadsheetml.pivotTable+xml"/>
  <Override PartName="/xl/pivotTables/pivotTable69.xml" ContentType="application/vnd.openxmlformats-officedocument.spreadsheetml.pivotTable+xml"/>
  <Override PartName="/xl/pivotTables/pivotTable70.xml" ContentType="application/vnd.openxmlformats-officedocument.spreadsheetml.pivotTable+xml"/>
  <Override PartName="/xl/drawings/drawing2.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richmondandwandsworth-my.sharepoint.com/personal/chris_williams_richmondandwandsworth_gov_uk/Documents/Desktop/AMR_PUBLISH/final/"/>
    </mc:Choice>
  </mc:AlternateContent>
  <xr:revisionPtr revIDLastSave="96" documentId="8_{01CEF8E8-2161-40D8-ADCC-B4F292AEEAA1}" xr6:coauthVersionLast="47" xr6:coauthVersionMax="47" xr10:uidLastSave="{44FA8041-A9E3-4A02-975E-6EE7B8F89D96}"/>
  <bookViews>
    <workbookView xWindow="-120" yWindow="-120" windowWidth="29040" windowHeight="15720" tabRatio="689" xr2:uid="{00000000-000D-0000-FFFF-FFFF00000000}"/>
  </bookViews>
  <sheets>
    <sheet name="Summary Tables" sheetId="2" r:id="rId1"/>
    <sheet name="Data" sheetId="1" r:id="rId2"/>
    <sheet name="Pivot" sheetId="3" state="hidden" r:id="rId3"/>
    <sheet name="Non-Self-Contained" sheetId="4" r:id="rId4"/>
    <sheet name="Trajectory" sheetId="10" r:id="rId5"/>
  </sheets>
  <definedNames>
    <definedName name="_xlnm._FilterDatabase" localSheetId="1" hidden="1">Data!$A$1:$CE$364</definedName>
    <definedName name="_xlnm._FilterDatabase" localSheetId="3" hidden="1">'Non-Self-Contained'!$A$1:$AO$4</definedName>
    <definedName name="_xlnm._FilterDatabase" localSheetId="0" hidden="1">'Summary Tables'!#REF!</definedName>
    <definedName name="Data">Data!$A$1:$BT$333</definedName>
    <definedName name="_xlnm.Print_Area" localSheetId="0">'Summary Tables'!$B$2:$S$477</definedName>
  </definedNames>
  <calcPr calcId="191028"/>
  <pivotCaches>
    <pivotCache cacheId="0" r:id="rId6"/>
    <pivotCache cacheId="1" r:id="rId7"/>
    <pivotCache cacheId="2" r:id="rId8"/>
    <pivotCache cacheId="3" r:id="rId9"/>
    <pivotCache cacheId="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9" i="2" l="1"/>
  <c r="E108" i="2"/>
  <c r="E107" i="2"/>
  <c r="BM345" i="1" l="1"/>
  <c r="AD2" i="4"/>
  <c r="BM337" i="1"/>
  <c r="BN2" i="1"/>
  <c r="Y3" i="4" l="1"/>
  <c r="AC3" i="4" s="1"/>
  <c r="AD3" i="4" s="1"/>
  <c r="K8" i="2"/>
  <c r="L12" i="10" l="1"/>
  <c r="L8" i="2"/>
  <c r="M14" i="2" s="1"/>
  <c r="M8" i="2" l="1"/>
  <c r="M17" i="2" l="1"/>
  <c r="M15" i="2"/>
  <c r="M16" i="2" s="1"/>
  <c r="M18" i="2"/>
  <c r="M19" i="2" l="1"/>
  <c r="L473" i="2"/>
  <c r="F473" i="2"/>
  <c r="G473" i="2"/>
  <c r="H473" i="2"/>
  <c r="I473" i="2"/>
  <c r="J473" i="2"/>
  <c r="K473" i="2"/>
  <c r="I133" i="2"/>
  <c r="I132" i="2"/>
  <c r="I131" i="2"/>
  <c r="I130" i="2"/>
  <c r="I129" i="2"/>
  <c r="E74" i="2" l="1"/>
  <c r="BM335" i="1"/>
  <c r="E445" i="2"/>
  <c r="D445" i="2"/>
  <c r="J17" i="10"/>
  <c r="K17" i="10" s="1"/>
  <c r="L17" i="10" s="1"/>
  <c r="M17" i="10" s="1"/>
  <c r="N17" i="10" s="1"/>
  <c r="O17" i="10" s="1"/>
  <c r="P17" i="10" s="1"/>
  <c r="Q17" i="10" s="1"/>
  <c r="D17" i="10"/>
  <c r="E17" i="10" s="1"/>
  <c r="F17" i="10" s="1"/>
  <c r="G17" i="10" s="1"/>
  <c r="H17" i="10" s="1"/>
  <c r="J14" i="10"/>
  <c r="I14" i="10"/>
  <c r="I18" i="10" s="1"/>
  <c r="D14" i="10"/>
  <c r="E14" i="10" s="1"/>
  <c r="F14" i="10" s="1"/>
  <c r="O10" i="10"/>
  <c r="P10" i="10" s="1"/>
  <c r="Q10" i="10" s="1"/>
  <c r="R10" i="10" s="1"/>
  <c r="S10" i="10" s="1"/>
  <c r="T10" i="10" s="1"/>
  <c r="U10" i="10" s="1"/>
  <c r="V10" i="10" s="1"/>
  <c r="W10" i="10" s="1"/>
  <c r="X10" i="10" s="1"/>
  <c r="Y10" i="10" s="1"/>
  <c r="Z10" i="10" s="1"/>
  <c r="N8" i="10"/>
  <c r="O8" i="10" s="1"/>
  <c r="P8" i="10" s="1"/>
  <c r="Q8" i="10" s="1"/>
  <c r="R8" i="10" s="1"/>
  <c r="S8" i="10" s="1"/>
  <c r="T8" i="10" s="1"/>
  <c r="U8" i="10" s="1"/>
  <c r="K6" i="10"/>
  <c r="L6" i="10" s="1"/>
  <c r="M6" i="10" s="1"/>
  <c r="N6" i="10" s="1"/>
  <c r="O6" i="10" s="1"/>
  <c r="P6" i="10" s="1"/>
  <c r="Q6" i="10" s="1"/>
  <c r="R6" i="10" s="1"/>
  <c r="E6" i="10"/>
  <c r="F6" i="10" s="1"/>
  <c r="G6" i="10" s="1"/>
  <c r="H6" i="10" s="1"/>
  <c r="AM343" i="1"/>
  <c r="AO343" i="1"/>
  <c r="R13" i="10"/>
  <c r="T13" i="10"/>
  <c r="S13" i="10"/>
  <c r="O13" i="10"/>
  <c r="P13" i="10"/>
  <c r="Q13" i="10"/>
  <c r="N13" i="10"/>
  <c r="M13" i="10"/>
  <c r="V13" i="10"/>
  <c r="U13" i="10"/>
  <c r="K14" i="10" l="1"/>
  <c r="K18" i="10" s="1"/>
  <c r="J18" i="10"/>
  <c r="R17" i="10"/>
  <c r="S17" i="10" s="1"/>
  <c r="T17" i="10" s="1"/>
  <c r="U17" i="10" s="1"/>
  <c r="V17" i="10" s="1"/>
  <c r="W17" i="10" s="1"/>
  <c r="X17" i="10" s="1"/>
  <c r="Y17" i="10" s="1"/>
  <c r="Z17" i="10" s="1"/>
  <c r="F18" i="10"/>
  <c r="G14" i="10"/>
  <c r="D18" i="10"/>
  <c r="E18" i="10"/>
  <c r="BM338" i="1"/>
  <c r="AK339" i="1"/>
  <c r="AT339" i="1" s="1"/>
  <c r="AK340" i="1"/>
  <c r="AT340" i="1" s="1"/>
  <c r="AK341" i="1"/>
  <c r="AT341" i="1" s="1"/>
  <c r="AK342" i="1"/>
  <c r="AT342" i="1" s="1"/>
  <c r="AK343" i="1"/>
  <c r="AT343" i="1" s="1"/>
  <c r="AK344" i="1"/>
  <c r="AT344" i="1" s="1"/>
  <c r="AK345" i="1"/>
  <c r="AT345" i="1" s="1"/>
  <c r="AK346" i="1"/>
  <c r="AT346" i="1" s="1"/>
  <c r="AK347" i="1"/>
  <c r="AT347" i="1" s="1"/>
  <c r="AK348" i="1"/>
  <c r="AT348" i="1" s="1"/>
  <c r="AK349" i="1"/>
  <c r="AT349" i="1" s="1"/>
  <c r="AK350" i="1"/>
  <c r="AT350" i="1" s="1"/>
  <c r="AK351" i="1"/>
  <c r="AT351" i="1" s="1"/>
  <c r="AK352" i="1"/>
  <c r="AT352" i="1" s="1"/>
  <c r="AK353" i="1"/>
  <c r="AT353" i="1" s="1"/>
  <c r="AK354" i="1"/>
  <c r="AT354" i="1" s="1"/>
  <c r="AK355" i="1"/>
  <c r="AT355" i="1" s="1"/>
  <c r="AK356" i="1"/>
  <c r="AT356" i="1" s="1"/>
  <c r="AK357" i="1"/>
  <c r="AT357" i="1" s="1"/>
  <c r="AK358" i="1"/>
  <c r="AT358" i="1" s="1"/>
  <c r="AK338" i="1"/>
  <c r="AT338" i="1" s="1"/>
  <c r="BN346" i="1"/>
  <c r="BM346" i="1"/>
  <c r="AS346" i="1"/>
  <c r="AR346" i="1"/>
  <c r="AQ346" i="1"/>
  <c r="AP346" i="1"/>
  <c r="AO346" i="1"/>
  <c r="AN346" i="1"/>
  <c r="AM346" i="1"/>
  <c r="AL346" i="1"/>
  <c r="BN347" i="1"/>
  <c r="BM347" i="1"/>
  <c r="AS347" i="1"/>
  <c r="AR347" i="1"/>
  <c r="AQ347" i="1"/>
  <c r="AP347" i="1"/>
  <c r="AO347" i="1"/>
  <c r="AN347" i="1"/>
  <c r="AM347" i="1"/>
  <c r="AL347" i="1"/>
  <c r="BN342" i="1"/>
  <c r="BM342" i="1"/>
  <c r="AS342" i="1"/>
  <c r="AR342" i="1"/>
  <c r="AQ342" i="1"/>
  <c r="AP342" i="1"/>
  <c r="AO342" i="1"/>
  <c r="AN342" i="1"/>
  <c r="AM342" i="1"/>
  <c r="AL342" i="1"/>
  <c r="BN341" i="1"/>
  <c r="BM341" i="1"/>
  <c r="AS341" i="1"/>
  <c r="AR341" i="1"/>
  <c r="AQ341" i="1"/>
  <c r="AP341" i="1"/>
  <c r="AO341" i="1"/>
  <c r="AN341" i="1"/>
  <c r="AM341" i="1"/>
  <c r="AL341" i="1"/>
  <c r="BN340" i="1"/>
  <c r="BM340" i="1"/>
  <c r="AS340" i="1"/>
  <c r="AR340" i="1"/>
  <c r="AQ340" i="1"/>
  <c r="AP340" i="1"/>
  <c r="AO340" i="1"/>
  <c r="AN340" i="1"/>
  <c r="AM340" i="1"/>
  <c r="AL340" i="1"/>
  <c r="BN343" i="1"/>
  <c r="BM343" i="1"/>
  <c r="AS343" i="1"/>
  <c r="AR343" i="1"/>
  <c r="AQ343" i="1"/>
  <c r="AP343" i="1"/>
  <c r="AN343" i="1"/>
  <c r="AL343" i="1"/>
  <c r="BN344" i="1"/>
  <c r="BM344" i="1"/>
  <c r="AS344" i="1"/>
  <c r="AR344" i="1"/>
  <c r="AQ344" i="1"/>
  <c r="AP344" i="1"/>
  <c r="AO344" i="1"/>
  <c r="AN344" i="1"/>
  <c r="AM344" i="1"/>
  <c r="AL344" i="1"/>
  <c r="BN345" i="1"/>
  <c r="AS345" i="1"/>
  <c r="AR345" i="1"/>
  <c r="AQ345" i="1"/>
  <c r="AP345" i="1"/>
  <c r="AO345" i="1"/>
  <c r="AN345" i="1"/>
  <c r="AM345" i="1"/>
  <c r="AL345" i="1"/>
  <c r="BN348" i="1"/>
  <c r="BM348" i="1"/>
  <c r="AS348" i="1"/>
  <c r="AR348" i="1"/>
  <c r="AQ348" i="1"/>
  <c r="AP348" i="1"/>
  <c r="AO348" i="1"/>
  <c r="AN348" i="1"/>
  <c r="AM348" i="1"/>
  <c r="AL348" i="1"/>
  <c r="BN349" i="1"/>
  <c r="BM349" i="1"/>
  <c r="AS349" i="1"/>
  <c r="AR349" i="1"/>
  <c r="AQ349" i="1"/>
  <c r="AP349" i="1"/>
  <c r="AO349" i="1"/>
  <c r="AN349" i="1"/>
  <c r="AM349" i="1"/>
  <c r="AL349" i="1"/>
  <c r="BN350" i="1"/>
  <c r="BM350" i="1"/>
  <c r="AS350" i="1"/>
  <c r="AR350" i="1"/>
  <c r="AQ350" i="1"/>
  <c r="AP350" i="1"/>
  <c r="AO350" i="1"/>
  <c r="AN350" i="1"/>
  <c r="AM350" i="1"/>
  <c r="AL350" i="1"/>
  <c r="BN351" i="1"/>
  <c r="BM351" i="1"/>
  <c r="AS351" i="1"/>
  <c r="AR351" i="1"/>
  <c r="AQ351" i="1"/>
  <c r="AP351" i="1"/>
  <c r="AO351" i="1"/>
  <c r="AN351" i="1"/>
  <c r="AM351" i="1"/>
  <c r="AL351" i="1"/>
  <c r="BN352" i="1"/>
  <c r="BM352" i="1"/>
  <c r="AS352" i="1"/>
  <c r="AR352" i="1"/>
  <c r="AQ352" i="1"/>
  <c r="AP352" i="1"/>
  <c r="AO352" i="1"/>
  <c r="AN352" i="1"/>
  <c r="AM352" i="1"/>
  <c r="AL352" i="1"/>
  <c r="BN353" i="1"/>
  <c r="BM353" i="1"/>
  <c r="AS353" i="1"/>
  <c r="AR353" i="1"/>
  <c r="AQ353" i="1"/>
  <c r="AP353" i="1"/>
  <c r="AO353" i="1"/>
  <c r="AN353" i="1"/>
  <c r="AM353" i="1"/>
  <c r="AL353" i="1"/>
  <c r="BN354" i="1"/>
  <c r="BM354" i="1"/>
  <c r="AS354" i="1"/>
  <c r="AR354" i="1"/>
  <c r="AQ354" i="1"/>
  <c r="AP354" i="1"/>
  <c r="AO354" i="1"/>
  <c r="AN354" i="1"/>
  <c r="AM354" i="1"/>
  <c r="AL354" i="1"/>
  <c r="BN355" i="1"/>
  <c r="BM355" i="1"/>
  <c r="AS355" i="1"/>
  <c r="AR355" i="1"/>
  <c r="AQ355" i="1"/>
  <c r="AP355" i="1"/>
  <c r="AO355" i="1"/>
  <c r="AN355" i="1"/>
  <c r="AM355" i="1"/>
  <c r="AL355" i="1"/>
  <c r="BN356" i="1"/>
  <c r="BM356" i="1"/>
  <c r="AS356" i="1"/>
  <c r="AR356" i="1"/>
  <c r="AQ356" i="1"/>
  <c r="AP356" i="1"/>
  <c r="AO356" i="1"/>
  <c r="AN356" i="1"/>
  <c r="AM356" i="1"/>
  <c r="AL356" i="1"/>
  <c r="BN357" i="1"/>
  <c r="BM357" i="1"/>
  <c r="AS357" i="1"/>
  <c r="AR357" i="1"/>
  <c r="AQ357" i="1"/>
  <c r="AP357" i="1"/>
  <c r="AO357" i="1"/>
  <c r="AN357" i="1"/>
  <c r="AM357" i="1"/>
  <c r="AL357" i="1"/>
  <c r="BN339" i="1"/>
  <c r="BM339" i="1"/>
  <c r="AS339" i="1"/>
  <c r="AR339" i="1"/>
  <c r="AQ339" i="1"/>
  <c r="AP339" i="1"/>
  <c r="AO339" i="1"/>
  <c r="AN339" i="1"/>
  <c r="AM339" i="1"/>
  <c r="AL339" i="1"/>
  <c r="BN358" i="1"/>
  <c r="BM358" i="1"/>
  <c r="AS358" i="1"/>
  <c r="AR358" i="1"/>
  <c r="AQ358" i="1"/>
  <c r="AP358" i="1"/>
  <c r="AO358" i="1"/>
  <c r="AN358" i="1"/>
  <c r="AM358" i="1"/>
  <c r="AL358" i="1"/>
  <c r="G18" i="10" l="1"/>
  <c r="H14" i="10"/>
  <c r="H18" i="10" s="1"/>
  <c r="BM2" i="1"/>
  <c r="BM195" i="1"/>
  <c r="BM193" i="1"/>
  <c r="BN220" i="1"/>
  <c r="BM220" i="1"/>
  <c r="AS220" i="1"/>
  <c r="AR220" i="1"/>
  <c r="AQ220" i="1"/>
  <c r="AP220" i="1"/>
  <c r="AO220" i="1"/>
  <c r="AN220" i="1"/>
  <c r="AM220" i="1"/>
  <c r="AL220" i="1"/>
  <c r="AK220" i="1"/>
  <c r="AA220" i="1"/>
  <c r="AS194" i="1"/>
  <c r="AR194" i="1"/>
  <c r="AQ194" i="1"/>
  <c r="AP194" i="1"/>
  <c r="AO194" i="1"/>
  <c r="AN194" i="1"/>
  <c r="AM194" i="1"/>
  <c r="AL194" i="1"/>
  <c r="AK194" i="1"/>
  <c r="AA194" i="1"/>
  <c r="AS195" i="1"/>
  <c r="AR195" i="1"/>
  <c r="AQ195" i="1"/>
  <c r="AP195" i="1"/>
  <c r="AO195" i="1"/>
  <c r="AN195" i="1"/>
  <c r="AM195" i="1"/>
  <c r="AL195" i="1"/>
  <c r="AK195" i="1"/>
  <c r="AA195" i="1"/>
  <c r="AS193" i="1"/>
  <c r="AR193" i="1"/>
  <c r="AQ193" i="1"/>
  <c r="AP193" i="1"/>
  <c r="AO193" i="1"/>
  <c r="AN193" i="1"/>
  <c r="AM193" i="1"/>
  <c r="AL193" i="1"/>
  <c r="AK193" i="1"/>
  <c r="AA193" i="1"/>
  <c r="H377" i="2"/>
  <c r="K417" i="2"/>
  <c r="E210" i="2"/>
  <c r="I379" i="2"/>
  <c r="K397" i="2"/>
  <c r="E209" i="2"/>
  <c r="H348" i="2"/>
  <c r="H371" i="2"/>
  <c r="F339" i="2"/>
  <c r="H373" i="2"/>
  <c r="I377" i="2"/>
  <c r="K384" i="2"/>
  <c r="K398" i="2"/>
  <c r="J382" i="2"/>
  <c r="K381" i="2"/>
  <c r="I372" i="2"/>
  <c r="H381" i="2"/>
  <c r="K400" i="2"/>
  <c r="E339" i="2"/>
  <c r="H286" i="2"/>
  <c r="K210" i="2"/>
  <c r="I376" i="2"/>
  <c r="E348" i="2"/>
  <c r="K419" i="2"/>
  <c r="G384" i="2"/>
  <c r="K385" i="2"/>
  <c r="F352" i="2"/>
  <c r="H382" i="2"/>
  <c r="I378" i="2"/>
  <c r="J374" i="2"/>
  <c r="F350" i="2"/>
  <c r="I383" i="2"/>
  <c r="K412" i="2"/>
  <c r="H374" i="2"/>
  <c r="J380" i="2"/>
  <c r="I368" i="2"/>
  <c r="I381" i="2"/>
  <c r="J375" i="2"/>
  <c r="K415" i="2"/>
  <c r="J369" i="2"/>
  <c r="J379" i="2"/>
  <c r="E350" i="2"/>
  <c r="I373" i="2"/>
  <c r="H380" i="2"/>
  <c r="J367" i="2"/>
  <c r="J381" i="2"/>
  <c r="J376" i="2"/>
  <c r="K396" i="2"/>
  <c r="K414" i="2"/>
  <c r="K399" i="2"/>
  <c r="H369" i="2"/>
  <c r="J383" i="2"/>
  <c r="I380" i="2"/>
  <c r="H323" i="2"/>
  <c r="E323" i="2"/>
  <c r="K394" i="2"/>
  <c r="G323" i="2"/>
  <c r="H375" i="2"/>
  <c r="J377" i="2"/>
  <c r="H370" i="2"/>
  <c r="J378" i="2"/>
  <c r="E352" i="2"/>
  <c r="E206" i="2"/>
  <c r="J384" i="2"/>
  <c r="K418" i="2"/>
  <c r="K208" i="2"/>
  <c r="H333" i="2"/>
  <c r="F348" i="2"/>
  <c r="I371" i="2"/>
  <c r="G339" i="2"/>
  <c r="G348" i="2"/>
  <c r="G352" i="2"/>
  <c r="I382" i="2"/>
  <c r="H378" i="2"/>
  <c r="J368" i="2"/>
  <c r="I374" i="2"/>
  <c r="H350" i="2"/>
  <c r="J373" i="2"/>
  <c r="G350" i="2"/>
  <c r="K416" i="2"/>
  <c r="K377" i="2"/>
  <c r="K376" i="2"/>
  <c r="K369" i="2"/>
  <c r="F323" i="2"/>
  <c r="E207" i="2"/>
  <c r="J371" i="2"/>
  <c r="K382" i="2"/>
  <c r="L400" i="2" l="1"/>
  <c r="AT220" i="1"/>
  <c r="BM194" i="1"/>
  <c r="BN195" i="1"/>
  <c r="BN194" i="1"/>
  <c r="BN193" i="1"/>
  <c r="AT194" i="1"/>
  <c r="AT195" i="1"/>
  <c r="AT193" i="1"/>
  <c r="AS139" i="1" l="1"/>
  <c r="AR139" i="1"/>
  <c r="AQ139" i="1"/>
  <c r="AP139" i="1"/>
  <c r="AO139" i="1"/>
  <c r="AN139" i="1"/>
  <c r="AM139" i="1"/>
  <c r="AL139" i="1"/>
  <c r="AK139" i="1"/>
  <c r="AA139" i="1"/>
  <c r="Q42" i="2"/>
  <c r="AT139" i="1" l="1"/>
  <c r="AO5" i="4" l="1"/>
  <c r="AO6" i="4"/>
  <c r="AO4" i="4"/>
  <c r="Q43" i="2"/>
  <c r="E116" i="2"/>
  <c r="E117" i="2"/>
  <c r="E114" i="2"/>
  <c r="E115" i="2"/>
  <c r="AG8" i="4" l="1"/>
  <c r="AO8" i="4" l="1"/>
  <c r="L14" i="10" l="1"/>
  <c r="L18" i="10" l="1"/>
  <c r="M14" i="10"/>
  <c r="BN64" i="1"/>
  <c r="BN55" i="1"/>
  <c r="BN61" i="1"/>
  <c r="BN17" i="1"/>
  <c r="BN54" i="1"/>
  <c r="BN62" i="1"/>
  <c r="BN9" i="1"/>
  <c r="BN11" i="1"/>
  <c r="BN20" i="1"/>
  <c r="BN34" i="1"/>
  <c r="BN109" i="1"/>
  <c r="BN26" i="1"/>
  <c r="BN58" i="1"/>
  <c r="BN59" i="1"/>
  <c r="BN145" i="1"/>
  <c r="BN149" i="1"/>
  <c r="BN154" i="1"/>
  <c r="BN151" i="1"/>
  <c r="BN156" i="1"/>
  <c r="BN157" i="1"/>
  <c r="BN146" i="1"/>
  <c r="BN150" i="1"/>
  <c r="BN155" i="1"/>
  <c r="BN147" i="1"/>
  <c r="BN152" i="1"/>
  <c r="BN158" i="1"/>
  <c r="BN159" i="1"/>
  <c r="BN148" i="1"/>
  <c r="BN153" i="1"/>
  <c r="BN13" i="1"/>
  <c r="BN12" i="1"/>
  <c r="BN15" i="1"/>
  <c r="BN47" i="1"/>
  <c r="BN3" i="1"/>
  <c r="BN10" i="1"/>
  <c r="BN24" i="1"/>
  <c r="BN41" i="1"/>
  <c r="BN88" i="1"/>
  <c r="BN89" i="1"/>
  <c r="BN219" i="1"/>
  <c r="BN43" i="1"/>
  <c r="BN49" i="1"/>
  <c r="BN37" i="1"/>
  <c r="BN8" i="1"/>
  <c r="BN21" i="1"/>
  <c r="BN22" i="1"/>
  <c r="BN16" i="1"/>
  <c r="BN32" i="1"/>
  <c r="BN29" i="1"/>
  <c r="BN53" i="1"/>
  <c r="BN192" i="1"/>
  <c r="BN60" i="1"/>
  <c r="BN30" i="1"/>
  <c r="BN31" i="1"/>
  <c r="BN33" i="1"/>
  <c r="BN35" i="1"/>
  <c r="BN40" i="1"/>
  <c r="BN52" i="1"/>
  <c r="BN99" i="1"/>
  <c r="BN100" i="1"/>
  <c r="BN239" i="1"/>
  <c r="BN240" i="1"/>
  <c r="BN4" i="1"/>
  <c r="BN14" i="1"/>
  <c r="BN25" i="1"/>
  <c r="BN39" i="1"/>
  <c r="BN5" i="1"/>
  <c r="BN23" i="1"/>
  <c r="BN28" i="1"/>
  <c r="BN38" i="1"/>
  <c r="BN42" i="1"/>
  <c r="BN45" i="1"/>
  <c r="BN46" i="1"/>
  <c r="BN57" i="1"/>
  <c r="BN206" i="1"/>
  <c r="BN207" i="1"/>
  <c r="BN208" i="1"/>
  <c r="BN7" i="1"/>
  <c r="BN18" i="1"/>
  <c r="BN36" i="1"/>
  <c r="BN27" i="1"/>
  <c r="BN48" i="1"/>
  <c r="BN50" i="1"/>
  <c r="BN51" i="1"/>
  <c r="BN104" i="1"/>
  <c r="BN105" i="1"/>
  <c r="BN44" i="1"/>
  <c r="BN63" i="1"/>
  <c r="BN6" i="1"/>
  <c r="BN19" i="1"/>
  <c r="BN56" i="1"/>
  <c r="BN335" i="1"/>
  <c r="BN336" i="1"/>
  <c r="BN359" i="1"/>
  <c r="BN337" i="1"/>
  <c r="BN338" i="1"/>
  <c r="BN360" i="1"/>
  <c r="BN361" i="1"/>
  <c r="BN362" i="1"/>
  <c r="BN363" i="1"/>
  <c r="BN364" i="1"/>
  <c r="BN110" i="1"/>
  <c r="BM64" i="1"/>
  <c r="BM55" i="1"/>
  <c r="BM61" i="1"/>
  <c r="BM17" i="1"/>
  <c r="BM54" i="1"/>
  <c r="BM62" i="1"/>
  <c r="BM9" i="1"/>
  <c r="BM11" i="1"/>
  <c r="BM20" i="1"/>
  <c r="BM34" i="1"/>
  <c r="BM109" i="1"/>
  <c r="BM110" i="1"/>
  <c r="BM26" i="1"/>
  <c r="BM58" i="1"/>
  <c r="BM59" i="1"/>
  <c r="BM145" i="1"/>
  <c r="BM149" i="1"/>
  <c r="BM154" i="1"/>
  <c r="BM151" i="1"/>
  <c r="BM156" i="1"/>
  <c r="BM157" i="1"/>
  <c r="BM146" i="1"/>
  <c r="BM150" i="1"/>
  <c r="BM155" i="1"/>
  <c r="BM147" i="1"/>
  <c r="BM152" i="1"/>
  <c r="BM158" i="1"/>
  <c r="BM159" i="1"/>
  <c r="BM148" i="1"/>
  <c r="BM153" i="1"/>
  <c r="BM13" i="1"/>
  <c r="BM12" i="1"/>
  <c r="BM15" i="1"/>
  <c r="BM47" i="1"/>
  <c r="BM3" i="1"/>
  <c r="BM10" i="1"/>
  <c r="BM24" i="1"/>
  <c r="BM41" i="1"/>
  <c r="BM88" i="1"/>
  <c r="BM89" i="1"/>
  <c r="BM219" i="1"/>
  <c r="BM43" i="1"/>
  <c r="BM49" i="1"/>
  <c r="BM37" i="1"/>
  <c r="BM8" i="1"/>
  <c r="BM21" i="1"/>
  <c r="BM22" i="1"/>
  <c r="BM16" i="1"/>
  <c r="BM32" i="1"/>
  <c r="BM29" i="1"/>
  <c r="BM53" i="1"/>
  <c r="BM192" i="1"/>
  <c r="BM60" i="1"/>
  <c r="BM30" i="1"/>
  <c r="BM31" i="1"/>
  <c r="BM33" i="1"/>
  <c r="BM35" i="1"/>
  <c r="BM40" i="1"/>
  <c r="BM52" i="1"/>
  <c r="BM99" i="1"/>
  <c r="BM100" i="1"/>
  <c r="BM239" i="1"/>
  <c r="BM240" i="1"/>
  <c r="BM4" i="1"/>
  <c r="BM14" i="1"/>
  <c r="BM25" i="1"/>
  <c r="BM39" i="1"/>
  <c r="BM5" i="1"/>
  <c r="BM23" i="1"/>
  <c r="BM28" i="1"/>
  <c r="BM38" i="1"/>
  <c r="BM42" i="1"/>
  <c r="BM45" i="1"/>
  <c r="BM46" i="1"/>
  <c r="BM57" i="1"/>
  <c r="BM206" i="1"/>
  <c r="BM207" i="1"/>
  <c r="BM208" i="1"/>
  <c r="BM7" i="1"/>
  <c r="BM18" i="1"/>
  <c r="BM36" i="1"/>
  <c r="BM27" i="1"/>
  <c r="BM48" i="1"/>
  <c r="BM50" i="1"/>
  <c r="BM51" i="1"/>
  <c r="BM104" i="1"/>
  <c r="BM44" i="1"/>
  <c r="BM63" i="1"/>
  <c r="BM6" i="1"/>
  <c r="BM19" i="1"/>
  <c r="BM56" i="1"/>
  <c r="BM336" i="1"/>
  <c r="BM359" i="1"/>
  <c r="BM360" i="1"/>
  <c r="BM361" i="1"/>
  <c r="BM362" i="1"/>
  <c r="BM105" i="1"/>
  <c r="BM364" i="1"/>
  <c r="AS364" i="1"/>
  <c r="AR364" i="1"/>
  <c r="AQ364" i="1"/>
  <c r="AP364" i="1"/>
  <c r="AO364" i="1"/>
  <c r="AN364" i="1"/>
  <c r="AM364" i="1"/>
  <c r="AL364" i="1"/>
  <c r="BM363" i="1"/>
  <c r="AS363" i="1"/>
  <c r="AR363" i="1"/>
  <c r="AQ363" i="1"/>
  <c r="AP363" i="1"/>
  <c r="AO363" i="1"/>
  <c r="AN363" i="1"/>
  <c r="AM363" i="1"/>
  <c r="AL363" i="1"/>
  <c r="AS362" i="1"/>
  <c r="AR362" i="1"/>
  <c r="AQ362" i="1"/>
  <c r="AP362" i="1"/>
  <c r="AO362" i="1"/>
  <c r="AN362" i="1"/>
  <c r="AM362" i="1"/>
  <c r="AL362" i="1"/>
  <c r="AS361" i="1"/>
  <c r="AR361" i="1"/>
  <c r="AQ361" i="1"/>
  <c r="AP361" i="1"/>
  <c r="AO361" i="1"/>
  <c r="AN361" i="1"/>
  <c r="AM361" i="1"/>
  <c r="AL361" i="1"/>
  <c r="AS360" i="1"/>
  <c r="AR360" i="1"/>
  <c r="AQ360" i="1"/>
  <c r="AP360" i="1"/>
  <c r="AO360" i="1"/>
  <c r="AN360" i="1"/>
  <c r="AM360" i="1"/>
  <c r="AL360" i="1"/>
  <c r="AS338" i="1"/>
  <c r="AR338" i="1"/>
  <c r="AQ338" i="1"/>
  <c r="AP338" i="1"/>
  <c r="AO338" i="1"/>
  <c r="AN338" i="1"/>
  <c r="AM338" i="1"/>
  <c r="AL338" i="1"/>
  <c r="AS337" i="1"/>
  <c r="AR337" i="1"/>
  <c r="AQ337" i="1"/>
  <c r="AP337" i="1"/>
  <c r="AO337" i="1"/>
  <c r="AN337" i="1"/>
  <c r="AM337" i="1"/>
  <c r="AL337" i="1"/>
  <c r="AS359" i="1"/>
  <c r="AR359" i="1"/>
  <c r="AQ359" i="1"/>
  <c r="AP359" i="1"/>
  <c r="AO359" i="1"/>
  <c r="AN359" i="1"/>
  <c r="AM359" i="1"/>
  <c r="AL359" i="1"/>
  <c r="AS336" i="1"/>
  <c r="AR336" i="1"/>
  <c r="AQ336" i="1"/>
  <c r="AP336" i="1"/>
  <c r="AO336" i="1"/>
  <c r="AN336" i="1"/>
  <c r="AM336" i="1"/>
  <c r="AL336" i="1"/>
  <c r="AS335" i="1"/>
  <c r="AR335" i="1"/>
  <c r="AQ335" i="1"/>
  <c r="AP335" i="1"/>
  <c r="AO335" i="1"/>
  <c r="AN335" i="1"/>
  <c r="AM335" i="1"/>
  <c r="AL335" i="1"/>
  <c r="D472" i="2"/>
  <c r="H42" i="2"/>
  <c r="E472" i="2"/>
  <c r="D473" i="2" l="1"/>
  <c r="E473" i="2"/>
  <c r="N14" i="10"/>
  <c r="M18" i="10"/>
  <c r="O14" i="10" l="1"/>
  <c r="N18" i="10"/>
  <c r="F168" i="2"/>
  <c r="G168" i="2" s="1"/>
  <c r="F375" i="2"/>
  <c r="F373" i="2"/>
  <c r="H233" i="2"/>
  <c r="F371" i="2"/>
  <c r="F381" i="2"/>
  <c r="H368" i="2"/>
  <c r="F380" i="2"/>
  <c r="G382" i="2"/>
  <c r="G381" i="2"/>
  <c r="G371" i="2"/>
  <c r="F376" i="2"/>
  <c r="G377" i="2"/>
  <c r="G374" i="2"/>
  <c r="F379" i="2"/>
  <c r="F374" i="2"/>
  <c r="G259" i="2"/>
  <c r="G380" i="2"/>
  <c r="F383" i="2"/>
  <c r="F370" i="2"/>
  <c r="G376" i="2"/>
  <c r="G372" i="2"/>
  <c r="G375" i="2"/>
  <c r="H259" i="2"/>
  <c r="F377" i="2"/>
  <c r="F259" i="2"/>
  <c r="G378" i="2"/>
  <c r="F368" i="2"/>
  <c r="F378" i="2"/>
  <c r="G370" i="2"/>
  <c r="F382" i="2"/>
  <c r="G379" i="2"/>
  <c r="G373" i="2"/>
  <c r="F372" i="2"/>
  <c r="G383" i="2"/>
  <c r="G369" i="2"/>
  <c r="F384" i="2"/>
  <c r="F369" i="2"/>
  <c r="O18" i="10" l="1"/>
  <c r="P14" i="10"/>
  <c r="H168" i="2"/>
  <c r="D196" i="2" s="1"/>
  <c r="P18" i="10" l="1"/>
  <c r="Q14" i="10"/>
  <c r="H36" i="2"/>
  <c r="D101" i="2"/>
  <c r="H37" i="2"/>
  <c r="F101" i="2"/>
  <c r="Q18" i="10" l="1"/>
  <c r="R14" i="10"/>
  <c r="D102" i="2"/>
  <c r="F102" i="2"/>
  <c r="H101" i="2"/>
  <c r="AK66" i="1"/>
  <c r="AL66" i="1"/>
  <c r="AM66" i="1"/>
  <c r="AN66" i="1"/>
  <c r="AO66" i="1"/>
  <c r="AP66" i="1"/>
  <c r="AQ66" i="1"/>
  <c r="AR66" i="1"/>
  <c r="AS66" i="1"/>
  <c r="AA66" i="1"/>
  <c r="U7" i="4"/>
  <c r="Z7" i="4" s="1"/>
  <c r="AC7" i="4" s="1"/>
  <c r="AE7" i="4" s="1"/>
  <c r="AO7" i="4" s="1"/>
  <c r="R18" i="10" l="1"/>
  <c r="S14" i="10"/>
  <c r="G101" i="2"/>
  <c r="E101" i="2"/>
  <c r="AT66" i="1"/>
  <c r="T14" i="10" l="1"/>
  <c r="S18" i="10"/>
  <c r="M5" i="1"/>
  <c r="M2" i="1"/>
  <c r="M8" i="1"/>
  <c r="T18" i="10" l="1"/>
  <c r="U14" i="10"/>
  <c r="AA138" i="1"/>
  <c r="AK138" i="1"/>
  <c r="AL138" i="1"/>
  <c r="AM138" i="1"/>
  <c r="AN138" i="1"/>
  <c r="AO138" i="1"/>
  <c r="AP138" i="1"/>
  <c r="AQ138" i="1"/>
  <c r="AR138" i="1"/>
  <c r="AS138" i="1"/>
  <c r="AS127" i="1"/>
  <c r="AR127" i="1"/>
  <c r="AQ127" i="1"/>
  <c r="AP127" i="1"/>
  <c r="AO127" i="1"/>
  <c r="AN127" i="1"/>
  <c r="AM127" i="1"/>
  <c r="AL127" i="1"/>
  <c r="AK127" i="1"/>
  <c r="AA127" i="1"/>
  <c r="U18" i="10" l="1"/>
  <c r="V14" i="10"/>
  <c r="AT138" i="1"/>
  <c r="AT127" i="1"/>
  <c r="V18" i="10" l="1"/>
  <c r="W14" i="10"/>
  <c r="BM138" i="1"/>
  <c r="BN138" i="1"/>
  <c r="AS164" i="1"/>
  <c r="AR164" i="1"/>
  <c r="AQ164" i="1"/>
  <c r="AP164" i="1"/>
  <c r="AO164" i="1"/>
  <c r="AN164" i="1"/>
  <c r="AM164" i="1"/>
  <c r="AL164" i="1"/>
  <c r="AK164" i="1"/>
  <c r="AA164" i="1"/>
  <c r="AS163" i="1"/>
  <c r="AR163" i="1"/>
  <c r="AQ163" i="1"/>
  <c r="AP163" i="1"/>
  <c r="AO163" i="1"/>
  <c r="AN163" i="1"/>
  <c r="AM163" i="1"/>
  <c r="AL163" i="1"/>
  <c r="AK163" i="1"/>
  <c r="AA163" i="1"/>
  <c r="X14" i="10" l="1"/>
  <c r="W18" i="10"/>
  <c r="AT164" i="1"/>
  <c r="AT163" i="1"/>
  <c r="Y14" i="10" l="1"/>
  <c r="X18" i="10"/>
  <c r="BN163" i="1"/>
  <c r="BM163" i="1"/>
  <c r="BM164" i="1"/>
  <c r="BN164" i="1"/>
  <c r="AS240" i="1"/>
  <c r="AR240" i="1"/>
  <c r="AQ240" i="1"/>
  <c r="AP240" i="1"/>
  <c r="AO240" i="1"/>
  <c r="AN240" i="1"/>
  <c r="AM240" i="1"/>
  <c r="AL240" i="1"/>
  <c r="AK240" i="1"/>
  <c r="AA240" i="1"/>
  <c r="AS239" i="1"/>
  <c r="AR239" i="1"/>
  <c r="AQ239" i="1"/>
  <c r="AP239" i="1"/>
  <c r="AO239" i="1"/>
  <c r="AN239" i="1"/>
  <c r="AM239" i="1"/>
  <c r="AL239" i="1"/>
  <c r="AK239" i="1"/>
  <c r="AA239" i="1"/>
  <c r="AS208" i="1"/>
  <c r="AR208" i="1"/>
  <c r="AQ208" i="1"/>
  <c r="AP208" i="1"/>
  <c r="AO208" i="1"/>
  <c r="AN208" i="1"/>
  <c r="AM208" i="1"/>
  <c r="AL208" i="1"/>
  <c r="AK208" i="1"/>
  <c r="AA208" i="1"/>
  <c r="AS207" i="1"/>
  <c r="AR207" i="1"/>
  <c r="AQ207" i="1"/>
  <c r="AP207" i="1"/>
  <c r="AO207" i="1"/>
  <c r="AN207" i="1"/>
  <c r="AM207" i="1"/>
  <c r="AL207" i="1"/>
  <c r="AK207" i="1"/>
  <c r="AA207" i="1"/>
  <c r="AS206" i="1"/>
  <c r="AR206" i="1"/>
  <c r="AQ206" i="1"/>
  <c r="AP206" i="1"/>
  <c r="AO206" i="1"/>
  <c r="AN206" i="1"/>
  <c r="AM206" i="1"/>
  <c r="AL206" i="1"/>
  <c r="AK206" i="1"/>
  <c r="AA206" i="1"/>
  <c r="AS110" i="1"/>
  <c r="AR110" i="1"/>
  <c r="AQ110" i="1"/>
  <c r="AP110" i="1"/>
  <c r="AO110" i="1"/>
  <c r="AN110" i="1"/>
  <c r="AM110" i="1"/>
  <c r="AL110" i="1"/>
  <c r="AK110" i="1"/>
  <c r="AA110" i="1"/>
  <c r="AS109" i="1"/>
  <c r="AR109" i="1"/>
  <c r="AQ109" i="1"/>
  <c r="AP109" i="1"/>
  <c r="AO109" i="1"/>
  <c r="AN109" i="1"/>
  <c r="AM109" i="1"/>
  <c r="AL109" i="1"/>
  <c r="AK109" i="1"/>
  <c r="AA109" i="1"/>
  <c r="AK102" i="1"/>
  <c r="AS105" i="1"/>
  <c r="AR105" i="1"/>
  <c r="AQ105" i="1"/>
  <c r="AP105" i="1"/>
  <c r="AO105" i="1"/>
  <c r="AN105" i="1"/>
  <c r="AM105" i="1"/>
  <c r="AL105" i="1"/>
  <c r="AK105" i="1"/>
  <c r="AA105" i="1"/>
  <c r="AS104" i="1"/>
  <c r="AR104" i="1"/>
  <c r="AQ104" i="1"/>
  <c r="AP104" i="1"/>
  <c r="AO104" i="1"/>
  <c r="AN104" i="1"/>
  <c r="AM104" i="1"/>
  <c r="AL104" i="1"/>
  <c r="AK104" i="1"/>
  <c r="AA104" i="1"/>
  <c r="AS100" i="1"/>
  <c r="AR100" i="1"/>
  <c r="AQ100" i="1"/>
  <c r="AP100" i="1"/>
  <c r="AO100" i="1"/>
  <c r="AN100" i="1"/>
  <c r="AM100" i="1"/>
  <c r="AL100" i="1"/>
  <c r="AK100" i="1"/>
  <c r="AA100" i="1"/>
  <c r="AS99" i="1"/>
  <c r="AR99" i="1"/>
  <c r="AQ99" i="1"/>
  <c r="AP99" i="1"/>
  <c r="AO99" i="1"/>
  <c r="AN99" i="1"/>
  <c r="AM99" i="1"/>
  <c r="AL99" i="1"/>
  <c r="AK99" i="1"/>
  <c r="AA99" i="1"/>
  <c r="AS89" i="1"/>
  <c r="AR89" i="1"/>
  <c r="AQ89" i="1"/>
  <c r="AP89" i="1"/>
  <c r="AO89" i="1"/>
  <c r="AN89" i="1"/>
  <c r="AM89" i="1"/>
  <c r="AL89" i="1"/>
  <c r="AK89" i="1"/>
  <c r="AA89" i="1"/>
  <c r="AS88" i="1"/>
  <c r="AR88" i="1"/>
  <c r="AQ88" i="1"/>
  <c r="AP88" i="1"/>
  <c r="AO88" i="1"/>
  <c r="AN88" i="1"/>
  <c r="AM88" i="1"/>
  <c r="AL88" i="1"/>
  <c r="AK88" i="1"/>
  <c r="AA88" i="1"/>
  <c r="AS87" i="1"/>
  <c r="AR87" i="1"/>
  <c r="AQ87" i="1"/>
  <c r="AP87" i="1"/>
  <c r="AO87" i="1"/>
  <c r="AN87" i="1"/>
  <c r="AM87" i="1"/>
  <c r="AL87" i="1"/>
  <c r="AK87" i="1"/>
  <c r="AA87" i="1"/>
  <c r="AS86" i="1"/>
  <c r="AR86" i="1"/>
  <c r="AQ86" i="1"/>
  <c r="AP86" i="1"/>
  <c r="AO86" i="1"/>
  <c r="AN86" i="1"/>
  <c r="AM86" i="1"/>
  <c r="AL86" i="1"/>
  <c r="AK86" i="1"/>
  <c r="AA86" i="1"/>
  <c r="AS85" i="1"/>
  <c r="AR85" i="1"/>
  <c r="AQ85" i="1"/>
  <c r="AP85" i="1"/>
  <c r="AO85" i="1"/>
  <c r="AN85" i="1"/>
  <c r="AM85" i="1"/>
  <c r="AL85" i="1"/>
  <c r="AK85" i="1"/>
  <c r="AA85" i="1"/>
  <c r="AS133" i="1"/>
  <c r="AR133" i="1"/>
  <c r="AQ133" i="1"/>
  <c r="AP133" i="1"/>
  <c r="AO133" i="1"/>
  <c r="AN133" i="1"/>
  <c r="AM133" i="1"/>
  <c r="AL133" i="1"/>
  <c r="AK133" i="1"/>
  <c r="AA133" i="1"/>
  <c r="AS132" i="1"/>
  <c r="AR132" i="1"/>
  <c r="AQ132" i="1"/>
  <c r="AP132" i="1"/>
  <c r="AO132" i="1"/>
  <c r="AN132" i="1"/>
  <c r="AM132" i="1"/>
  <c r="AL132" i="1"/>
  <c r="AK132" i="1"/>
  <c r="AA132" i="1"/>
  <c r="AS131" i="1"/>
  <c r="AR131" i="1"/>
  <c r="AQ131" i="1"/>
  <c r="AP131" i="1"/>
  <c r="AO131" i="1"/>
  <c r="AN131" i="1"/>
  <c r="AM131" i="1"/>
  <c r="AL131" i="1"/>
  <c r="AK131" i="1"/>
  <c r="AA131" i="1"/>
  <c r="Y18" i="10" l="1"/>
  <c r="Z14" i="10"/>
  <c r="Z18" i="10" s="1"/>
  <c r="AT239" i="1"/>
  <c r="AT240" i="1"/>
  <c r="AT206" i="1"/>
  <c r="AT207" i="1"/>
  <c r="AT208" i="1"/>
  <c r="AT109" i="1"/>
  <c r="AT110" i="1"/>
  <c r="AT104" i="1"/>
  <c r="AT105" i="1"/>
  <c r="AT99" i="1"/>
  <c r="AT100" i="1"/>
  <c r="AT86" i="1"/>
  <c r="AT88" i="1"/>
  <c r="AT85" i="1"/>
  <c r="AT87" i="1"/>
  <c r="AT89" i="1"/>
  <c r="AT131" i="1"/>
  <c r="AT132" i="1"/>
  <c r="AT133" i="1"/>
  <c r="BM87" i="1" l="1"/>
  <c r="BN87" i="1"/>
  <c r="BM85" i="1"/>
  <c r="BN85" i="1"/>
  <c r="BM86" i="1"/>
  <c r="BN86" i="1"/>
  <c r="AS153" i="1"/>
  <c r="AR153" i="1"/>
  <c r="AQ153" i="1"/>
  <c r="AP153" i="1"/>
  <c r="AO153" i="1"/>
  <c r="AN153" i="1"/>
  <c r="AM153" i="1"/>
  <c r="AL153" i="1"/>
  <c r="AK153" i="1"/>
  <c r="AA153" i="1"/>
  <c r="AS148" i="1"/>
  <c r="AR148" i="1"/>
  <c r="AQ148" i="1"/>
  <c r="AP148" i="1"/>
  <c r="AO148" i="1"/>
  <c r="AN148" i="1"/>
  <c r="AM148" i="1"/>
  <c r="AL148" i="1"/>
  <c r="AK148" i="1"/>
  <c r="AA148" i="1"/>
  <c r="AS159" i="1"/>
  <c r="AR159" i="1"/>
  <c r="AQ159" i="1"/>
  <c r="AP159" i="1"/>
  <c r="AO159" i="1"/>
  <c r="AN159" i="1"/>
  <c r="AM159" i="1"/>
  <c r="AL159" i="1"/>
  <c r="AK159" i="1"/>
  <c r="AA159" i="1"/>
  <c r="AS158" i="1"/>
  <c r="AR158" i="1"/>
  <c r="AQ158" i="1"/>
  <c r="AP158" i="1"/>
  <c r="AO158" i="1"/>
  <c r="AN158" i="1"/>
  <c r="AM158" i="1"/>
  <c r="AL158" i="1"/>
  <c r="AK158" i="1"/>
  <c r="AA158" i="1"/>
  <c r="AS152" i="1"/>
  <c r="AR152" i="1"/>
  <c r="AQ152" i="1"/>
  <c r="AP152" i="1"/>
  <c r="AO152" i="1"/>
  <c r="AN152" i="1"/>
  <c r="AM152" i="1"/>
  <c r="AL152" i="1"/>
  <c r="AK152" i="1"/>
  <c r="AA152" i="1"/>
  <c r="AS147" i="1"/>
  <c r="AR147" i="1"/>
  <c r="AQ147" i="1"/>
  <c r="AP147" i="1"/>
  <c r="AO147" i="1"/>
  <c r="AN147" i="1"/>
  <c r="AM147" i="1"/>
  <c r="AL147" i="1"/>
  <c r="AK147" i="1"/>
  <c r="AA147" i="1"/>
  <c r="AS155" i="1"/>
  <c r="AR155" i="1"/>
  <c r="AQ155" i="1"/>
  <c r="AP155" i="1"/>
  <c r="AO155" i="1"/>
  <c r="AN155" i="1"/>
  <c r="AM155" i="1"/>
  <c r="AL155" i="1"/>
  <c r="AK155" i="1"/>
  <c r="AA155" i="1"/>
  <c r="AS150" i="1"/>
  <c r="AR150" i="1"/>
  <c r="AQ150" i="1"/>
  <c r="AP150" i="1"/>
  <c r="AO150" i="1"/>
  <c r="AN150" i="1"/>
  <c r="AM150" i="1"/>
  <c r="AL150" i="1"/>
  <c r="AK150" i="1"/>
  <c r="AA150" i="1"/>
  <c r="AS146" i="1"/>
  <c r="AR146" i="1"/>
  <c r="AQ146" i="1"/>
  <c r="AP146" i="1"/>
  <c r="AO146" i="1"/>
  <c r="AN146" i="1"/>
  <c r="AM146" i="1"/>
  <c r="AL146" i="1"/>
  <c r="AK146" i="1"/>
  <c r="AA146" i="1"/>
  <c r="AS157" i="1"/>
  <c r="AR157" i="1"/>
  <c r="AQ157" i="1"/>
  <c r="AP157" i="1"/>
  <c r="AO157" i="1"/>
  <c r="AN157" i="1"/>
  <c r="AM157" i="1"/>
  <c r="AL157" i="1"/>
  <c r="AK157" i="1"/>
  <c r="AA157" i="1"/>
  <c r="AS156" i="1"/>
  <c r="AR156" i="1"/>
  <c r="AQ156" i="1"/>
  <c r="AP156" i="1"/>
  <c r="AO156" i="1"/>
  <c r="AN156" i="1"/>
  <c r="AM156" i="1"/>
  <c r="AL156" i="1"/>
  <c r="AK156" i="1"/>
  <c r="AA156" i="1"/>
  <c r="AS151" i="1"/>
  <c r="AR151" i="1"/>
  <c r="AQ151" i="1"/>
  <c r="AP151" i="1"/>
  <c r="AO151" i="1"/>
  <c r="AN151" i="1"/>
  <c r="AM151" i="1"/>
  <c r="AL151" i="1"/>
  <c r="AK151" i="1"/>
  <c r="AA151" i="1"/>
  <c r="AS154" i="1"/>
  <c r="AR154" i="1"/>
  <c r="AQ154" i="1"/>
  <c r="AP154" i="1"/>
  <c r="AO154" i="1"/>
  <c r="AN154" i="1"/>
  <c r="AM154" i="1"/>
  <c r="AL154" i="1"/>
  <c r="AK154" i="1"/>
  <c r="AA154" i="1"/>
  <c r="AS149" i="1"/>
  <c r="AR149" i="1"/>
  <c r="AQ149" i="1"/>
  <c r="AP149" i="1"/>
  <c r="AO149" i="1"/>
  <c r="AN149" i="1"/>
  <c r="AM149" i="1"/>
  <c r="AL149" i="1"/>
  <c r="AK149" i="1"/>
  <c r="AA149" i="1"/>
  <c r="AS145" i="1"/>
  <c r="AR145" i="1"/>
  <c r="AQ145" i="1"/>
  <c r="AP145" i="1"/>
  <c r="AO145" i="1"/>
  <c r="AN145" i="1"/>
  <c r="AM145" i="1"/>
  <c r="AL145" i="1"/>
  <c r="AK145" i="1"/>
  <c r="AA145" i="1"/>
  <c r="BN127" i="1" l="1"/>
  <c r="BM127" i="1"/>
  <c r="BN132" i="1"/>
  <c r="BM132" i="1"/>
  <c r="BM131" i="1"/>
  <c r="BN131" i="1"/>
  <c r="BN133" i="1"/>
  <c r="BM133" i="1"/>
  <c r="AT158" i="1"/>
  <c r="AT149" i="1"/>
  <c r="AT150" i="1"/>
  <c r="AT157" i="1"/>
  <c r="AT147" i="1"/>
  <c r="AT154" i="1"/>
  <c r="AT156" i="1"/>
  <c r="AT146" i="1"/>
  <c r="AT152" i="1"/>
  <c r="AT159" i="1"/>
  <c r="AT153" i="1"/>
  <c r="AT145" i="1"/>
  <c r="AT148" i="1"/>
  <c r="AT155" i="1"/>
  <c r="AT151" i="1"/>
  <c r="M15" i="1" l="1"/>
  <c r="M52" i="1"/>
  <c r="AS15" i="1"/>
  <c r="AR15" i="1"/>
  <c r="AQ15" i="1"/>
  <c r="AP15" i="1"/>
  <c r="AO15" i="1"/>
  <c r="AN15" i="1"/>
  <c r="AM15" i="1"/>
  <c r="AL15" i="1"/>
  <c r="AK15" i="1"/>
  <c r="AA15" i="1"/>
  <c r="AT15" i="1" l="1"/>
  <c r="AV15" i="1" s="1"/>
  <c r="M51" i="1"/>
  <c r="M55" i="1"/>
  <c r="M14" i="1"/>
  <c r="M54" i="1"/>
  <c r="M58" i="1"/>
  <c r="M43" i="1"/>
  <c r="M38" i="1"/>
  <c r="M7" i="1"/>
  <c r="M56" i="1"/>
  <c r="M49" i="1"/>
  <c r="M59" i="1"/>
  <c r="M16" i="1"/>
  <c r="M36" i="1"/>
  <c r="M9" i="1"/>
  <c r="M6" i="1"/>
  <c r="M18" i="1"/>
  <c r="M12" i="1"/>
  <c r="M26" i="1"/>
  <c r="M42" i="1"/>
  <c r="M45" i="1"/>
  <c r="M46" i="1"/>
  <c r="M61" i="1"/>
  <c r="M48" i="1"/>
  <c r="M4" i="1"/>
  <c r="M62" i="1"/>
  <c r="M30" i="1"/>
  <c r="M31" i="1"/>
  <c r="M33" i="1"/>
  <c r="M35" i="1"/>
  <c r="M40" i="1"/>
  <c r="M13" i="1"/>
  <c r="M29" i="1"/>
  <c r="M25" i="1"/>
  <c r="M37" i="1"/>
  <c r="M22" i="1"/>
  <c r="M60" i="1"/>
  <c r="M21" i="1"/>
  <c r="M20" i="1"/>
  <c r="M63" i="1"/>
  <c r="M39" i="1"/>
  <c r="M27" i="1"/>
  <c r="M23" i="1"/>
  <c r="M17" i="1"/>
  <c r="M64" i="1"/>
  <c r="M44" i="1"/>
  <c r="M32" i="1"/>
  <c r="M3" i="1"/>
  <c r="M10" i="1"/>
  <c r="M11" i="1"/>
  <c r="M19" i="1"/>
  <c r="M24" i="1"/>
  <c r="M28" i="1"/>
  <c r="M34" i="1"/>
  <c r="M41" i="1"/>
  <c r="M47" i="1"/>
  <c r="M53" i="1"/>
  <c r="M57" i="1"/>
  <c r="M50" i="1"/>
  <c r="AL51" i="1"/>
  <c r="AM51" i="1"/>
  <c r="AN51" i="1"/>
  <c r="AO51" i="1"/>
  <c r="AP51" i="1"/>
  <c r="AQ51" i="1"/>
  <c r="AR51" i="1"/>
  <c r="AS51" i="1"/>
  <c r="AL55" i="1"/>
  <c r="AM55" i="1"/>
  <c r="AN55" i="1"/>
  <c r="AO55" i="1"/>
  <c r="AP55" i="1"/>
  <c r="AQ55" i="1"/>
  <c r="AR55" i="1"/>
  <c r="AS55" i="1"/>
  <c r="AL14" i="1"/>
  <c r="AM14" i="1"/>
  <c r="AN14" i="1"/>
  <c r="AO14" i="1"/>
  <c r="AP14" i="1"/>
  <c r="AQ14" i="1"/>
  <c r="AR14" i="1"/>
  <c r="AS14" i="1"/>
  <c r="AL54" i="1"/>
  <c r="AM54" i="1"/>
  <c r="AN54" i="1"/>
  <c r="AO54" i="1"/>
  <c r="AP54" i="1"/>
  <c r="AQ54" i="1"/>
  <c r="AR54" i="1"/>
  <c r="AS54" i="1"/>
  <c r="AL58" i="1"/>
  <c r="AM58" i="1"/>
  <c r="AN58" i="1"/>
  <c r="AO58" i="1"/>
  <c r="AP58" i="1"/>
  <c r="AQ58" i="1"/>
  <c r="AR58" i="1"/>
  <c r="AS58" i="1"/>
  <c r="AL43" i="1"/>
  <c r="AM43" i="1"/>
  <c r="AN43" i="1"/>
  <c r="AO43" i="1"/>
  <c r="AP43" i="1"/>
  <c r="AQ43" i="1"/>
  <c r="AR43" i="1"/>
  <c r="AS43" i="1"/>
  <c r="AL38" i="1"/>
  <c r="AM38" i="1"/>
  <c r="AN38" i="1"/>
  <c r="AO38" i="1"/>
  <c r="AP38" i="1"/>
  <c r="AQ38" i="1"/>
  <c r="AR38" i="1"/>
  <c r="AS38" i="1"/>
  <c r="AL8" i="1"/>
  <c r="AM8" i="1"/>
  <c r="AN8" i="1"/>
  <c r="AO8" i="1"/>
  <c r="AP8" i="1"/>
  <c r="AQ8" i="1"/>
  <c r="AR8" i="1"/>
  <c r="AS8" i="1"/>
  <c r="AL7" i="1"/>
  <c r="AM7" i="1"/>
  <c r="AN7" i="1"/>
  <c r="AO7" i="1"/>
  <c r="AP7" i="1"/>
  <c r="AQ7" i="1"/>
  <c r="AR7" i="1"/>
  <c r="AS7" i="1"/>
  <c r="AL56" i="1"/>
  <c r="AM56" i="1"/>
  <c r="AN56" i="1"/>
  <c r="AO56" i="1"/>
  <c r="AP56" i="1"/>
  <c r="AQ56" i="1"/>
  <c r="AR56" i="1"/>
  <c r="AS56" i="1"/>
  <c r="AL49" i="1"/>
  <c r="AM49" i="1"/>
  <c r="AN49" i="1"/>
  <c r="AO49" i="1"/>
  <c r="AP49" i="1"/>
  <c r="AQ49" i="1"/>
  <c r="AR49" i="1"/>
  <c r="AS49" i="1"/>
  <c r="AL59" i="1"/>
  <c r="AM59" i="1"/>
  <c r="AN59" i="1"/>
  <c r="AO59" i="1"/>
  <c r="AP59" i="1"/>
  <c r="AQ59" i="1"/>
  <c r="AR59" i="1"/>
  <c r="AS59" i="1"/>
  <c r="AL16" i="1"/>
  <c r="AM16" i="1"/>
  <c r="AN16" i="1"/>
  <c r="AO16" i="1"/>
  <c r="AP16" i="1"/>
  <c r="AQ16" i="1"/>
  <c r="AR16" i="1"/>
  <c r="AS16" i="1"/>
  <c r="AL36" i="1"/>
  <c r="AM36" i="1"/>
  <c r="AN36" i="1"/>
  <c r="AO36" i="1"/>
  <c r="AP36" i="1"/>
  <c r="AQ36" i="1"/>
  <c r="AR36" i="1"/>
  <c r="AS36" i="1"/>
  <c r="AL9" i="1"/>
  <c r="AM9" i="1"/>
  <c r="AN9" i="1"/>
  <c r="AO9" i="1"/>
  <c r="AP9" i="1"/>
  <c r="AQ9" i="1"/>
  <c r="AR9" i="1"/>
  <c r="AS9" i="1"/>
  <c r="AL6" i="1"/>
  <c r="AM6" i="1"/>
  <c r="AN6" i="1"/>
  <c r="AO6" i="1"/>
  <c r="AP6" i="1"/>
  <c r="AQ6" i="1"/>
  <c r="AR6" i="1"/>
  <c r="AS6" i="1"/>
  <c r="AL18" i="1"/>
  <c r="AM18" i="1"/>
  <c r="AN18" i="1"/>
  <c r="AO18" i="1"/>
  <c r="AP18" i="1"/>
  <c r="AQ18" i="1"/>
  <c r="AR18" i="1"/>
  <c r="AS18" i="1"/>
  <c r="AL12" i="1"/>
  <c r="AM12" i="1"/>
  <c r="AN12" i="1"/>
  <c r="AO12" i="1"/>
  <c r="AP12" i="1"/>
  <c r="AQ12" i="1"/>
  <c r="AR12" i="1"/>
  <c r="AS12" i="1"/>
  <c r="AL26" i="1"/>
  <c r="AM26" i="1"/>
  <c r="AN26" i="1"/>
  <c r="AO26" i="1"/>
  <c r="AP26" i="1"/>
  <c r="AQ26" i="1"/>
  <c r="AR26" i="1"/>
  <c r="AS26" i="1"/>
  <c r="AL42" i="1"/>
  <c r="AM42" i="1"/>
  <c r="AN42" i="1"/>
  <c r="AO42" i="1"/>
  <c r="AP42" i="1"/>
  <c r="AQ42" i="1"/>
  <c r="AR42" i="1"/>
  <c r="AS42" i="1"/>
  <c r="AL45" i="1"/>
  <c r="AM45" i="1"/>
  <c r="AN45" i="1"/>
  <c r="AO45" i="1"/>
  <c r="AP45" i="1"/>
  <c r="AQ45" i="1"/>
  <c r="AR45" i="1"/>
  <c r="AS45" i="1"/>
  <c r="AL46" i="1"/>
  <c r="AM46" i="1"/>
  <c r="AN46" i="1"/>
  <c r="AO46" i="1"/>
  <c r="AP46" i="1"/>
  <c r="AQ46" i="1"/>
  <c r="AR46" i="1"/>
  <c r="AS46" i="1"/>
  <c r="AL61" i="1"/>
  <c r="AM61" i="1"/>
  <c r="AN61" i="1"/>
  <c r="AO61" i="1"/>
  <c r="AP61" i="1"/>
  <c r="AQ61" i="1"/>
  <c r="AR61" i="1"/>
  <c r="AS61" i="1"/>
  <c r="AL48" i="1"/>
  <c r="AM48" i="1"/>
  <c r="AN48" i="1"/>
  <c r="AO48" i="1"/>
  <c r="AP48" i="1"/>
  <c r="AQ48" i="1"/>
  <c r="AR48" i="1"/>
  <c r="AS48" i="1"/>
  <c r="AL4" i="1"/>
  <c r="AM4" i="1"/>
  <c r="AN4" i="1"/>
  <c r="AO4" i="1"/>
  <c r="AP4" i="1"/>
  <c r="AQ4" i="1"/>
  <c r="AR4" i="1"/>
  <c r="AS4" i="1"/>
  <c r="AL62" i="1"/>
  <c r="AM62" i="1"/>
  <c r="AN62" i="1"/>
  <c r="AO62" i="1"/>
  <c r="AP62" i="1"/>
  <c r="AQ62" i="1"/>
  <c r="AR62" i="1"/>
  <c r="AS62" i="1"/>
  <c r="AL30" i="1"/>
  <c r="AM30" i="1"/>
  <c r="AN30" i="1"/>
  <c r="AO30" i="1"/>
  <c r="AP30" i="1"/>
  <c r="AQ30" i="1"/>
  <c r="AR30" i="1"/>
  <c r="AS30" i="1"/>
  <c r="AL31" i="1"/>
  <c r="AM31" i="1"/>
  <c r="AN31" i="1"/>
  <c r="AO31" i="1"/>
  <c r="AP31" i="1"/>
  <c r="AQ31" i="1"/>
  <c r="AR31" i="1"/>
  <c r="AS31" i="1"/>
  <c r="AL33" i="1"/>
  <c r="AM33" i="1"/>
  <c r="AN33" i="1"/>
  <c r="AO33" i="1"/>
  <c r="AP33" i="1"/>
  <c r="AQ33" i="1"/>
  <c r="AR33" i="1"/>
  <c r="AS33" i="1"/>
  <c r="AL35" i="1"/>
  <c r="AM35" i="1"/>
  <c r="AN35" i="1"/>
  <c r="AO35" i="1"/>
  <c r="AP35" i="1"/>
  <c r="AQ35" i="1"/>
  <c r="AR35" i="1"/>
  <c r="AS35" i="1"/>
  <c r="AL40" i="1"/>
  <c r="AM40" i="1"/>
  <c r="AN40" i="1"/>
  <c r="AO40" i="1"/>
  <c r="AP40" i="1"/>
  <c r="AQ40" i="1"/>
  <c r="AR40" i="1"/>
  <c r="AS40" i="1"/>
  <c r="AL13" i="1"/>
  <c r="AM13" i="1"/>
  <c r="AN13" i="1"/>
  <c r="AO13" i="1"/>
  <c r="AP13" i="1"/>
  <c r="AQ13" i="1"/>
  <c r="AR13" i="1"/>
  <c r="AS13" i="1"/>
  <c r="AL29" i="1"/>
  <c r="AM29" i="1"/>
  <c r="AN29" i="1"/>
  <c r="AO29" i="1"/>
  <c r="AP29" i="1"/>
  <c r="AQ29" i="1"/>
  <c r="AR29" i="1"/>
  <c r="AS29" i="1"/>
  <c r="AL25" i="1"/>
  <c r="AM25" i="1"/>
  <c r="AN25" i="1"/>
  <c r="AO25" i="1"/>
  <c r="AP25" i="1"/>
  <c r="AQ25" i="1"/>
  <c r="AR25" i="1"/>
  <c r="AS25" i="1"/>
  <c r="AL37" i="1"/>
  <c r="AM37" i="1"/>
  <c r="AN37" i="1"/>
  <c r="AO37" i="1"/>
  <c r="AP37" i="1"/>
  <c r="AQ37" i="1"/>
  <c r="AR37" i="1"/>
  <c r="AS37" i="1"/>
  <c r="AL22" i="1"/>
  <c r="AM22" i="1"/>
  <c r="AN22" i="1"/>
  <c r="AO22" i="1"/>
  <c r="AP22" i="1"/>
  <c r="AQ22" i="1"/>
  <c r="AR22" i="1"/>
  <c r="AS22" i="1"/>
  <c r="AL60" i="1"/>
  <c r="AM60" i="1"/>
  <c r="AN60" i="1"/>
  <c r="AO60" i="1"/>
  <c r="AP60" i="1"/>
  <c r="AQ60" i="1"/>
  <c r="AR60" i="1"/>
  <c r="AS60" i="1"/>
  <c r="AL21" i="1"/>
  <c r="AM21" i="1"/>
  <c r="AN21" i="1"/>
  <c r="AO21" i="1"/>
  <c r="AP21" i="1"/>
  <c r="AQ21" i="1"/>
  <c r="AR21" i="1"/>
  <c r="AS21" i="1"/>
  <c r="AL20" i="1"/>
  <c r="AM20" i="1"/>
  <c r="AN20" i="1"/>
  <c r="AO20" i="1"/>
  <c r="AP20" i="1"/>
  <c r="AQ20" i="1"/>
  <c r="AR20" i="1"/>
  <c r="AS20" i="1"/>
  <c r="AL63" i="1"/>
  <c r="AM63" i="1"/>
  <c r="AN63" i="1"/>
  <c r="AO63" i="1"/>
  <c r="AP63" i="1"/>
  <c r="AQ63" i="1"/>
  <c r="AR63" i="1"/>
  <c r="AS63" i="1"/>
  <c r="AL39" i="1"/>
  <c r="AM39" i="1"/>
  <c r="AN39" i="1"/>
  <c r="AO39" i="1"/>
  <c r="AP39" i="1"/>
  <c r="AQ39" i="1"/>
  <c r="AR39" i="1"/>
  <c r="AS39" i="1"/>
  <c r="AL27" i="1"/>
  <c r="AM27" i="1"/>
  <c r="AN27" i="1"/>
  <c r="AO27" i="1"/>
  <c r="AP27" i="1"/>
  <c r="AQ27" i="1"/>
  <c r="AR27" i="1"/>
  <c r="AS27" i="1"/>
  <c r="AL23" i="1"/>
  <c r="AM23" i="1"/>
  <c r="AN23" i="1"/>
  <c r="AO23" i="1"/>
  <c r="AP23" i="1"/>
  <c r="AQ23" i="1"/>
  <c r="AR23" i="1"/>
  <c r="AS23" i="1"/>
  <c r="AL17" i="1"/>
  <c r="AM17" i="1"/>
  <c r="AN17" i="1"/>
  <c r="AO17" i="1"/>
  <c r="AP17" i="1"/>
  <c r="AQ17" i="1"/>
  <c r="AR17" i="1"/>
  <c r="AS17" i="1"/>
  <c r="AL64" i="1"/>
  <c r="AM64" i="1"/>
  <c r="AN64" i="1"/>
  <c r="AO64" i="1"/>
  <c r="AP64" i="1"/>
  <c r="AQ64" i="1"/>
  <c r="AR64" i="1"/>
  <c r="AS64" i="1"/>
  <c r="AL44" i="1"/>
  <c r="AM44" i="1"/>
  <c r="AN44" i="1"/>
  <c r="AO44" i="1"/>
  <c r="AP44" i="1"/>
  <c r="AQ44" i="1"/>
  <c r="AR44" i="1"/>
  <c r="AS44" i="1"/>
  <c r="AL32" i="1"/>
  <c r="AM32" i="1"/>
  <c r="AN32" i="1"/>
  <c r="AO32" i="1"/>
  <c r="AP32" i="1"/>
  <c r="AQ32" i="1"/>
  <c r="AR32" i="1"/>
  <c r="AS32" i="1"/>
  <c r="AL2" i="1"/>
  <c r="AM2" i="1"/>
  <c r="AN2" i="1"/>
  <c r="AO2" i="1"/>
  <c r="AP2" i="1"/>
  <c r="AQ2" i="1"/>
  <c r="AR2" i="1"/>
  <c r="AS2" i="1"/>
  <c r="AL3" i="1"/>
  <c r="AM3" i="1"/>
  <c r="AN3" i="1"/>
  <c r="AO3" i="1"/>
  <c r="AP3" i="1"/>
  <c r="AQ3" i="1"/>
  <c r="AR3" i="1"/>
  <c r="AS3" i="1"/>
  <c r="AL10" i="1"/>
  <c r="AM10" i="1"/>
  <c r="AN10" i="1"/>
  <c r="AO10" i="1"/>
  <c r="AP10" i="1"/>
  <c r="AQ10" i="1"/>
  <c r="AR10" i="1"/>
  <c r="AS10" i="1"/>
  <c r="AL11" i="1"/>
  <c r="AM11" i="1"/>
  <c r="AN11" i="1"/>
  <c r="AO11" i="1"/>
  <c r="AP11" i="1"/>
  <c r="AQ11" i="1"/>
  <c r="AR11" i="1"/>
  <c r="AS11" i="1"/>
  <c r="AL19" i="1"/>
  <c r="AM19" i="1"/>
  <c r="AN19" i="1"/>
  <c r="AO19" i="1"/>
  <c r="AP19" i="1"/>
  <c r="AQ19" i="1"/>
  <c r="AR19" i="1"/>
  <c r="AS19" i="1"/>
  <c r="AL24" i="1"/>
  <c r="AM24" i="1"/>
  <c r="AN24" i="1"/>
  <c r="AO24" i="1"/>
  <c r="AP24" i="1"/>
  <c r="AQ24" i="1"/>
  <c r="AR24" i="1"/>
  <c r="AS24" i="1"/>
  <c r="AL28" i="1"/>
  <c r="AM28" i="1"/>
  <c r="AN28" i="1"/>
  <c r="AO28" i="1"/>
  <c r="AP28" i="1"/>
  <c r="AQ28" i="1"/>
  <c r="AR28" i="1"/>
  <c r="AS28" i="1"/>
  <c r="AL34" i="1"/>
  <c r="AM34" i="1"/>
  <c r="AN34" i="1"/>
  <c r="AO34" i="1"/>
  <c r="AP34" i="1"/>
  <c r="AQ34" i="1"/>
  <c r="AR34" i="1"/>
  <c r="AS34" i="1"/>
  <c r="AL41" i="1"/>
  <c r="AM41" i="1"/>
  <c r="AN41" i="1"/>
  <c r="AO41" i="1"/>
  <c r="AP41" i="1"/>
  <c r="AQ41" i="1"/>
  <c r="AR41" i="1"/>
  <c r="AS41" i="1"/>
  <c r="AL47" i="1"/>
  <c r="AM47" i="1"/>
  <c r="AN47" i="1"/>
  <c r="AO47" i="1"/>
  <c r="AP47" i="1"/>
  <c r="AQ47" i="1"/>
  <c r="AR47" i="1"/>
  <c r="AS47" i="1"/>
  <c r="AL53" i="1"/>
  <c r="AM53" i="1"/>
  <c r="AN53" i="1"/>
  <c r="AO53" i="1"/>
  <c r="AP53" i="1"/>
  <c r="AQ53" i="1"/>
  <c r="AR53" i="1"/>
  <c r="AS53" i="1"/>
  <c r="AL57" i="1"/>
  <c r="AM57" i="1"/>
  <c r="AN57" i="1"/>
  <c r="AO57" i="1"/>
  <c r="AP57" i="1"/>
  <c r="AQ57" i="1"/>
  <c r="AR57" i="1"/>
  <c r="AS57" i="1"/>
  <c r="AL171" i="1"/>
  <c r="AM171" i="1"/>
  <c r="AN171" i="1"/>
  <c r="AO171" i="1"/>
  <c r="AP171" i="1"/>
  <c r="AQ171" i="1"/>
  <c r="AR171" i="1"/>
  <c r="AS171" i="1"/>
  <c r="AL172" i="1"/>
  <c r="AM172" i="1"/>
  <c r="AN172" i="1"/>
  <c r="AO172" i="1"/>
  <c r="AP172" i="1"/>
  <c r="AQ172" i="1"/>
  <c r="AR172" i="1"/>
  <c r="AS172" i="1"/>
  <c r="AL65" i="1"/>
  <c r="AM65" i="1"/>
  <c r="AN65" i="1"/>
  <c r="AO65" i="1"/>
  <c r="AP65" i="1"/>
  <c r="AQ65" i="1"/>
  <c r="AR65" i="1"/>
  <c r="AS65" i="1"/>
  <c r="AL67" i="1"/>
  <c r="AM67" i="1"/>
  <c r="AN67" i="1"/>
  <c r="AO67" i="1"/>
  <c r="AP67" i="1"/>
  <c r="AQ67" i="1"/>
  <c r="AR67" i="1"/>
  <c r="AS67" i="1"/>
  <c r="AL68" i="1"/>
  <c r="AM68" i="1"/>
  <c r="AN68" i="1"/>
  <c r="AO68" i="1"/>
  <c r="AP68" i="1"/>
  <c r="AQ68" i="1"/>
  <c r="AR68" i="1"/>
  <c r="AS68" i="1"/>
  <c r="AL69" i="1"/>
  <c r="AM69" i="1"/>
  <c r="AN69" i="1"/>
  <c r="AO69" i="1"/>
  <c r="AP69" i="1"/>
  <c r="AQ69" i="1"/>
  <c r="AR69" i="1"/>
  <c r="AS69" i="1"/>
  <c r="AL70" i="1"/>
  <c r="AM70" i="1"/>
  <c r="AN70" i="1"/>
  <c r="AO70" i="1"/>
  <c r="AP70" i="1"/>
  <c r="AQ70" i="1"/>
  <c r="AR70" i="1"/>
  <c r="AS70" i="1"/>
  <c r="AL71" i="1"/>
  <c r="AM71" i="1"/>
  <c r="AN71" i="1"/>
  <c r="AO71" i="1"/>
  <c r="AP71" i="1"/>
  <c r="AQ71" i="1"/>
  <c r="AR71" i="1"/>
  <c r="AS71" i="1"/>
  <c r="AL72" i="1"/>
  <c r="AM72" i="1"/>
  <c r="AN72" i="1"/>
  <c r="AO72" i="1"/>
  <c r="AP72" i="1"/>
  <c r="AQ72" i="1"/>
  <c r="AR72" i="1"/>
  <c r="AS72" i="1"/>
  <c r="AL73" i="1"/>
  <c r="AM73" i="1"/>
  <c r="AN73" i="1"/>
  <c r="AO73" i="1"/>
  <c r="AP73" i="1"/>
  <c r="AQ73" i="1"/>
  <c r="AR73" i="1"/>
  <c r="AS73" i="1"/>
  <c r="AL74" i="1"/>
  <c r="AM74" i="1"/>
  <c r="AN74" i="1"/>
  <c r="AO74" i="1"/>
  <c r="AP74" i="1"/>
  <c r="AQ74" i="1"/>
  <c r="AR74" i="1"/>
  <c r="AS74" i="1"/>
  <c r="AL75" i="1"/>
  <c r="AM75" i="1"/>
  <c r="AN75" i="1"/>
  <c r="AO75" i="1"/>
  <c r="AP75" i="1"/>
  <c r="AQ75" i="1"/>
  <c r="AR75" i="1"/>
  <c r="AS75" i="1"/>
  <c r="AL76" i="1"/>
  <c r="AM76" i="1"/>
  <c r="AN76" i="1"/>
  <c r="AO76" i="1"/>
  <c r="AP76" i="1"/>
  <c r="AQ76" i="1"/>
  <c r="AR76" i="1"/>
  <c r="AS76" i="1"/>
  <c r="AL77" i="1"/>
  <c r="AM77" i="1"/>
  <c r="AN77" i="1"/>
  <c r="AO77" i="1"/>
  <c r="AP77" i="1"/>
  <c r="AQ77" i="1"/>
  <c r="AR77" i="1"/>
  <c r="AS77" i="1"/>
  <c r="AL78" i="1"/>
  <c r="AM78" i="1"/>
  <c r="AN78" i="1"/>
  <c r="AO78" i="1"/>
  <c r="AP78" i="1"/>
  <c r="AQ78" i="1"/>
  <c r="AR78" i="1"/>
  <c r="AS78" i="1"/>
  <c r="AL79" i="1"/>
  <c r="AM79" i="1"/>
  <c r="AN79" i="1"/>
  <c r="AO79" i="1"/>
  <c r="AP79" i="1"/>
  <c r="AQ79" i="1"/>
  <c r="AR79" i="1"/>
  <c r="AS79" i="1"/>
  <c r="AL80" i="1"/>
  <c r="AM80" i="1"/>
  <c r="AN80" i="1"/>
  <c r="AO80" i="1"/>
  <c r="AP80" i="1"/>
  <c r="AQ80" i="1"/>
  <c r="AR80" i="1"/>
  <c r="AS80" i="1"/>
  <c r="AL189" i="1"/>
  <c r="AM189" i="1"/>
  <c r="AN189" i="1"/>
  <c r="AO189" i="1"/>
  <c r="AP189" i="1"/>
  <c r="AQ189" i="1"/>
  <c r="AR189" i="1"/>
  <c r="AS189" i="1"/>
  <c r="AL81" i="1"/>
  <c r="AM81" i="1"/>
  <c r="AN81" i="1"/>
  <c r="AO81" i="1"/>
  <c r="AP81" i="1"/>
  <c r="AQ81" i="1"/>
  <c r="AR81" i="1"/>
  <c r="AS81" i="1"/>
  <c r="AL82" i="1"/>
  <c r="AM82" i="1"/>
  <c r="AN82" i="1"/>
  <c r="AO82" i="1"/>
  <c r="AP82" i="1"/>
  <c r="AQ82" i="1"/>
  <c r="AR82" i="1"/>
  <c r="AS82" i="1"/>
  <c r="AL83" i="1"/>
  <c r="AM83" i="1"/>
  <c r="AN83" i="1"/>
  <c r="AO83" i="1"/>
  <c r="AP83" i="1"/>
  <c r="AQ83" i="1"/>
  <c r="AR83" i="1"/>
  <c r="AS83" i="1"/>
  <c r="AL190" i="1"/>
  <c r="AM190" i="1"/>
  <c r="AN190" i="1"/>
  <c r="AO190" i="1"/>
  <c r="AP190" i="1"/>
  <c r="AQ190" i="1"/>
  <c r="AR190" i="1"/>
  <c r="AS190" i="1"/>
  <c r="AL84" i="1"/>
  <c r="AM84" i="1"/>
  <c r="AN84" i="1"/>
  <c r="AO84" i="1"/>
  <c r="AP84" i="1"/>
  <c r="AQ84" i="1"/>
  <c r="AR84" i="1"/>
  <c r="AS84" i="1"/>
  <c r="AL90" i="1"/>
  <c r="AM90" i="1"/>
  <c r="AN90" i="1"/>
  <c r="AO90" i="1"/>
  <c r="AP90" i="1"/>
  <c r="AQ90" i="1"/>
  <c r="AR90" i="1"/>
  <c r="AS90" i="1"/>
  <c r="AL191" i="1"/>
  <c r="AM191" i="1"/>
  <c r="AN191" i="1"/>
  <c r="AO191" i="1"/>
  <c r="AP191" i="1"/>
  <c r="AQ191" i="1"/>
  <c r="AR191" i="1"/>
  <c r="AS191" i="1"/>
  <c r="AL192" i="1"/>
  <c r="AM192" i="1"/>
  <c r="AN192" i="1"/>
  <c r="AO192" i="1"/>
  <c r="AP192" i="1"/>
  <c r="AQ192" i="1"/>
  <c r="AR192" i="1"/>
  <c r="AS192" i="1"/>
  <c r="AL91" i="1"/>
  <c r="AM91" i="1"/>
  <c r="AN91" i="1"/>
  <c r="AO91" i="1"/>
  <c r="AP91" i="1"/>
  <c r="AQ91" i="1"/>
  <c r="AR91" i="1"/>
  <c r="AS91" i="1"/>
  <c r="AL92" i="1"/>
  <c r="AM92" i="1"/>
  <c r="AN92" i="1"/>
  <c r="AO92" i="1"/>
  <c r="AP92" i="1"/>
  <c r="AQ92" i="1"/>
  <c r="AR92" i="1"/>
  <c r="AS92" i="1"/>
  <c r="AL93" i="1"/>
  <c r="AM93" i="1"/>
  <c r="AN93" i="1"/>
  <c r="AO93" i="1"/>
  <c r="AP93" i="1"/>
  <c r="AQ93" i="1"/>
  <c r="AR93" i="1"/>
  <c r="AS93" i="1"/>
  <c r="AL94" i="1"/>
  <c r="AM94" i="1"/>
  <c r="AN94" i="1"/>
  <c r="AO94" i="1"/>
  <c r="AP94" i="1"/>
  <c r="AQ94" i="1"/>
  <c r="AR94" i="1"/>
  <c r="AS94" i="1"/>
  <c r="AL95" i="1"/>
  <c r="AM95" i="1"/>
  <c r="AN95" i="1"/>
  <c r="AO95" i="1"/>
  <c r="AP95" i="1"/>
  <c r="AQ95" i="1"/>
  <c r="AR95" i="1"/>
  <c r="AS95" i="1"/>
  <c r="AL96" i="1"/>
  <c r="AM96" i="1"/>
  <c r="AN96" i="1"/>
  <c r="AO96" i="1"/>
  <c r="AP96" i="1"/>
  <c r="AQ96" i="1"/>
  <c r="AR96" i="1"/>
  <c r="AS96" i="1"/>
  <c r="AL97" i="1"/>
  <c r="AM97" i="1"/>
  <c r="AN97" i="1"/>
  <c r="AO97" i="1"/>
  <c r="AP97" i="1"/>
  <c r="AQ97" i="1"/>
  <c r="AR97" i="1"/>
  <c r="AS97" i="1"/>
  <c r="AL98" i="1"/>
  <c r="AM98" i="1"/>
  <c r="AN98" i="1"/>
  <c r="AO98" i="1"/>
  <c r="AP98" i="1"/>
  <c r="AQ98" i="1"/>
  <c r="AR98" i="1"/>
  <c r="AS98" i="1"/>
  <c r="AL5" i="1"/>
  <c r="AM5" i="1"/>
  <c r="AN5" i="1"/>
  <c r="AO5" i="1"/>
  <c r="AP5" i="1"/>
  <c r="AQ5" i="1"/>
  <c r="AR5" i="1"/>
  <c r="AS5" i="1"/>
  <c r="AL101" i="1"/>
  <c r="AM101" i="1"/>
  <c r="AN101" i="1"/>
  <c r="AO101" i="1"/>
  <c r="AP101" i="1"/>
  <c r="AQ101" i="1"/>
  <c r="AR101" i="1"/>
  <c r="AS101" i="1"/>
  <c r="AL102" i="1"/>
  <c r="AM102" i="1"/>
  <c r="AN102" i="1"/>
  <c r="AO102" i="1"/>
  <c r="AP102" i="1"/>
  <c r="AQ102" i="1"/>
  <c r="AR102" i="1"/>
  <c r="AS102" i="1"/>
  <c r="AL196" i="1"/>
  <c r="AM196" i="1"/>
  <c r="AN196" i="1"/>
  <c r="AO196" i="1"/>
  <c r="AP196" i="1"/>
  <c r="AQ196" i="1"/>
  <c r="AR196" i="1"/>
  <c r="AS196" i="1"/>
  <c r="AL103" i="1"/>
  <c r="AM103" i="1"/>
  <c r="AN103" i="1"/>
  <c r="AO103" i="1"/>
  <c r="AP103" i="1"/>
  <c r="AQ103" i="1"/>
  <c r="AR103" i="1"/>
  <c r="AS103" i="1"/>
  <c r="AL106" i="1"/>
  <c r="AM106" i="1"/>
  <c r="AN106" i="1"/>
  <c r="AO106" i="1"/>
  <c r="AP106" i="1"/>
  <c r="AQ106" i="1"/>
  <c r="AR106" i="1"/>
  <c r="AS106" i="1"/>
  <c r="AL107" i="1"/>
  <c r="AM107" i="1"/>
  <c r="AN107" i="1"/>
  <c r="AO107" i="1"/>
  <c r="AP107" i="1"/>
  <c r="AQ107" i="1"/>
  <c r="AR107" i="1"/>
  <c r="AS107" i="1"/>
  <c r="AL108" i="1"/>
  <c r="AM108" i="1"/>
  <c r="AN108" i="1"/>
  <c r="AO108" i="1"/>
  <c r="AP108" i="1"/>
  <c r="AQ108" i="1"/>
  <c r="AR108" i="1"/>
  <c r="AS108" i="1"/>
  <c r="AL111" i="1"/>
  <c r="AM111" i="1"/>
  <c r="AN111" i="1"/>
  <c r="AO111" i="1"/>
  <c r="AP111" i="1"/>
  <c r="AQ111" i="1"/>
  <c r="AR111" i="1"/>
  <c r="AS111" i="1"/>
  <c r="AL197" i="1"/>
  <c r="AM197" i="1"/>
  <c r="AN197" i="1"/>
  <c r="AO197" i="1"/>
  <c r="AP197" i="1"/>
  <c r="AQ197" i="1"/>
  <c r="AR197" i="1"/>
  <c r="AS197" i="1"/>
  <c r="AL112" i="1"/>
  <c r="AM112" i="1"/>
  <c r="AN112" i="1"/>
  <c r="AO112" i="1"/>
  <c r="AP112" i="1"/>
  <c r="AQ112" i="1"/>
  <c r="AR112" i="1"/>
  <c r="AS112" i="1"/>
  <c r="AL198" i="1"/>
  <c r="AM198" i="1"/>
  <c r="AN198" i="1"/>
  <c r="AO198" i="1"/>
  <c r="AP198" i="1"/>
  <c r="AQ198" i="1"/>
  <c r="AR198" i="1"/>
  <c r="AS198" i="1"/>
  <c r="AL113" i="1"/>
  <c r="AM113" i="1"/>
  <c r="AN113" i="1"/>
  <c r="AO113" i="1"/>
  <c r="AP113" i="1"/>
  <c r="AQ113" i="1"/>
  <c r="AR113" i="1"/>
  <c r="AS113" i="1"/>
  <c r="AL114" i="1"/>
  <c r="AM114" i="1"/>
  <c r="AN114" i="1"/>
  <c r="AO114" i="1"/>
  <c r="AP114" i="1"/>
  <c r="AQ114" i="1"/>
  <c r="AR114" i="1"/>
  <c r="AS114" i="1"/>
  <c r="AL199" i="1"/>
  <c r="AM199" i="1"/>
  <c r="AN199" i="1"/>
  <c r="AO199" i="1"/>
  <c r="AP199" i="1"/>
  <c r="AQ199" i="1"/>
  <c r="AR199" i="1"/>
  <c r="AS199" i="1"/>
  <c r="AL115" i="1"/>
  <c r="AM115" i="1"/>
  <c r="AN115" i="1"/>
  <c r="AO115" i="1"/>
  <c r="AP115" i="1"/>
  <c r="AQ115" i="1"/>
  <c r="AR115" i="1"/>
  <c r="AS115" i="1"/>
  <c r="AL116" i="1"/>
  <c r="AM116" i="1"/>
  <c r="AN116" i="1"/>
  <c r="AO116" i="1"/>
  <c r="AP116" i="1"/>
  <c r="AQ116" i="1"/>
  <c r="AR116" i="1"/>
  <c r="AS116" i="1"/>
  <c r="AL117" i="1"/>
  <c r="AM117" i="1"/>
  <c r="AN117" i="1"/>
  <c r="AO117" i="1"/>
  <c r="AP117" i="1"/>
  <c r="AQ117" i="1"/>
  <c r="AR117" i="1"/>
  <c r="AS117" i="1"/>
  <c r="AL200" i="1"/>
  <c r="AM200" i="1"/>
  <c r="AN200" i="1"/>
  <c r="AO200" i="1"/>
  <c r="AP200" i="1"/>
  <c r="AQ200" i="1"/>
  <c r="AR200" i="1"/>
  <c r="AS200" i="1"/>
  <c r="AL118" i="1"/>
  <c r="AM118" i="1"/>
  <c r="AN118" i="1"/>
  <c r="AO118" i="1"/>
  <c r="AP118" i="1"/>
  <c r="AQ118" i="1"/>
  <c r="AR118" i="1"/>
  <c r="AS118" i="1"/>
  <c r="AL119" i="1"/>
  <c r="AM119" i="1"/>
  <c r="AN119" i="1"/>
  <c r="AO119" i="1"/>
  <c r="AP119" i="1"/>
  <c r="AQ119" i="1"/>
  <c r="AR119" i="1"/>
  <c r="AS119" i="1"/>
  <c r="AL120" i="1"/>
  <c r="AM120" i="1"/>
  <c r="AN120" i="1"/>
  <c r="AO120" i="1"/>
  <c r="AP120" i="1"/>
  <c r="AQ120" i="1"/>
  <c r="AR120" i="1"/>
  <c r="AS120" i="1"/>
  <c r="AL121" i="1"/>
  <c r="AM121" i="1"/>
  <c r="AN121" i="1"/>
  <c r="AO121" i="1"/>
  <c r="AP121" i="1"/>
  <c r="AQ121" i="1"/>
  <c r="AR121" i="1"/>
  <c r="AS121" i="1"/>
  <c r="AL201" i="1"/>
  <c r="AM201" i="1"/>
  <c r="AN201" i="1"/>
  <c r="AO201" i="1"/>
  <c r="AP201" i="1"/>
  <c r="AQ201" i="1"/>
  <c r="AR201" i="1"/>
  <c r="AS201" i="1"/>
  <c r="AL202" i="1"/>
  <c r="AM202" i="1"/>
  <c r="AN202" i="1"/>
  <c r="AO202" i="1"/>
  <c r="AP202" i="1"/>
  <c r="AQ202" i="1"/>
  <c r="AR202" i="1"/>
  <c r="AS202" i="1"/>
  <c r="AL122" i="1"/>
  <c r="AM122" i="1"/>
  <c r="AN122" i="1"/>
  <c r="AO122" i="1"/>
  <c r="AP122" i="1"/>
  <c r="AQ122" i="1"/>
  <c r="AR122" i="1"/>
  <c r="AS122" i="1"/>
  <c r="AL123" i="1"/>
  <c r="AM123" i="1"/>
  <c r="AN123" i="1"/>
  <c r="AO123" i="1"/>
  <c r="AP123" i="1"/>
  <c r="AQ123" i="1"/>
  <c r="AR123" i="1"/>
  <c r="AS123" i="1"/>
  <c r="AL203" i="1"/>
  <c r="AM203" i="1"/>
  <c r="AN203" i="1"/>
  <c r="AO203" i="1"/>
  <c r="AP203" i="1"/>
  <c r="AQ203" i="1"/>
  <c r="AR203" i="1"/>
  <c r="AS203" i="1"/>
  <c r="AL124" i="1"/>
  <c r="AM124" i="1"/>
  <c r="AN124" i="1"/>
  <c r="AO124" i="1"/>
  <c r="AP124" i="1"/>
  <c r="AQ124" i="1"/>
  <c r="AR124" i="1"/>
  <c r="AS124" i="1"/>
  <c r="AL204" i="1"/>
  <c r="AM204" i="1"/>
  <c r="AN204" i="1"/>
  <c r="AO204" i="1"/>
  <c r="AP204" i="1"/>
  <c r="AQ204" i="1"/>
  <c r="AR204" i="1"/>
  <c r="AS204" i="1"/>
  <c r="AL205" i="1"/>
  <c r="AM205" i="1"/>
  <c r="AN205" i="1"/>
  <c r="AO205" i="1"/>
  <c r="AP205" i="1"/>
  <c r="AQ205" i="1"/>
  <c r="AR205" i="1"/>
  <c r="AS205" i="1"/>
  <c r="AL125" i="1"/>
  <c r="AM125" i="1"/>
  <c r="AN125" i="1"/>
  <c r="AO125" i="1"/>
  <c r="AP125" i="1"/>
  <c r="AQ125" i="1"/>
  <c r="AR125" i="1"/>
  <c r="AS125" i="1"/>
  <c r="AL126" i="1"/>
  <c r="AM126" i="1"/>
  <c r="AN126" i="1"/>
  <c r="AO126" i="1"/>
  <c r="AP126" i="1"/>
  <c r="AQ126" i="1"/>
  <c r="AR126" i="1"/>
  <c r="AS126" i="1"/>
  <c r="AL128" i="1"/>
  <c r="AM128" i="1"/>
  <c r="AN128" i="1"/>
  <c r="AO128" i="1"/>
  <c r="AP128" i="1"/>
  <c r="AQ128" i="1"/>
  <c r="AR128" i="1"/>
  <c r="AS128" i="1"/>
  <c r="AL129" i="1"/>
  <c r="AM129" i="1"/>
  <c r="AN129" i="1"/>
  <c r="AO129" i="1"/>
  <c r="AP129" i="1"/>
  <c r="AQ129" i="1"/>
  <c r="AR129" i="1"/>
  <c r="AS129" i="1"/>
  <c r="AL209" i="1"/>
  <c r="AM209" i="1"/>
  <c r="AN209" i="1"/>
  <c r="AO209" i="1"/>
  <c r="AP209" i="1"/>
  <c r="AQ209" i="1"/>
  <c r="AR209" i="1"/>
  <c r="AS209" i="1"/>
  <c r="AL210" i="1"/>
  <c r="AM210" i="1"/>
  <c r="AN210" i="1"/>
  <c r="AO210" i="1"/>
  <c r="AP210" i="1"/>
  <c r="AQ210" i="1"/>
  <c r="AR210" i="1"/>
  <c r="AS210" i="1"/>
  <c r="AL130" i="1"/>
  <c r="AM130" i="1"/>
  <c r="AN130" i="1"/>
  <c r="AO130" i="1"/>
  <c r="AP130" i="1"/>
  <c r="AQ130" i="1"/>
  <c r="AR130" i="1"/>
  <c r="AS130" i="1"/>
  <c r="AL211" i="1"/>
  <c r="AM211" i="1"/>
  <c r="AN211" i="1"/>
  <c r="AO211" i="1"/>
  <c r="AP211" i="1"/>
  <c r="AQ211" i="1"/>
  <c r="AR211" i="1"/>
  <c r="AS211" i="1"/>
  <c r="AL134" i="1"/>
  <c r="AM134" i="1"/>
  <c r="AN134" i="1"/>
  <c r="AO134" i="1"/>
  <c r="AP134" i="1"/>
  <c r="AQ134" i="1"/>
  <c r="AR134" i="1"/>
  <c r="AS134" i="1"/>
  <c r="AL135" i="1"/>
  <c r="AM135" i="1"/>
  <c r="AN135" i="1"/>
  <c r="AO135" i="1"/>
  <c r="AP135" i="1"/>
  <c r="AQ135" i="1"/>
  <c r="AR135" i="1"/>
  <c r="AS135" i="1"/>
  <c r="AL136" i="1"/>
  <c r="AM136" i="1"/>
  <c r="AN136" i="1"/>
  <c r="AO136" i="1"/>
  <c r="AP136" i="1"/>
  <c r="AQ136" i="1"/>
  <c r="AR136" i="1"/>
  <c r="AS136" i="1"/>
  <c r="AL137" i="1"/>
  <c r="AM137" i="1"/>
  <c r="AN137" i="1"/>
  <c r="AO137" i="1"/>
  <c r="AP137" i="1"/>
  <c r="AQ137" i="1"/>
  <c r="AR137" i="1"/>
  <c r="AS137" i="1"/>
  <c r="AL212" i="1"/>
  <c r="AM212" i="1"/>
  <c r="AN212" i="1"/>
  <c r="AO212" i="1"/>
  <c r="AP212" i="1"/>
  <c r="AQ212" i="1"/>
  <c r="AR212" i="1"/>
  <c r="AS212" i="1"/>
  <c r="AL213" i="1"/>
  <c r="AM213" i="1"/>
  <c r="AN213" i="1"/>
  <c r="AO213" i="1"/>
  <c r="AP213" i="1"/>
  <c r="AQ213" i="1"/>
  <c r="AR213" i="1"/>
  <c r="AS213" i="1"/>
  <c r="AL214" i="1"/>
  <c r="AM214" i="1"/>
  <c r="AN214" i="1"/>
  <c r="AO214" i="1"/>
  <c r="AP214" i="1"/>
  <c r="AQ214" i="1"/>
  <c r="AR214" i="1"/>
  <c r="AS214" i="1"/>
  <c r="AL215" i="1"/>
  <c r="AM215" i="1"/>
  <c r="AN215" i="1"/>
  <c r="AO215" i="1"/>
  <c r="AP215" i="1"/>
  <c r="AQ215" i="1"/>
  <c r="AR215" i="1"/>
  <c r="AS215" i="1"/>
  <c r="AL216" i="1"/>
  <c r="AM216" i="1"/>
  <c r="AN216" i="1"/>
  <c r="AO216" i="1"/>
  <c r="AP216" i="1"/>
  <c r="AQ216" i="1"/>
  <c r="AR216" i="1"/>
  <c r="AS216" i="1"/>
  <c r="AL217" i="1"/>
  <c r="AM217" i="1"/>
  <c r="AN217" i="1"/>
  <c r="AO217" i="1"/>
  <c r="AP217" i="1"/>
  <c r="AQ217" i="1"/>
  <c r="AR217" i="1"/>
  <c r="AS217" i="1"/>
  <c r="AL140" i="1"/>
  <c r="AM140" i="1"/>
  <c r="AN140" i="1"/>
  <c r="AO140" i="1"/>
  <c r="AP140" i="1"/>
  <c r="AQ140" i="1"/>
  <c r="AR140" i="1"/>
  <c r="AS140" i="1"/>
  <c r="AL141" i="1"/>
  <c r="AM141" i="1"/>
  <c r="AN141" i="1"/>
  <c r="AO141" i="1"/>
  <c r="AP141" i="1"/>
  <c r="AQ141" i="1"/>
  <c r="AR141" i="1"/>
  <c r="AS141" i="1"/>
  <c r="AL142" i="1"/>
  <c r="AM142" i="1"/>
  <c r="AN142" i="1"/>
  <c r="AO142" i="1"/>
  <c r="AP142" i="1"/>
  <c r="AQ142" i="1"/>
  <c r="AR142" i="1"/>
  <c r="AS142" i="1"/>
  <c r="AL218" i="1"/>
  <c r="AM218" i="1"/>
  <c r="AN218" i="1"/>
  <c r="AO218" i="1"/>
  <c r="AP218" i="1"/>
  <c r="AQ218" i="1"/>
  <c r="AR218" i="1"/>
  <c r="AS218" i="1"/>
  <c r="AL219" i="1"/>
  <c r="AM219" i="1"/>
  <c r="AN219" i="1"/>
  <c r="AO219" i="1"/>
  <c r="AP219" i="1"/>
  <c r="AQ219" i="1"/>
  <c r="AR219" i="1"/>
  <c r="AS219" i="1"/>
  <c r="AL221" i="1"/>
  <c r="AM221" i="1"/>
  <c r="AN221" i="1"/>
  <c r="AO221" i="1"/>
  <c r="AP221" i="1"/>
  <c r="AQ221" i="1"/>
  <c r="AR221" i="1"/>
  <c r="AS221" i="1"/>
  <c r="AL222" i="1"/>
  <c r="AM222" i="1"/>
  <c r="AN222" i="1"/>
  <c r="AO222" i="1"/>
  <c r="AP222" i="1"/>
  <c r="AQ222" i="1"/>
  <c r="AR222" i="1"/>
  <c r="AS222" i="1"/>
  <c r="AL223" i="1"/>
  <c r="AM223" i="1"/>
  <c r="AN223" i="1"/>
  <c r="AO223" i="1"/>
  <c r="AP223" i="1"/>
  <c r="AQ223" i="1"/>
  <c r="AR223" i="1"/>
  <c r="AS223" i="1"/>
  <c r="AL143" i="1"/>
  <c r="AM143" i="1"/>
  <c r="AN143" i="1"/>
  <c r="AO143" i="1"/>
  <c r="AP143" i="1"/>
  <c r="AQ143" i="1"/>
  <c r="AR143" i="1"/>
  <c r="AS143" i="1"/>
  <c r="AL224" i="1"/>
  <c r="AM224" i="1"/>
  <c r="AN224" i="1"/>
  <c r="AO224" i="1"/>
  <c r="AP224" i="1"/>
  <c r="AQ224" i="1"/>
  <c r="AR224" i="1"/>
  <c r="AS224" i="1"/>
  <c r="AL144" i="1"/>
  <c r="AM144" i="1"/>
  <c r="AN144" i="1"/>
  <c r="AO144" i="1"/>
  <c r="AP144" i="1"/>
  <c r="AQ144" i="1"/>
  <c r="AR144" i="1"/>
  <c r="AS144" i="1"/>
  <c r="AL225" i="1"/>
  <c r="AM225" i="1"/>
  <c r="AN225" i="1"/>
  <c r="AO225" i="1"/>
  <c r="AP225" i="1"/>
  <c r="AQ225" i="1"/>
  <c r="AR225" i="1"/>
  <c r="AS225" i="1"/>
  <c r="AL226" i="1"/>
  <c r="AM226" i="1"/>
  <c r="AN226" i="1"/>
  <c r="AO226" i="1"/>
  <c r="AP226" i="1"/>
  <c r="AQ226" i="1"/>
  <c r="AR226" i="1"/>
  <c r="AS226" i="1"/>
  <c r="AL160" i="1"/>
  <c r="AM160" i="1"/>
  <c r="AN160" i="1"/>
  <c r="AO160" i="1"/>
  <c r="AP160" i="1"/>
  <c r="AQ160" i="1"/>
  <c r="AR160" i="1"/>
  <c r="AS160" i="1"/>
  <c r="AL161" i="1"/>
  <c r="AM161" i="1"/>
  <c r="AN161" i="1"/>
  <c r="AO161" i="1"/>
  <c r="AP161" i="1"/>
  <c r="AQ161" i="1"/>
  <c r="AR161" i="1"/>
  <c r="AS161" i="1"/>
  <c r="AL227" i="1"/>
  <c r="AM227" i="1"/>
  <c r="AN227" i="1"/>
  <c r="AO227" i="1"/>
  <c r="AP227" i="1"/>
  <c r="AQ227" i="1"/>
  <c r="AR227" i="1"/>
  <c r="AS227" i="1"/>
  <c r="AL228" i="1"/>
  <c r="AM228" i="1"/>
  <c r="AN228" i="1"/>
  <c r="AO228" i="1"/>
  <c r="AP228" i="1"/>
  <c r="AQ228" i="1"/>
  <c r="AR228" i="1"/>
  <c r="AS228" i="1"/>
  <c r="AL229" i="1"/>
  <c r="AM229" i="1"/>
  <c r="AN229" i="1"/>
  <c r="AO229" i="1"/>
  <c r="AP229" i="1"/>
  <c r="AQ229" i="1"/>
  <c r="AR229" i="1"/>
  <c r="AS229" i="1"/>
  <c r="AL230" i="1"/>
  <c r="AM230" i="1"/>
  <c r="AN230" i="1"/>
  <c r="AO230" i="1"/>
  <c r="AP230" i="1"/>
  <c r="AQ230" i="1"/>
  <c r="AR230" i="1"/>
  <c r="AS230" i="1"/>
  <c r="AL231" i="1"/>
  <c r="AM231" i="1"/>
  <c r="AN231" i="1"/>
  <c r="AO231" i="1"/>
  <c r="AP231" i="1"/>
  <c r="AQ231" i="1"/>
  <c r="AR231" i="1"/>
  <c r="AS231" i="1"/>
  <c r="AL162" i="1"/>
  <c r="AM162" i="1"/>
  <c r="AN162" i="1"/>
  <c r="AO162" i="1"/>
  <c r="AP162" i="1"/>
  <c r="AQ162" i="1"/>
  <c r="AR162" i="1"/>
  <c r="AS162" i="1"/>
  <c r="AL232" i="1"/>
  <c r="AM232" i="1"/>
  <c r="AN232" i="1"/>
  <c r="AO232" i="1"/>
  <c r="AP232" i="1"/>
  <c r="AQ232" i="1"/>
  <c r="AR232" i="1"/>
  <c r="AS232" i="1"/>
  <c r="AL233" i="1"/>
  <c r="AM233" i="1"/>
  <c r="AN233" i="1"/>
  <c r="AO233" i="1"/>
  <c r="AP233" i="1"/>
  <c r="AQ233" i="1"/>
  <c r="AR233" i="1"/>
  <c r="AS233" i="1"/>
  <c r="AL165" i="1"/>
  <c r="AM165" i="1"/>
  <c r="AN165" i="1"/>
  <c r="AO165" i="1"/>
  <c r="AP165" i="1"/>
  <c r="AQ165" i="1"/>
  <c r="AR165" i="1"/>
  <c r="AS165" i="1"/>
  <c r="AL234" i="1"/>
  <c r="AM234" i="1"/>
  <c r="AN234" i="1"/>
  <c r="AO234" i="1"/>
  <c r="AP234" i="1"/>
  <c r="AQ234" i="1"/>
  <c r="AR234" i="1"/>
  <c r="AS234" i="1"/>
  <c r="AL235" i="1"/>
  <c r="AM235" i="1"/>
  <c r="AN235" i="1"/>
  <c r="AO235" i="1"/>
  <c r="AP235" i="1"/>
  <c r="AQ235" i="1"/>
  <c r="AR235" i="1"/>
  <c r="AS235" i="1"/>
  <c r="AL236" i="1"/>
  <c r="AM236" i="1"/>
  <c r="AN236" i="1"/>
  <c r="AO236" i="1"/>
  <c r="AP236" i="1"/>
  <c r="AQ236" i="1"/>
  <c r="AR236" i="1"/>
  <c r="AS236" i="1"/>
  <c r="AL237" i="1"/>
  <c r="AM237" i="1"/>
  <c r="AN237" i="1"/>
  <c r="AO237" i="1"/>
  <c r="AP237" i="1"/>
  <c r="AQ237" i="1"/>
  <c r="AR237" i="1"/>
  <c r="AS237" i="1"/>
  <c r="AL238" i="1"/>
  <c r="AM238" i="1"/>
  <c r="AN238" i="1"/>
  <c r="AO238" i="1"/>
  <c r="AP238" i="1"/>
  <c r="AQ238" i="1"/>
  <c r="AR238" i="1"/>
  <c r="AS238" i="1"/>
  <c r="AL241" i="1"/>
  <c r="AM241" i="1"/>
  <c r="AN241" i="1"/>
  <c r="AO241" i="1"/>
  <c r="AP241" i="1"/>
  <c r="AQ241" i="1"/>
  <c r="AR241" i="1"/>
  <c r="AS241" i="1"/>
  <c r="AL242" i="1"/>
  <c r="AM242" i="1"/>
  <c r="AN242" i="1"/>
  <c r="AO242" i="1"/>
  <c r="AP242" i="1"/>
  <c r="AQ242" i="1"/>
  <c r="AR242" i="1"/>
  <c r="AS242" i="1"/>
  <c r="AL166" i="1"/>
  <c r="AM166" i="1"/>
  <c r="AN166" i="1"/>
  <c r="AO166" i="1"/>
  <c r="AP166" i="1"/>
  <c r="AQ166" i="1"/>
  <c r="AR166" i="1"/>
  <c r="AS166" i="1"/>
  <c r="AL243" i="1"/>
  <c r="AM243" i="1"/>
  <c r="AN243" i="1"/>
  <c r="AO243" i="1"/>
  <c r="AP243" i="1"/>
  <c r="AQ243" i="1"/>
  <c r="AR243" i="1"/>
  <c r="AS243" i="1"/>
  <c r="AL244" i="1"/>
  <c r="AM244" i="1"/>
  <c r="AN244" i="1"/>
  <c r="AO244" i="1"/>
  <c r="AP244" i="1"/>
  <c r="AQ244" i="1"/>
  <c r="AR244" i="1"/>
  <c r="AS244" i="1"/>
  <c r="AL167" i="1"/>
  <c r="AM167" i="1"/>
  <c r="AN167" i="1"/>
  <c r="AO167" i="1"/>
  <c r="AP167" i="1"/>
  <c r="AQ167" i="1"/>
  <c r="AR167" i="1"/>
  <c r="AS167" i="1"/>
  <c r="AL245" i="1"/>
  <c r="AM245" i="1"/>
  <c r="AN245" i="1"/>
  <c r="AO245" i="1"/>
  <c r="AP245" i="1"/>
  <c r="AQ245" i="1"/>
  <c r="AR245" i="1"/>
  <c r="AS245" i="1"/>
  <c r="AL246" i="1"/>
  <c r="AM246" i="1"/>
  <c r="AN246" i="1"/>
  <c r="AO246" i="1"/>
  <c r="AP246" i="1"/>
  <c r="AQ246" i="1"/>
  <c r="AR246" i="1"/>
  <c r="AS246" i="1"/>
  <c r="AL247" i="1"/>
  <c r="AM247" i="1"/>
  <c r="AN247" i="1"/>
  <c r="AO247" i="1"/>
  <c r="AP247" i="1"/>
  <c r="AQ247" i="1"/>
  <c r="AR247" i="1"/>
  <c r="AS247" i="1"/>
  <c r="AL248" i="1"/>
  <c r="AM248" i="1"/>
  <c r="AN248" i="1"/>
  <c r="AO248" i="1"/>
  <c r="AP248" i="1"/>
  <c r="AQ248" i="1"/>
  <c r="AR248" i="1"/>
  <c r="AS248" i="1"/>
  <c r="AL249" i="1"/>
  <c r="AM249" i="1"/>
  <c r="AN249" i="1"/>
  <c r="AO249" i="1"/>
  <c r="AP249" i="1"/>
  <c r="AQ249" i="1"/>
  <c r="AR249" i="1"/>
  <c r="AS249" i="1"/>
  <c r="AL168" i="1"/>
  <c r="AM168" i="1"/>
  <c r="AN168" i="1"/>
  <c r="AO168" i="1"/>
  <c r="AP168" i="1"/>
  <c r="AQ168" i="1"/>
  <c r="AR168" i="1"/>
  <c r="AS168" i="1"/>
  <c r="AL250" i="1"/>
  <c r="AM250" i="1"/>
  <c r="AN250" i="1"/>
  <c r="AO250" i="1"/>
  <c r="AP250" i="1"/>
  <c r="AQ250" i="1"/>
  <c r="AR250" i="1"/>
  <c r="AS250" i="1"/>
  <c r="AL251" i="1"/>
  <c r="AM251" i="1"/>
  <c r="AN251" i="1"/>
  <c r="AO251" i="1"/>
  <c r="AP251" i="1"/>
  <c r="AQ251" i="1"/>
  <c r="AR251" i="1"/>
  <c r="AS251" i="1"/>
  <c r="AL169" i="1"/>
  <c r="AM169" i="1"/>
  <c r="AN169" i="1"/>
  <c r="AO169" i="1"/>
  <c r="AP169" i="1"/>
  <c r="AQ169" i="1"/>
  <c r="AR169" i="1"/>
  <c r="AS169" i="1"/>
  <c r="AL252" i="1"/>
  <c r="AM252" i="1"/>
  <c r="AN252" i="1"/>
  <c r="AO252" i="1"/>
  <c r="AP252" i="1"/>
  <c r="AQ252" i="1"/>
  <c r="AR252" i="1"/>
  <c r="AS252" i="1"/>
  <c r="AL170" i="1"/>
  <c r="AM170" i="1"/>
  <c r="AN170" i="1"/>
  <c r="AO170" i="1"/>
  <c r="AP170" i="1"/>
  <c r="AQ170" i="1"/>
  <c r="AR170" i="1"/>
  <c r="AS170" i="1"/>
  <c r="AL253" i="1"/>
  <c r="AM253" i="1"/>
  <c r="AN253" i="1"/>
  <c r="AO253" i="1"/>
  <c r="AP253" i="1"/>
  <c r="AQ253" i="1"/>
  <c r="AR253" i="1"/>
  <c r="AS253" i="1"/>
  <c r="AL254" i="1"/>
  <c r="AM254" i="1"/>
  <c r="AN254" i="1"/>
  <c r="AO254" i="1"/>
  <c r="AP254" i="1"/>
  <c r="AQ254" i="1"/>
  <c r="AR254" i="1"/>
  <c r="AS254" i="1"/>
  <c r="AL255" i="1"/>
  <c r="AM255" i="1"/>
  <c r="AN255" i="1"/>
  <c r="AO255" i="1"/>
  <c r="AP255" i="1"/>
  <c r="AQ255" i="1"/>
  <c r="AR255" i="1"/>
  <c r="AS255" i="1"/>
  <c r="AL256" i="1"/>
  <c r="AM256" i="1"/>
  <c r="AN256" i="1"/>
  <c r="AO256" i="1"/>
  <c r="AP256" i="1"/>
  <c r="AQ256" i="1"/>
  <c r="AR256" i="1"/>
  <c r="AS256" i="1"/>
  <c r="AL173" i="1"/>
  <c r="AM173" i="1"/>
  <c r="AN173" i="1"/>
  <c r="AO173" i="1"/>
  <c r="AP173" i="1"/>
  <c r="AQ173" i="1"/>
  <c r="AR173" i="1"/>
  <c r="AS173" i="1"/>
  <c r="AL257" i="1"/>
  <c r="AM257" i="1"/>
  <c r="AN257" i="1"/>
  <c r="AO257" i="1"/>
  <c r="AP257" i="1"/>
  <c r="AQ257" i="1"/>
  <c r="AR257" i="1"/>
  <c r="AS257" i="1"/>
  <c r="AL258" i="1"/>
  <c r="AM258" i="1"/>
  <c r="AN258" i="1"/>
  <c r="AO258" i="1"/>
  <c r="AP258" i="1"/>
  <c r="AQ258" i="1"/>
  <c r="AR258" i="1"/>
  <c r="AS258" i="1"/>
  <c r="AL174" i="1"/>
  <c r="AM174" i="1"/>
  <c r="AN174" i="1"/>
  <c r="AO174" i="1"/>
  <c r="AP174" i="1"/>
  <c r="AQ174" i="1"/>
  <c r="AR174" i="1"/>
  <c r="AS174" i="1"/>
  <c r="AL259" i="1"/>
  <c r="AM259" i="1"/>
  <c r="AN259" i="1"/>
  <c r="AO259" i="1"/>
  <c r="AP259" i="1"/>
  <c r="AQ259" i="1"/>
  <c r="AR259" i="1"/>
  <c r="AS259" i="1"/>
  <c r="AL260" i="1"/>
  <c r="AM260" i="1"/>
  <c r="AN260" i="1"/>
  <c r="AO260" i="1"/>
  <c r="AP260" i="1"/>
  <c r="AQ260" i="1"/>
  <c r="AR260" i="1"/>
  <c r="AS260" i="1"/>
  <c r="AL261" i="1"/>
  <c r="AM261" i="1"/>
  <c r="AN261" i="1"/>
  <c r="AO261" i="1"/>
  <c r="AP261" i="1"/>
  <c r="AQ261" i="1"/>
  <c r="AR261" i="1"/>
  <c r="AS261" i="1"/>
  <c r="AL262" i="1"/>
  <c r="AM262" i="1"/>
  <c r="AN262" i="1"/>
  <c r="AO262" i="1"/>
  <c r="AP262" i="1"/>
  <c r="AQ262" i="1"/>
  <c r="AR262" i="1"/>
  <c r="AS262" i="1"/>
  <c r="AL263" i="1"/>
  <c r="AM263" i="1"/>
  <c r="AN263" i="1"/>
  <c r="AO263" i="1"/>
  <c r="AP263" i="1"/>
  <c r="AQ263" i="1"/>
  <c r="AR263" i="1"/>
  <c r="AS263" i="1"/>
  <c r="AL264" i="1"/>
  <c r="AM264" i="1"/>
  <c r="AN264" i="1"/>
  <c r="AO264" i="1"/>
  <c r="AP264" i="1"/>
  <c r="AQ264" i="1"/>
  <c r="AR264" i="1"/>
  <c r="AS264" i="1"/>
  <c r="AL265" i="1"/>
  <c r="AM265" i="1"/>
  <c r="AN265" i="1"/>
  <c r="AO265" i="1"/>
  <c r="AP265" i="1"/>
  <c r="AQ265" i="1"/>
  <c r="AR265" i="1"/>
  <c r="AS265" i="1"/>
  <c r="AL175" i="1"/>
  <c r="AM175" i="1"/>
  <c r="AN175" i="1"/>
  <c r="AO175" i="1"/>
  <c r="AP175" i="1"/>
  <c r="AQ175" i="1"/>
  <c r="AR175" i="1"/>
  <c r="AS175" i="1"/>
  <c r="AL266" i="1"/>
  <c r="AM266" i="1"/>
  <c r="AN266" i="1"/>
  <c r="AO266" i="1"/>
  <c r="AP266" i="1"/>
  <c r="AQ266" i="1"/>
  <c r="AR266" i="1"/>
  <c r="AS266" i="1"/>
  <c r="AL176" i="1"/>
  <c r="AM176" i="1"/>
  <c r="AN176" i="1"/>
  <c r="AO176" i="1"/>
  <c r="AP176" i="1"/>
  <c r="AQ176" i="1"/>
  <c r="AR176" i="1"/>
  <c r="AS176" i="1"/>
  <c r="AL267" i="1"/>
  <c r="AM267" i="1"/>
  <c r="AN267" i="1"/>
  <c r="AO267" i="1"/>
  <c r="AP267" i="1"/>
  <c r="AQ267" i="1"/>
  <c r="AR267" i="1"/>
  <c r="AS267" i="1"/>
  <c r="AL268" i="1"/>
  <c r="AM268" i="1"/>
  <c r="AN268" i="1"/>
  <c r="AO268" i="1"/>
  <c r="AP268" i="1"/>
  <c r="AQ268" i="1"/>
  <c r="AR268" i="1"/>
  <c r="AS268" i="1"/>
  <c r="AL269" i="1"/>
  <c r="AM269" i="1"/>
  <c r="AN269" i="1"/>
  <c r="AO269" i="1"/>
  <c r="AP269" i="1"/>
  <c r="AQ269" i="1"/>
  <c r="AR269" i="1"/>
  <c r="AS269" i="1"/>
  <c r="AL270" i="1"/>
  <c r="AM270" i="1"/>
  <c r="AN270" i="1"/>
  <c r="AO270" i="1"/>
  <c r="AP270" i="1"/>
  <c r="AQ270" i="1"/>
  <c r="AR270" i="1"/>
  <c r="AS270" i="1"/>
  <c r="AL271" i="1"/>
  <c r="AM271" i="1"/>
  <c r="AN271" i="1"/>
  <c r="AO271" i="1"/>
  <c r="AP271" i="1"/>
  <c r="AQ271" i="1"/>
  <c r="AR271" i="1"/>
  <c r="AS271" i="1"/>
  <c r="AL272" i="1"/>
  <c r="AM272" i="1"/>
  <c r="AN272" i="1"/>
  <c r="AO272" i="1"/>
  <c r="AP272" i="1"/>
  <c r="AQ272" i="1"/>
  <c r="AR272" i="1"/>
  <c r="AS272" i="1"/>
  <c r="AL273" i="1"/>
  <c r="AM273" i="1"/>
  <c r="AN273" i="1"/>
  <c r="AO273" i="1"/>
  <c r="AP273" i="1"/>
  <c r="AQ273" i="1"/>
  <c r="AR273" i="1"/>
  <c r="AS273" i="1"/>
  <c r="AL274" i="1"/>
  <c r="AM274" i="1"/>
  <c r="AN274" i="1"/>
  <c r="AO274" i="1"/>
  <c r="AP274" i="1"/>
  <c r="AQ274" i="1"/>
  <c r="AR274" i="1"/>
  <c r="AS274" i="1"/>
  <c r="AL275" i="1"/>
  <c r="AM275" i="1"/>
  <c r="AN275" i="1"/>
  <c r="AO275" i="1"/>
  <c r="AP275" i="1"/>
  <c r="AQ275" i="1"/>
  <c r="AR275" i="1"/>
  <c r="AS275" i="1"/>
  <c r="AL276" i="1"/>
  <c r="AM276" i="1"/>
  <c r="AN276" i="1"/>
  <c r="AO276" i="1"/>
  <c r="AP276" i="1"/>
  <c r="AQ276" i="1"/>
  <c r="AR276" i="1"/>
  <c r="AS276" i="1"/>
  <c r="AL277" i="1"/>
  <c r="AM277" i="1"/>
  <c r="AN277" i="1"/>
  <c r="AO277" i="1"/>
  <c r="AP277" i="1"/>
  <c r="AQ277" i="1"/>
  <c r="AR277" i="1"/>
  <c r="AS277" i="1"/>
  <c r="AL177" i="1"/>
  <c r="AM177" i="1"/>
  <c r="AN177" i="1"/>
  <c r="AO177" i="1"/>
  <c r="AP177" i="1"/>
  <c r="AQ177" i="1"/>
  <c r="AR177" i="1"/>
  <c r="AS177" i="1"/>
  <c r="AL278" i="1"/>
  <c r="AM278" i="1"/>
  <c r="AN278" i="1"/>
  <c r="AO278" i="1"/>
  <c r="AP278" i="1"/>
  <c r="AQ278" i="1"/>
  <c r="AR278" i="1"/>
  <c r="AS278" i="1"/>
  <c r="AL279" i="1"/>
  <c r="AM279" i="1"/>
  <c r="AN279" i="1"/>
  <c r="AO279" i="1"/>
  <c r="AP279" i="1"/>
  <c r="AQ279" i="1"/>
  <c r="AR279" i="1"/>
  <c r="AS279" i="1"/>
  <c r="AL280" i="1"/>
  <c r="AM280" i="1"/>
  <c r="AN280" i="1"/>
  <c r="AO280" i="1"/>
  <c r="AP280" i="1"/>
  <c r="AQ280" i="1"/>
  <c r="AR280" i="1"/>
  <c r="AS280" i="1"/>
  <c r="AL281" i="1"/>
  <c r="AM281" i="1"/>
  <c r="AN281" i="1"/>
  <c r="AO281" i="1"/>
  <c r="AP281" i="1"/>
  <c r="AQ281" i="1"/>
  <c r="AR281" i="1"/>
  <c r="AS281" i="1"/>
  <c r="AL282" i="1"/>
  <c r="AM282" i="1"/>
  <c r="AN282" i="1"/>
  <c r="AO282" i="1"/>
  <c r="AP282" i="1"/>
  <c r="AQ282" i="1"/>
  <c r="AR282" i="1"/>
  <c r="AS282" i="1"/>
  <c r="AL283" i="1"/>
  <c r="AM283" i="1"/>
  <c r="AN283" i="1"/>
  <c r="AO283" i="1"/>
  <c r="AP283" i="1"/>
  <c r="AQ283" i="1"/>
  <c r="AR283" i="1"/>
  <c r="AS283" i="1"/>
  <c r="AL284" i="1"/>
  <c r="AM284" i="1"/>
  <c r="AN284" i="1"/>
  <c r="AO284" i="1"/>
  <c r="AP284" i="1"/>
  <c r="AQ284" i="1"/>
  <c r="AR284" i="1"/>
  <c r="AS284" i="1"/>
  <c r="AL178" i="1"/>
  <c r="AM178" i="1"/>
  <c r="AN178" i="1"/>
  <c r="AO178" i="1"/>
  <c r="AP178" i="1"/>
  <c r="AQ178" i="1"/>
  <c r="AR178" i="1"/>
  <c r="AS178" i="1"/>
  <c r="AL285" i="1"/>
  <c r="AM285" i="1"/>
  <c r="AN285" i="1"/>
  <c r="AO285" i="1"/>
  <c r="AP285" i="1"/>
  <c r="AQ285" i="1"/>
  <c r="AR285" i="1"/>
  <c r="AS285" i="1"/>
  <c r="AL286" i="1"/>
  <c r="AM286" i="1"/>
  <c r="AN286" i="1"/>
  <c r="AO286" i="1"/>
  <c r="AP286" i="1"/>
  <c r="AQ286" i="1"/>
  <c r="AR286" i="1"/>
  <c r="AS286" i="1"/>
  <c r="AL287" i="1"/>
  <c r="AM287" i="1"/>
  <c r="AN287" i="1"/>
  <c r="AO287" i="1"/>
  <c r="AP287" i="1"/>
  <c r="AQ287" i="1"/>
  <c r="AR287" i="1"/>
  <c r="AS287" i="1"/>
  <c r="AL288" i="1"/>
  <c r="AM288" i="1"/>
  <c r="AN288" i="1"/>
  <c r="AO288" i="1"/>
  <c r="AP288" i="1"/>
  <c r="AQ288" i="1"/>
  <c r="AR288" i="1"/>
  <c r="AS288" i="1"/>
  <c r="AL289" i="1"/>
  <c r="AM289" i="1"/>
  <c r="AN289" i="1"/>
  <c r="AO289" i="1"/>
  <c r="AP289" i="1"/>
  <c r="AQ289" i="1"/>
  <c r="AR289" i="1"/>
  <c r="AS289" i="1"/>
  <c r="AL290" i="1"/>
  <c r="AM290" i="1"/>
  <c r="AN290" i="1"/>
  <c r="AO290" i="1"/>
  <c r="AP290" i="1"/>
  <c r="AQ290" i="1"/>
  <c r="AR290" i="1"/>
  <c r="AS290" i="1"/>
  <c r="AL291" i="1"/>
  <c r="AM291" i="1"/>
  <c r="AN291" i="1"/>
  <c r="AO291" i="1"/>
  <c r="AP291" i="1"/>
  <c r="AQ291" i="1"/>
  <c r="AR291" i="1"/>
  <c r="AS291" i="1"/>
  <c r="AL292" i="1"/>
  <c r="AM292" i="1"/>
  <c r="AN292" i="1"/>
  <c r="AO292" i="1"/>
  <c r="AP292" i="1"/>
  <c r="AQ292" i="1"/>
  <c r="AR292" i="1"/>
  <c r="AS292" i="1"/>
  <c r="AL293" i="1"/>
  <c r="AM293" i="1"/>
  <c r="AN293" i="1"/>
  <c r="AO293" i="1"/>
  <c r="AP293" i="1"/>
  <c r="AQ293" i="1"/>
  <c r="AR293" i="1"/>
  <c r="AS293" i="1"/>
  <c r="AL294" i="1"/>
  <c r="AM294" i="1"/>
  <c r="AN294" i="1"/>
  <c r="AO294" i="1"/>
  <c r="AP294" i="1"/>
  <c r="AQ294" i="1"/>
  <c r="AR294" i="1"/>
  <c r="AS294" i="1"/>
  <c r="AL295" i="1"/>
  <c r="AM295" i="1"/>
  <c r="AN295" i="1"/>
  <c r="AO295" i="1"/>
  <c r="AP295" i="1"/>
  <c r="AQ295" i="1"/>
  <c r="AR295" i="1"/>
  <c r="AS295" i="1"/>
  <c r="AL179" i="1"/>
  <c r="AM179" i="1"/>
  <c r="AN179" i="1"/>
  <c r="AO179" i="1"/>
  <c r="AP179" i="1"/>
  <c r="AQ179" i="1"/>
  <c r="AR179" i="1"/>
  <c r="AS179" i="1"/>
  <c r="AL296" i="1"/>
  <c r="AM296" i="1"/>
  <c r="AN296" i="1"/>
  <c r="AO296" i="1"/>
  <c r="AP296" i="1"/>
  <c r="AQ296" i="1"/>
  <c r="AR296" i="1"/>
  <c r="AS296" i="1"/>
  <c r="AL52" i="1"/>
  <c r="AM52" i="1"/>
  <c r="AN52" i="1"/>
  <c r="AO52" i="1"/>
  <c r="AP52" i="1"/>
  <c r="AQ52" i="1"/>
  <c r="AR52" i="1"/>
  <c r="AS52" i="1"/>
  <c r="AL297" i="1"/>
  <c r="AM297" i="1"/>
  <c r="AN297" i="1"/>
  <c r="AO297" i="1"/>
  <c r="AP297" i="1"/>
  <c r="AQ297" i="1"/>
  <c r="AR297" i="1"/>
  <c r="AS297" i="1"/>
  <c r="AL298" i="1"/>
  <c r="AM298" i="1"/>
  <c r="AN298" i="1"/>
  <c r="AO298" i="1"/>
  <c r="AP298" i="1"/>
  <c r="AQ298" i="1"/>
  <c r="AR298" i="1"/>
  <c r="AS298" i="1"/>
  <c r="AL299" i="1"/>
  <c r="AM299" i="1"/>
  <c r="AN299" i="1"/>
  <c r="AO299" i="1"/>
  <c r="AP299" i="1"/>
  <c r="AQ299" i="1"/>
  <c r="AR299" i="1"/>
  <c r="AS299" i="1"/>
  <c r="AL300" i="1"/>
  <c r="AM300" i="1"/>
  <c r="AN300" i="1"/>
  <c r="AO300" i="1"/>
  <c r="AP300" i="1"/>
  <c r="AQ300" i="1"/>
  <c r="AR300" i="1"/>
  <c r="AS300" i="1"/>
  <c r="AL301" i="1"/>
  <c r="AM301" i="1"/>
  <c r="AN301" i="1"/>
  <c r="AO301" i="1"/>
  <c r="AP301" i="1"/>
  <c r="AQ301" i="1"/>
  <c r="AR301" i="1"/>
  <c r="AS301" i="1"/>
  <c r="AL302" i="1"/>
  <c r="AM302" i="1"/>
  <c r="AN302" i="1"/>
  <c r="AO302" i="1"/>
  <c r="AP302" i="1"/>
  <c r="AQ302" i="1"/>
  <c r="AR302" i="1"/>
  <c r="AS302" i="1"/>
  <c r="AL303" i="1"/>
  <c r="AM303" i="1"/>
  <c r="AN303" i="1"/>
  <c r="AO303" i="1"/>
  <c r="AP303" i="1"/>
  <c r="AQ303" i="1"/>
  <c r="AR303" i="1"/>
  <c r="AS303" i="1"/>
  <c r="AL304" i="1"/>
  <c r="AM304" i="1"/>
  <c r="AN304" i="1"/>
  <c r="AO304" i="1"/>
  <c r="AP304" i="1"/>
  <c r="AQ304" i="1"/>
  <c r="AR304" i="1"/>
  <c r="AS304" i="1"/>
  <c r="AL305" i="1"/>
  <c r="AM305" i="1"/>
  <c r="AN305" i="1"/>
  <c r="AO305" i="1"/>
  <c r="AP305" i="1"/>
  <c r="AQ305" i="1"/>
  <c r="AR305" i="1"/>
  <c r="AS305" i="1"/>
  <c r="AL306" i="1"/>
  <c r="AM306" i="1"/>
  <c r="AN306" i="1"/>
  <c r="AO306" i="1"/>
  <c r="AP306" i="1"/>
  <c r="AQ306" i="1"/>
  <c r="AR306" i="1"/>
  <c r="AS306" i="1"/>
  <c r="AL180" i="1"/>
  <c r="AM180" i="1"/>
  <c r="AN180" i="1"/>
  <c r="AO180" i="1"/>
  <c r="AP180" i="1"/>
  <c r="AQ180" i="1"/>
  <c r="AR180" i="1"/>
  <c r="AS180" i="1"/>
  <c r="AL307" i="1"/>
  <c r="AM307" i="1"/>
  <c r="AN307" i="1"/>
  <c r="AO307" i="1"/>
  <c r="AP307" i="1"/>
  <c r="AQ307" i="1"/>
  <c r="AR307" i="1"/>
  <c r="AS307" i="1"/>
  <c r="AL308" i="1"/>
  <c r="AM308" i="1"/>
  <c r="AN308" i="1"/>
  <c r="AO308" i="1"/>
  <c r="AP308" i="1"/>
  <c r="AQ308" i="1"/>
  <c r="AR308" i="1"/>
  <c r="AS308" i="1"/>
  <c r="AL181" i="1"/>
  <c r="AM181" i="1"/>
  <c r="AN181" i="1"/>
  <c r="AO181" i="1"/>
  <c r="AP181" i="1"/>
  <c r="AQ181" i="1"/>
  <c r="AR181" i="1"/>
  <c r="AS181" i="1"/>
  <c r="AL309" i="1"/>
  <c r="AM309" i="1"/>
  <c r="AN309" i="1"/>
  <c r="AO309" i="1"/>
  <c r="AP309" i="1"/>
  <c r="AQ309" i="1"/>
  <c r="AR309" i="1"/>
  <c r="AS309" i="1"/>
  <c r="AL182" i="1"/>
  <c r="AM182" i="1"/>
  <c r="AN182" i="1"/>
  <c r="AO182" i="1"/>
  <c r="AP182" i="1"/>
  <c r="AQ182" i="1"/>
  <c r="AR182" i="1"/>
  <c r="AS182" i="1"/>
  <c r="AL310" i="1"/>
  <c r="AM310" i="1"/>
  <c r="AN310" i="1"/>
  <c r="AO310" i="1"/>
  <c r="AP310" i="1"/>
  <c r="AQ310" i="1"/>
  <c r="AR310" i="1"/>
  <c r="AS310" i="1"/>
  <c r="AL311" i="1"/>
  <c r="AM311" i="1"/>
  <c r="AN311" i="1"/>
  <c r="AO311" i="1"/>
  <c r="AP311" i="1"/>
  <c r="AQ311" i="1"/>
  <c r="AR311" i="1"/>
  <c r="AS311" i="1"/>
  <c r="AL312" i="1"/>
  <c r="AM312" i="1"/>
  <c r="AN312" i="1"/>
  <c r="AO312" i="1"/>
  <c r="AP312" i="1"/>
  <c r="AQ312" i="1"/>
  <c r="AR312" i="1"/>
  <c r="AS312" i="1"/>
  <c r="AL313" i="1"/>
  <c r="AM313" i="1"/>
  <c r="AN313" i="1"/>
  <c r="AO313" i="1"/>
  <c r="AP313" i="1"/>
  <c r="AQ313" i="1"/>
  <c r="AR313" i="1"/>
  <c r="AS313" i="1"/>
  <c r="AL314" i="1"/>
  <c r="AM314" i="1"/>
  <c r="AN314" i="1"/>
  <c r="AO314" i="1"/>
  <c r="AP314" i="1"/>
  <c r="AQ314" i="1"/>
  <c r="AR314" i="1"/>
  <c r="AS314" i="1"/>
  <c r="AL183" i="1"/>
  <c r="AM183" i="1"/>
  <c r="AN183" i="1"/>
  <c r="AO183" i="1"/>
  <c r="AP183" i="1"/>
  <c r="AQ183" i="1"/>
  <c r="AR183" i="1"/>
  <c r="AS183" i="1"/>
  <c r="AL315" i="1"/>
  <c r="AM315" i="1"/>
  <c r="AN315" i="1"/>
  <c r="AO315" i="1"/>
  <c r="AP315" i="1"/>
  <c r="AQ315" i="1"/>
  <c r="AR315" i="1"/>
  <c r="AS315" i="1"/>
  <c r="AL316" i="1"/>
  <c r="AM316" i="1"/>
  <c r="AN316" i="1"/>
  <c r="AO316" i="1"/>
  <c r="AP316" i="1"/>
  <c r="AQ316" i="1"/>
  <c r="AR316" i="1"/>
  <c r="AS316" i="1"/>
  <c r="AL317" i="1"/>
  <c r="AM317" i="1"/>
  <c r="AN317" i="1"/>
  <c r="AO317" i="1"/>
  <c r="AP317" i="1"/>
  <c r="AQ317" i="1"/>
  <c r="AR317" i="1"/>
  <c r="AS317" i="1"/>
  <c r="AL184" i="1"/>
  <c r="AM184" i="1"/>
  <c r="AN184" i="1"/>
  <c r="AO184" i="1"/>
  <c r="AP184" i="1"/>
  <c r="AQ184" i="1"/>
  <c r="AR184" i="1"/>
  <c r="AS184" i="1"/>
  <c r="AL185" i="1"/>
  <c r="AM185" i="1"/>
  <c r="AN185" i="1"/>
  <c r="AO185" i="1"/>
  <c r="AP185" i="1"/>
  <c r="AQ185" i="1"/>
  <c r="AR185" i="1"/>
  <c r="AS185" i="1"/>
  <c r="AL318" i="1"/>
  <c r="AM318" i="1"/>
  <c r="AN318" i="1"/>
  <c r="AO318" i="1"/>
  <c r="AP318" i="1"/>
  <c r="AQ318" i="1"/>
  <c r="AR318" i="1"/>
  <c r="AS318" i="1"/>
  <c r="AL319" i="1"/>
  <c r="AM319" i="1"/>
  <c r="AN319" i="1"/>
  <c r="AO319" i="1"/>
  <c r="AP319" i="1"/>
  <c r="AQ319" i="1"/>
  <c r="AR319" i="1"/>
  <c r="AS319" i="1"/>
  <c r="AL320" i="1"/>
  <c r="AM320" i="1"/>
  <c r="AN320" i="1"/>
  <c r="AO320" i="1"/>
  <c r="AP320" i="1"/>
  <c r="AQ320" i="1"/>
  <c r="AR320" i="1"/>
  <c r="AS320" i="1"/>
  <c r="AL321" i="1"/>
  <c r="AM321" i="1"/>
  <c r="AN321" i="1"/>
  <c r="AO321" i="1"/>
  <c r="AP321" i="1"/>
  <c r="AQ321" i="1"/>
  <c r="AR321" i="1"/>
  <c r="AS321" i="1"/>
  <c r="AL322" i="1"/>
  <c r="AM322" i="1"/>
  <c r="AN322" i="1"/>
  <c r="AO322" i="1"/>
  <c r="AP322" i="1"/>
  <c r="AQ322" i="1"/>
  <c r="AR322" i="1"/>
  <c r="AS322" i="1"/>
  <c r="AL186" i="1"/>
  <c r="AM186" i="1"/>
  <c r="AN186" i="1"/>
  <c r="AO186" i="1"/>
  <c r="AP186" i="1"/>
  <c r="AQ186" i="1"/>
  <c r="AR186" i="1"/>
  <c r="AS186" i="1"/>
  <c r="AL323" i="1"/>
  <c r="AM323" i="1"/>
  <c r="AN323" i="1"/>
  <c r="AO323" i="1"/>
  <c r="AP323" i="1"/>
  <c r="AQ323" i="1"/>
  <c r="AR323" i="1"/>
  <c r="AS323" i="1"/>
  <c r="AL324" i="1"/>
  <c r="AM324" i="1"/>
  <c r="AN324" i="1"/>
  <c r="AO324" i="1"/>
  <c r="AP324" i="1"/>
  <c r="AQ324" i="1"/>
  <c r="AR324" i="1"/>
  <c r="AS324" i="1"/>
  <c r="AL187" i="1"/>
  <c r="AM187" i="1"/>
  <c r="AN187" i="1"/>
  <c r="AO187" i="1"/>
  <c r="AP187" i="1"/>
  <c r="AQ187" i="1"/>
  <c r="AR187" i="1"/>
  <c r="AS187" i="1"/>
  <c r="AL325" i="1"/>
  <c r="AM325" i="1"/>
  <c r="AN325" i="1"/>
  <c r="AO325" i="1"/>
  <c r="AP325" i="1"/>
  <c r="AQ325" i="1"/>
  <c r="AR325" i="1"/>
  <c r="AS325" i="1"/>
  <c r="AL326" i="1"/>
  <c r="AM326" i="1"/>
  <c r="AN326" i="1"/>
  <c r="AO326" i="1"/>
  <c r="AP326" i="1"/>
  <c r="AQ326" i="1"/>
  <c r="AR326" i="1"/>
  <c r="AS326" i="1"/>
  <c r="AL327" i="1"/>
  <c r="AM327" i="1"/>
  <c r="AN327" i="1"/>
  <c r="AO327" i="1"/>
  <c r="AP327" i="1"/>
  <c r="AQ327" i="1"/>
  <c r="AR327" i="1"/>
  <c r="AS327" i="1"/>
  <c r="AL328" i="1"/>
  <c r="AM328" i="1"/>
  <c r="AN328" i="1"/>
  <c r="AO328" i="1"/>
  <c r="AP328" i="1"/>
  <c r="AQ328" i="1"/>
  <c r="AR328" i="1"/>
  <c r="AS328" i="1"/>
  <c r="AL329" i="1"/>
  <c r="AM329" i="1"/>
  <c r="AN329" i="1"/>
  <c r="AO329" i="1"/>
  <c r="AP329" i="1"/>
  <c r="AQ329" i="1"/>
  <c r="AR329" i="1"/>
  <c r="AS329" i="1"/>
  <c r="AL330" i="1"/>
  <c r="AM330" i="1"/>
  <c r="AN330" i="1"/>
  <c r="AO330" i="1"/>
  <c r="AP330" i="1"/>
  <c r="AQ330" i="1"/>
  <c r="AR330" i="1"/>
  <c r="AS330" i="1"/>
  <c r="AL331" i="1"/>
  <c r="AM331" i="1"/>
  <c r="AN331" i="1"/>
  <c r="AO331" i="1"/>
  <c r="AP331" i="1"/>
  <c r="AQ331" i="1"/>
  <c r="AR331" i="1"/>
  <c r="AS331" i="1"/>
  <c r="AL332" i="1"/>
  <c r="AM332" i="1"/>
  <c r="AN332" i="1"/>
  <c r="AO332" i="1"/>
  <c r="AP332" i="1"/>
  <c r="AQ332" i="1"/>
  <c r="AR332" i="1"/>
  <c r="AS332" i="1"/>
  <c r="AL188" i="1"/>
  <c r="AM188" i="1"/>
  <c r="AN188" i="1"/>
  <c r="AO188" i="1"/>
  <c r="AP188" i="1"/>
  <c r="AQ188" i="1"/>
  <c r="AR188" i="1"/>
  <c r="AS188" i="1"/>
  <c r="AL333" i="1"/>
  <c r="AM333" i="1"/>
  <c r="AN333" i="1"/>
  <c r="AO333" i="1"/>
  <c r="AP333" i="1"/>
  <c r="AQ333" i="1"/>
  <c r="AR333" i="1"/>
  <c r="AS333" i="1"/>
  <c r="AL334" i="1"/>
  <c r="AM334" i="1"/>
  <c r="AN334" i="1"/>
  <c r="AO334" i="1"/>
  <c r="AP334" i="1"/>
  <c r="AQ334" i="1"/>
  <c r="AR334" i="1"/>
  <c r="AS334" i="1"/>
  <c r="AS50" i="1"/>
  <c r="AR50" i="1"/>
  <c r="AQ50" i="1"/>
  <c r="AP50" i="1"/>
  <c r="AO50" i="1"/>
  <c r="AN50" i="1"/>
  <c r="AM50" i="1"/>
  <c r="AL50" i="1"/>
  <c r="AA51" i="1"/>
  <c r="AA55" i="1"/>
  <c r="AA14" i="1"/>
  <c r="AA54" i="1"/>
  <c r="AA58" i="1"/>
  <c r="AA43" i="1"/>
  <c r="AA38" i="1"/>
  <c r="AA8" i="1"/>
  <c r="AA7" i="1"/>
  <c r="AA56" i="1"/>
  <c r="AA49" i="1"/>
  <c r="AA59" i="1"/>
  <c r="AA16" i="1"/>
  <c r="AA36" i="1"/>
  <c r="AA9" i="1"/>
  <c r="AA6" i="1"/>
  <c r="AA18" i="1"/>
  <c r="AA12" i="1"/>
  <c r="AA26" i="1"/>
  <c r="AA42" i="1"/>
  <c r="AA45" i="1"/>
  <c r="AA46" i="1"/>
  <c r="AA61" i="1"/>
  <c r="AA48" i="1"/>
  <c r="AA4" i="1"/>
  <c r="AA62" i="1"/>
  <c r="AA30" i="1"/>
  <c r="AA31" i="1"/>
  <c r="AA33" i="1"/>
  <c r="AA35" i="1"/>
  <c r="AA40" i="1"/>
  <c r="AA13" i="1"/>
  <c r="AA29" i="1"/>
  <c r="AA25" i="1"/>
  <c r="AA37" i="1"/>
  <c r="AA22" i="1"/>
  <c r="AA60" i="1"/>
  <c r="AA21" i="1"/>
  <c r="AA20" i="1"/>
  <c r="AA63" i="1"/>
  <c r="AA39" i="1"/>
  <c r="AA27" i="1"/>
  <c r="AA23" i="1"/>
  <c r="AA17" i="1"/>
  <c r="AA64" i="1"/>
  <c r="AA44" i="1"/>
  <c r="AA32" i="1"/>
  <c r="AA2" i="1"/>
  <c r="AA3" i="1"/>
  <c r="AA10" i="1"/>
  <c r="AA11" i="1"/>
  <c r="AA19" i="1"/>
  <c r="AA24" i="1"/>
  <c r="AA28" i="1"/>
  <c r="AA34" i="1"/>
  <c r="AA41" i="1"/>
  <c r="AA47" i="1"/>
  <c r="AA53" i="1"/>
  <c r="AA57" i="1"/>
  <c r="AA171" i="1"/>
  <c r="AA172" i="1"/>
  <c r="AA65" i="1"/>
  <c r="AA67" i="1"/>
  <c r="AA68" i="1"/>
  <c r="AA69" i="1"/>
  <c r="AA70" i="1"/>
  <c r="AA71" i="1"/>
  <c r="AA72" i="1"/>
  <c r="AA73" i="1"/>
  <c r="AA74" i="1"/>
  <c r="AA75" i="1"/>
  <c r="AA76" i="1"/>
  <c r="AA77" i="1"/>
  <c r="AA78" i="1"/>
  <c r="AA79" i="1"/>
  <c r="AA80" i="1"/>
  <c r="AA189" i="1"/>
  <c r="AA81" i="1"/>
  <c r="AA82" i="1"/>
  <c r="AA83" i="1"/>
  <c r="AA190" i="1"/>
  <c r="AA84" i="1"/>
  <c r="AA90" i="1"/>
  <c r="AA191" i="1"/>
  <c r="AA192" i="1"/>
  <c r="AA91" i="1"/>
  <c r="AA92" i="1"/>
  <c r="AA93" i="1"/>
  <c r="AA94" i="1"/>
  <c r="AA95" i="1"/>
  <c r="AA96" i="1"/>
  <c r="AA97" i="1"/>
  <c r="AA98" i="1"/>
  <c r="AA5" i="1"/>
  <c r="AA101" i="1"/>
  <c r="AA102" i="1"/>
  <c r="AA196" i="1"/>
  <c r="AA103" i="1"/>
  <c r="AA106" i="1"/>
  <c r="AA107" i="1"/>
  <c r="AA108" i="1"/>
  <c r="AA111" i="1"/>
  <c r="AA197" i="1"/>
  <c r="AA112" i="1"/>
  <c r="AA198" i="1"/>
  <c r="AA113" i="1"/>
  <c r="AA114" i="1"/>
  <c r="AA199" i="1"/>
  <c r="AA115" i="1"/>
  <c r="AA116" i="1"/>
  <c r="AA117" i="1"/>
  <c r="AA200" i="1"/>
  <c r="AA118" i="1"/>
  <c r="AA119" i="1"/>
  <c r="AA120" i="1"/>
  <c r="AA121" i="1"/>
  <c r="AA201" i="1"/>
  <c r="AA202" i="1"/>
  <c r="AA122" i="1"/>
  <c r="AA123" i="1"/>
  <c r="AA203" i="1"/>
  <c r="AA124" i="1"/>
  <c r="AA204" i="1"/>
  <c r="AA205" i="1"/>
  <c r="AA125" i="1"/>
  <c r="AA126" i="1"/>
  <c r="AA128" i="1"/>
  <c r="AA129" i="1"/>
  <c r="AA209" i="1"/>
  <c r="AA210" i="1"/>
  <c r="AA130" i="1"/>
  <c r="AA211" i="1"/>
  <c r="AA134" i="1"/>
  <c r="AA135" i="1"/>
  <c r="AA136" i="1"/>
  <c r="AA137" i="1"/>
  <c r="AA212" i="1"/>
  <c r="AA213" i="1"/>
  <c r="AA214" i="1"/>
  <c r="AA215" i="1"/>
  <c r="AA216" i="1"/>
  <c r="AA217" i="1"/>
  <c r="AA140" i="1"/>
  <c r="AA141" i="1"/>
  <c r="AA142" i="1"/>
  <c r="AA218" i="1"/>
  <c r="AA219" i="1"/>
  <c r="AA221" i="1"/>
  <c r="AA222" i="1"/>
  <c r="AA223" i="1"/>
  <c r="AA143" i="1"/>
  <c r="AA224" i="1"/>
  <c r="AA144" i="1"/>
  <c r="AA225" i="1"/>
  <c r="AA226" i="1"/>
  <c r="AA160" i="1"/>
  <c r="AA161" i="1"/>
  <c r="AA227" i="1"/>
  <c r="AA228" i="1"/>
  <c r="AA229" i="1"/>
  <c r="AA230" i="1"/>
  <c r="AA231" i="1"/>
  <c r="AA162" i="1"/>
  <c r="AA232" i="1"/>
  <c r="AA233" i="1"/>
  <c r="AA165" i="1"/>
  <c r="AA234" i="1"/>
  <c r="AA235" i="1"/>
  <c r="AA236" i="1"/>
  <c r="AA237" i="1"/>
  <c r="AA238" i="1"/>
  <c r="AA241" i="1"/>
  <c r="AA242" i="1"/>
  <c r="AA166" i="1"/>
  <c r="AA243" i="1"/>
  <c r="AA244" i="1"/>
  <c r="AA167" i="1"/>
  <c r="AA245" i="1"/>
  <c r="AA246" i="1"/>
  <c r="AA247" i="1"/>
  <c r="AA248" i="1"/>
  <c r="AA249" i="1"/>
  <c r="AA168" i="1"/>
  <c r="AA250" i="1"/>
  <c r="AA251" i="1"/>
  <c r="AA169" i="1"/>
  <c r="AA252" i="1"/>
  <c r="AA170" i="1"/>
  <c r="AA253" i="1"/>
  <c r="AA254" i="1"/>
  <c r="AA255" i="1"/>
  <c r="AA256" i="1"/>
  <c r="AA173" i="1"/>
  <c r="AA257" i="1"/>
  <c r="AA258" i="1"/>
  <c r="AA174" i="1"/>
  <c r="AA259" i="1"/>
  <c r="AA260" i="1"/>
  <c r="AA261" i="1"/>
  <c r="AA262" i="1"/>
  <c r="AA263" i="1"/>
  <c r="AA264" i="1"/>
  <c r="AA265" i="1"/>
  <c r="AA175" i="1"/>
  <c r="AA266" i="1"/>
  <c r="AA176" i="1"/>
  <c r="AA267" i="1"/>
  <c r="AA268" i="1"/>
  <c r="AA269" i="1"/>
  <c r="AA270" i="1"/>
  <c r="AA271" i="1"/>
  <c r="AA272" i="1"/>
  <c r="AA273" i="1"/>
  <c r="AA274" i="1"/>
  <c r="AA275" i="1"/>
  <c r="AA276" i="1"/>
  <c r="AA277" i="1"/>
  <c r="AA177" i="1"/>
  <c r="AA278" i="1"/>
  <c r="AA279" i="1"/>
  <c r="AA280" i="1"/>
  <c r="AA281" i="1"/>
  <c r="AA282" i="1"/>
  <c r="AA283" i="1"/>
  <c r="AA284" i="1"/>
  <c r="AA178" i="1"/>
  <c r="AA285" i="1"/>
  <c r="AA286" i="1"/>
  <c r="AA287" i="1"/>
  <c r="AA288" i="1"/>
  <c r="AA289" i="1"/>
  <c r="AA290" i="1"/>
  <c r="AA291" i="1"/>
  <c r="AA292" i="1"/>
  <c r="AA293" i="1"/>
  <c r="AA294" i="1"/>
  <c r="AA295" i="1"/>
  <c r="AA179" i="1"/>
  <c r="AA296" i="1"/>
  <c r="AA52" i="1"/>
  <c r="AA297" i="1"/>
  <c r="AA298" i="1"/>
  <c r="AA299" i="1"/>
  <c r="AA300" i="1"/>
  <c r="AA301" i="1"/>
  <c r="AA302" i="1"/>
  <c r="AA303" i="1"/>
  <c r="AA304" i="1"/>
  <c r="AA305" i="1"/>
  <c r="AA306" i="1"/>
  <c r="AA180" i="1"/>
  <c r="AA307" i="1"/>
  <c r="AA308" i="1"/>
  <c r="AA181" i="1"/>
  <c r="AA309" i="1"/>
  <c r="AA182" i="1"/>
  <c r="AA310" i="1"/>
  <c r="AA311" i="1"/>
  <c r="AA312" i="1"/>
  <c r="AA313" i="1"/>
  <c r="AA314" i="1"/>
  <c r="AA183" i="1"/>
  <c r="AA315" i="1"/>
  <c r="AA316" i="1"/>
  <c r="AA317" i="1"/>
  <c r="AA184" i="1"/>
  <c r="AA185" i="1"/>
  <c r="AA318" i="1"/>
  <c r="AA319" i="1"/>
  <c r="AA320" i="1"/>
  <c r="AA321" i="1"/>
  <c r="AA322" i="1"/>
  <c r="AA186" i="1"/>
  <c r="AA323" i="1"/>
  <c r="AA324" i="1"/>
  <c r="AA187" i="1"/>
  <c r="AA325" i="1"/>
  <c r="AA326" i="1"/>
  <c r="AA327" i="1"/>
  <c r="AA328" i="1"/>
  <c r="AA329" i="1"/>
  <c r="AA330" i="1"/>
  <c r="AA331" i="1"/>
  <c r="AA332" i="1"/>
  <c r="AA188" i="1"/>
  <c r="AA333" i="1"/>
  <c r="AA334" i="1"/>
  <c r="AA50" i="1"/>
  <c r="AK51" i="1"/>
  <c r="AK55" i="1"/>
  <c r="AK14" i="1"/>
  <c r="AK54" i="1"/>
  <c r="AK58" i="1"/>
  <c r="AK43" i="1"/>
  <c r="AK38" i="1"/>
  <c r="AK8" i="1"/>
  <c r="AK7" i="1"/>
  <c r="AK56" i="1"/>
  <c r="AK49" i="1"/>
  <c r="AK59" i="1"/>
  <c r="AK16" i="1"/>
  <c r="AK36" i="1"/>
  <c r="AK9" i="1"/>
  <c r="AK6" i="1"/>
  <c r="AK18" i="1"/>
  <c r="AK12" i="1"/>
  <c r="AK26" i="1"/>
  <c r="AK42" i="1"/>
  <c r="AK45" i="1"/>
  <c r="AK46" i="1"/>
  <c r="AK61" i="1"/>
  <c r="AK48" i="1"/>
  <c r="AK4" i="1"/>
  <c r="AK62" i="1"/>
  <c r="AK30" i="1"/>
  <c r="AK31" i="1"/>
  <c r="AK33" i="1"/>
  <c r="AK35" i="1"/>
  <c r="AK40" i="1"/>
  <c r="AK13" i="1"/>
  <c r="AK29" i="1"/>
  <c r="AK25" i="1"/>
  <c r="AK37" i="1"/>
  <c r="AK22" i="1"/>
  <c r="AK60" i="1"/>
  <c r="AK21" i="1"/>
  <c r="AK20" i="1"/>
  <c r="AK63" i="1"/>
  <c r="AK39" i="1"/>
  <c r="AK27" i="1"/>
  <c r="AK23" i="1"/>
  <c r="AK17" i="1"/>
  <c r="AK64" i="1"/>
  <c r="AK44" i="1"/>
  <c r="AK32" i="1"/>
  <c r="AK2" i="1"/>
  <c r="AK3" i="1"/>
  <c r="AK10" i="1"/>
  <c r="AK11" i="1"/>
  <c r="AK19" i="1"/>
  <c r="AK24" i="1"/>
  <c r="AK28" i="1"/>
  <c r="AK34" i="1"/>
  <c r="AK41" i="1"/>
  <c r="AK47" i="1"/>
  <c r="AK53" i="1"/>
  <c r="AK57" i="1"/>
  <c r="AK171" i="1"/>
  <c r="AK172" i="1"/>
  <c r="AK65" i="1"/>
  <c r="AK67" i="1"/>
  <c r="AK68" i="1"/>
  <c r="AK69" i="1"/>
  <c r="AK70" i="1"/>
  <c r="AK71" i="1"/>
  <c r="AK72" i="1"/>
  <c r="AK73" i="1"/>
  <c r="AK74" i="1"/>
  <c r="AK75" i="1"/>
  <c r="AK76" i="1"/>
  <c r="AK77" i="1"/>
  <c r="AK78" i="1"/>
  <c r="AK79" i="1"/>
  <c r="AK80" i="1"/>
  <c r="AK189" i="1"/>
  <c r="AK81" i="1"/>
  <c r="AK82" i="1"/>
  <c r="AK83" i="1"/>
  <c r="AK190" i="1"/>
  <c r="AK84" i="1"/>
  <c r="AK90" i="1"/>
  <c r="AK191" i="1"/>
  <c r="AK192" i="1"/>
  <c r="AK91" i="1"/>
  <c r="AK92" i="1"/>
  <c r="AK93" i="1"/>
  <c r="AK94" i="1"/>
  <c r="AK95" i="1"/>
  <c r="AK96" i="1"/>
  <c r="AK97" i="1"/>
  <c r="AK98" i="1"/>
  <c r="AK5" i="1"/>
  <c r="AK101" i="1"/>
  <c r="AK196" i="1"/>
  <c r="AK103" i="1"/>
  <c r="AK106" i="1"/>
  <c r="AK107" i="1"/>
  <c r="AK108" i="1"/>
  <c r="AK111" i="1"/>
  <c r="AK197" i="1"/>
  <c r="AK112" i="1"/>
  <c r="AK198" i="1"/>
  <c r="AK113" i="1"/>
  <c r="AK114" i="1"/>
  <c r="AK199" i="1"/>
  <c r="AK115" i="1"/>
  <c r="AK116" i="1"/>
  <c r="AK117" i="1"/>
  <c r="AK200" i="1"/>
  <c r="AK118" i="1"/>
  <c r="AK119" i="1"/>
  <c r="AK120" i="1"/>
  <c r="AK121" i="1"/>
  <c r="AK201" i="1"/>
  <c r="AK202" i="1"/>
  <c r="AK122" i="1"/>
  <c r="AK123" i="1"/>
  <c r="AK203" i="1"/>
  <c r="AK124" i="1"/>
  <c r="AK204" i="1"/>
  <c r="AK205" i="1"/>
  <c r="AK125" i="1"/>
  <c r="AK126" i="1"/>
  <c r="AK128" i="1"/>
  <c r="AK129" i="1"/>
  <c r="AK209" i="1"/>
  <c r="AK210" i="1"/>
  <c r="AK130" i="1"/>
  <c r="AK211" i="1"/>
  <c r="AK134" i="1"/>
  <c r="AK135" i="1"/>
  <c r="AK136" i="1"/>
  <c r="AK137" i="1"/>
  <c r="AK212" i="1"/>
  <c r="AK213" i="1"/>
  <c r="AK214" i="1"/>
  <c r="AK215" i="1"/>
  <c r="AK216" i="1"/>
  <c r="AK217" i="1"/>
  <c r="AK140" i="1"/>
  <c r="AK141" i="1"/>
  <c r="AK142" i="1"/>
  <c r="AK218" i="1"/>
  <c r="AK219" i="1"/>
  <c r="AK221" i="1"/>
  <c r="AK222" i="1"/>
  <c r="AK223" i="1"/>
  <c r="AK143" i="1"/>
  <c r="AK224" i="1"/>
  <c r="AK144" i="1"/>
  <c r="AK225" i="1"/>
  <c r="AK226" i="1"/>
  <c r="AK160" i="1"/>
  <c r="AK161" i="1"/>
  <c r="AK227" i="1"/>
  <c r="AK228" i="1"/>
  <c r="AK229" i="1"/>
  <c r="AK230" i="1"/>
  <c r="AK231" i="1"/>
  <c r="AK162" i="1"/>
  <c r="AK232" i="1"/>
  <c r="AK233" i="1"/>
  <c r="AK165" i="1"/>
  <c r="AK234" i="1"/>
  <c r="AK235" i="1"/>
  <c r="AK236" i="1"/>
  <c r="AK237" i="1"/>
  <c r="AK238" i="1"/>
  <c r="AK241" i="1"/>
  <c r="AK242" i="1"/>
  <c r="AK166" i="1"/>
  <c r="AK243" i="1"/>
  <c r="AK244" i="1"/>
  <c r="AK167" i="1"/>
  <c r="AK245" i="1"/>
  <c r="AK246" i="1"/>
  <c r="AK247" i="1"/>
  <c r="AK248" i="1"/>
  <c r="AK249" i="1"/>
  <c r="AK168" i="1"/>
  <c r="AK250" i="1"/>
  <c r="AK251" i="1"/>
  <c r="AK169" i="1"/>
  <c r="AK252" i="1"/>
  <c r="AK170" i="1"/>
  <c r="AK253" i="1"/>
  <c r="AK254" i="1"/>
  <c r="AK255" i="1"/>
  <c r="AK256" i="1"/>
  <c r="AK173" i="1"/>
  <c r="AK257" i="1"/>
  <c r="AK258" i="1"/>
  <c r="AK174" i="1"/>
  <c r="AK259" i="1"/>
  <c r="AK260" i="1"/>
  <c r="AK261" i="1"/>
  <c r="AK262" i="1"/>
  <c r="AK263" i="1"/>
  <c r="AK264" i="1"/>
  <c r="AK265" i="1"/>
  <c r="AK175" i="1"/>
  <c r="AK266" i="1"/>
  <c r="AK176" i="1"/>
  <c r="AK267" i="1"/>
  <c r="AK268" i="1"/>
  <c r="AK269" i="1"/>
  <c r="AK270" i="1"/>
  <c r="AK271" i="1"/>
  <c r="AK272" i="1"/>
  <c r="AK273" i="1"/>
  <c r="AK274" i="1"/>
  <c r="AK275" i="1"/>
  <c r="AK276" i="1"/>
  <c r="AK277" i="1"/>
  <c r="AK177" i="1"/>
  <c r="AK278" i="1"/>
  <c r="AK279" i="1"/>
  <c r="AK280" i="1"/>
  <c r="AK281" i="1"/>
  <c r="AK282" i="1"/>
  <c r="AK283" i="1"/>
  <c r="AK284" i="1"/>
  <c r="AK178" i="1"/>
  <c r="AK285" i="1"/>
  <c r="AK286" i="1"/>
  <c r="AK287" i="1"/>
  <c r="AK288" i="1"/>
  <c r="AK289" i="1"/>
  <c r="AK290" i="1"/>
  <c r="AK291" i="1"/>
  <c r="AK292" i="1"/>
  <c r="AK293" i="1"/>
  <c r="AK294" i="1"/>
  <c r="AK295" i="1"/>
  <c r="AK179" i="1"/>
  <c r="AK296" i="1"/>
  <c r="AK52" i="1"/>
  <c r="AK297" i="1"/>
  <c r="AK298" i="1"/>
  <c r="AK299" i="1"/>
  <c r="AK300" i="1"/>
  <c r="AK301" i="1"/>
  <c r="AK302" i="1"/>
  <c r="AK303" i="1"/>
  <c r="AK304" i="1"/>
  <c r="AK305" i="1"/>
  <c r="AK306" i="1"/>
  <c r="AK180" i="1"/>
  <c r="AK307" i="1"/>
  <c r="AK308" i="1"/>
  <c r="AK181" i="1"/>
  <c r="AK309" i="1"/>
  <c r="AK182" i="1"/>
  <c r="AK310" i="1"/>
  <c r="AK311" i="1"/>
  <c r="AK312" i="1"/>
  <c r="AK313" i="1"/>
  <c r="AK314" i="1"/>
  <c r="AK183" i="1"/>
  <c r="AK315" i="1"/>
  <c r="AK316" i="1"/>
  <c r="AK317" i="1"/>
  <c r="AK184" i="1"/>
  <c r="AK185" i="1"/>
  <c r="AK318" i="1"/>
  <c r="AK319" i="1"/>
  <c r="AK320" i="1"/>
  <c r="AK321" i="1"/>
  <c r="AK322" i="1"/>
  <c r="AK186" i="1"/>
  <c r="AK323" i="1"/>
  <c r="AK324" i="1"/>
  <c r="AK187" i="1"/>
  <c r="AK325" i="1"/>
  <c r="AK326" i="1"/>
  <c r="AK327" i="1"/>
  <c r="AK328" i="1"/>
  <c r="AK329" i="1"/>
  <c r="AK330" i="1"/>
  <c r="AK331" i="1"/>
  <c r="AK332" i="1"/>
  <c r="AK188" i="1"/>
  <c r="AK333" i="1"/>
  <c r="AK334" i="1"/>
  <c r="AK50" i="1"/>
  <c r="Z9" i="4"/>
  <c r="AC9" i="4" s="1"/>
  <c r="Z5" i="4"/>
  <c r="AC5" i="4" s="1"/>
  <c r="R4" i="4"/>
  <c r="Y4" i="4" s="1"/>
  <c r="AC4" i="4" s="1"/>
  <c r="I356" i="2"/>
  <c r="I341" i="2"/>
  <c r="J339" i="2"/>
  <c r="I327" i="2"/>
  <c r="D193" i="2"/>
  <c r="D192" i="2"/>
  <c r="F167" i="2"/>
  <c r="H166" i="2"/>
  <c r="D194" i="2" s="1"/>
  <c r="G166" i="2"/>
  <c r="F163" i="2"/>
  <c r="H163" i="2" s="1"/>
  <c r="D191" i="2" s="1"/>
  <c r="F162" i="2"/>
  <c r="G162" i="2" s="1"/>
  <c r="F161" i="2"/>
  <c r="H161" i="2" s="1"/>
  <c r="F160" i="2"/>
  <c r="H160" i="2" s="1"/>
  <c r="F159" i="2"/>
  <c r="H159" i="2" s="1"/>
  <c r="F158" i="2"/>
  <c r="I149" i="2"/>
  <c r="M149" i="2" s="1"/>
  <c r="I148" i="2"/>
  <c r="I147" i="2"/>
  <c r="M147" i="2" s="1"/>
  <c r="I146" i="2"/>
  <c r="M146" i="2" s="1"/>
  <c r="I145" i="2"/>
  <c r="M145" i="2" s="1"/>
  <c r="I144" i="2"/>
  <c r="M144" i="2" s="1"/>
  <c r="I143" i="2"/>
  <c r="H99" i="2"/>
  <c r="G99" i="2" s="1"/>
  <c r="H98" i="2"/>
  <c r="E98" i="2" s="1"/>
  <c r="H97" i="2"/>
  <c r="G97" i="2" s="1"/>
  <c r="H96" i="2"/>
  <c r="G96" i="2" s="1"/>
  <c r="H95" i="2"/>
  <c r="H94" i="2"/>
  <c r="G94" i="2" s="1"/>
  <c r="G93" i="2"/>
  <c r="E93" i="2"/>
  <c r="H92" i="2"/>
  <c r="H91" i="2"/>
  <c r="G91" i="2" s="1"/>
  <c r="H90" i="2"/>
  <c r="G90" i="2" s="1"/>
  <c r="H89" i="2"/>
  <c r="G89" i="2" s="1"/>
  <c r="H88" i="2"/>
  <c r="E88" i="2" s="1"/>
  <c r="H87" i="2"/>
  <c r="E87" i="2" s="1"/>
  <c r="H86" i="2"/>
  <c r="E86" i="2" s="1"/>
  <c r="H85" i="2"/>
  <c r="E85" i="2" s="1"/>
  <c r="H84" i="2"/>
  <c r="H83" i="2"/>
  <c r="E83" i="2" s="1"/>
  <c r="G82" i="2"/>
  <c r="E82" i="2"/>
  <c r="AG9" i="4" l="1"/>
  <c r="AF9" i="4"/>
  <c r="AO9" i="4" s="1"/>
  <c r="H41" i="2" s="1"/>
  <c r="Q41" i="2" s="1"/>
  <c r="E96" i="2"/>
  <c r="H167" i="2"/>
  <c r="D195" i="2" s="1"/>
  <c r="G167" i="2"/>
  <c r="K143" i="2"/>
  <c r="G83" i="2"/>
  <c r="G86" i="2"/>
  <c r="E99" i="2"/>
  <c r="K144" i="2"/>
  <c r="K146" i="2"/>
  <c r="E97" i="2"/>
  <c r="AT13" i="1"/>
  <c r="AV13" i="1" s="1"/>
  <c r="AT48" i="1"/>
  <c r="AV48" i="1" s="1"/>
  <c r="AT6" i="1"/>
  <c r="AV6" i="1" s="1"/>
  <c r="AT226" i="1"/>
  <c r="AT76" i="1"/>
  <c r="AT56" i="1"/>
  <c r="AV56" i="1" s="1"/>
  <c r="AT312" i="1"/>
  <c r="AT307" i="1"/>
  <c r="AT297" i="1"/>
  <c r="AT292" i="1"/>
  <c r="AT178" i="1"/>
  <c r="AT273" i="1"/>
  <c r="AT267" i="1"/>
  <c r="AT262" i="1"/>
  <c r="AT257" i="1"/>
  <c r="AT167" i="1"/>
  <c r="AT162" i="1"/>
  <c r="AT227" i="1"/>
  <c r="AT143" i="1"/>
  <c r="AT218" i="1"/>
  <c r="AT136" i="1"/>
  <c r="AT129" i="1"/>
  <c r="AT205" i="1"/>
  <c r="AT121" i="1"/>
  <c r="AT199" i="1"/>
  <c r="AT197" i="1"/>
  <c r="AT196" i="1"/>
  <c r="AT90" i="1"/>
  <c r="AT73" i="1"/>
  <c r="AT172" i="1"/>
  <c r="AT47" i="1"/>
  <c r="AV47" i="1" s="1"/>
  <c r="AT10" i="1"/>
  <c r="AV10" i="1" s="1"/>
  <c r="AT44" i="1"/>
  <c r="AV44" i="1" s="1"/>
  <c r="AT234" i="1"/>
  <c r="AT184" i="1"/>
  <c r="AT42" i="1"/>
  <c r="AV42" i="1" s="1"/>
  <c r="AT322" i="1"/>
  <c r="AT328" i="1"/>
  <c r="AT98" i="1"/>
  <c r="AT93" i="1"/>
  <c r="AT192" i="1"/>
  <c r="AT28" i="1"/>
  <c r="AV28" i="1" s="1"/>
  <c r="AT4" i="1"/>
  <c r="AV4" i="1" s="1"/>
  <c r="AT18" i="1"/>
  <c r="AV18" i="1" s="1"/>
  <c r="AT222" i="1"/>
  <c r="AT75" i="1"/>
  <c r="AT26" i="1"/>
  <c r="AV26" i="1" s="1"/>
  <c r="AT49" i="1"/>
  <c r="AV49" i="1" s="1"/>
  <c r="AT54" i="1"/>
  <c r="AV54" i="1" s="1"/>
  <c r="AT33" i="1"/>
  <c r="AV33" i="1" s="1"/>
  <c r="AT282" i="1"/>
  <c r="AT201" i="1"/>
  <c r="AT102" i="1"/>
  <c r="AT25" i="1"/>
  <c r="AV25" i="1" s="1"/>
  <c r="AT327" i="1"/>
  <c r="AT311" i="1"/>
  <c r="AT180" i="1"/>
  <c r="AT302" i="1"/>
  <c r="AT52" i="1"/>
  <c r="AV52" i="1" s="1"/>
  <c r="AT291" i="1"/>
  <c r="AT284" i="1"/>
  <c r="AT278" i="1"/>
  <c r="AT261" i="1"/>
  <c r="AT173" i="1"/>
  <c r="AT170" i="1"/>
  <c r="AT244" i="1"/>
  <c r="AT238" i="1"/>
  <c r="AT161" i="1"/>
  <c r="AT142" i="1"/>
  <c r="AT215" i="1"/>
  <c r="AT202" i="1"/>
  <c r="AT120" i="1"/>
  <c r="AT97" i="1"/>
  <c r="AT92" i="1"/>
  <c r="AT82" i="1"/>
  <c r="AT72" i="1"/>
  <c r="AT68" i="1"/>
  <c r="AT171" i="1"/>
  <c r="AT3" i="1"/>
  <c r="AV3" i="1" s="1"/>
  <c r="AT39" i="1"/>
  <c r="AV39" i="1" s="1"/>
  <c r="AT40" i="1"/>
  <c r="AV40" i="1" s="1"/>
  <c r="AT321" i="1"/>
  <c r="AT277" i="1"/>
  <c r="AT271" i="1"/>
  <c r="AT176" i="1"/>
  <c r="AT259" i="1"/>
  <c r="AT255" i="1"/>
  <c r="AT169" i="1"/>
  <c r="AT248" i="1"/>
  <c r="AT243" i="1"/>
  <c r="AT223" i="1"/>
  <c r="AT140" i="1"/>
  <c r="AT130" i="1"/>
  <c r="AT128" i="1"/>
  <c r="AT124" i="1"/>
  <c r="AT118" i="1"/>
  <c r="AT107" i="1"/>
  <c r="AT91" i="1"/>
  <c r="AT84" i="1"/>
  <c r="AT189" i="1"/>
  <c r="AT70" i="1"/>
  <c r="AT67" i="1"/>
  <c r="AT34" i="1"/>
  <c r="AV34" i="1" s="1"/>
  <c r="AT17" i="1"/>
  <c r="AV17" i="1" s="1"/>
  <c r="AT20" i="1"/>
  <c r="AV20" i="1" s="1"/>
  <c r="AT16" i="1"/>
  <c r="AV16" i="1" s="1"/>
  <c r="AT43" i="1"/>
  <c r="AV43" i="1" s="1"/>
  <c r="AT36" i="1"/>
  <c r="AV36" i="1" s="1"/>
  <c r="AT38" i="1"/>
  <c r="AV38" i="1" s="1"/>
  <c r="AT332" i="1"/>
  <c r="AT198" i="1"/>
  <c r="AT80" i="1"/>
  <c r="AT31" i="1"/>
  <c r="AV31" i="1" s="1"/>
  <c r="AT177" i="1"/>
  <c r="AT81" i="1"/>
  <c r="AT63" i="1"/>
  <c r="AV63" i="1" s="1"/>
  <c r="AT61" i="1"/>
  <c r="AV61" i="1" s="1"/>
  <c r="AT320" i="1"/>
  <c r="AT135" i="1"/>
  <c r="AT188" i="1"/>
  <c r="AT325" i="1"/>
  <c r="AT319" i="1"/>
  <c r="AT316" i="1"/>
  <c r="AT305" i="1"/>
  <c r="AT300" i="1"/>
  <c r="AT179" i="1"/>
  <c r="AT289" i="1"/>
  <c r="AT315" i="1"/>
  <c r="AT247" i="1"/>
  <c r="AT166" i="1"/>
  <c r="AT231" i="1"/>
  <c r="AT214" i="1"/>
  <c r="AT210" i="1"/>
  <c r="AT200" i="1"/>
  <c r="AT116" i="1"/>
  <c r="AT114" i="1"/>
  <c r="AT96" i="1"/>
  <c r="AT23" i="1"/>
  <c r="AV23" i="1" s="1"/>
  <c r="AT266" i="1"/>
  <c r="AT265" i="1"/>
  <c r="AT318" i="1"/>
  <c r="AT111" i="1"/>
  <c r="AT323" i="1"/>
  <c r="AT185" i="1"/>
  <c r="AT181" i="1"/>
  <c r="AT298" i="1"/>
  <c r="AT286" i="1"/>
  <c r="AT174" i="1"/>
  <c r="AT235" i="1"/>
  <c r="AT229" i="1"/>
  <c r="AT219" i="1"/>
  <c r="AT212" i="1"/>
  <c r="AT126" i="1"/>
  <c r="AT191" i="1"/>
  <c r="AT46" i="1"/>
  <c r="AV46" i="1" s="1"/>
  <c r="AT8" i="1"/>
  <c r="AV8" i="1" s="1"/>
  <c r="AT51" i="1"/>
  <c r="AV51" i="1" s="1"/>
  <c r="AT313" i="1"/>
  <c r="AT268" i="1"/>
  <c r="AT232" i="1"/>
  <c r="AT216" i="1"/>
  <c r="AT125" i="1"/>
  <c r="AT103" i="1"/>
  <c r="AT83" i="1"/>
  <c r="AT65" i="1"/>
  <c r="AT22" i="1"/>
  <c r="AV22" i="1" s="1"/>
  <c r="AT45" i="1"/>
  <c r="AV45" i="1" s="1"/>
  <c r="AT9" i="1"/>
  <c r="AV9" i="1" s="1"/>
  <c r="AT187" i="1"/>
  <c r="AT304" i="1"/>
  <c r="AT288" i="1"/>
  <c r="AT276" i="1"/>
  <c r="AT254" i="1"/>
  <c r="AT251" i="1"/>
  <c r="AT182" i="1"/>
  <c r="AT295" i="1"/>
  <c r="AT281" i="1"/>
  <c r="AT270" i="1"/>
  <c r="AT236" i="1"/>
  <c r="AT50" i="1"/>
  <c r="AV50" i="1" s="1"/>
  <c r="AT331" i="1"/>
  <c r="AT324" i="1"/>
  <c r="AT309" i="1"/>
  <c r="AT303" i="1"/>
  <c r="AT299" i="1"/>
  <c r="AT287" i="1"/>
  <c r="AT275" i="1"/>
  <c r="AT269" i="1"/>
  <c r="AT264" i="1"/>
  <c r="AT253" i="1"/>
  <c r="AT250" i="1"/>
  <c r="AT246" i="1"/>
  <c r="AT242" i="1"/>
  <c r="AT230" i="1"/>
  <c r="AT225" i="1"/>
  <c r="AT221" i="1"/>
  <c r="AT213" i="1"/>
  <c r="AT209" i="1"/>
  <c r="AT203" i="1"/>
  <c r="AT117" i="1"/>
  <c r="AT115" i="1"/>
  <c r="AT113" i="1"/>
  <c r="AT112" i="1"/>
  <c r="AT101" i="1"/>
  <c r="AT95" i="1"/>
  <c r="AT32" i="1"/>
  <c r="AV32" i="1" s="1"/>
  <c r="AT27" i="1"/>
  <c r="AV27" i="1" s="1"/>
  <c r="AT29" i="1"/>
  <c r="AV29" i="1" s="1"/>
  <c r="AT30" i="1"/>
  <c r="AV30" i="1" s="1"/>
  <c r="AT7" i="1"/>
  <c r="AV7" i="1" s="1"/>
  <c r="AT14" i="1"/>
  <c r="AV14" i="1" s="1"/>
  <c r="AT329" i="1"/>
  <c r="AT186" i="1"/>
  <c r="AT308" i="1"/>
  <c r="AT285" i="1"/>
  <c r="AT279" i="1"/>
  <c r="AT274" i="1"/>
  <c r="AT263" i="1"/>
  <c r="AT258" i="1"/>
  <c r="AT249" i="1"/>
  <c r="AT245" i="1"/>
  <c r="AT228" i="1"/>
  <c r="AT224" i="1"/>
  <c r="AT137" i="1"/>
  <c r="AT134" i="1"/>
  <c r="AT122" i="1"/>
  <c r="AT5" i="1"/>
  <c r="AV5" i="1" s="1"/>
  <c r="AT94" i="1"/>
  <c r="AT78" i="1"/>
  <c r="AT69" i="1"/>
  <c r="AT53" i="1"/>
  <c r="AV53" i="1" s="1"/>
  <c r="AT11" i="1"/>
  <c r="AV11" i="1" s="1"/>
  <c r="AT62" i="1"/>
  <c r="AV62" i="1" s="1"/>
  <c r="AT55" i="1"/>
  <c r="AV55" i="1" s="1"/>
  <c r="AT183" i="1"/>
  <c r="AT294" i="1"/>
  <c r="AT233" i="1"/>
  <c r="AT106" i="1"/>
  <c r="AT190" i="1"/>
  <c r="AT74" i="1"/>
  <c r="AT24" i="1"/>
  <c r="AV24" i="1" s="1"/>
  <c r="AT21" i="1"/>
  <c r="AV21" i="1" s="1"/>
  <c r="AT334" i="1"/>
  <c r="AT330" i="1"/>
  <c r="AT314" i="1"/>
  <c r="AT293" i="1"/>
  <c r="AT280" i="1"/>
  <c r="AT168" i="1"/>
  <c r="AT241" i="1"/>
  <c r="AT144" i="1"/>
  <c r="AT217" i="1"/>
  <c r="AT123" i="1"/>
  <c r="AT79" i="1"/>
  <c r="AT57" i="1"/>
  <c r="AV57" i="1" s="1"/>
  <c r="AT19" i="1"/>
  <c r="AV19" i="1" s="1"/>
  <c r="AT60" i="1"/>
  <c r="AV60" i="1" s="1"/>
  <c r="AT333" i="1"/>
  <c r="AT306" i="1"/>
  <c r="AT296" i="1"/>
  <c r="AT283" i="1"/>
  <c r="AT175" i="1"/>
  <c r="AT256" i="1"/>
  <c r="AT237" i="1"/>
  <c r="AT160" i="1"/>
  <c r="AT141" i="1"/>
  <c r="AT71" i="1"/>
  <c r="AT12" i="1"/>
  <c r="AT326" i="1"/>
  <c r="AT310" i="1"/>
  <c r="AT301" i="1"/>
  <c r="AT290" i="1"/>
  <c r="AT272" i="1"/>
  <c r="AT260" i="1"/>
  <c r="AT252" i="1"/>
  <c r="AT165" i="1"/>
  <c r="AT211" i="1"/>
  <c r="AT204" i="1"/>
  <c r="AT119" i="1"/>
  <c r="AT108" i="1"/>
  <c r="AT77" i="1"/>
  <c r="AT41" i="1"/>
  <c r="AV41" i="1" s="1"/>
  <c r="AT2" i="1"/>
  <c r="AV2" i="1" s="1"/>
  <c r="AT64" i="1"/>
  <c r="AV64" i="1" s="1"/>
  <c r="AT37" i="1"/>
  <c r="AV37" i="1" s="1"/>
  <c r="AT35" i="1"/>
  <c r="AV35" i="1" s="1"/>
  <c r="AT59" i="1"/>
  <c r="AV59" i="1" s="1"/>
  <c r="AT58" i="1"/>
  <c r="AV58" i="1" s="1"/>
  <c r="AT317" i="1"/>
  <c r="H162" i="2"/>
  <c r="G85" i="2"/>
  <c r="E91" i="2"/>
  <c r="G159" i="2"/>
  <c r="G88" i="2"/>
  <c r="M143" i="2"/>
  <c r="K147" i="2"/>
  <c r="E90" i="2"/>
  <c r="E94" i="2"/>
  <c r="K149" i="2"/>
  <c r="G95" i="2"/>
  <c r="E95" i="2"/>
  <c r="H158" i="2"/>
  <c r="G158" i="2"/>
  <c r="G92" i="2"/>
  <c r="E92" i="2"/>
  <c r="G163" i="2"/>
  <c r="M148" i="2"/>
  <c r="K148" i="2"/>
  <c r="G160" i="2"/>
  <c r="G87" i="2"/>
  <c r="K145" i="2"/>
  <c r="G84" i="2"/>
  <c r="E84" i="2"/>
  <c r="G98" i="2"/>
  <c r="E89" i="2"/>
  <c r="G161" i="2"/>
  <c r="F396" i="2"/>
  <c r="F288" i="2"/>
  <c r="H269" i="2"/>
  <c r="H244" i="2"/>
  <c r="G413" i="2"/>
  <c r="G395" i="2"/>
  <c r="G414" i="2"/>
  <c r="H271" i="2"/>
  <c r="H354" i="2"/>
  <c r="F307" i="2"/>
  <c r="J398" i="2"/>
  <c r="G231" i="2"/>
  <c r="F306" i="2"/>
  <c r="H221" i="2"/>
  <c r="G399" i="2"/>
  <c r="F289" i="2"/>
  <c r="G267" i="2"/>
  <c r="H232" i="2"/>
  <c r="H305" i="2"/>
  <c r="G222" i="2"/>
  <c r="G245" i="2"/>
  <c r="H283" i="2"/>
  <c r="H38" i="2"/>
  <c r="H290" i="2"/>
  <c r="G225" i="2"/>
  <c r="F217" i="2"/>
  <c r="G306" i="2"/>
  <c r="H284" i="2"/>
  <c r="E354" i="2"/>
  <c r="G260" i="2"/>
  <c r="G228" i="2"/>
  <c r="F285" i="2"/>
  <c r="K212" i="2"/>
  <c r="H227" i="2"/>
  <c r="F231" i="2"/>
  <c r="H302" i="2"/>
  <c r="G288" i="2"/>
  <c r="H248" i="2"/>
  <c r="F300" i="2"/>
  <c r="G254" i="2"/>
  <c r="F257" i="2"/>
  <c r="G300" i="2"/>
  <c r="F245" i="2"/>
  <c r="F335" i="2"/>
  <c r="F394" i="2"/>
  <c r="F415" i="2"/>
  <c r="F412" i="2"/>
  <c r="G271" i="2"/>
  <c r="F283" i="2"/>
  <c r="Q40" i="2"/>
  <c r="G229" i="2"/>
  <c r="F229" i="2"/>
  <c r="H394" i="2"/>
  <c r="H228" i="2"/>
  <c r="F233" i="2"/>
  <c r="G268" i="2"/>
  <c r="G116" i="2"/>
  <c r="G221" i="2"/>
  <c r="J410" i="2"/>
  <c r="F249" i="2"/>
  <c r="G411" i="2"/>
  <c r="F319" i="2"/>
  <c r="G396" i="2"/>
  <c r="G117" i="2"/>
  <c r="G285" i="2"/>
  <c r="G354" i="2"/>
  <c r="G233" i="2"/>
  <c r="H255" i="2"/>
  <c r="F416" i="2"/>
  <c r="J413" i="2"/>
  <c r="F248" i="2"/>
  <c r="H398" i="2"/>
  <c r="E319" i="2"/>
  <c r="G220" i="2"/>
  <c r="G418" i="2"/>
  <c r="F302" i="2"/>
  <c r="H218" i="2"/>
  <c r="G303" i="2"/>
  <c r="G301" i="2"/>
  <c r="F418" i="2"/>
  <c r="I399" i="2"/>
  <c r="F304" i="2"/>
  <c r="F411" i="2"/>
  <c r="H303" i="2"/>
  <c r="F226" i="2"/>
  <c r="G417" i="2"/>
  <c r="F270" i="2"/>
  <c r="G415" i="2"/>
  <c r="G307" i="2"/>
  <c r="G302" i="2"/>
  <c r="Q37" i="2"/>
  <c r="F219" i="2"/>
  <c r="J399" i="2"/>
  <c r="H222" i="2"/>
  <c r="G224" i="2"/>
  <c r="I416" i="2"/>
  <c r="I412" i="2"/>
  <c r="H234" i="2"/>
  <c r="H267" i="2"/>
  <c r="F367" i="2"/>
  <c r="G219" i="2"/>
  <c r="G291" i="2"/>
  <c r="H417" i="2"/>
  <c r="H412" i="2"/>
  <c r="H260" i="2"/>
  <c r="H270" i="2"/>
  <c r="F417" i="2"/>
  <c r="I398" i="2"/>
  <c r="E335" i="2"/>
  <c r="G412" i="2"/>
  <c r="G398" i="2"/>
  <c r="F269" i="2"/>
  <c r="H245" i="2"/>
  <c r="I415" i="2"/>
  <c r="H289" i="2"/>
  <c r="K211" i="2"/>
  <c r="H287" i="2"/>
  <c r="E337" i="2"/>
  <c r="H413" i="2"/>
  <c r="J416" i="2"/>
  <c r="H247" i="2"/>
  <c r="G290" i="2"/>
  <c r="H230" i="2"/>
  <c r="G217" i="2"/>
  <c r="F234" i="2"/>
  <c r="G304" i="2"/>
  <c r="G269" i="2"/>
  <c r="F268" i="2"/>
  <c r="F299" i="2"/>
  <c r="G255" i="2"/>
  <c r="G234" i="2"/>
  <c r="K207" i="2"/>
  <c r="J394" i="2"/>
  <c r="G251" i="2"/>
  <c r="J412" i="2"/>
  <c r="J417" i="2"/>
  <c r="F254" i="2"/>
  <c r="F286" i="2"/>
  <c r="H397" i="2"/>
  <c r="Q36" i="2"/>
  <c r="F250" i="2"/>
  <c r="G250" i="2"/>
  <c r="F253" i="2"/>
  <c r="F230" i="2"/>
  <c r="H299" i="2"/>
  <c r="D169" i="2"/>
  <c r="G249" i="2"/>
  <c r="F252" i="2"/>
  <c r="H246" i="2"/>
  <c r="F284" i="2"/>
  <c r="J397" i="2"/>
  <c r="F397" i="2"/>
  <c r="F224" i="2"/>
  <c r="G368" i="2"/>
  <c r="G394" i="2"/>
  <c r="H399" i="2"/>
  <c r="H223" i="2"/>
  <c r="G243" i="2"/>
  <c r="J415" i="2"/>
  <c r="G114" i="2"/>
  <c r="G367" i="2"/>
  <c r="H411" i="2"/>
  <c r="F218" i="2"/>
  <c r="G247" i="2"/>
  <c r="H231" i="2"/>
  <c r="H249" i="2"/>
  <c r="F225" i="2"/>
  <c r="F223" i="2"/>
  <c r="H416" i="2"/>
  <c r="F287" i="2"/>
  <c r="H285" i="2"/>
  <c r="H258" i="2"/>
  <c r="F220" i="2"/>
  <c r="G335" i="2"/>
  <c r="G416" i="2"/>
  <c r="F395" i="2"/>
  <c r="G299" i="2"/>
  <c r="G256" i="2"/>
  <c r="H226" i="2"/>
  <c r="F244" i="2"/>
  <c r="F271" i="2"/>
  <c r="H319" i="2"/>
  <c r="G227" i="2"/>
  <c r="G253" i="2"/>
  <c r="H291" i="2"/>
  <c r="G284" i="2"/>
  <c r="G244" i="2"/>
  <c r="H306" i="2"/>
  <c r="G287" i="2"/>
  <c r="H301" i="2"/>
  <c r="G305" i="2"/>
  <c r="F398" i="2"/>
  <c r="H300" i="2"/>
  <c r="H396" i="2"/>
  <c r="H304" i="2"/>
  <c r="F333" i="2"/>
  <c r="F256" i="2"/>
  <c r="F337" i="2"/>
  <c r="G272" i="2"/>
  <c r="G223" i="2"/>
  <c r="F227" i="2"/>
  <c r="H288" i="2"/>
  <c r="G319" i="2"/>
  <c r="H268" i="2"/>
  <c r="G252" i="2"/>
  <c r="I394" i="2"/>
  <c r="F414" i="2"/>
  <c r="F303" i="2"/>
  <c r="F251" i="2"/>
  <c r="I410" i="2"/>
  <c r="H225" i="2"/>
  <c r="G246" i="2"/>
  <c r="G218" i="2"/>
  <c r="F399" i="2"/>
  <c r="H243" i="2"/>
  <c r="H250" i="2"/>
  <c r="G410" i="2"/>
  <c r="Q38" i="2"/>
  <c r="H415" i="2"/>
  <c r="F247" i="2"/>
  <c r="F290" i="2"/>
  <c r="F258" i="2"/>
  <c r="G397" i="2"/>
  <c r="G270" i="2"/>
  <c r="E333" i="2"/>
  <c r="I414" i="2"/>
  <c r="J418" i="2"/>
  <c r="G286" i="2"/>
  <c r="G333" i="2"/>
  <c r="Q39" i="2"/>
  <c r="H219" i="2"/>
  <c r="F255" i="2"/>
  <c r="H418" i="2"/>
  <c r="F291" i="2"/>
  <c r="J414" i="2"/>
  <c r="H257" i="2"/>
  <c r="H307" i="2"/>
  <c r="G258" i="2"/>
  <c r="I397" i="2"/>
  <c r="H256" i="2"/>
  <c r="F410" i="2"/>
  <c r="F272" i="2"/>
  <c r="I396" i="2"/>
  <c r="H337" i="2"/>
  <c r="F221" i="2"/>
  <c r="F301" i="2"/>
  <c r="I367" i="2"/>
  <c r="H229" i="2"/>
  <c r="G283" i="2"/>
  <c r="I417" i="2"/>
  <c r="G257" i="2"/>
  <c r="F260" i="2"/>
  <c r="H39" i="2"/>
  <c r="F413" i="2"/>
  <c r="F222" i="2"/>
  <c r="H254" i="2"/>
  <c r="G226" i="2"/>
  <c r="H217" i="2"/>
  <c r="H220" i="2"/>
  <c r="H272" i="2"/>
  <c r="H40" i="2"/>
  <c r="F232" i="2"/>
  <c r="H251" i="2"/>
  <c r="F228" i="2"/>
  <c r="H224" i="2"/>
  <c r="F354" i="2"/>
  <c r="G230" i="2"/>
  <c r="F305" i="2"/>
  <c r="F267" i="2"/>
  <c r="H253" i="2"/>
  <c r="H414" i="2"/>
  <c r="H252" i="2"/>
  <c r="G248" i="2"/>
  <c r="G115" i="2"/>
  <c r="J396" i="2"/>
  <c r="F243" i="2"/>
  <c r="G232" i="2"/>
  <c r="I418" i="2"/>
  <c r="F246" i="2"/>
  <c r="H395" i="2"/>
  <c r="G337" i="2"/>
  <c r="G289" i="2"/>
  <c r="H43" i="2" l="1"/>
  <c r="AV12" i="1"/>
  <c r="BM300" i="1"/>
  <c r="BN300" i="1"/>
  <c r="BN328" i="1"/>
  <c r="BM328" i="1"/>
  <c r="BM225" i="1"/>
  <c r="BN225" i="1"/>
  <c r="BN330" i="1"/>
  <c r="BM330" i="1"/>
  <c r="BM255" i="1"/>
  <c r="BN255" i="1"/>
  <c r="BM256" i="1"/>
  <c r="BN256" i="1"/>
  <c r="BM203" i="1"/>
  <c r="BN203" i="1"/>
  <c r="BM309" i="1"/>
  <c r="BN309" i="1"/>
  <c r="BM179" i="1"/>
  <c r="BN179" i="1"/>
  <c r="BN141" i="1"/>
  <c r="BM141" i="1"/>
  <c r="BN177" i="1"/>
  <c r="BM177" i="1"/>
  <c r="BM184" i="1"/>
  <c r="BN184" i="1"/>
  <c r="BM171" i="1"/>
  <c r="BN171" i="1"/>
  <c r="BM172" i="1"/>
  <c r="BN172" i="1"/>
  <c r="BN119" i="1"/>
  <c r="BM119" i="1"/>
  <c r="BN182" i="1"/>
  <c r="BM182" i="1"/>
  <c r="BM176" i="1"/>
  <c r="BN176" i="1"/>
  <c r="BM175" i="1"/>
  <c r="BN175" i="1"/>
  <c r="BM169" i="1"/>
  <c r="BN169" i="1"/>
  <c r="BN123" i="1"/>
  <c r="BM123" i="1"/>
  <c r="BN95" i="1"/>
  <c r="BM95" i="1"/>
  <c r="BN111" i="1"/>
  <c r="BM111" i="1"/>
  <c r="BN101" i="1"/>
  <c r="BM101" i="1"/>
  <c r="BN130" i="1"/>
  <c r="BM130" i="1"/>
  <c r="BN75" i="1"/>
  <c r="BM75" i="1"/>
  <c r="BN144" i="1"/>
  <c r="BM144" i="1"/>
  <c r="BN112" i="1"/>
  <c r="BM112" i="1"/>
  <c r="BN76" i="1"/>
  <c r="BM76" i="1"/>
  <c r="BN113" i="1"/>
  <c r="BM113" i="1"/>
  <c r="BM81" i="1"/>
  <c r="BN81" i="1"/>
  <c r="BN90" i="1"/>
  <c r="BM90" i="1"/>
  <c r="BN108" i="1"/>
  <c r="BM108" i="1"/>
  <c r="BN107" i="1"/>
  <c r="BM107" i="1"/>
  <c r="BN114" i="1"/>
  <c r="BM114" i="1"/>
  <c r="BN118" i="1"/>
  <c r="BM118" i="1"/>
  <c r="BN97" i="1"/>
  <c r="BM97" i="1"/>
  <c r="BN79" i="1"/>
  <c r="BM79" i="1"/>
  <c r="BN69" i="1"/>
  <c r="BM69" i="1"/>
  <c r="BN116" i="1"/>
  <c r="BM116" i="1"/>
  <c r="BN135" i="1"/>
  <c r="BM135" i="1"/>
  <c r="BN93" i="1"/>
  <c r="BM93" i="1"/>
  <c r="BN142" i="1"/>
  <c r="BM142" i="1"/>
  <c r="BM122" i="1"/>
  <c r="BN122" i="1"/>
  <c r="BN168" i="1"/>
  <c r="BM168" i="1"/>
  <c r="BN143" i="1"/>
  <c r="BM143" i="1"/>
  <c r="BN178" i="1"/>
  <c r="BM178" i="1"/>
  <c r="BM117" i="1"/>
  <c r="BN117" i="1"/>
  <c r="BN124" i="1"/>
  <c r="BM124" i="1"/>
  <c r="BN120" i="1"/>
  <c r="BM120" i="1"/>
  <c r="BM187" i="1"/>
  <c r="BN187" i="1"/>
  <c r="BM181" i="1"/>
  <c r="BN181" i="1"/>
  <c r="BM180" i="1"/>
  <c r="BN180" i="1"/>
  <c r="BN65" i="1"/>
  <c r="BM65" i="1"/>
  <c r="BM165" i="1"/>
  <c r="BN165" i="1"/>
  <c r="BM183" i="1"/>
  <c r="BN183" i="1"/>
  <c r="BM83" i="1"/>
  <c r="BN83" i="1"/>
  <c r="BM140" i="1"/>
  <c r="BN140" i="1"/>
  <c r="BM186" i="1"/>
  <c r="BN186" i="1"/>
  <c r="BM98" i="1"/>
  <c r="BN98" i="1"/>
  <c r="BM263" i="1"/>
  <c r="BN263" i="1"/>
  <c r="BM125" i="1"/>
  <c r="BN125" i="1"/>
  <c r="BM84" i="1"/>
  <c r="BN84" i="1"/>
  <c r="BN161" i="1"/>
  <c r="BM161" i="1"/>
  <c r="BM137" i="1"/>
  <c r="BN137" i="1"/>
  <c r="BM96" i="1"/>
  <c r="BN96" i="1"/>
  <c r="BM285" i="1"/>
  <c r="BN285" i="1"/>
  <c r="BM170" i="1"/>
  <c r="BN170" i="1"/>
  <c r="BM103" i="1"/>
  <c r="BN103" i="1"/>
  <c r="BN167" i="1"/>
  <c r="BM167" i="1"/>
  <c r="F169" i="2"/>
  <c r="F170" i="2" s="1"/>
  <c r="D170" i="2"/>
  <c r="E170" i="2"/>
  <c r="D73" i="2"/>
  <c r="D74" i="2" s="1"/>
  <c r="G308" i="2"/>
  <c r="I115" i="2"/>
  <c r="L384" i="2"/>
  <c r="F235" i="2"/>
  <c r="I401" i="2"/>
  <c r="L397" i="2"/>
  <c r="L371" i="2"/>
  <c r="J323" i="2"/>
  <c r="K420" i="2"/>
  <c r="H401" i="2"/>
  <c r="H341" i="2"/>
  <c r="H235" i="2"/>
  <c r="G273" i="2"/>
  <c r="H420" i="2"/>
  <c r="I386" i="2"/>
  <c r="L412" i="2"/>
  <c r="G356" i="2"/>
  <c r="H100" i="2"/>
  <c r="F273" i="2"/>
  <c r="J352" i="2"/>
  <c r="L382" i="2"/>
  <c r="G235" i="2"/>
  <c r="L367" i="2"/>
  <c r="F386" i="2"/>
  <c r="F308" i="2"/>
  <c r="L411" i="2"/>
  <c r="L414" i="2"/>
  <c r="L369" i="2"/>
  <c r="J420" i="2"/>
  <c r="E118" i="2"/>
  <c r="E151" i="2" s="1"/>
  <c r="I114" i="2"/>
  <c r="L372" i="2"/>
  <c r="K401" i="2"/>
  <c r="L417" i="2"/>
  <c r="G420" i="2"/>
  <c r="L415" i="2"/>
  <c r="L399" i="2"/>
  <c r="F292" i="2"/>
  <c r="I116" i="2"/>
  <c r="L370" i="2"/>
  <c r="L378" i="2"/>
  <c r="L374" i="2"/>
  <c r="L398" i="2"/>
  <c r="L413" i="2"/>
  <c r="L416" i="2"/>
  <c r="H356" i="2"/>
  <c r="H273" i="2"/>
  <c r="F261" i="2"/>
  <c r="J350" i="2"/>
  <c r="H261" i="2"/>
  <c r="L377" i="2"/>
  <c r="E356" i="2"/>
  <c r="J348" i="2"/>
  <c r="H327" i="2"/>
  <c r="G341" i="2"/>
  <c r="G292" i="2"/>
  <c r="L419" i="2"/>
  <c r="L396" i="2"/>
  <c r="H386" i="2"/>
  <c r="J333" i="2"/>
  <c r="E341" i="2"/>
  <c r="F420" i="2"/>
  <c r="L410" i="2"/>
  <c r="J335" i="2"/>
  <c r="E327" i="2"/>
  <c r="J319" i="2"/>
  <c r="J401" i="2"/>
  <c r="F401" i="2"/>
  <c r="L394" i="2"/>
  <c r="J321" i="2"/>
  <c r="G386" i="2"/>
  <c r="L395" i="2"/>
  <c r="I117" i="2"/>
  <c r="H308" i="2"/>
  <c r="J354" i="2"/>
  <c r="F356" i="2"/>
  <c r="H292" i="2"/>
  <c r="L418" i="2"/>
  <c r="L368" i="2"/>
  <c r="L383" i="2"/>
  <c r="L373" i="2"/>
  <c r="L375" i="2"/>
  <c r="L376" i="2"/>
  <c r="G261" i="2"/>
  <c r="J386" i="2"/>
  <c r="G401" i="2"/>
  <c r="F327" i="2"/>
  <c r="L385" i="2"/>
  <c r="G327" i="2"/>
  <c r="L381" i="2"/>
  <c r="G118" i="2"/>
  <c r="G151" i="2" s="1"/>
  <c r="L380" i="2"/>
  <c r="K386" i="2"/>
  <c r="F341" i="2"/>
  <c r="I420" i="2"/>
  <c r="E211" i="2"/>
  <c r="K206" i="2" s="1"/>
  <c r="J337" i="2"/>
  <c r="L379" i="2"/>
  <c r="Q44" i="2"/>
  <c r="M20" i="2" l="1"/>
  <c r="M23" i="2"/>
  <c r="M24" i="2" s="1"/>
  <c r="M25" i="2" s="1"/>
  <c r="L401" i="2"/>
  <c r="J327" i="2"/>
  <c r="E320" i="2" s="1"/>
  <c r="BN66" i="1"/>
  <c r="BM66" i="1"/>
  <c r="BN311" i="1"/>
  <c r="BM311" i="1"/>
  <c r="BM228" i="1"/>
  <c r="BN228" i="1"/>
  <c r="BN293" i="1"/>
  <c r="BM293" i="1"/>
  <c r="BN244" i="1"/>
  <c r="BM244" i="1"/>
  <c r="BM246" i="1"/>
  <c r="BN246" i="1"/>
  <c r="BN317" i="1"/>
  <c r="BM317" i="1"/>
  <c r="BN223" i="1"/>
  <c r="BM223" i="1"/>
  <c r="BM305" i="1"/>
  <c r="BN305" i="1"/>
  <c r="BN236" i="1"/>
  <c r="BM236" i="1"/>
  <c r="BN245" i="1"/>
  <c r="BM245" i="1"/>
  <c r="BN231" i="1"/>
  <c r="BM231" i="1"/>
  <c r="BN252" i="1"/>
  <c r="BM252" i="1"/>
  <c r="BN262" i="1"/>
  <c r="BM262" i="1"/>
  <c r="BN210" i="1"/>
  <c r="BM210" i="1"/>
  <c r="BN204" i="1"/>
  <c r="BM204" i="1"/>
  <c r="BM227" i="1"/>
  <c r="BN227" i="1"/>
  <c r="BN190" i="1"/>
  <c r="BM190" i="1"/>
  <c r="BN281" i="1"/>
  <c r="BM281" i="1"/>
  <c r="BM287" i="1"/>
  <c r="BN287" i="1"/>
  <c r="BN334" i="1"/>
  <c r="BM334" i="1"/>
  <c r="BN297" i="1"/>
  <c r="BM297" i="1"/>
  <c r="BN229" i="1"/>
  <c r="BM229" i="1"/>
  <c r="BM269" i="1"/>
  <c r="BN269" i="1"/>
  <c r="BN268" i="1"/>
  <c r="BM268" i="1"/>
  <c r="BN212" i="1"/>
  <c r="BM212" i="1"/>
  <c r="BM247" i="1"/>
  <c r="BN247" i="1"/>
  <c r="BN196" i="1"/>
  <c r="BM196" i="1"/>
  <c r="BN218" i="1"/>
  <c r="BM218" i="1"/>
  <c r="BN284" i="1"/>
  <c r="BM284" i="1"/>
  <c r="BN296" i="1"/>
  <c r="BM296" i="1"/>
  <c r="BN198" i="1"/>
  <c r="BM198" i="1"/>
  <c r="BM323" i="1"/>
  <c r="BN323" i="1"/>
  <c r="BN251" i="1"/>
  <c r="BM251" i="1"/>
  <c r="BN308" i="1"/>
  <c r="BM308" i="1"/>
  <c r="BM233" i="1"/>
  <c r="BN233" i="1"/>
  <c r="BM310" i="1"/>
  <c r="BN310" i="1"/>
  <c r="BN290" i="1"/>
  <c r="BM290" i="1"/>
  <c r="BM211" i="1"/>
  <c r="BN211" i="1"/>
  <c r="BN199" i="1"/>
  <c r="BM199" i="1"/>
  <c r="BN315" i="1"/>
  <c r="BM315" i="1"/>
  <c r="BN232" i="1"/>
  <c r="BM232" i="1"/>
  <c r="BN224" i="1"/>
  <c r="BM224" i="1"/>
  <c r="BM301" i="1"/>
  <c r="BN301" i="1"/>
  <c r="BN292" i="1"/>
  <c r="BM292" i="1"/>
  <c r="BN197" i="1"/>
  <c r="BM197" i="1"/>
  <c r="BN302" i="1"/>
  <c r="BM302" i="1"/>
  <c r="BM321" i="1"/>
  <c r="BN321" i="1"/>
  <c r="BN325" i="1"/>
  <c r="BM325" i="1"/>
  <c r="BN303" i="1"/>
  <c r="BM303" i="1"/>
  <c r="BN279" i="1"/>
  <c r="BM279" i="1"/>
  <c r="BN280" i="1"/>
  <c r="BM280" i="1"/>
  <c r="BN333" i="1"/>
  <c r="BM333" i="1"/>
  <c r="BN254" i="1"/>
  <c r="BM254" i="1"/>
  <c r="BN282" i="1"/>
  <c r="BM282" i="1"/>
  <c r="BN319" i="1"/>
  <c r="BM319" i="1"/>
  <c r="BN216" i="1"/>
  <c r="BM216" i="1"/>
  <c r="BN299" i="1"/>
  <c r="BM299" i="1"/>
  <c r="BN272" i="1"/>
  <c r="BM272" i="1"/>
  <c r="BN332" i="1"/>
  <c r="BM332" i="1"/>
  <c r="BN294" i="1"/>
  <c r="BM294" i="1"/>
  <c r="BN273" i="1"/>
  <c r="BM273" i="1"/>
  <c r="BN201" i="1"/>
  <c r="BM201" i="1"/>
  <c r="BN271" i="1"/>
  <c r="BM271" i="1"/>
  <c r="BN316" i="1"/>
  <c r="BM316" i="1"/>
  <c r="BN304" i="1"/>
  <c r="BM304" i="1"/>
  <c r="BN260" i="1"/>
  <c r="BM260" i="1"/>
  <c r="BN267" i="1"/>
  <c r="BM267" i="1"/>
  <c r="BN189" i="1"/>
  <c r="BM189" i="1"/>
  <c r="BN214" i="1"/>
  <c r="BM214" i="1"/>
  <c r="BN288" i="1"/>
  <c r="BM288" i="1"/>
  <c r="BN275" i="1"/>
  <c r="BM275" i="1"/>
  <c r="BN306" i="1"/>
  <c r="BM306" i="1"/>
  <c r="BM312" i="1"/>
  <c r="BN312" i="1"/>
  <c r="BN283" i="1"/>
  <c r="BM283" i="1"/>
  <c r="BM278" i="1"/>
  <c r="BN278" i="1"/>
  <c r="BN259" i="1"/>
  <c r="BM259" i="1"/>
  <c r="BN318" i="1"/>
  <c r="BM318" i="1"/>
  <c r="BN276" i="1"/>
  <c r="BM276" i="1"/>
  <c r="BN221" i="1"/>
  <c r="BM221" i="1"/>
  <c r="BN217" i="1"/>
  <c r="BM217" i="1"/>
  <c r="BN327" i="1"/>
  <c r="BM327" i="1"/>
  <c r="BN200" i="1"/>
  <c r="BM200" i="1"/>
  <c r="BN264" i="1"/>
  <c r="BM264" i="1"/>
  <c r="BN326" i="1"/>
  <c r="BM326" i="1"/>
  <c r="BN324" i="1"/>
  <c r="BM324" i="1"/>
  <c r="BM314" i="1"/>
  <c r="BN314" i="1"/>
  <c r="BN250" i="1"/>
  <c r="BM250" i="1"/>
  <c r="BN205" i="1"/>
  <c r="BM205" i="1"/>
  <c r="BN295" i="1"/>
  <c r="BM295" i="1"/>
  <c r="BN298" i="1"/>
  <c r="BM298" i="1"/>
  <c r="BN331" i="1"/>
  <c r="BM331" i="1"/>
  <c r="BN291" i="1"/>
  <c r="BM291" i="1"/>
  <c r="BN286" i="1"/>
  <c r="BM286" i="1"/>
  <c r="BN265" i="1"/>
  <c r="BM265" i="1"/>
  <c r="BN258" i="1"/>
  <c r="BM258" i="1"/>
  <c r="BN213" i="1"/>
  <c r="BM213" i="1"/>
  <c r="BN215" i="1"/>
  <c r="BM215" i="1"/>
  <c r="BM235" i="1"/>
  <c r="BN235" i="1"/>
  <c r="BM329" i="1"/>
  <c r="BN329" i="1"/>
  <c r="BN253" i="1"/>
  <c r="BM253" i="1"/>
  <c r="BN277" i="1"/>
  <c r="BM277" i="1"/>
  <c r="BN266" i="1"/>
  <c r="BM266" i="1"/>
  <c r="BM222" i="1"/>
  <c r="BN222" i="1"/>
  <c r="BN249" i="1"/>
  <c r="BM249" i="1"/>
  <c r="BN209" i="1"/>
  <c r="BM209" i="1"/>
  <c r="BN248" i="1"/>
  <c r="BM248" i="1"/>
  <c r="BN243" i="1"/>
  <c r="BM243" i="1"/>
  <c r="BN238" i="1"/>
  <c r="BM238" i="1"/>
  <c r="BN226" i="1"/>
  <c r="BM226" i="1"/>
  <c r="BN322" i="1"/>
  <c r="BM322" i="1"/>
  <c r="BN202" i="1"/>
  <c r="BM202" i="1"/>
  <c r="BN289" i="1"/>
  <c r="BM289" i="1"/>
  <c r="BN241" i="1"/>
  <c r="BM241" i="1"/>
  <c r="BN234" i="1"/>
  <c r="BM234" i="1"/>
  <c r="BN237" i="1"/>
  <c r="BM237" i="1"/>
  <c r="BM274" i="1"/>
  <c r="BN274" i="1"/>
  <c r="BN261" i="1"/>
  <c r="BM261" i="1"/>
  <c r="BN313" i="1"/>
  <c r="BM313" i="1"/>
  <c r="BM160" i="1"/>
  <c r="BM191" i="1"/>
  <c r="BN191" i="1"/>
  <c r="BN242" i="1"/>
  <c r="BM242" i="1"/>
  <c r="BM307" i="1"/>
  <c r="BN307" i="1"/>
  <c r="BM257" i="1"/>
  <c r="BN257" i="1"/>
  <c r="BN270" i="1"/>
  <c r="BM270" i="1"/>
  <c r="BN320" i="1"/>
  <c r="BM320" i="1"/>
  <c r="BM230" i="1"/>
  <c r="BN230" i="1"/>
  <c r="BN162" i="1"/>
  <c r="BM162" i="1"/>
  <c r="BM166" i="1"/>
  <c r="BN166" i="1"/>
  <c r="BN174" i="1"/>
  <c r="BM174" i="1"/>
  <c r="BN185" i="1"/>
  <c r="BM185" i="1"/>
  <c r="BN173" i="1"/>
  <c r="BM173" i="1"/>
  <c r="BM129" i="1"/>
  <c r="BN129" i="1"/>
  <c r="BM188" i="1"/>
  <c r="BN188" i="1"/>
  <c r="BN92" i="1"/>
  <c r="BM92" i="1"/>
  <c r="BN82" i="1"/>
  <c r="BM82" i="1"/>
  <c r="BN72" i="1"/>
  <c r="BM72" i="1"/>
  <c r="BN94" i="1"/>
  <c r="BM94" i="1"/>
  <c r="BN74" i="1"/>
  <c r="BM74" i="1"/>
  <c r="BN136" i="1"/>
  <c r="BM136" i="1"/>
  <c r="BN91" i="1"/>
  <c r="BM91" i="1"/>
  <c r="BN73" i="1"/>
  <c r="BM73" i="1"/>
  <c r="BN128" i="1"/>
  <c r="BM128" i="1"/>
  <c r="BN77" i="1"/>
  <c r="BM77" i="1"/>
  <c r="BN70" i="1"/>
  <c r="BM70" i="1"/>
  <c r="BN78" i="1"/>
  <c r="BM78" i="1"/>
  <c r="BN121" i="1"/>
  <c r="BM121" i="1"/>
  <c r="BN160" i="1"/>
  <c r="BN115" i="1"/>
  <c r="BM115" i="1"/>
  <c r="BN102" i="1"/>
  <c r="BM102" i="1"/>
  <c r="BN80" i="1"/>
  <c r="BM80" i="1"/>
  <c r="BM126" i="1"/>
  <c r="BN126" i="1"/>
  <c r="BN106" i="1"/>
  <c r="BM106" i="1"/>
  <c r="BN134" i="1"/>
  <c r="BM134" i="1"/>
  <c r="BN68" i="1"/>
  <c r="BM68" i="1"/>
  <c r="BN71" i="1"/>
  <c r="BM71" i="1"/>
  <c r="BM67" i="1"/>
  <c r="BN67" i="1"/>
  <c r="H170" i="2"/>
  <c r="H169" i="2"/>
  <c r="D197" i="2" s="1"/>
  <c r="G169" i="2"/>
  <c r="G170" i="2"/>
  <c r="G152" i="2"/>
  <c r="E152" i="2"/>
  <c r="I151" i="2"/>
  <c r="M151" i="2" s="1"/>
  <c r="E100" i="2"/>
  <c r="H102" i="2"/>
  <c r="E102" i="2" s="1"/>
  <c r="I118" i="2"/>
  <c r="J115" i="2" s="1"/>
  <c r="G100" i="2"/>
  <c r="J341" i="2"/>
  <c r="G342" i="2" s="1"/>
  <c r="J356" i="2"/>
  <c r="E357" i="2" s="1"/>
  <c r="L420" i="2"/>
  <c r="L386" i="2"/>
  <c r="M26" i="2"/>
  <c r="M30" i="2" l="1"/>
  <c r="M21" i="2"/>
  <c r="M27" i="2" s="1"/>
  <c r="M29" i="2"/>
  <c r="F328" i="2"/>
  <c r="K151" i="2"/>
  <c r="G119" i="2"/>
  <c r="J116" i="2"/>
  <c r="H326" i="2"/>
  <c r="J117" i="2"/>
  <c r="E119" i="2"/>
  <c r="J114" i="2"/>
  <c r="I150" i="2"/>
  <c r="H357" i="2"/>
  <c r="G336" i="2"/>
  <c r="H349" i="2"/>
  <c r="H353" i="2"/>
  <c r="G357" i="2"/>
  <c r="E322" i="2"/>
  <c r="I320" i="2"/>
  <c r="E334" i="2"/>
  <c r="F334" i="2"/>
  <c r="G340" i="2"/>
  <c r="F340" i="2"/>
  <c r="I342" i="2"/>
  <c r="G102" i="2"/>
  <c r="F322" i="2"/>
  <c r="I338" i="2"/>
  <c r="F357" i="2"/>
  <c r="I357" i="2"/>
  <c r="E336" i="2"/>
  <c r="E355" i="2"/>
  <c r="I349" i="2"/>
  <c r="F338" i="2"/>
  <c r="H338" i="2"/>
  <c r="I336" i="2"/>
  <c r="H351" i="2"/>
  <c r="E342" i="2"/>
  <c r="H336" i="2"/>
  <c r="E338" i="2"/>
  <c r="G338" i="2"/>
  <c r="E340" i="2"/>
  <c r="E351" i="2"/>
  <c r="H342" i="2"/>
  <c r="F336" i="2"/>
  <c r="H334" i="2"/>
  <c r="H340" i="2"/>
  <c r="E349" i="2"/>
  <c r="F342" i="2"/>
  <c r="G334" i="2"/>
  <c r="I334" i="2"/>
  <c r="I340" i="2"/>
  <c r="F353" i="2"/>
  <c r="G353" i="2"/>
  <c r="G355" i="2"/>
  <c r="I355" i="2"/>
  <c r="G351" i="2"/>
  <c r="F355" i="2"/>
  <c r="E353" i="2"/>
  <c r="G349" i="2"/>
  <c r="F349" i="2"/>
  <c r="I353" i="2"/>
  <c r="F326" i="2"/>
  <c r="H355" i="2"/>
  <c r="F351" i="2"/>
  <c r="I351" i="2"/>
  <c r="F320" i="2"/>
  <c r="G322" i="2"/>
  <c r="H320" i="2"/>
  <c r="F324" i="2"/>
  <c r="G320" i="2"/>
  <c r="H322" i="2"/>
  <c r="I326" i="2"/>
  <c r="I328" i="2"/>
  <c r="E324" i="2"/>
  <c r="I322" i="2"/>
  <c r="G328" i="2"/>
  <c r="H328" i="2"/>
  <c r="H324" i="2"/>
  <c r="J326" i="2"/>
  <c r="I324" i="2"/>
  <c r="E328" i="2"/>
  <c r="G324" i="2"/>
  <c r="G326" i="2"/>
  <c r="E326" i="2"/>
  <c r="M22" i="2" l="1"/>
  <c r="M28" i="2" s="1"/>
  <c r="I152" i="2"/>
  <c r="G153" i="2" s="1"/>
  <c r="K150" i="2"/>
  <c r="J118" i="2"/>
  <c r="M150" i="2"/>
  <c r="J349" i="2"/>
  <c r="J338" i="2"/>
  <c r="J353" i="2"/>
  <c r="J336" i="2"/>
  <c r="J351" i="2"/>
  <c r="J357" i="2"/>
  <c r="J334" i="2"/>
  <c r="J340" i="2"/>
  <c r="J342" i="2"/>
  <c r="J322" i="2"/>
  <c r="J320" i="2"/>
  <c r="J355" i="2"/>
  <c r="J324" i="2"/>
  <c r="J328" i="2"/>
  <c r="E153" i="2" l="1"/>
</calcChain>
</file>

<file path=xl/sharedStrings.xml><?xml version="1.0" encoding="utf-8"?>
<sst xmlns="http://schemas.openxmlformats.org/spreadsheetml/2006/main" count="7046" uniqueCount="1790">
  <si>
    <r>
      <t>Richmond upon Thames - Authority Monitoring Report
Housing Land Financial Year Report 2024/25 - Position at 1</t>
    </r>
    <r>
      <rPr>
        <vertAlign val="superscript"/>
        <sz val="16"/>
        <rFont val="Arial"/>
        <family val="2"/>
      </rPr>
      <t>st</t>
    </r>
    <r>
      <rPr>
        <sz val="16"/>
        <rFont val="Arial"/>
        <family val="2"/>
      </rPr>
      <t xml:space="preserve"> April 2025</t>
    </r>
  </si>
  <si>
    <t>Table 1</t>
  </si>
  <si>
    <t>Performance against the London Plan (2021) - 1 April 2021 to 1 April 2031</t>
  </si>
  <si>
    <t>Additional Homes (net)</t>
  </si>
  <si>
    <t>London Plan Target</t>
  </si>
  <si>
    <t xml:space="preserve">Provision 
(40% of plan period)   </t>
  </si>
  <si>
    <t>Total</t>
  </si>
  <si>
    <t>% of Target</t>
  </si>
  <si>
    <t>2021/22</t>
  </si>
  <si>
    <t>2022/23</t>
  </si>
  <si>
    <t>2023/4</t>
  </si>
  <si>
    <t>2024/25</t>
  </si>
  <si>
    <t>Conventional Supply and Non-Self-Contained Supply</t>
  </si>
  <si>
    <t>Table 2</t>
  </si>
  <si>
    <t>Five year housing land supply calculation methodology - London Plan (2021) - Stepped Trajectory</t>
  </si>
  <si>
    <t>a</t>
  </si>
  <si>
    <t>London Plan 2021 Requirement - 1 April 2021 to 1 April 2031 (10 year plan period)</t>
  </si>
  <si>
    <t>b</t>
  </si>
  <si>
    <t>Net completions 1 April 2021 to 31 March 2025</t>
  </si>
  <si>
    <t>c</t>
  </si>
  <si>
    <t>Remaining London Plan Requirement 1 April 2025 to 31 March 2031 (6 year plan period) (Stepped Trajectory)</t>
  </si>
  <si>
    <t>d</t>
  </si>
  <si>
    <t>Average per year</t>
  </si>
  <si>
    <t>c ÷ 6 years</t>
  </si>
  <si>
    <t>e</t>
  </si>
  <si>
    <t>London Plan Deficit (2021/22 - 2024/25) (Stepped Trajectory)</t>
  </si>
  <si>
    <t>f</t>
  </si>
  <si>
    <t>London Plan Five year requirement (Stepped Trajectory)</t>
  </si>
  <si>
    <t>g</t>
  </si>
  <si>
    <t>Five year requirement + London Plan Deficit</t>
  </si>
  <si>
    <t>f + e</t>
  </si>
  <si>
    <t>h</t>
  </si>
  <si>
    <t>Five percent buffer</t>
  </si>
  <si>
    <t>g x 0.05</t>
  </si>
  <si>
    <t>i</t>
  </si>
  <si>
    <t>Five year requirement (including 5% buffer)</t>
  </si>
  <si>
    <t>g + h</t>
  </si>
  <si>
    <t>j</t>
  </si>
  <si>
    <t>Average per year (+5% buffer)</t>
  </si>
  <si>
    <t>i ÷ 5</t>
  </si>
  <si>
    <t>k</t>
  </si>
  <si>
    <t>Twenty percent buffer</t>
  </si>
  <si>
    <t>g x 0.2</t>
  </si>
  <si>
    <t>l</t>
  </si>
  <si>
    <t>Five year requirement (including 20% buffer)</t>
  </si>
  <si>
    <t>g + k</t>
  </si>
  <si>
    <t>m</t>
  </si>
  <si>
    <t>Average per year (+20% buffer)</t>
  </si>
  <si>
    <t>l ÷ 5</t>
  </si>
  <si>
    <t>n</t>
  </si>
  <si>
    <t>Estimated supply over five year period</t>
  </si>
  <si>
    <t>o</t>
  </si>
  <si>
    <t>Five year land supply as a percentage of requirement (including 5% buffer)</t>
  </si>
  <si>
    <t>(n ÷ i) x 100</t>
  </si>
  <si>
    <t>p</t>
  </si>
  <si>
    <t>Five year land supply expressed in years (including 5% buffer)</t>
  </si>
  <si>
    <t>n ÷ j</t>
  </si>
  <si>
    <t>q</t>
  </si>
  <si>
    <t>Five year land supply as a percentage of requirement (including HDT 20% buffer)</t>
  </si>
  <si>
    <t>r</t>
  </si>
  <si>
    <t>Five year land supply expressed in years (including HDT 20% buffer)</t>
  </si>
  <si>
    <t>see Local Plan Policy 10 for stepped housing delivery target</t>
  </si>
  <si>
    <t>Table 3</t>
  </si>
  <si>
    <t>Table 4</t>
  </si>
  <si>
    <t>Estimated supply over ten year period</t>
  </si>
  <si>
    <t>Site Type</t>
  </si>
  <si>
    <t>Total used for 5-year supply</t>
  </si>
  <si>
    <t xml:space="preserve">10-year supply </t>
  </si>
  <si>
    <t>New Build Sites under construction</t>
  </si>
  <si>
    <t>New Build Sites with planning permission</t>
  </si>
  <si>
    <t>Conversion sites under construction</t>
  </si>
  <si>
    <t>Conversion sites with planning permission</t>
  </si>
  <si>
    <t>Conversion sites with prior notification approval</t>
  </si>
  <si>
    <t>Non Self Contained</t>
  </si>
  <si>
    <t>Deliverable Sites</t>
  </si>
  <si>
    <t>Site Allocations</t>
  </si>
  <si>
    <t>Total 5 year supply</t>
  </si>
  <si>
    <t>Total 10 year supply</t>
  </si>
  <si>
    <t>Table 5</t>
  </si>
  <si>
    <t xml:space="preserve">Net units completed during the period 2002/03 to 2024/25 (compared to London Plan target) </t>
  </si>
  <si>
    <t>Year</t>
  </si>
  <si>
    <t>Completions</t>
  </si>
  <si>
    <t>Target</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</si>
  <si>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</si>
  <si>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</si>
  <si>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</si>
  <si>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</si>
  <si>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</si>
  <si>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</si>
  <si>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</si>
  <si>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</si>
  <si>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</si>
  <si>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</si>
  <si>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</si>
  <si>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</si>
  <si>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</si>
  <si>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</si>
  <si>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</si>
  <si>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</si>
  <si>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</si>
  <si>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</si>
  <si>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</si>
  <si>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2023/24</t>
  </si>
  <si>
    <t>Table 6</t>
  </si>
  <si>
    <t>Net completions by tenure and financial year (2005/06 to 2024/25)</t>
  </si>
  <si>
    <t xml:space="preserve"> Open Market</t>
  </si>
  <si>
    <t xml:space="preserve"> Affordable</t>
  </si>
  <si>
    <t>Total 
Units</t>
  </si>
  <si>
    <t>Units</t>
  </si>
  <si>
    <t>%</t>
  </si>
  <si>
    <t>Table 7</t>
  </si>
  <si>
    <t xml:space="preserve">Dwelling Size of Net Completions 2024/25 (All tenures) by Application Type </t>
  </si>
  <si>
    <t>Dwelling Type / Size</t>
  </si>
  <si>
    <t>Permissions</t>
  </si>
  <si>
    <t>Prior Approvals</t>
  </si>
  <si>
    <t xml:space="preserve">1 bed </t>
  </si>
  <si>
    <t xml:space="preserve">2 bed </t>
  </si>
  <si>
    <t xml:space="preserve">3 bed </t>
  </si>
  <si>
    <t xml:space="preserve">4+ bed </t>
  </si>
  <si>
    <t>Percentage</t>
  </si>
  <si>
    <t>Table 8</t>
  </si>
  <si>
    <t>Dwelling Size of Net Completions 2020/21 - 2024/25 (All tenures)</t>
  </si>
  <si>
    <t>Dwelling Size</t>
  </si>
  <si>
    <t>1 bed</t>
  </si>
  <si>
    <t>2 bed</t>
  </si>
  <si>
    <t>3 bed</t>
  </si>
  <si>
    <t>4+ bed</t>
  </si>
  <si>
    <t>Table 9</t>
  </si>
  <si>
    <t>Application Type of Net Completions 2016/17 - 2024/25 (All tenures)</t>
  </si>
  <si>
    <t>% Permissions</t>
  </si>
  <si>
    <t>% Prior Approvals</t>
  </si>
  <si>
    <t>Table 10</t>
  </si>
  <si>
    <t>Net completions on small / large sites</t>
  </si>
  <si>
    <t>Small</t>
  </si>
  <si>
    <t>Large</t>
  </si>
  <si>
    <t>% Small</t>
  </si>
  <si>
    <t>% Large</t>
  </si>
  <si>
    <t xml:space="preserve">Total </t>
  </si>
  <si>
    <t>Table 11</t>
  </si>
  <si>
    <t>Proportion of housing completions provided by large sites</t>
  </si>
  <si>
    <t>Spatial Areas</t>
  </si>
  <si>
    <t>Town Centres</t>
  </si>
  <si>
    <t>Policy Areas</t>
  </si>
  <si>
    <t>Table 12</t>
  </si>
  <si>
    <t>Net completions within town centre boundaries</t>
  </si>
  <si>
    <t>Table 13</t>
  </si>
  <si>
    <t>Net completions by policy areas</t>
  </si>
  <si>
    <t>Town Centre</t>
  </si>
  <si>
    <t>Policy Area</t>
  </si>
  <si>
    <t>East Sheen</t>
  </si>
  <si>
    <t>Richmond</t>
  </si>
  <si>
    <t>Thames Policy Area</t>
  </si>
  <si>
    <t>Teddington</t>
  </si>
  <si>
    <t>Mixed Use Area</t>
  </si>
  <si>
    <t>Twickenham</t>
  </si>
  <si>
    <t>OOLTI</t>
  </si>
  <si>
    <t>Whitton</t>
  </si>
  <si>
    <t>Green Belt / MOL</t>
  </si>
  <si>
    <t>Total in Town Centres</t>
  </si>
  <si>
    <t>Garden Land</t>
  </si>
  <si>
    <t>Conservation Area</t>
  </si>
  <si>
    <t>Wards</t>
  </si>
  <si>
    <t>Table 14</t>
  </si>
  <si>
    <t>Net units with planning permission, commenced or completed by Ward in 2024/25</t>
  </si>
  <si>
    <t>Ward</t>
  </si>
  <si>
    <t>Not Started</t>
  </si>
  <si>
    <t>Under Construction</t>
  </si>
  <si>
    <t>Barnes</t>
  </si>
  <si>
    <t>Fulwell &amp; Hampton Hill</t>
  </si>
  <si>
    <t>Ham, Petersham &amp; Richmond Riverside</t>
  </si>
  <si>
    <t>Hampton</t>
  </si>
  <si>
    <t>Hampton North</t>
  </si>
  <si>
    <t>Hampton Wick &amp; South Teddington</t>
  </si>
  <si>
    <t>Heathfield</t>
  </si>
  <si>
    <t>Kew</t>
  </si>
  <si>
    <t>Mortlake &amp; Barnes Common</t>
  </si>
  <si>
    <t>North Richmond</t>
  </si>
  <si>
    <t>South Richmond</t>
  </si>
  <si>
    <t>South Twickenham</t>
  </si>
  <si>
    <t>St. Margarets &amp; North Twickenham</t>
  </si>
  <si>
    <t>Twickenham Riverside</t>
  </si>
  <si>
    <t>West Twickenham</t>
  </si>
  <si>
    <t>Table 15</t>
  </si>
  <si>
    <t>Net units completed by Ward in 2024/25</t>
  </si>
  <si>
    <t>Proposed</t>
  </si>
  <si>
    <t>Existing</t>
  </si>
  <si>
    <t>Net Gain</t>
  </si>
  <si>
    <t>Table 16</t>
  </si>
  <si>
    <t>Net units completed by Local Plan Area 2024/25</t>
  </si>
  <si>
    <t>Local Plan Area</t>
  </si>
  <si>
    <t>Barnes and East Sheen</t>
  </si>
  <si>
    <t>Ham &amp; Petersham</t>
  </si>
  <si>
    <t>Teddington and the Hamptons</t>
  </si>
  <si>
    <t>see emerging Local Plan Policy 10 for explanation of areas</t>
  </si>
  <si>
    <t>Table 17</t>
  </si>
  <si>
    <t>Net units completed by Place Based Strategy Area 2024/25</t>
  </si>
  <si>
    <t>Place Based Strategy Area</t>
  </si>
  <si>
    <t>Ham, Petersham &amp; Richmond Park</t>
  </si>
  <si>
    <t>Hampton &amp; Hampton Hill</t>
  </si>
  <si>
    <t>Mortlake and East Sheen</t>
  </si>
  <si>
    <t>Richmond and Richmond Hill</t>
  </si>
  <si>
    <t>Teddington &amp; Hampton Wick</t>
  </si>
  <si>
    <t>Twickenham, Strawberry Hill &amp; St Margarets</t>
  </si>
  <si>
    <t>Whitton and Heathfield</t>
  </si>
  <si>
    <t>see emerging Local Plan place-based strategies and Map 5.1 for areas</t>
  </si>
  <si>
    <t>Table 18</t>
  </si>
  <si>
    <t>Net units permitted by Place Based Strategy Area 2024/25</t>
  </si>
  <si>
    <t>Dwelling Mix</t>
  </si>
  <si>
    <t>Table 19</t>
  </si>
  <si>
    <t>Net new build units completed by unit size and tenure</t>
  </si>
  <si>
    <t>Net new build units completed by unit size</t>
  </si>
  <si>
    <t>4 + bed</t>
  </si>
  <si>
    <t>Not Known</t>
  </si>
  <si>
    <t>Market</t>
  </si>
  <si>
    <t>Intermediate</t>
  </si>
  <si>
    <t>Affordable Rented</t>
  </si>
  <si>
    <t>Social Rented</t>
  </si>
  <si>
    <t>Table 20</t>
  </si>
  <si>
    <t>Net new build units under construction by unit size and tenure</t>
  </si>
  <si>
    <t>Net new build units under construction by unit size</t>
  </si>
  <si>
    <t>Intermediate (&amp;SO)</t>
  </si>
  <si>
    <t>Table 21</t>
  </si>
  <si>
    <t>Net new build units with planning permission by unit size and tenure</t>
  </si>
  <si>
    <t>Net new build units with planning permission by unit size</t>
  </si>
  <si>
    <t>Future Housing Supply</t>
  </si>
  <si>
    <t>Table 22</t>
  </si>
  <si>
    <t>Housing Land Supply by ward (net gain) 2025/26 – 2034/35  (conventional supply)</t>
  </si>
  <si>
    <t>Housing Land Supply 2025/26 – 2034/35</t>
  </si>
  <si>
    <t>New Build Sites Under Construction</t>
  </si>
  <si>
    <t>Conversion Sites Under Construction</t>
  </si>
  <si>
    <t>Conversion Sites with planning permission</t>
  </si>
  <si>
    <t>Prior Approval Sites with approval</t>
  </si>
  <si>
    <t>Proposal / Other known large sites</t>
  </si>
  <si>
    <t>SHLAA Sites Trend</t>
  </si>
  <si>
    <t>Table 23</t>
  </si>
  <si>
    <t>Housing Land Supply by Local Plan Area (net gain) 2025/26 – 2034/35  (conventional supply)</t>
  </si>
  <si>
    <t>Table 24</t>
  </si>
  <si>
    <t>Housing Land Supply by Local Plan Place Based Strategy Area (net gain) 2025/26 – 2034/35  (conventional supply)</t>
  </si>
  <si>
    <t>Table 25</t>
  </si>
  <si>
    <t>The number of dwellings with expired permissions between 2008/2009 to 2024/25 in comparison to the number of dwellings permitted</t>
  </si>
  <si>
    <t>Net units - Expired Permissions</t>
  </si>
  <si>
    <t>Net units - Residential Permissions</t>
  </si>
  <si>
    <t>Table 26</t>
  </si>
  <si>
    <t>Average time from Decision to Completion (Years) by site size</t>
  </si>
  <si>
    <t>Site size (gross number of dwellings)</t>
  </si>
  <si>
    <t>1-4</t>
  </si>
  <si>
    <t>5-9</t>
  </si>
  <si>
    <t>10-14</t>
  </si>
  <si>
    <t>15-19</t>
  </si>
  <si>
    <t>20-29</t>
  </si>
  <si>
    <t>30-39</t>
  </si>
  <si>
    <t>40-49</t>
  </si>
  <si>
    <t>50-100</t>
  </si>
  <si>
    <t>100+</t>
  </si>
  <si>
    <t>Average</t>
  </si>
  <si>
    <t>5YHLS</t>
  </si>
  <si>
    <t>(Multiple Items)</t>
  </si>
  <si>
    <t>Sum of Units Proposed</t>
  </si>
  <si>
    <t>Column Labels</t>
  </si>
  <si>
    <t>Row Labels</t>
  </si>
  <si>
    <t>Affordable Rent</t>
  </si>
  <si>
    <t>London Affordable Rent</t>
  </si>
  <si>
    <t>London Living Rent</t>
  </si>
  <si>
    <t>Shared Ownership</t>
  </si>
  <si>
    <t>Social Rent</t>
  </si>
  <si>
    <t>Grand Total</t>
  </si>
  <si>
    <t>02. Under Construction</t>
  </si>
  <si>
    <t>03. Not Started</t>
  </si>
  <si>
    <t>Open Market</t>
  </si>
  <si>
    <t>05. Deliverable Site (Application under consideration)</t>
  </si>
  <si>
    <t>Planning Ref</t>
  </si>
  <si>
    <t>Development Category</t>
  </si>
  <si>
    <t>Application Type</t>
  </si>
  <si>
    <t>Decision Date</t>
  </si>
  <si>
    <t>Expiry Date</t>
  </si>
  <si>
    <t>Start Date</t>
  </si>
  <si>
    <t>24-25 start date</t>
  </si>
  <si>
    <t>24-25 decision date</t>
  </si>
  <si>
    <t>Completion Date</t>
  </si>
  <si>
    <t>Site Status</t>
  </si>
  <si>
    <t>Tenure</t>
  </si>
  <si>
    <t>Approval to completion</t>
  </si>
  <si>
    <t>Site size</t>
  </si>
  <si>
    <t>Proposal</t>
  </si>
  <si>
    <t xml:space="preserve">Address
</t>
  </si>
  <si>
    <t>PostCode</t>
  </si>
  <si>
    <t>Plot Description</t>
  </si>
  <si>
    <t>1 Bed Existing</t>
  </si>
  <si>
    <t>2 Bed Existing</t>
  </si>
  <si>
    <t>3 Bed Existing</t>
  </si>
  <si>
    <t>4 Bed Existing</t>
  </si>
  <si>
    <t>5 Bed Existing</t>
  </si>
  <si>
    <t>6 Bed Existing</t>
  </si>
  <si>
    <t>7 Bed Existing</t>
  </si>
  <si>
    <t>8 Bed Existing</t>
  </si>
  <si>
    <t>Units Existing</t>
  </si>
  <si>
    <t>Affordable</t>
  </si>
  <si>
    <t>1 Bed Proposed</t>
  </si>
  <si>
    <t>2 Bed Proposed</t>
  </si>
  <si>
    <t>3 Bed Proposed</t>
  </si>
  <si>
    <t>4 Bed Proposed</t>
  </si>
  <si>
    <t>5 Bed Proposed</t>
  </si>
  <si>
    <t>6 Bed Proposed</t>
  </si>
  <si>
    <t>7 Bed Proposed</t>
  </si>
  <si>
    <t>8 Bed Proposed</t>
  </si>
  <si>
    <t>Units Proposed</t>
  </si>
  <si>
    <t>1 bed net</t>
  </si>
  <si>
    <t>2 bed net</t>
  </si>
  <si>
    <t>3 bed net</t>
  </si>
  <si>
    <t>4 bed net</t>
  </si>
  <si>
    <t>5 bed net</t>
  </si>
  <si>
    <t>6 bed net</t>
  </si>
  <si>
    <t>7 bed net</t>
  </si>
  <si>
    <t>8 bed net</t>
  </si>
  <si>
    <t>Net Dwellings</t>
  </si>
  <si>
    <t>Large Site</t>
  </si>
  <si>
    <t>2024/25 (R)</t>
  </si>
  <si>
    <t>2025/26 (1)</t>
  </si>
  <si>
    <t>2026/27 (2)</t>
  </si>
  <si>
    <t>2027/28 (3)</t>
  </si>
  <si>
    <t>2028/29 (4)</t>
  </si>
  <si>
    <t>2029/30 (5)</t>
  </si>
  <si>
    <t>2030/31 (6)</t>
  </si>
  <si>
    <t>2031/32 (7)</t>
  </si>
  <si>
    <t>2032/33 (8)</t>
  </si>
  <si>
    <t>2033/34 (9)</t>
  </si>
  <si>
    <t>2034/35 (10)</t>
  </si>
  <si>
    <t>2035/36</t>
  </si>
  <si>
    <t>2036/37</t>
  </si>
  <si>
    <t>2037/38</t>
  </si>
  <si>
    <t>2038/39</t>
  </si>
  <si>
    <t>2039/40</t>
  </si>
  <si>
    <t>2040/41</t>
  </si>
  <si>
    <t>2025–2029 Total</t>
  </si>
  <si>
    <t>2025–2035 Total</t>
  </si>
  <si>
    <t>Older People</t>
  </si>
  <si>
    <t>ShelteredAccom</t>
  </si>
  <si>
    <t>MultipleOcc</t>
  </si>
  <si>
    <t>Easting</t>
  </si>
  <si>
    <t>Northing</t>
  </si>
  <si>
    <t>Ward_Name</t>
  </si>
  <si>
    <t>Area Name</t>
  </si>
  <si>
    <t>Town_Centre</t>
  </si>
  <si>
    <t>Thames_Policy_Area</t>
  </si>
  <si>
    <t>Mixed_Use_Area_Name</t>
  </si>
  <si>
    <t>Mixed_Use_Area</t>
  </si>
  <si>
    <t>Met_Open_Land</t>
  </si>
  <si>
    <t>Conservation_Area_Name</t>
  </si>
  <si>
    <t>Conservation_Area</t>
  </si>
  <si>
    <t>Areas_for_Intensification</t>
  </si>
  <si>
    <t>Place_Based_Strategies</t>
  </si>
  <si>
    <t>16/4635/FUL</t>
  </si>
  <si>
    <t>NEW</t>
  </si>
  <si>
    <t>FULL</t>
  </si>
  <si>
    <t>01. Completion</t>
  </si>
  <si>
    <t>1 to 4</t>
  </si>
  <si>
    <t>Construction of a three bedroom single storey dwelling with associated hard and soft landscaping, parking and access road (bollard lit)</t>
  </si>
  <si>
    <t>Land Rear Of 12 To 36 Vincam Close, Twickenham</t>
  </si>
  <si>
    <t>TW2 7AB</t>
  </si>
  <si>
    <t>Y</t>
  </si>
  <si>
    <t>18/1889/FUL</t>
  </si>
  <si>
    <t>Erection of a pair of 2 storey semi-detached 2 bed (1 x 2B4P and 1 x 2B3P) dwellinghouses with associated hard and soft landscaping and parking.</t>
  </si>
  <si>
    <t>Land To The Side Of 61 Acacia Road, Hampton TW12 3DP</t>
  </si>
  <si>
    <t>TW12 3DP</t>
  </si>
  <si>
    <t>19/1731/FUL</t>
  </si>
  <si>
    <t>Demolition of existing dwellinghouse and erection of replacement two storey 4 bedroom dwellinghouse with associated hard and soft landscaping and cycle and refuse store. Replacement boundary fence/gates.</t>
  </si>
  <si>
    <t>17A Tower Road, Twickenham TW1 4PD</t>
  </si>
  <si>
    <t>TW1 4PD</t>
  </si>
  <si>
    <t>19/2377/GPD15</t>
  </si>
  <si>
    <t>CHU</t>
  </si>
  <si>
    <t>PA</t>
  </si>
  <si>
    <t>Partial change of use from office to residential (4 No flats).</t>
  </si>
  <si>
    <t>122 - 124 St Margarets Road, Twickenham</t>
  </si>
  <si>
    <t>TW1 2AA</t>
  </si>
  <si>
    <t>St Margarets</t>
  </si>
  <si>
    <t>CA49 Crown Road St Margarets</t>
  </si>
  <si>
    <t>19/2471/FUL</t>
  </si>
  <si>
    <t>EXT</t>
  </si>
  <si>
    <t>Demoltion of existing staircase/structures to rear. Construction of a part 3 part 2 storey rear extension to provide 2 x new flats and roof terrace (1 x studio and 1 x 1 bed flat) and associated bin store, cycle parking and hard and soft landscaping.</t>
  </si>
  <si>
    <t>121 High Street, Whitton, Twickenham TW2 7LG</t>
  </si>
  <si>
    <t>TW2 7LG</t>
  </si>
  <si>
    <t>19/3857/FUL</t>
  </si>
  <si>
    <t>MIX</t>
  </si>
  <si>
    <t>Part two storey, part first floor infill, part second floor rear extensions and extensions / alterations to the roof to facilitate the conversion of existing 1 x studio and 1 x 2 bed flat into four flats (2 x studio and 2 x 1 bed) and increase in retail floorspace with associated refuse and bicycle enclosures and hard and soft landscaping</t>
  </si>
  <si>
    <t>20 London Road, Twickenham TW1 3RR</t>
  </si>
  <si>
    <t>TW1 3RR</t>
  </si>
  <si>
    <t>CA8 Twickenham Riverside</t>
  </si>
  <si>
    <t>20/0773/FUL</t>
  </si>
  <si>
    <t>Erection of 1no. single storey 2 bed dwellinghouse with associated cycle and refuse stores</t>
  </si>
  <si>
    <t>Land At Railway Side, Barnes, London</t>
  </si>
  <si>
    <t>SW13 0AL</t>
  </si>
  <si>
    <t>CA16 Thorne Passage Mortlake</t>
  </si>
  <si>
    <t>20/1885/FUL</t>
  </si>
  <si>
    <t>Conversion of public house to a single residential dwelling</t>
  </si>
  <si>
    <t>80 Windmill Road, Hampton Hill, Hampton TW12 1QU</t>
  </si>
  <si>
    <t>TW12 1QU</t>
  </si>
  <si>
    <t>20/2411/FUL</t>
  </si>
  <si>
    <t>Erection of a 3 bed detached dwelling house with associated off-street parking and amenity space</t>
  </si>
  <si>
    <t>52 Ringwood Way, Hampton Hill TW12 1AT</t>
  </si>
  <si>
    <t>TW12 1AT</t>
  </si>
  <si>
    <t>20/2841/FUL</t>
  </si>
  <si>
    <t>Proposed erection of single storey building at rear to provide 1 no. self contained flat</t>
  </si>
  <si>
    <t>118A - 118B High Street, Hampton Hill, Hampton TW12 1NT</t>
  </si>
  <si>
    <t>TW12 1NT</t>
  </si>
  <si>
    <t>High Street, Hampton Hill</t>
  </si>
  <si>
    <t>20/2902/FUL</t>
  </si>
  <si>
    <t>New 2-storey detached house with associated parking to replace existing bungalow. .</t>
  </si>
  <si>
    <t>60A Wensleydale Road, Hampton TW12 2LX</t>
  </si>
  <si>
    <t>TW12 2LX</t>
  </si>
  <si>
    <t>20/3641/FUL</t>
  </si>
  <si>
    <t>Demolition of existing semi-detached bungalow and garage replacement detached dwelling house (Class C3) comprising ground, first floor and accommodation within the roof space.</t>
  </si>
  <si>
    <t>2 Chestnut Avenue, Hampton TW12 2NU</t>
  </si>
  <si>
    <t>TW12 2NU</t>
  </si>
  <si>
    <t>21/1087/GPD15</t>
  </si>
  <si>
    <t>The proposed works is for the change of use of existing Class E office use on first floor to provide C3 3 x 1 bedroom units and a 1 x 2 bedroom unit</t>
  </si>
  <si>
    <t>First Floor, 55 - 61 Heath Road, Twickenham</t>
  </si>
  <si>
    <t>TW1 4AW</t>
  </si>
  <si>
    <t>21/1841/FUL</t>
  </si>
  <si>
    <t>Demolition of existing car showroom and partial demolition of ancillary offices to facilitate the construction of 4 semi-detached houses with associated landscaping and car parking spaces, construction of a new vehicle access.</t>
  </si>
  <si>
    <t>45 - 49 Station Road, Hampton TW12 2BT</t>
  </si>
  <si>
    <t>TW12 2BT</t>
  </si>
  <si>
    <t>CA12 Hampton Village</t>
  </si>
  <si>
    <t>21/1925/GPD15</t>
  </si>
  <si>
    <t>Change of use of the existing office to create three dwellings</t>
  </si>
  <si>
    <t>1A Rosedale Road, Richmond TW9 2SX</t>
  </si>
  <si>
    <t>TW9 2SX</t>
  </si>
  <si>
    <t>CA36 Kew Foot Road</t>
  </si>
  <si>
    <t>21/2151/FUL</t>
  </si>
  <si>
    <t>Demolition of the existing three storey house and erection of a replacement two storey plus basement single family dwelling with associated hard and soft landscpaing and refuse store.</t>
  </si>
  <si>
    <t>40 West Temple Sheen, East Sheen SW14 7AP</t>
  </si>
  <si>
    <t>SW14 7AP</t>
  </si>
  <si>
    <t>21/2642/FUL</t>
  </si>
  <si>
    <t>Change of use to four C3 residential units for supported living together with external alterations including changes to the roof form and a first floor extension</t>
  </si>
  <si>
    <t>67A Holly Road, Twickenham TW1 4HF</t>
  </si>
  <si>
    <t>TW1 4HF</t>
  </si>
  <si>
    <t>21/3140/FUL</t>
  </si>
  <si>
    <t>5 to 9</t>
  </si>
  <si>
    <t>Demolition of 3 houses and construction of 8 new houses at 38 to 42 Vincam close</t>
  </si>
  <si>
    <t>38 - 42 Vincam Close, Twickenham</t>
  </si>
  <si>
    <t>21/3330/FUL</t>
  </si>
  <si>
    <t>Construction of terrace of 3 family houses with associated parking and landscaping.</t>
  </si>
  <si>
    <t>Car Park, Brooklands Place, Hampton</t>
  </si>
  <si>
    <t>TW12</t>
  </si>
  <si>
    <t>21/4123/GPD26</t>
  </si>
  <si>
    <t>Change of use and conversion of Unit H from Use Class E office to Use Class C3 dwelling house, with ground level car and cycle parking and refuse storage.</t>
  </si>
  <si>
    <t>Unit H, 42 Upper Richmond Road West, East Sheen SW14 8DD</t>
  </si>
  <si>
    <t>SW14 8DD</t>
  </si>
  <si>
    <t>22/0304/GPD26</t>
  </si>
  <si>
    <t>Change of use from class E office to single dwellinghouse, with ground level car and cycle parking and refuse storage.</t>
  </si>
  <si>
    <t>Unit J1 And J2, 42 Upper Richmond Road West, East Sheen SW14 8DD</t>
  </si>
  <si>
    <t>22/0487/FUL</t>
  </si>
  <si>
    <t>Erection of a 3 bedroom attached dwelling.  Demolition of existing timber outbuildings.</t>
  </si>
  <si>
    <t>147 Haliburton Road, Twickenham TW1 1PE</t>
  </si>
  <si>
    <t>TW1 1PE</t>
  </si>
  <si>
    <t>22/1453/FUL</t>
  </si>
  <si>
    <t>Proposed four bedroom dwelling house with full wheelchair accessibility to all levels &amp; rooms.  The proposed dwelling is to be built in the side garden of number 47 Nightingale Road.</t>
  </si>
  <si>
    <t>47 Nightingale Road, Hampton TW12 3HZ</t>
  </si>
  <si>
    <t>TW12 3HZ</t>
  </si>
  <si>
    <t>22/1458/FUL</t>
  </si>
  <si>
    <t>Erect new end-of-terrace dwelling. Part removal of ground floor rear extension on existing dwellinghouse (amended description).</t>
  </si>
  <si>
    <t>57 Warwick Road, Twickenham TW2 6SW</t>
  </si>
  <si>
    <t>TW2 6SW</t>
  </si>
  <si>
    <t>CA72 Hamilton Road Twickenham</t>
  </si>
  <si>
    <t>22/1568/FUL</t>
  </si>
  <si>
    <t>Demolition of the existing 5-bed bungalow and replacement with a 5-bed family house. Associated hard and soft landscaping. Installation of vehicular and pedestrian gate. Bike and refuse stores.</t>
  </si>
  <si>
    <t>Jude Gate, 35 Ham Common, Ham, Richmond TW10 7JG</t>
  </si>
  <si>
    <t>TW10 7JG</t>
  </si>
  <si>
    <t>CA7 Ham Common</t>
  </si>
  <si>
    <t>22/1711/FUL</t>
  </si>
  <si>
    <t>Demolition of existing building. Erection of 2 semi-detached houses with associated landscaping, parking, and refuse/cycle storage.</t>
  </si>
  <si>
    <t>116A Amyand Park Road, Twickenham TW1 3HP</t>
  </si>
  <si>
    <t>TW1 3HP</t>
  </si>
  <si>
    <t>22/1742/FUL</t>
  </si>
  <si>
    <t>Demolition of existing building and erection of two semi-detached houses</t>
  </si>
  <si>
    <t>34 Udney Park Road, Teddington TW11 9BG</t>
  </si>
  <si>
    <t>TW11 9BG</t>
  </si>
  <si>
    <t>22/2082/FUL</t>
  </si>
  <si>
    <t>Demolition of 17 existing garages and erection of five one-bed single-storey dwellings (almshouses) for the over 65s.</t>
  </si>
  <si>
    <t>Garages Rear Of 20 - 34 St Marys Grove, Richmond</t>
  </si>
  <si>
    <t>TW9 1UY</t>
  </si>
  <si>
    <t>CA31 Sheen Road Richmond</t>
  </si>
  <si>
    <t>22/2337/GPD26</t>
  </si>
  <si>
    <t>CON</t>
  </si>
  <si>
    <t>Conversion of 3 Friars Lane to provide 2no. flats</t>
  </si>
  <si>
    <t>3 Friars Lane, Richmond TW9 1NL</t>
  </si>
  <si>
    <t>TW9 1NL</t>
  </si>
  <si>
    <t>CA3 Richmond Green</t>
  </si>
  <si>
    <t>22/2338/GPD26</t>
  </si>
  <si>
    <t>Conversion of part of 4 Friars Lane to provide 1no. flat</t>
  </si>
  <si>
    <t>4 Friars Lane, Richmond TW9 1NL</t>
  </si>
  <si>
    <t>22/2628/FUL</t>
  </si>
  <si>
    <t>New single storey side extension, new verandah roof, replacement fenestration to all elevations, new rooflights to existing rear extension, new roof dormers and associated landscaping to facilitate the conversion of existing 2 properties into 1 dwellinghouse</t>
  </si>
  <si>
    <t>174 Kew Road, Kew, Richmond TW9 2AS</t>
  </si>
  <si>
    <t>TW9 2AS</t>
  </si>
  <si>
    <t>CA55 Kew Road</t>
  </si>
  <si>
    <t>22/3002/GPD26</t>
  </si>
  <si>
    <t>Conversion of offices on ground floor (Class E Use) to 1no. residential dwelling (Class C3 Use)</t>
  </si>
  <si>
    <t>Friars Way, The Green, Richmond TW9 1NQ</t>
  </si>
  <si>
    <t>TW9 1NQ</t>
  </si>
  <si>
    <t>22/3061/FUL</t>
  </si>
  <si>
    <t>Additional storey to add two single bed dwellings</t>
  </si>
  <si>
    <t>22/3626/GPD26</t>
  </si>
  <si>
    <t>Conversion of first and second floor office accommodation to provide 2no. flats</t>
  </si>
  <si>
    <t>2 Friars Lane, Richmond TW9 1NL</t>
  </si>
  <si>
    <t>23/0253/GPD26</t>
  </si>
  <si>
    <t>Conversion of first floor to two self-contained residential flats</t>
  </si>
  <si>
    <t>26A York Street, Twickenham TW1 3LJ</t>
  </si>
  <si>
    <t>TW1 3LJ</t>
  </si>
  <si>
    <t>23/0399/FUL</t>
  </si>
  <si>
    <t>Demolition of the Existing house and outbuildings and replacement with a Single Family Dwelling</t>
  </si>
  <si>
    <t>19 Nylands Avenue, Kew, Richmond TW9 4HH</t>
  </si>
  <si>
    <t>TW9 4HH</t>
  </si>
  <si>
    <t>23/0679/FUL</t>
  </si>
  <si>
    <t>Reversion of 2 bedroom flat, converted in 1990s, back to use as part of Park Lane Stables to accommodate DDA compliant w.c., counselling room, reception area and stable for 'Cuddle Horse' and associated works to improve accessibility and usability. Change</t>
  </si>
  <si>
    <t>Park Lane Stables, Park Lane, Teddington TW11 0HY</t>
  </si>
  <si>
    <t>TW11 0HY</t>
  </si>
  <si>
    <t>23/0977/FUL</t>
  </si>
  <si>
    <t>Proposed flat conversion to split into 2, 2-bed flats.</t>
  </si>
  <si>
    <t>148A Heath Road, Twickenham TW1 4BN</t>
  </si>
  <si>
    <t>TW1 4BN</t>
  </si>
  <si>
    <t>23/1118/FUL</t>
  </si>
  <si>
    <t>Conversion of redundant garage to 1bedroom flat with associated external alterations together with the provision of bin and cycle storage.</t>
  </si>
  <si>
    <t>23/1471/GPD26</t>
  </si>
  <si>
    <t>Change of use and addition of mezzanine floor to create 5 residential units</t>
  </si>
  <si>
    <t>12 Park Road, Hampton Wick KT1 4AS</t>
  </si>
  <si>
    <t>KT1 4AS</t>
  </si>
  <si>
    <t>Hampton Wick</t>
  </si>
  <si>
    <t>CA18 Hampton Wick</t>
  </si>
  <si>
    <t>23/1495/GPD26</t>
  </si>
  <si>
    <t>Prior approval for change of use from Commercial, Business and Service (Use Class E) to Dwellinghouses (Use Class C3) to form 3 dwellings.</t>
  </si>
  <si>
    <t>25 Church Road, Teddington TW11 8PF</t>
  </si>
  <si>
    <t>TW11 8PF</t>
  </si>
  <si>
    <t>CA85 Church Road</t>
  </si>
  <si>
    <t>23/1643/PS192</t>
  </si>
  <si>
    <t>S192</t>
  </si>
  <si>
    <t>Change of use from C3 Dwellinghouse to C4 House in multiple Occupation.</t>
  </si>
  <si>
    <t>3 Redfern Avenue, Whitton TW4 5NA</t>
  </si>
  <si>
    <t>TW4 5NA</t>
  </si>
  <si>
    <t>23/1658/GPD26</t>
  </si>
  <si>
    <t>Conversion of ground floor commercial unit (class E use) to a residential dwelling (class C3 use).</t>
  </si>
  <si>
    <t>66 Hampton Road, Twickenham TW2 5QB</t>
  </si>
  <si>
    <t>TW2 5QB</t>
  </si>
  <si>
    <t>Hampton Road, Twickenham</t>
  </si>
  <si>
    <t>23/1863/GPD26</t>
  </si>
  <si>
    <t>Prior approval under The Town and Country Planning (General Permitted Development etc.) (England) (Amendment) Order 2021 Under Part 3, Schedule 2, Class MA for a change of use of a building and any land within its curtilage from a use falling within E to form 4 dwellings.</t>
  </si>
  <si>
    <t>23/1865/GPD26</t>
  </si>
  <si>
    <t>Prior approval under The Town and Country Planning (General Permitted Development etc.) (England) (Amendment) Order 2021 Under Part 3, Schedule 2, Class MA for a change of use of a building and any land within its curtilage from a use falling within E to form 1 dwelling.</t>
  </si>
  <si>
    <t>23/2304/FUL</t>
  </si>
  <si>
    <t>Change of use to two self-contained units including single storey rear extension with associated landscaping and cycle and refuse stores (resubmission)</t>
  </si>
  <si>
    <t>173 Percy Road, Hampton TW12 2JN</t>
  </si>
  <si>
    <t>TW12 2JN</t>
  </si>
  <si>
    <t>23/2729/FUL</t>
  </si>
  <si>
    <t>Proposed amalgamation of the first floor studio flat and second floor x1 bedroom self contained flats to form 1 x 2-bedroom self contained flat.</t>
  </si>
  <si>
    <t>53 St Margarets Road, Twickenham TW1 2LL</t>
  </si>
  <si>
    <t>TW1 2LL</t>
  </si>
  <si>
    <t>24/0247/ES191</t>
  </si>
  <si>
    <t>ES191</t>
  </si>
  <si>
    <t>Existing use of the property at 560 Hanworth Road, Hounslow TW4 5LH as 3 self-contained units to include the Ground Floor Flat known as 560 Hanworth, First Floor Front Flat known as 560B Hanworth and First Floor Rear Flat known as 560A Hanworth. Existing development at 560 Hanworth Road and 560A Hanworth comprising a two-storey rear extension.</t>
  </si>
  <si>
    <t>560 Hanworth Road, Whitton</t>
  </si>
  <si>
    <t>TW4 5LH</t>
  </si>
  <si>
    <t>24/0504/ES191</t>
  </si>
  <si>
    <t>Use of Property comprising a lower ground floor (formerly no. 65A/Flat 1) and upper ground floor (formerly no. 65B/Flat 2) complete with garden/curtilage areas, as a single dwellinghouse within Use Class C3.</t>
  </si>
  <si>
    <t>65A St Margarets Road, Twickenham</t>
  </si>
  <si>
    <t>24/0614/ES191</t>
  </si>
  <si>
    <t>Establish lawful use as a single dwellinghouse.</t>
  </si>
  <si>
    <t>25 Norman Avenue, Twickenham TW1 2LY</t>
  </si>
  <si>
    <t>TW1 2LY</t>
  </si>
  <si>
    <t>CA21 Cambridge Park East Twickenham</t>
  </si>
  <si>
    <t>24/0846/GPD24</t>
  </si>
  <si>
    <t>Change of use from Class E (commercial, business and service) to Mixed Use Class E (commercial, business and service) and Class C3 (dwellinghouses) to provide 1x self-contained dwelling.</t>
  </si>
  <si>
    <t>91 Sheen Road, Richmond TW9 1YJ</t>
  </si>
  <si>
    <t>TW9 1YJ</t>
  </si>
  <si>
    <t>24/0916/GPD26</t>
  </si>
  <si>
    <t>Change of use from B1(a) to C3 comprising 3 flats.</t>
  </si>
  <si>
    <t>Units A1 And A2 At 86 To 88 And 92 - 98 Lower Mortlake Road, Richmond</t>
  </si>
  <si>
    <t>TW9 2LG</t>
  </si>
  <si>
    <t>24/0949/ES191</t>
  </si>
  <si>
    <t>Certificate of Lawfulness to establish that the dwelling known as 23 Leinster Avenue has been used for in excess of four years as two separate self-contained flats on the ground-floor and first-floor.</t>
  </si>
  <si>
    <t>23 Leinster Avenue, East Sheen SW14 7JW</t>
  </si>
  <si>
    <t>SW14 7JW</t>
  </si>
  <si>
    <t>24/0998/ES191</t>
  </si>
  <si>
    <t>The use of the property (comprising units previously referred to as 69 Castelnau and 69a Castelnau) as one residential dwellinghouse (Use Class C3).</t>
  </si>
  <si>
    <t>69 Castelnau, Barnes SW13 9RT</t>
  </si>
  <si>
    <t>SW13 9RT</t>
  </si>
  <si>
    <t>CA25 Castelnau</t>
  </si>
  <si>
    <t>24/0999/ES191</t>
  </si>
  <si>
    <t>Use as two separate residential units</t>
  </si>
  <si>
    <t>63 Prospect Crescent, Twickenham TW2 7DZ</t>
  </si>
  <si>
    <t>TW2 7DZ</t>
  </si>
  <si>
    <t>24/1038/GPD26</t>
  </si>
  <si>
    <t>Conversion of offices into 3 self-contained flats.</t>
  </si>
  <si>
    <t>2A Claremont Road, Teddington TW11 8DG</t>
  </si>
  <si>
    <t>TW11 8DG</t>
  </si>
  <si>
    <t>24/1061/ES191</t>
  </si>
  <si>
    <t>Continued use of a four-storey with a basement property as a single-family dwelling.</t>
  </si>
  <si>
    <t>Ardingley. 112 Richmond Hill. Richmond TW10 6RJ</t>
  </si>
  <si>
    <t>TW10 6RJ</t>
  </si>
  <si>
    <t>CA5 Richmond Hill</t>
  </si>
  <si>
    <t>24/1229/ES191</t>
  </si>
  <si>
    <t>Lawful use of the property as C3 (dwellinghouse) from previously approved live-work unit.</t>
  </si>
  <si>
    <t>3 Lock Road, Ham, Richmond TW10 7LQ</t>
  </si>
  <si>
    <t>TW10 7LQ</t>
  </si>
  <si>
    <t>24/1493/FUL</t>
  </si>
  <si>
    <t>Retrospective permission for the retention of ground floor in Sui Generis Use (hot food takeaway) and conversion upper floors from Sui Generis to 1 bed 2 person flat and alterations to rear elevation fenestration. Creation of a roof terrace with screening</t>
  </si>
  <si>
    <t>59 Kew Road, Richmond TW9 2NQ</t>
  </si>
  <si>
    <t>TW9 2NQ</t>
  </si>
  <si>
    <t>CA17 Central Richmond</t>
  </si>
  <si>
    <t>24/1740/ES191</t>
  </si>
  <si>
    <t>Use as a single self-contained dwellinghouse</t>
  </si>
  <si>
    <t>1 Queen Elizabeth Walk, Barnes SW13 9SA</t>
  </si>
  <si>
    <t>SW13 9SA</t>
  </si>
  <si>
    <t>Barn Elms Pf</t>
  </si>
  <si>
    <t>CA1 Barnes Green</t>
  </si>
  <si>
    <t>24/2097/ES191</t>
  </si>
  <si>
    <t>Use of property as a single family dwelling</t>
  </si>
  <si>
    <t>3 Magna Square, East Sheen SW14 8LH</t>
  </si>
  <si>
    <t>SW14 8LH</t>
  </si>
  <si>
    <t>CA70 Sheen Lane Mortlake</t>
  </si>
  <si>
    <t>24/2767/ES191</t>
  </si>
  <si>
    <t>29A Fourth Cross Road, Twickenham TW2 5EL</t>
  </si>
  <si>
    <t>TW2 5EL</t>
  </si>
  <si>
    <t>25/0058/ES191</t>
  </si>
  <si>
    <t>Amalgamation of 16 Laurel Road and 17 Laurel Road for use a single residential dwelling (Class C3).</t>
  </si>
  <si>
    <t>16 - 17 Laurel Road, Barnes</t>
  </si>
  <si>
    <t>SW13 0EE</t>
  </si>
  <si>
    <t>04/1020/FUL</t>
  </si>
  <si>
    <t>Erection Of One And Half Storey Rear Extension To Create Self Contained Dwelling</t>
  </si>
  <si>
    <t>83 High Street, Hampton Wick</t>
  </si>
  <si>
    <t>KT1 4DG</t>
  </si>
  <si>
    <t>08/2038/FUL</t>
  </si>
  <si>
    <t>Erection of a pair of semi-detached houses.</t>
  </si>
  <si>
    <t>Land At  Rear Of 293 Petersham Road, Richmond</t>
  </si>
  <si>
    <t>TW10 7DB</t>
  </si>
  <si>
    <t>11/0468/PS192</t>
  </si>
  <si>
    <t>N</t>
  </si>
  <si>
    <t>Continuing construction of block of 11 flats on site of Osbourne House under permission 07/2991/FUL after 28/02/2011 (when the permission would otherwise have expired) will be lawful.</t>
  </si>
  <si>
    <t>Becketts Wharf And Osbourne House, Becketts Place, Hampton Wick</t>
  </si>
  <si>
    <t>KT1 4EQ</t>
  </si>
  <si>
    <t>12/1020/FUL</t>
  </si>
  <si>
    <t>Conversion of ground and first floors to create of no. 25-27 which are linked internally to create the following: no. 25 convert to single dwellinghouse with loft conversion. no.27 Convert ground floor to 1 x 2 bed flat, first floor convert to 2 x 1 bed flats, 2nd floor existing 1 x 2 bed and 1 x 1 bed flats to remain as existing.</t>
  </si>
  <si>
    <t>25 - 27 Thames Street, Hampton TW12 2EW</t>
  </si>
  <si>
    <t>TW12 2EW</t>
  </si>
  <si>
    <t>Thames Street, Hampton</t>
  </si>
  <si>
    <t>13/1327/FUL</t>
  </si>
  <si>
    <t>Reversion of Doughty House and Doughty Cottage, change of use from D1 gallery to a single family dwelling. New conservatory with basement below; underground car parking beneath the upper garden and linked to Doughty House; part re-construction of rear elevation to Doughty House; Formation of new lift shaft in Doughty House with minor alterations at roof level above lift shaft; extension to south east elevation to the cottage to form new ensuite bathrooms at three level.</t>
  </si>
  <si>
    <t>Doughty House And Doughty Cottage, 142 - 142A Richmond Hill, Richmond</t>
  </si>
  <si>
    <t>TW10 6RN</t>
  </si>
  <si>
    <t>14/2797/P3JPA</t>
  </si>
  <si>
    <t>Proposed change of use of part of an existing two storey office block (B1a Use Class) to Residential (C3 Use Class) creating 6 No.flats (comprising 1 x 1-bed unit and 5 x 2-bed units).</t>
  </si>
  <si>
    <t>Crane Mews, 32 Gould Road, Twickenham</t>
  </si>
  <si>
    <t>TW2 6RS</t>
  </si>
  <si>
    <t>16/0058/FUL</t>
  </si>
  <si>
    <t>Change of use of 2nd floor and 3rd floor level from ancillary retail to nine 1 bedroom flats (C3 use) with external alterations and enclosure of walkway at 1st floor, new residential access, bin store, bicycle storage, replacement of plant, new stairs to roof access and  reconfiguration of food store at ground floor level.</t>
  </si>
  <si>
    <t>29 George Street, Richmond TW9 1HY</t>
  </si>
  <si>
    <t>TW9 1HY</t>
  </si>
  <si>
    <t>16/0510/FUL</t>
  </si>
  <si>
    <t>Alterations including construction of a new rear ground floor extension and change of use to commercial space and two 2-bedroom self-contained flats.</t>
  </si>
  <si>
    <t>Shanklin House, 70 Sheen Road, Richmond TW9 1UF</t>
  </si>
  <si>
    <t>TW9 1UF</t>
  </si>
  <si>
    <t>Sheen Road</t>
  </si>
  <si>
    <t>16/2537/FUL</t>
  </si>
  <si>
    <t>Demolition of the existing building, and redevelopment of the site for 8 residential units (1 x 1 bed, 7 x 2 bed units) with associated car and cycle parking, amenity space, refuse and recycling storage.</t>
  </si>
  <si>
    <t>1D Becketts Place, Hampton Wick</t>
  </si>
  <si>
    <t>KT1 4EW</t>
  </si>
  <si>
    <t>17/0323/FUL</t>
  </si>
  <si>
    <t>Erection of a three-storey building to provide  4 two-bedroom residential units (Class C3) separate refuse facilities and altered parking layout.</t>
  </si>
  <si>
    <t>Courtyard Apartments, 70B Hampton Road, Teddington</t>
  </si>
  <si>
    <t>TW11 0JX</t>
  </si>
  <si>
    <t>17/0788/FUL</t>
  </si>
  <si>
    <t>Demolition of lock up garages to provide 1 no. detached 4 bedroom dwellinghouse with associated parking, cycle and refuse stores, new boundary fence and hard and soft landscaping.</t>
  </si>
  <si>
    <t>High Wigsell, 35 Twickenham Road, Teddington</t>
  </si>
  <si>
    <t>TW11</t>
  </si>
  <si>
    <t>17/0925/FUL</t>
  </si>
  <si>
    <t>Two storey side extension, first floor rear extension, rear dormer roof extension and installation of external metal staircase to facilitate the provision of 1 no. 1 bed flat and reconfiguration of existing 2 bed flat to 1 bed flat and associated parking,</t>
  </si>
  <si>
    <t>638 Hanworth Road, Whitton TW4 5NP</t>
  </si>
  <si>
    <t>TW4 5NP</t>
  </si>
  <si>
    <t>Hanworth Road</t>
  </si>
  <si>
    <t>17/1390/FUL</t>
  </si>
  <si>
    <t>Demolition of builders storage building and erection of one bedroomed  2 storey detached dwellinghouse with basement.</t>
  </si>
  <si>
    <t>Land Adjacent To No 1 South Western Road, Twickenham</t>
  </si>
  <si>
    <t>TW1 1LG</t>
  </si>
  <si>
    <t>17/3590/FUL</t>
  </si>
  <si>
    <t>Demolition of the existing garages. Erection of 1 x 2 bed single storey house and 1 x 3 bed single storey house with basement with associated hard and soft landscaping, refuse and cycle stores.</t>
  </si>
  <si>
    <t>Garages Rear Of 48-52 Anlaby Road, Teddington</t>
  </si>
  <si>
    <t>TW11 0PP</t>
  </si>
  <si>
    <t>17/3667/FUL</t>
  </si>
  <si>
    <t>Demolition of existing staff accommodation caravans and storage barn and erection of replacement grooms accommodation.</t>
  </si>
  <si>
    <t>Manor Farm Riding School, Petersham Road, Petersham, Richmond TW10 7AH</t>
  </si>
  <si>
    <t>TW10 7AH</t>
  </si>
  <si>
    <t>Petersham Lodge</t>
  </si>
  <si>
    <t>CA6 Petersham</t>
  </si>
  <si>
    <t>18/0216/FUL</t>
  </si>
  <si>
    <t>The division of the existing single dwelling on the upper floors into two dwellings. Rear dormer and roof lights to the front roofslope.</t>
  </si>
  <si>
    <t>34 Colston Road, East Sheen SW14 7PG</t>
  </si>
  <si>
    <t>SW14 7PG</t>
  </si>
  <si>
    <t>18/1248/FUL</t>
  </si>
  <si>
    <t>Conversion, refurbishment and extension of existing tyre shop with maisonette above (C3) into two self-contained one bedroom flats (C3).</t>
  </si>
  <si>
    <t>1 Trinity Road, Richmond TW9 2LD</t>
  </si>
  <si>
    <t>TW9 2LD</t>
  </si>
  <si>
    <t>18/1442/FUL</t>
  </si>
  <si>
    <t>Demolition of the existing outbuilding to the rear of no.48 Fourth Cross Road accessed via Rutland Road and construction of 1x2 bedroom dwelling including basement, with associated car parking, cycle parking and recycle/refuse storage.</t>
  </si>
  <si>
    <t>Land Rear Of 48 Fourth Cross Road, Twickenham</t>
  </si>
  <si>
    <t>TW2 5ER</t>
  </si>
  <si>
    <t>18/3310/FUL</t>
  </si>
  <si>
    <t>Demolition of existing buildings and structures, and redevelopment of the site to provide a 4-6 storey specialist extra care facility for the elderly with existing health conditions, comprising of 88 units, communal healthcare, therapy, leisure and social facilities (including a Restaurant/bar/cafe and swimming pool). Provision of car and cycle parking, associated landscaping and publicly accessible amenity space including a childrens play area.</t>
  </si>
  <si>
    <t>Kew Biothane Plant, Melliss Avenue, Kew</t>
  </si>
  <si>
    <t>TW9</t>
  </si>
  <si>
    <t>Townmead Kew</t>
  </si>
  <si>
    <t>18/3930/FUL</t>
  </si>
  <si>
    <t>Demolition of existing garage and erection of 1No. 2 storey with habitable roofspace 4 bed dwelling with associated hard and soft landscaping. Alterations to existing crossover and creation of a new crossover in front of No.38 Langham Road to facilitate p</t>
  </si>
  <si>
    <t>38 Langham Road, Teddington TW11 9HQ</t>
  </si>
  <si>
    <t>TW11 9HQ</t>
  </si>
  <si>
    <t>18/3950/FUL</t>
  </si>
  <si>
    <t>Affordable rent</t>
  </si>
  <si>
    <t>(1) Conversion of the existing health facilities (use class D1) to a mixed-use development providing 71 no. residential apartments (use class C3) and 500 sqm of D1 (Health) floorspace.  
(2) Restoration, alteration, extensions and demolition (mainly of later additions) to the existing buildings, new build and provision of a lower ground floor basement (car parking, plant and servicing) and associated landscaping.
(3) Listed building consent for the refurbishment and restoration of Shaftesbury House (Grade II listed), conversion of existing health facilities (use class D1) to residential apartments (use class C3) and all ancillary and associated works.</t>
  </si>
  <si>
    <t xml:space="preserve">Richmond Royal Hospital, Kew Foot Road, Richmond, TW9 2TE
</t>
  </si>
  <si>
    <t>TW9 2TE</t>
  </si>
  <si>
    <t>19/0111/FUL</t>
  </si>
  <si>
    <t>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t>
  </si>
  <si>
    <t xml:space="preserve">12 To 14 Station Road And 13 And 19 To 33 Lower Teddington Road, Hampton Wick
</t>
  </si>
  <si>
    <t>KT1 4HQ</t>
  </si>
  <si>
    <t>19/0175/FUL</t>
  </si>
  <si>
    <t>Demolition of existing one-bedroom, two-storey dwelling and construction of one-bedroom, one-person single-storey dwelling.</t>
  </si>
  <si>
    <t>The Haven, Eel Pie Island, Twickenham TW1 3DY</t>
  </si>
  <si>
    <t>TW1 3DY</t>
  </si>
  <si>
    <t>19/0691/FUL</t>
  </si>
  <si>
    <t>Demolition of 38 garages including vehicle repair garage and the erection of six residential units (2x 3 bed and 4 x 2 bed), incorporating two commercial (B1a offices) units (totalling 152 sq.m), with amenity space, 14 off-street car parking spaces and associated works.</t>
  </si>
  <si>
    <t>Land Rear Of 127 - 147 Kingsway, Mortlake SW14 7HN</t>
  </si>
  <si>
    <t>SW14 7HN</t>
  </si>
  <si>
    <t>19/0911/FUL</t>
  </si>
  <si>
    <t>Proposed construction of additional floor level to create 2 no. additional two bed flats, together with a three storey side extension in the form of a bay window, change to existing fenestration and addition of 8 no. balconies at first and second floor level and associated hard and soft landscaping, 2 no. parking, refuse and cycle stores.</t>
  </si>
  <si>
    <t>Wick House, 10 Station Road, Hampton Wick KT1 4HF</t>
  </si>
  <si>
    <t>KT2 4HF</t>
  </si>
  <si>
    <t>19/0954/VRC</t>
  </si>
  <si>
    <t>VRC</t>
  </si>
  <si>
    <t>Minor material amendment to application ref 16/3290/FUL (Partial demolition of an existing building and the creation of 3 new dwelling houses and associated works) by variation of appeal decision condition 2 (approved drawing numbers) to allow for external and internal changes</t>
  </si>
  <si>
    <t>45 The Vineyard, Richmond TW10 6AS</t>
  </si>
  <si>
    <t>TW10 6AS</t>
  </si>
  <si>
    <t>CA30 St Matthias Richmond</t>
  </si>
  <si>
    <t>19/1065/VRC</t>
  </si>
  <si>
    <t>Minor material amendment to planning permission 17/4358/VRC (which varied/removed approved conditions attached to planning permission ref: 08/1760/EXT dated 30.06.2017) and as further amended by 17/4358/NMA to enable minor changes to Block A of the staff accommodation as originally approved U53177 - Approved Plans and amendments to the wording of conditions U50070 NS51 (formerly 21909) - Finished ground floor level, U50083 NS08 - CHP Energy efficiency blocks A, B, C, U50119 NS46 (formerly U21903) - Boundary treatment, U50120 NS48 (formerly U21905) - Hard/soft landscaping and for partial discharge of U50114 NS42 (formerly U21898)  - Site investigation strategy in relation to the site investigation works undertaken for Phase A.</t>
  </si>
  <si>
    <t xml:space="preserve">St Pauls School, Lonsdale Road, Barnes SW13 9JT
</t>
  </si>
  <si>
    <t>SW13 9JT</t>
  </si>
  <si>
    <t>19/1162/FUL</t>
  </si>
  <si>
    <t>Part change of use of ground floor and rear garden from A1 to C3 (residential use) and replacement window on ground floor rear elevation to facilitate the conversion of existing 1 x 3 bed flat into 2 x 2 bed flats and associated cycle and refuse stores</t>
  </si>
  <si>
    <t>82 - 84 Hill Rise, Richmond</t>
  </si>
  <si>
    <t>TW10 6UB</t>
  </si>
  <si>
    <t>19/1182/FUL</t>
  </si>
  <si>
    <t>Erection of a three-bedroom single-storey dwellinghouse (with basement level), with associated access, parking, hard and soft landscaping and cycle and refuse stores.</t>
  </si>
  <si>
    <t>Land Rear Of 3 - 7 Third Cross Road, Twickenham</t>
  </si>
  <si>
    <t>TW2</t>
  </si>
  <si>
    <t>19/1890/FUL</t>
  </si>
  <si>
    <t>Erection of two pairs of semi-detached 4 bedroom dwellings and associated parking and landscaping following the demolition of the existing property.</t>
  </si>
  <si>
    <t>224 Hospital Bridge Road, Twickenham TW2 6LF</t>
  </si>
  <si>
    <t>TW2 6LF</t>
  </si>
  <si>
    <t>19/2199/FUL</t>
  </si>
  <si>
    <t>Erection of a two-storey building with a basement level providing a commercial unit (Flexible Use Class B1 or D1) on part ground floor and basement levels and two flats (2 x 2-beds) on ground and upper floors.  Associated cycle and refuse stores.</t>
  </si>
  <si>
    <t>14 St Leonards Road, East Sheen SW14 7LY</t>
  </si>
  <si>
    <t>SW14 7LY</t>
  </si>
  <si>
    <t>19/2404/FUL</t>
  </si>
  <si>
    <t>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t>
  </si>
  <si>
    <t xml:space="preserve">Queens Road Estate, Queens Road, Richmond TW10
</t>
  </si>
  <si>
    <t>TW10 6SP</t>
  </si>
  <si>
    <t>19/2414/FUL</t>
  </si>
  <si>
    <t>Erection of a single storey one-bed dwelling, associated parking provision, cycle and refuse stores and landscaping.</t>
  </si>
  <si>
    <t>Rear Of 54 Heathside, Whitton</t>
  </si>
  <si>
    <t>TW4 5NN</t>
  </si>
  <si>
    <t>19/2789/FUL</t>
  </si>
  <si>
    <t>Demolition of existing commercial building and erection of building to provide 15 affordable residential units, together with 12 parking spaces and communal amenity space.</t>
  </si>
  <si>
    <t>Lockcorp House, 75 Norcutt Road, Twickenham TW2 6SR</t>
  </si>
  <si>
    <t>TW2 6SR</t>
  </si>
  <si>
    <t>19/3490/FUL</t>
  </si>
  <si>
    <t>Part two-storey/part single-storey rear extension to provide 1no. additional dwelling, including associated alterations to fenestration, following demolition of existing single-storey rear extension.</t>
  </si>
  <si>
    <t>81 High Street, Hampton Wick KT1 4DG</t>
  </si>
  <si>
    <t>19/3616/FUL</t>
  </si>
  <si>
    <t>London Living rent</t>
  </si>
  <si>
    <t>Proposed redevelopment of existing car park to provide a new building of 5 to 6 storeys, comprising 46 no. residential units (Use Class C3), disabled car parking, cycle parking, landscaping, enhancements to public realm and associated works</t>
  </si>
  <si>
    <t xml:space="preserve">Old Station Forecourt, Railway Approach, Twickenham TW1 4LJ
</t>
  </si>
  <si>
    <t>TW1 4LJ</t>
  </si>
  <si>
    <t>19/3632/FUL</t>
  </si>
  <si>
    <t>Loft conversion to no. 1 and no. 3 Cromwell Road to provide 2 x 1 person studios with external extensions (side dormer roof extensions) and alterations with internal remodeling and ancillary cycle and refuse storage.</t>
  </si>
  <si>
    <t>1 - 3 Cromwell Road, Teddington</t>
  </si>
  <si>
    <t>TW11 9EQ</t>
  </si>
  <si>
    <t>19/3905/FUL</t>
  </si>
  <si>
    <t>Replacement shopfront, replacement windows, 2 no. rooflights on front roof slope, new basement level with lightwells and rear staircase ground floor side/rear extension and 3 rear dormer roof extension to facilitate the provision of 1 no. retail unit and 7 no. flats (5 x studio flats and 2 x 1 bed flats) with associated hard and soft landscaping, cycle and refuse stores.</t>
  </si>
  <si>
    <t>422 Upper Richmond Road West, East Sheen</t>
  </si>
  <si>
    <t>TW10 5DY</t>
  </si>
  <si>
    <t>20/0145/FUL</t>
  </si>
  <si>
    <t>3,2m rear extension and division of a single flat into 2 flats.</t>
  </si>
  <si>
    <t>133A Percy Road, Twickenham TW2 6HT</t>
  </si>
  <si>
    <t>TW2 6HT</t>
  </si>
  <si>
    <t>20/0539/FUL</t>
  </si>
  <si>
    <t>Demolition of all existing buildings; erection of two 3-storey buildings comprising 30 residential dwellings in total (6 x1 bedroom, 17 x 2 bedroom &amp; 7 x 3 bedroom); erection of single storey nursery building (294 sqm in total) alterations to existing acc</t>
  </si>
  <si>
    <t xml:space="preserve">The Strathmore Centre, Strathmore Road, Teddington TW11 8UH
</t>
  </si>
  <si>
    <t>TW11 8UH</t>
  </si>
  <si>
    <t>Block A</t>
  </si>
  <si>
    <t>Block B</t>
  </si>
  <si>
    <t>20/0595/FUL</t>
  </si>
  <si>
    <t>Demolition of existing outbuilding.  Single storey side/rear extension to facilitate change of use of rear part of ground floor (A1 (Retail)) to residential use (Class C3) to create 1 x 1 bed flat with associated cycle and refuse store.</t>
  </si>
  <si>
    <t>64 White Hart Lane, Barnes SW13 0PZ</t>
  </si>
  <si>
    <t>SW13 0PZ</t>
  </si>
  <si>
    <t>White Hart lane, Barnes</t>
  </si>
  <si>
    <t>CA33 Mortlake</t>
  </si>
  <si>
    <t>20/1846/FUL</t>
  </si>
  <si>
    <t>Ground and basement extensions to facilitate change of use of basement and part change of use of ground floor from A1 to C3 to provide a one- bedroom residential unit</t>
  </si>
  <si>
    <t>4 The Broadway, Barnes SW13 0NY</t>
  </si>
  <si>
    <t>SW13 0NY</t>
  </si>
  <si>
    <t>White Hart Lane/Mortlake H</t>
  </si>
  <si>
    <t>20/2345/FUL</t>
  </si>
  <si>
    <t>Erection of a new 3 bedroom disabled dwelling with mezzanine, dormer room and carers' accommodation and retrospective permission for the demolition of fire destroyed bungalow.</t>
  </si>
  <si>
    <t xml:space="preserve">31A Whitton Waye, Whitton TW3 2LT
</t>
  </si>
  <si>
    <t>TW3 2LT</t>
  </si>
  <si>
    <t>20/2358/FUL</t>
  </si>
  <si>
    <t>Change of use for conversion of an office designed as a live work one-bedroom residential property to a two-bedroom residential property, with associated landscaping.</t>
  </si>
  <si>
    <t xml:space="preserve">19 Thames Street, Hampton TW12 2EW
</t>
  </si>
  <si>
    <t>20/3489/FUL</t>
  </si>
  <si>
    <t>Erection of hip to gable roof extension to No. 7. Subdivision of garden plot, first floor side and rear extension, rear dormer, front ground and first floor bay windows to facilitate the provision of 1 x 3 bed house adjoining 7 Dorset Way with associated hard and soft landscaping.</t>
  </si>
  <si>
    <t>7 Dorset Way, Twickenham TW2 6NB</t>
  </si>
  <si>
    <t>TW2 6NB</t>
  </si>
  <si>
    <t>20/3495/FUL</t>
  </si>
  <si>
    <t>Conversion of existing ancillary residential accommodation to a single-family dwelling house with minor external alterations, associated parking, refuse and cycle enclosures.</t>
  </si>
  <si>
    <t>Land To Rear Of 24 Marchmont Road, Richmond TW10 6HQ</t>
  </si>
  <si>
    <t>TW10 6HQ</t>
  </si>
  <si>
    <t>21/0129/PS192</t>
  </si>
  <si>
    <t>Conversion of the existing 4-storey Use Class A2 unit to mixed-use, comprising an A2 unit at ground floor and two residential flats above on the second, third, and fourth floors.</t>
  </si>
  <si>
    <t>1 London Road, Twickenham TW1 3SX</t>
  </si>
  <si>
    <t>TW1 3SX</t>
  </si>
  <si>
    <t>21/0699/FUL</t>
  </si>
  <si>
    <t>Upward roof extension to provide for one flat, and alter elevations, and associated works</t>
  </si>
  <si>
    <t>47 Crown Road, Twickenham TW1 3EJ</t>
  </si>
  <si>
    <t>TW1 3EJ</t>
  </si>
  <si>
    <t>21/0754/GPD15</t>
  </si>
  <si>
    <t>Change of use from existing offices in building of 63-65 High Street to 12 residential flats (including retention of 3 existing self-contained flats on second floor).</t>
  </si>
  <si>
    <t>63 - 65 High Street, Hampton Hill</t>
  </si>
  <si>
    <t>TW12 1NH</t>
  </si>
  <si>
    <t>CA38 High Street Hampton Hill</t>
  </si>
  <si>
    <t>21/1174/FUL</t>
  </si>
  <si>
    <t>Single storey rear extension to existing dwelling. New attached two-storey dwelling with habitable roof space, 2No. parking spaces, associated landscaping and re-located crossover.</t>
  </si>
  <si>
    <t>21 River Way, Twickenham TW2 5JP</t>
  </si>
  <si>
    <t>TW2 5JP</t>
  </si>
  <si>
    <t>21/1328/FUL</t>
  </si>
  <si>
    <t>Part three storey part single storey extension to provide an additional retail unit (Class E) at ground floor and 1 x residential dwelling on upper floors.  Alterations to bay windows at 171 Ashburnham Road.  Associated hard and soft landscaping works inc</t>
  </si>
  <si>
    <t>Land South Of 171 And 171 Ashburnham Road, Ham</t>
  </si>
  <si>
    <t>TW10 7NR</t>
  </si>
  <si>
    <t>21/1864/FUL</t>
  </si>
  <si>
    <t>Extension of existing house and reversion of two (33 and 35) plots into one and associated hard and soft landscaping</t>
  </si>
  <si>
    <t>33 Ham Farm Road, Ham, Richmond TW10 5NA</t>
  </si>
  <si>
    <t>TW10 5NA</t>
  </si>
  <si>
    <t>CA67 Parkleys Estate Ham</t>
  </si>
  <si>
    <t>21/2208/FUL</t>
  </si>
  <si>
    <t>Erection of three-storey building comprising six residential apartments (3 x 1 bed/1 person, 2 x 1 bed/2 person, 1 x 1 person M(4)3);  landscaping including private amenity space and ecological enhancement; secure cycle and refuse storage structures.</t>
  </si>
  <si>
    <t>Potterill Court, Harlequin Road, Teddington</t>
  </si>
  <si>
    <t>TW11 9BY</t>
  </si>
  <si>
    <t>21/2282/FUL</t>
  </si>
  <si>
    <t>Erection of a two-storey building comprising 4 residential apartments ( 3 x 1 bed/1 person units and 1 x 1 bed/1 person M(4)3 unit); landscaping including private amenity space and ecological enhancement; secure cycle and refuse storage structures.</t>
  </si>
  <si>
    <t>Land Adjacent 12 Willow Avenue, Barnes</t>
  </si>
  <si>
    <t>SW13 0LT</t>
  </si>
  <si>
    <t>21/2441/FUL</t>
  </si>
  <si>
    <t>Change of use (to C3) of former Royal Oak Public House. Alterations and extension to ground floor, and alterations to existing facades to create 1 x 3 bedroom dwellinghouse with 2 x off-street parking spaces and associated cycle parking.</t>
  </si>
  <si>
    <t>The Royal Oak, Ham Street, Ham, Richmond TW10 7HN</t>
  </si>
  <si>
    <t>TW10 7HN</t>
  </si>
  <si>
    <t>The Manor House Ham</t>
  </si>
  <si>
    <t>CA23 Ham House</t>
  </si>
  <si>
    <t>21/2533/FUL</t>
  </si>
  <si>
    <t>Provision of new community centre on existing North Lane Depot, East Car Park site, together with demolition of existing community centre and provision of affordable housing on existing Elleray Hall site.</t>
  </si>
  <si>
    <t>Elleray Hall Site North Lane Depot And East Car Park, Middle Lane, Teddington</t>
  </si>
  <si>
    <t>TW11 0HG</t>
  </si>
  <si>
    <t>21/2729/FUL</t>
  </si>
  <si>
    <t>Renovation, rear single storey extension, new gable roof extension and rear basement to existing building to form six apartments.</t>
  </si>
  <si>
    <t>85 Connaught Road, Teddington</t>
  </si>
  <si>
    <t>TW11 0QQ</t>
  </si>
  <si>
    <t>21/2965/FUL</t>
  </si>
  <si>
    <t>Change of use of basement from mixed storage to self-contained 2 bed dwelling,  single storey extension, extension to existing basement, creation  new side entrance on the eastern elevation, extension of rear terrace,  new pitched roof on the front elevation, side extension . Alterations  to the existing boundary fence.</t>
  </si>
  <si>
    <t>2 Montrose Avenue, Twickenham TW2 6HB</t>
  </si>
  <si>
    <t>TW2 6HB</t>
  </si>
  <si>
    <t>21/3136/FUL</t>
  </si>
  <si>
    <t>Demolition of existing college buildings, removal of hard-surfacing, site clearance and groundworks together with the redevelopment of the site to provide new residential units; together with associated parking, cycle parking, open space and landscaping.</t>
  </si>
  <si>
    <t xml:space="preserve">Richmond Upon Thames College, Langhorn Drive, Twickenham TW2 7SJ
</t>
  </si>
  <si>
    <t>TW2 7SJ</t>
  </si>
  <si>
    <t>21/3188/FUL</t>
  </si>
  <si>
    <t>Erection of 7 residential units (4 x 1 and 2 bed flats and 3 x 3 bed houses) with ground floor Class E commercial business and service space (73.3m2) including associated works.</t>
  </si>
  <si>
    <t>Adjacent To 118 Kneller Road, Twickenham TW2 7DX</t>
  </si>
  <si>
    <t>21/3820/FUL</t>
  </si>
  <si>
    <t>Single storey rear extension, with a change of use of part of a derelict retail unit and residential unit to a one bedroom flat and the erection of an overhead shutter door to the rear yard.</t>
  </si>
  <si>
    <t>95 Stanley Road, Teddington TW11 8UB</t>
  </si>
  <si>
    <t>TW11 8UB</t>
  </si>
  <si>
    <t>Stanley Road, Teddington</t>
  </si>
  <si>
    <t>21/4038/FUL</t>
  </si>
  <si>
    <t>Change of use of ground floor and basement of the former Old Kings Head public house to a Mixed Use Community Cycle Hub comprising Cafe (Use Class E(b)), Training Area (Use Class F2(b)) and Treatment Room/Medical (Use Class E(e)) and 1No. 1-bedroom  apartment.   Alterations and conversion of the first and second floors to replace existing staff accommodation with 3No. 2-bedroom apartments.  External Alterations to include the replacement of French doors with balconies and a roof terrace on the first floor western and southern elevations, the installation of 2 no. conservation-style rooflights on the southern and western roof slopes and a bike enclosure to the rear at ground floor.</t>
  </si>
  <si>
    <t>The Old Kings Head, Hampton Court Road, Hampton Wick KT1 4AE</t>
  </si>
  <si>
    <t>KT1 4AE</t>
  </si>
  <si>
    <t>Hampton Court</t>
  </si>
  <si>
    <t>21/4119/FUL</t>
  </si>
  <si>
    <t>Construction of new detached family home following demolition of existing detached bungalow.</t>
  </si>
  <si>
    <t>92 Sandy Lane, Teddington TW11 0DF</t>
  </si>
  <si>
    <t>TW11 0DF</t>
  </si>
  <si>
    <t>22/0153/GPD26</t>
  </si>
  <si>
    <t>Change of use of part of ground floor and first floor from restaurant to C3 residential use to provide 1 additional first floor flat</t>
  </si>
  <si>
    <t>29 Kew Road, Richmond TW9 2NQ</t>
  </si>
  <si>
    <t>22/0399/FUL</t>
  </si>
  <si>
    <t>Construction of a part 1/2/3 storey building including basement level to provide 14 co-living units (sui generis) and associated hard and soft landscaping, cycle and refuse stores</t>
  </si>
  <si>
    <t>47A 47 And 49 Lower Mortlake Road, Richmond</t>
  </si>
  <si>
    <t>TW9 2LW</t>
  </si>
  <si>
    <t>22/0754/FUL</t>
  </si>
  <si>
    <t>Demolition and reconstruction of a terraced property with basement, ground and loft extensions.</t>
  </si>
  <si>
    <t>28 Westfields Avenue, Barnes SW13 0AU</t>
  </si>
  <si>
    <t>SW13 0AU</t>
  </si>
  <si>
    <t>22/0901/FUL</t>
  </si>
  <si>
    <t>Demolition of existing garages and greenhouses and redevelopment to provide a single detached residential property with basement</t>
  </si>
  <si>
    <t>Land Rear Of 130 Castelnau, Barnes</t>
  </si>
  <si>
    <t>SW13 9ET</t>
  </si>
  <si>
    <t>22/0934/FUL</t>
  </si>
  <si>
    <t>Demolition of existing dwelling house and construction of replacement single storey dwellinghouse and associated hard and soft landscaping</t>
  </si>
  <si>
    <t>25 Ham Farm Road, Ham, Richmond TW10 5NA</t>
  </si>
  <si>
    <t>22/1214/GPD26</t>
  </si>
  <si>
    <t>Change of use of first and second floors to C3 (residential) use to facilitate the creation of 2x 2-bed 3-person flats.</t>
  </si>
  <si>
    <t>First And Second Floors, 41 Broad Street, Teddington TW11 8QZ</t>
  </si>
  <si>
    <t>TW11 8QZ</t>
  </si>
  <si>
    <t>22/1278/GPD26</t>
  </si>
  <si>
    <t>Change of use from offices in building of 67-71 High Street to seven residential flats (three 1-bed, three 2-bed, one 3-bed)</t>
  </si>
  <si>
    <t>67 - 71 High Street, Hampton Hill, Hampton TW12 1NH</t>
  </si>
  <si>
    <t>22/1442/FUL</t>
  </si>
  <si>
    <t>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	Community/Leisure Facility (Class F2) of up to 3 storeys in height (with plant above) c.	Maker labs (sui generis) of up to 2 storeys d.Basement car park e.	Provision of on-site cycle, vehicle and servicing parking f.Provision of amenity space and playspace g.	Site wide landscaping and alterations to Ham Village Green, and h.New pedestrian, vehicle and cycle accesses and internal routes and associated highways works</t>
  </si>
  <si>
    <t xml:space="preserve">Ham Close, Ham Village Green, Car Park To East Of Ham Village Green, And Part Of Woodville Day Centre Site And St Richards Church Of England Primary School Site, Ham
</t>
  </si>
  <si>
    <t>TW10 7PG</t>
  </si>
  <si>
    <t>Phase 1 Existing</t>
  </si>
  <si>
    <t>Phase 1 Proposed</t>
  </si>
  <si>
    <t>Phase 2 Existing</t>
  </si>
  <si>
    <t>Phase 2 Proposed</t>
  </si>
  <si>
    <t>Phase 3 Existing</t>
  </si>
  <si>
    <t>Phase 3 Proposed</t>
  </si>
  <si>
    <t>Shared ownership</t>
  </si>
  <si>
    <t>22/1497/FUL</t>
  </si>
  <si>
    <t>The demolition of the existing dwelling house and 22 garages and the construction of 5 x new residential dwellings (Class C3) with associated hard and soft landscaping, parking and associated infrastructure.</t>
  </si>
  <si>
    <t>32 Haverfield Gardens, Kew, Richmond TW9 3DD</t>
  </si>
  <si>
    <t>TW9 3DD</t>
  </si>
  <si>
    <t>CA2 Kew Green</t>
  </si>
  <si>
    <t>22/1513/FUL</t>
  </si>
  <si>
    <t>Erection of a new dwelling with associated parking and landscaping.</t>
  </si>
  <si>
    <t>2A Courtlands Avenue, Hampton TW12 3NT</t>
  </si>
  <si>
    <t>TW12 3NT</t>
  </si>
  <si>
    <t>22/2360/FUL</t>
  </si>
  <si>
    <t>Demolition of the existing buildings. Erection of a three storey mixed-use building on Priests Bridge (comprising Use Class E and 7 x residential units on first and second floor (three 1-bedroom flats, four 2-bedrooms flats)).  Erection of a part-one, part-two storey mixed-use building to rear (comprising Use Class E and 2 x residential units (two-bedrooms flats) with associated parking, cycle and refuse stores, hard and soft landscaping.</t>
  </si>
  <si>
    <t>26-28 Priests Bridge, East Sheen SW14 8TA</t>
  </si>
  <si>
    <t>SW14 8TA</t>
  </si>
  <si>
    <t>Priests Bridge, Barnes</t>
  </si>
  <si>
    <t>22/2556/FUL</t>
  </si>
  <si>
    <t>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t>
  </si>
  <si>
    <t>Greggs, Gould Road, Twickenham, TW2 6RT</t>
  </si>
  <si>
    <t>TW2 6RT</t>
  </si>
  <si>
    <t>22/3193/FUL</t>
  </si>
  <si>
    <t>Conversion of Ground Floor Commercial unit (Use Class E) to 3 No. Self Contained 1-bed units (Use Class C3), a single storey rear extension and alterations to fenestrations. Demolition of existing rear garage and provision of 2 rear car parking spaces, re</t>
  </si>
  <si>
    <t>1 - 5  Bridge Parade, Wensleydale Road, Hampton</t>
  </si>
  <si>
    <t>TW12 2LP</t>
  </si>
  <si>
    <t>Wensleydale Road, Hampton</t>
  </si>
  <si>
    <t>22/3397/GPD26</t>
  </si>
  <si>
    <t>Change of use of the building from Use Class E (Office) to C3 (Residential) single dwelling.</t>
  </si>
  <si>
    <t>33A Milton Road, Hampton TW12 2LL</t>
  </si>
  <si>
    <t>TW12 2LL</t>
  </si>
  <si>
    <t>22/3810/FUL</t>
  </si>
  <si>
    <t>Erection of a single storey, detached, two-bedroom dwelling finished with green roof and associated cycle parking, refuse storage and landscaping.</t>
  </si>
  <si>
    <t>Land Rear Of 185 Waldegrave Road, Teddington</t>
  </si>
  <si>
    <t>TW11 8LU</t>
  </si>
  <si>
    <t>23/0197/FUL</t>
  </si>
  <si>
    <t>Demolition of existing detached house and erection of new detached house containing 5 bedrooms</t>
  </si>
  <si>
    <t>64 Ormond Avenue, Hampton TW12 2RX</t>
  </si>
  <si>
    <t>TW12 2RX</t>
  </si>
  <si>
    <t>23/0291/FUL</t>
  </si>
  <si>
    <t>Demolition of existing Boot House and erection of new two-storey dwelling with porch and rear dormer. Bin store to front garden and front boundary wall. Cycle storage to rear garden. Instillation of air source heat pump and photovoltaic panels.</t>
  </si>
  <si>
    <t>25 Kentwode Green, Barnes SW13 9AD</t>
  </si>
  <si>
    <t>SW13 9AD</t>
  </si>
  <si>
    <t>23/0970/FUL</t>
  </si>
  <si>
    <t>Change of use of second floor staff flat to ancillary office space and staff rest space to the use class F1(a) education use.</t>
  </si>
  <si>
    <t>30 Cumberland Road, Kew</t>
  </si>
  <si>
    <t>TW9 3HQ</t>
  </si>
  <si>
    <t>CA15 Kew Gardens</t>
  </si>
  <si>
    <t>23/1060/FUL</t>
  </si>
  <si>
    <t>Use of Second Floor of 24-26 Cumberland Road (staff flat) for education purposes Class F1[a].</t>
  </si>
  <si>
    <t>Kew College, 24 Cumberland Road, Kew, Richmond TW9 3HQ</t>
  </si>
  <si>
    <t>23/1154/FUL</t>
  </si>
  <si>
    <t>Proposed single storey extensions, single storey roof canopy &amp; roof space conversion to existing workshop to rear (part-retrospective); 3 No. residential unit infill over access road to front; adjustment to access point with dropped kerb; plus cycle parking, waste and recycling storage and hard &amp; soft landscaping</t>
  </si>
  <si>
    <t>31 Stanley Road, Teddington TW11 8TP</t>
  </si>
  <si>
    <t>TW11 8TP</t>
  </si>
  <si>
    <t>23/1485/FUL</t>
  </si>
  <si>
    <t>Change of use from Use Class E (office) to Use Class C3 (residential) to provide 1 x 3 bedroom maisonette and provision of one Air-source heat pump at first-floor level on the rear elevation and replacement windows and rooflight at the rear.</t>
  </si>
  <si>
    <t>12 - 14 Hill Street, Richmond TW9 1TN</t>
  </si>
  <si>
    <t>TW9 1TN</t>
  </si>
  <si>
    <t>23/1869/FUL</t>
  </si>
  <si>
    <t>The subdivision of a two-storey maisonette flat into two separate flats and loft extension to the third flat including a flat roof dormer to the rear.</t>
  </si>
  <si>
    <t>391 Upper Richmond Road West, East Sheen SW14 7NX</t>
  </si>
  <si>
    <t>SW14 7NX</t>
  </si>
  <si>
    <t>23/2146/FUL</t>
  </si>
  <si>
    <t>Demolition of the existing dwelling at Little Orchard and the erection of a new dwelling maintaining the existing access off Bute Avenue and associated refuse/cycle storage and amendments to boundary treatment</t>
  </si>
  <si>
    <t>Little Orchard, Sudbrook Lane, Petersham TW10 7AT</t>
  </si>
  <si>
    <t>TW10 7AT</t>
  </si>
  <si>
    <t>23/2944/GPD26</t>
  </si>
  <si>
    <t>Change of Use of Existing Ground Floor Class Use E (Office) to Class Use C3 (Dwelling).</t>
  </si>
  <si>
    <t>44 Church Road, Teddington TW11 8PB</t>
  </si>
  <si>
    <t>TW11 8PB</t>
  </si>
  <si>
    <t>23/3457/FUL</t>
  </si>
  <si>
    <t>New three-bedroom house to the side of 16 Tayben Avenue; alterations to No.16 Tayben Avenue including new driveway and landscaping and roof extensions as per Lawful Development Certificate ref. 23/2302/PS192</t>
  </si>
  <si>
    <t>16 Tayben Avenue, Twickenham TW2 7RA</t>
  </si>
  <si>
    <t>TW2 7RA</t>
  </si>
  <si>
    <t>24/0811/FUL</t>
  </si>
  <si>
    <t>Demolition of existing dwelling, construction of single dwelling with associated refuse and cycle store. ASHP and EV charging point.</t>
  </si>
  <si>
    <t>2 West Temple Sheen, East Sheen SW14 7RT</t>
  </si>
  <si>
    <t>SW14 7RT</t>
  </si>
  <si>
    <t>24/1631/GPD26</t>
  </si>
  <si>
    <t>Conversion of part of ground floor from Class E to a 1 bed flat.</t>
  </si>
  <si>
    <t>398 Richmond Road, Twickenham TW1 2DY</t>
  </si>
  <si>
    <t>TW1 2DY</t>
  </si>
  <si>
    <t>East Twickenham</t>
  </si>
  <si>
    <t>CA66 Richmond Road East Twickenham</t>
  </si>
  <si>
    <t>24/1784/FUL</t>
  </si>
  <si>
    <t>Reduction in depth of existing rear extension and rebuilding rear wall. Insertion of new windows, door and rooflights and removal of existing extension into internal lightwell. Subdivision of 2no. existing flats at 1st and 2nd floor level to create 4no. flats.</t>
  </si>
  <si>
    <t>24/1812/GPD26</t>
  </si>
  <si>
    <t>Conversion of property from use Class E(g)(i) to Use Class C3 to provide one dwelling.</t>
  </si>
  <si>
    <t>The Old Fire Station, 123 Mortlake High Street, Mortlake SW14 8SN</t>
  </si>
  <si>
    <t>SW14 8SN</t>
  </si>
  <si>
    <t>24/2018/PS192</t>
  </si>
  <si>
    <t>Change of use from HMO C4 to Single Dwelling C3.</t>
  </si>
  <si>
    <t>63 Priory Road, Kew TW9 3DH</t>
  </si>
  <si>
    <t>TW9 3DH</t>
  </si>
  <si>
    <t>24/2209/FUL</t>
  </si>
  <si>
    <t>Demolition of existing and construction of 2 storey, 3 bed replacement dwelling with rear and side extensions and front porch. Associated works including solar panels, air source heat pump, bike shed in rear garden.</t>
  </si>
  <si>
    <t>26 Washington Road, Barnes SW13 9BH</t>
  </si>
  <si>
    <t>SW13 9BH</t>
  </si>
  <si>
    <t>24/2431/GPD26</t>
  </si>
  <si>
    <t>Change of use from premises in light industrial use (Class B1(c)) to C3, including internal alterations.</t>
  </si>
  <si>
    <t>Unit 1, Sheen Stables Rear Of 119 Sheen Lane, East Sheen</t>
  </si>
  <si>
    <t>SW14 8AE</t>
  </si>
  <si>
    <t>24/2655/GPD26</t>
  </si>
  <si>
    <t>Change of Use of an office (Use Class E(g)(i)) to form 3no. dwellinghouses (Use Class C3)</t>
  </si>
  <si>
    <t>1 Rocks Lane, Barnes</t>
  </si>
  <si>
    <t>SW9 0DB</t>
  </si>
  <si>
    <t>Church Road/Castelnau, Bar</t>
  </si>
  <si>
    <t>24/2720/FUL</t>
  </si>
  <si>
    <t>Mansard roof extension to create 1no. flat with associated bin and cycle storage.  New shop front and external alterations to include replacement windows and doors together with a reduction in the depth of the single storey rear extension and associated external alterations</t>
  </si>
  <si>
    <t>24/3195/GPD26</t>
  </si>
  <si>
    <t>Change of use from offices (Class E) to a four bedroom dwelling (Class C3).</t>
  </si>
  <si>
    <t>21 Park Lane, Richmond TW9 2RA</t>
  </si>
  <si>
    <t>TW9 2RA</t>
  </si>
  <si>
    <t>18/0693/FUL</t>
  </si>
  <si>
    <t>Erection of a two storey house with additional rooms in the roof at the corner of St James's Road and Park Road (currently part of the plot of 59 Park Road). Alterations to boundary wall to facilitate the creation of new access from St James Road together with associated hard and soft landscaping, cycle and refuse stores and 2 x off-street parking.</t>
  </si>
  <si>
    <t>59 Park Road, Hampton Hill TW12 1HX</t>
  </si>
  <si>
    <t>TW12 1HX</t>
  </si>
  <si>
    <t>18/3575/FUL</t>
  </si>
  <si>
    <t>Demolition of existing garage. Erection of two x 2 storey five bed single-family dwellings with basement and associated hard and soft landscaping, new boundary treatment and refuse and cycle provision. Creation of dropped kerbs to facilitate provision of off-street parking.</t>
  </si>
  <si>
    <t>Land Rear Of 272-278 St Margarets Road, Twickenham</t>
  </si>
  <si>
    <t>TW1</t>
  </si>
  <si>
    <t>CA19 St Margarets</t>
  </si>
  <si>
    <t>19/0404/FUL</t>
  </si>
  <si>
    <t>Proposed construction of 2 bedroom dwellinghouse with 1No car parking space; secure storage for 2No cycles; refuse &amp; recycling storage; replacement of part of existing boundary wall with gates, piers &amp; railings to provide new pedestrian &amp; vehicular access</t>
  </si>
  <si>
    <t>Land Adjacent To 53 Old Deer Park Gardens, Richmond</t>
  </si>
  <si>
    <t>TW9 2T</t>
  </si>
  <si>
    <t>19/0510/FUL</t>
  </si>
  <si>
    <t>Demolition of existing buildings and structures and comprehensive phased residential-led redevelopment to provide 453 residential units (of which 173 units will be affordable), flexible retail, community and office uses, provision of car and cycle parking</t>
  </si>
  <si>
    <t>Homebase, 84 Manor Road, Richmond</t>
  </si>
  <si>
    <t>TW9 1YB</t>
  </si>
  <si>
    <t>19/3053/FUL</t>
  </si>
  <si>
    <t>Erection of a detached building comprising 7 self contained flats and a single family dwelling with associated access, parking and landscaping.</t>
  </si>
  <si>
    <t>217 Kingston Road, Teddington TW11 9JN</t>
  </si>
  <si>
    <t>TW11 9JN</t>
  </si>
  <si>
    <t>20/0969/FUL</t>
  </si>
  <si>
    <t>The demolition of an existing garage and ancillary outbuildings on garden land and the construction of 2 new detached houses.</t>
  </si>
  <si>
    <t>Land Rear Of 256 To 258, Kingston Road, Teddington</t>
  </si>
  <si>
    <t>CA83 Wick Road</t>
  </si>
  <si>
    <t>20/1871/FUL</t>
  </si>
  <si>
    <t>Demolition of two blocks of lock-up garages and construction of 3 x 2 bed dwellings with associated structures and landscaping works.</t>
  </si>
  <si>
    <t>Land R/O 8 To 18 Atbara Road, Teddington</t>
  </si>
  <si>
    <t>20/3061/FUL</t>
  </si>
  <si>
    <t>Proposed rear ground floor and first floor extension with addition of a rear dormer and external alterations, creation of 2 x 2 bedroom units and 2 x studio units</t>
  </si>
  <si>
    <t>58 Wellington Road, Hampton TW12 1JT</t>
  </si>
  <si>
    <t>TW12 1JT</t>
  </si>
  <si>
    <t>21/0586/FUL</t>
  </si>
  <si>
    <t>Demolition of Nos. 29 and 29b High Street and associated outbuildings, and erection of 8no. dwellings and 536.5sqm of Class E floorspace with associated works including the provision of 24 cycle spaces and 5 car parking spaces.</t>
  </si>
  <si>
    <t>29 To 31 High Street And Land To Rear Of High Street, Hampton Wick</t>
  </si>
  <si>
    <t>KT1 4DA</t>
  </si>
  <si>
    <t>21/1528/FUL</t>
  </si>
  <si>
    <t>Second floor extension to create one additional one bed dwelling, together with car parking, cycle parking and associated landscaping works</t>
  </si>
  <si>
    <t>Junction Court, 127 Station Road, Hampton</t>
  </si>
  <si>
    <t>TW12 2AL</t>
  </si>
  <si>
    <t>21/1616/FUL</t>
  </si>
  <si>
    <t>Erection of 2nd floor roof extension to provide 4 flats (3 x one bedroom and 1 x two bedroom)</t>
  </si>
  <si>
    <t>52 - 64 Heath Road, Twickenham</t>
  </si>
  <si>
    <t>TW1 4BX</t>
  </si>
  <si>
    <t>21/1907/FUL</t>
  </si>
  <si>
    <t>Demolition of Existing Two (2) Storey Detached Dwelling and Construction of New Two (2) Storey Detached Dwelling with Habitable Roof Space.</t>
  </si>
  <si>
    <t>42 Ormond Crescent, Hampton TW12 2TH</t>
  </si>
  <si>
    <t>TW12 2TH</t>
  </si>
  <si>
    <t>21/2209/FUL</t>
  </si>
  <si>
    <t>Extension and subdivision of existing end of terrace house to form two maisonette flats.</t>
  </si>
  <si>
    <t>155 Priory Road, Hampton TW12 2PT</t>
  </si>
  <si>
    <t>TW12 2PT</t>
  </si>
  <si>
    <t>21/2225/FUL</t>
  </si>
  <si>
    <t>Demolition of existing building and erection of replacement 5 bedroom dwelling including associated hard and soft landscaping, cycle store and outbuilding</t>
  </si>
  <si>
    <t>22 Parke Road, Barnes SW13 9NG</t>
  </si>
  <si>
    <t>SW13 9NG</t>
  </si>
  <si>
    <t>21/2758/FUL</t>
  </si>
  <si>
    <t>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t>
  </si>
  <si>
    <t xml:space="preserve">1-1C King Street, 2-4 Water Lane, The Embankment And River Wall, Water Lane, Wharf Lane And The Diamond Jubilee Gardens, Twickenham
</t>
  </si>
  <si>
    <t>TW1 3DU</t>
  </si>
  <si>
    <t>Water Lane</t>
  </si>
  <si>
    <t>Wharf Lane</t>
  </si>
  <si>
    <t>21/2764/FUL</t>
  </si>
  <si>
    <t>Change of use of ground floor to create mixed Class E and C3 uses to provide a retail unit at ground floor, a separately accessed office in the basement and the replacement of the former tyre fitting bay and parking area with a building comprising two residential units</t>
  </si>
  <si>
    <t>311 Upper Richmond Road West, East Sheen SW14 8QR</t>
  </si>
  <si>
    <t>SW14 8QR</t>
  </si>
  <si>
    <t>21/2788/FUL</t>
  </si>
  <si>
    <t>Convert the building containing 9no. flats to 4no flats (Use Class C3) , car parking, extension to existing basement, two storey rear extension, replacement fenestrations at front of the property, replacement and new fenestrations  to rear and rear patio.</t>
  </si>
  <si>
    <t>13 Manor Road, Twickenham</t>
  </si>
  <si>
    <t>TW2 5DF</t>
  </si>
  <si>
    <t>21/2970/FUL</t>
  </si>
  <si>
    <t>Change of use from retail (Use Class E) on first and second floors at no 19 to create a new, three bed maisonette; First floor side/rear extension and PV panels to existing roof of No.19; change of use and extension of roof space (Use Class E) at no. 19a, including rooflights, raising the roof eaves/ridge and a dormer extension to create a new Studio flat; New shop frontage, including separate residential access to No.19a.</t>
  </si>
  <si>
    <t>19 - 19A King Street, Richmond</t>
  </si>
  <si>
    <t>TW9 1ND</t>
  </si>
  <si>
    <t>21/4201/FUL</t>
  </si>
  <si>
    <t>Erection of a new dwellinghouse with associated parking and landscaping following the demolition of the existing house.</t>
  </si>
  <si>
    <t>5 Monmouth Avenue, Hampton Wick KT1 4HR</t>
  </si>
  <si>
    <t>KT1 4HR</t>
  </si>
  <si>
    <t>21/4257/FUL</t>
  </si>
  <si>
    <t>Demolition of Existing House and Garaging and Erection of New Replacement Two Storey House with Part Basement, Additional Accommodation within the Roof Space, Attached Garages and External Works.</t>
  </si>
  <si>
    <t>Denbigh, 34 Lower Teddington Road, Hampton Wick KT1 4HJ</t>
  </si>
  <si>
    <t>KT1 4HJ</t>
  </si>
  <si>
    <t>Thames Hampton Wick</t>
  </si>
  <si>
    <t>21/4262/FUL</t>
  </si>
  <si>
    <t>A new window opening to the rear and change of use of existing office to C3 (residential) use to provide one bedroom flat</t>
  </si>
  <si>
    <t>41 Barnes High Street, Barnes SW13 9LN</t>
  </si>
  <si>
    <t>SW13 9LN</t>
  </si>
  <si>
    <t>High Street, Barnes</t>
  </si>
  <si>
    <t>21/4417/FUL</t>
  </si>
  <si>
    <t>Part extension to rear at first floor level and additional floor to facilitate the creation of 6 new residential flats including alterations/extensions to existing first floor flats and addition of external terraces.</t>
  </si>
  <si>
    <t>36 And 38 And 40 York Street, Twickenham</t>
  </si>
  <si>
    <t>22/0208/FUL</t>
  </si>
  <si>
    <t>Construction of two-storey house with basement.</t>
  </si>
  <si>
    <t>3 Bridle Lane, Twickenham TW1 3EG</t>
  </si>
  <si>
    <t>TW1 3EG</t>
  </si>
  <si>
    <t>22/0252/HOT</t>
  </si>
  <si>
    <t>Construction of new 2 storey house in garden.</t>
  </si>
  <si>
    <t>39 Second Cross Road, Twickenham TW2 5QY</t>
  </si>
  <si>
    <t>TW2 5QY</t>
  </si>
  <si>
    <t>CA9 Twickenham Green</t>
  </si>
  <si>
    <t>22/1001/FUL</t>
  </si>
  <si>
    <t>Erection of a one and a half storey, three-bedroom house in the rear garden of No. 33 (including land to the rear of No. 35-35a) Wensleydale Road, with accommodation at basement level, associated hard and soft landscaping, 4 no. parking, refuse/recycling</t>
  </si>
  <si>
    <t>33 Wensleydale Road, Hampton TW12 2LP</t>
  </si>
  <si>
    <t>22/1029/FUL</t>
  </si>
  <si>
    <t>Change of use of the building from student accommodation to provide 70 residential flats (C3 Use Class)  including 4 social rent units, and 7 wheelchair accessible  dwellings M4(3), facade and elevational alterations, infill extension at ground floor leve</t>
  </si>
  <si>
    <t>Kingston Bridge House, Church Grove, Hampton Wick KT1 4AG</t>
  </si>
  <si>
    <t>KT1 4AG</t>
  </si>
  <si>
    <t>22/1075/FUL</t>
  </si>
  <si>
    <t>Change of use of first floor from self-contained residential flat to office. Internal alterations including, upgrading the fire escape route, refurbishment of the kitchen to a tea room and WC facilities . Painting and decorating all rooms and corridors throughout the new offices and stair well to the private entrance.</t>
  </si>
  <si>
    <t>First Floor Flat, Teddington District Library, Waldegrave Road, Teddington TW11 8NY</t>
  </si>
  <si>
    <t>TW11 8NY</t>
  </si>
  <si>
    <t>CA37 High Street Teddington</t>
  </si>
  <si>
    <t>22/1082/FUL</t>
  </si>
  <si>
    <t>Redevelopment of existing vacant car parking site to provide a two-storey one-bedroom detached dwellinghouse.</t>
  </si>
  <si>
    <t>Land Off Taylor Close, Hampton Hill</t>
  </si>
  <si>
    <t>TW12 1HL</t>
  </si>
  <si>
    <t>22/1106/GPD26</t>
  </si>
  <si>
    <t>Conversion of a shop to single family dwelling house.</t>
  </si>
  <si>
    <t>1 Station Road, Teddington TW11 9AA</t>
  </si>
  <si>
    <t>TW11 9AA</t>
  </si>
  <si>
    <t>22/1219/FUL</t>
  </si>
  <si>
    <t>Subdivision of the existing dwelling into 2no. self-contained flats along with the construction of a rear extension, single storey infill extensions and 2x dormer windows with associated parking and amenity space.</t>
  </si>
  <si>
    <t>602 Hanworth Road, Whitton TW4 5LJ</t>
  </si>
  <si>
    <t>TW4 5LJ</t>
  </si>
  <si>
    <t>22/1285/GPD26</t>
  </si>
  <si>
    <t>Change of Use to Single Dwelling House</t>
  </si>
  <si>
    <t>5 Bridle Lane, Twickenham TW1 3EG</t>
  </si>
  <si>
    <t>22/1486/FUL</t>
  </si>
  <si>
    <t>Demolition of garage block and redevelopment of the site for two three storey four bed townhouses (Class C3) with associated amenity space, car and cycle parking and refuse stores</t>
  </si>
  <si>
    <t>Garages Adjacent 11 Ferrymoor, Ham</t>
  </si>
  <si>
    <t>TW10 7SD</t>
  </si>
  <si>
    <t>22/1575/FUL</t>
  </si>
  <si>
    <t>Proposed two-storey 2-bedroom mews house with accommodation in the roof including parking, bicycle and bin storage and private amenity space</t>
  </si>
  <si>
    <t>Land To Rear Of 177 High Street, Hampton Hill</t>
  </si>
  <si>
    <t>TW12 1NL</t>
  </si>
  <si>
    <t>22/1769/GPD26</t>
  </si>
  <si>
    <t>Part change of use of the ground floor of the building from commercial premises (Use Class E) to 2 residential apartments (Use Class C3).</t>
  </si>
  <si>
    <t>112 - 114 High Street, Whitton</t>
  </si>
  <si>
    <t>TW2 7LD</t>
  </si>
  <si>
    <t>22/1825/FUL</t>
  </si>
  <si>
    <t>Demolition of existing dwelling and associated outbuildings, and erection of 4no. new 1bed and 2bed affordable flats, with associated landscaping, cycle and refuse stores</t>
  </si>
  <si>
    <t>88 Richmond Road, Twickenham TW1 3BB</t>
  </si>
  <si>
    <t>TW1 3BB</t>
  </si>
  <si>
    <t>Orleans School</t>
  </si>
  <si>
    <t>22/1831/FUL</t>
  </si>
  <si>
    <t>Erection of 2 detached dwellings with associated off street parking &amp; private amenity space which accommodates refuse and cycle storage.</t>
  </si>
  <si>
    <t>Willowdene, Millfield Road, Whitton TW4 5PN</t>
  </si>
  <si>
    <t>TW4 5PN</t>
  </si>
  <si>
    <t>22/1916/FUL</t>
  </si>
  <si>
    <t>Demolition of an existing detached residence and construction of a replacement 2 storey 5 bedroom house and associated hard and soft landscaping, refuse and cycle parking facilities</t>
  </si>
  <si>
    <t>32 Sandy Lane, Petersham, Richmond TW10 7EL</t>
  </si>
  <si>
    <t>TW10 7EL</t>
  </si>
  <si>
    <t>22/2399/FUL</t>
  </si>
  <si>
    <t>Single storey rear extension, side dormer roof extension with solar panels, rooflights on front and side roof slopes, replacement fenestration and associated bin store to facilitate the conversion of two flats into a single dwellinghouse.</t>
  </si>
  <si>
    <t>92 Palewell Park, East Sheen SW14 8JH</t>
  </si>
  <si>
    <t>SW14 8JH</t>
  </si>
  <si>
    <t>22/2416/FUL</t>
  </si>
  <si>
    <t>Demolition of an existing single storey bungalow on the site, followed by the construction of a new single family residential dwelling.</t>
  </si>
  <si>
    <t>40 Twickenham Road, Teddington TW11 8AW</t>
  </si>
  <si>
    <t>TW11 8AW</t>
  </si>
  <si>
    <t>22/2662/FUL</t>
  </si>
  <si>
    <t>Erection of a 1 bedroom chalet/bungalow with the provision of amenity space and parking at rear of property.</t>
  </si>
  <si>
    <t>214 Hampton Road, Twickenham TW2 5NJ</t>
  </si>
  <si>
    <t>TW2 5NJ</t>
  </si>
  <si>
    <t>22/2843/FUL</t>
  </si>
  <si>
    <t>Demolition of existing dwelling and replacement with a pair of two storey with basement semi-detached dwellings.  Alterations to boundary wall and assoicated hard and soft landscaping, cycle and refuse stores.</t>
  </si>
  <si>
    <t>62 Derby Road, East Sheen SW14 7DP</t>
  </si>
  <si>
    <t>SW14 7DP</t>
  </si>
  <si>
    <t>22/2876/GPD26</t>
  </si>
  <si>
    <t>Change of use of vacant office building to two flats</t>
  </si>
  <si>
    <t>Mega House, 159A High Street, Hampton Hill, Hampton TW12 1NL</t>
  </si>
  <si>
    <t>22/3043/GPD24</t>
  </si>
  <si>
    <t>357 Upper Richmond Road West, East Sheen SW14 8QN</t>
  </si>
  <si>
    <t>SW14 8QN</t>
  </si>
  <si>
    <t>22/3049/FUL</t>
  </si>
  <si>
    <t>Change of use of first floor from former financial services floorspace to 2 x one bedroom flats. Alterations to rear elevation and reinstatement of first floor roof terrace.</t>
  </si>
  <si>
    <t>256 Upper Richmond Road West, East Sheen SW14 7JF</t>
  </si>
  <si>
    <t>SW14 7JF</t>
  </si>
  <si>
    <t>22/3112/FUL</t>
  </si>
  <si>
    <t>Erection of one 4-storey building and one 2-storey building to provide 12 affordable housing units (7 Supported Living units and 5 London Living Rent units), plus one residential support unit; removal of existing vehicular access; landscaping including co</t>
  </si>
  <si>
    <t xml:space="preserve">Meadows Hall, Church Road, Richmond TW10 6LN
</t>
  </si>
  <si>
    <t>TW10 6LN</t>
  </si>
  <si>
    <t>22/3141/FUL</t>
  </si>
  <si>
    <t>Rear dormer roof extension to facilitate the conversion of existing 2 bed maisonette into 2 flats (1 x 1 bed and 1 x 2 bed). Solar PV panels to rear pitched and flat roofs. 2no. Velux roof lights to front roof slope.</t>
  </si>
  <si>
    <t>23 Colston Road, East Sheen SW14 7PQ</t>
  </si>
  <si>
    <t>SW14 7PQ</t>
  </si>
  <si>
    <t>22/3165/FUL</t>
  </si>
  <si>
    <t>Demolition of existing commercial building and erection of mixed use part two, three and part four storey building comprising replacement commercial (Class E) floorspace and residential units (Class C3) including cycle parking, refuse storage, hard and soft landscaping, amendments to site access and other associated works.</t>
  </si>
  <si>
    <t>Clifford House, 424 Upper Richmond Road West, East Sheen SW14 7JX</t>
  </si>
  <si>
    <t>SW14 7JX</t>
  </si>
  <si>
    <t>22/3228/FUL</t>
  </si>
  <si>
    <t>Conversion of dwelling into two residential properties, alterations to elevations, and associated works.</t>
  </si>
  <si>
    <t>154 Broad Lane, Hampton TW12 3BW</t>
  </si>
  <si>
    <t>TW12 3BW</t>
  </si>
  <si>
    <t>22/3304/FUL</t>
  </si>
  <si>
    <t>Single storey rear extension, hip to gable and rear dormer roof extension and rooflights to front roof slope and associated cycle and refuse store and hard and soft landscaping and outbuilding to no. 2.  Demolition of existing single storey side extension to facilitate the erection of two storey dwelling house and associated cycle and refuse stores, replacement boundary fence, hard and soft landscaping and outbuilding.</t>
  </si>
  <si>
    <t>2 West Hall Road, Kew, Richmond TW9 4EE</t>
  </si>
  <si>
    <t>TW9 4EE</t>
  </si>
  <si>
    <t>22/3468/FUL</t>
  </si>
  <si>
    <t>Subdivision of no 446 to create 1 no. dwellinghouse and 1 no. 2 bed flat. Alterations to fenestration/doors. Installation of vehicle gates. Installation of a new garden fence.</t>
  </si>
  <si>
    <t>446 Upper Richmond Road, Barnes SW15 5RQ</t>
  </si>
  <si>
    <t>SW15 5RQ</t>
  </si>
  <si>
    <t>CA32 Barnes Common</t>
  </si>
  <si>
    <t>22/3474/FUL</t>
  </si>
  <si>
    <t>Change of use from Use Class F1(a) - Provision of Education to a 2-bed 3-person flat including minor external changes and associated works</t>
  </si>
  <si>
    <t>The Lodge, 69 The Green, Twickenham</t>
  </si>
  <si>
    <t>TW2 5TU</t>
  </si>
  <si>
    <t>22/3573/FUL</t>
  </si>
  <si>
    <t>Conversion of 15A and 15B from 2 no. residential flats to 3 no. residential flats. Alterations to fenestration. Alteration to west elevation. Insertion of courtyards. Alterations to bin store and cycle store.</t>
  </si>
  <si>
    <t>13 - 17 White Hart Lane, Barnes SW13 0PX</t>
  </si>
  <si>
    <t>SW13 0PX</t>
  </si>
  <si>
    <t>22/3577/FUL</t>
  </si>
  <si>
    <t>Change of use of part ground floor and part first floor to form 4No. 1-bedroom flats and 2No. 2-bedroom flats.</t>
  </si>
  <si>
    <t>Units 3 And 15 Cross Deep Court, Heath Road, Twickenham TW1 1AG</t>
  </si>
  <si>
    <t>TW1 1AG</t>
  </si>
  <si>
    <t>22/3799/FUL</t>
  </si>
  <si>
    <t>Proposed rear dormer roof extension and 2no. skylights on front roof slope. Conversion of existing flat into 3no. studio flats. Provision of cycle storage, bin and refuse storage areas.</t>
  </si>
  <si>
    <t>21 Colston Road, East Sheen SW14 7PQ</t>
  </si>
  <si>
    <t>23/0093/FUL</t>
  </si>
  <si>
    <t>Conversion of maisonette flat into two self-contained flats, including alterations &amp; loft extension, by replacing annex hip roof with Mansard roof</t>
  </si>
  <si>
    <t>74A Richmond Road, Twickenham TW1 3BE</t>
  </si>
  <si>
    <t>TW1 3BE</t>
  </si>
  <si>
    <t>23/0145/FUL</t>
  </si>
  <si>
    <t>Demolish existing end of terrace 3 bedroom house and create new 4 bedroom end of terrace house.</t>
  </si>
  <si>
    <t>2 Everdon Road, Barnes SW13 9AH</t>
  </si>
  <si>
    <t>SW13 9AH</t>
  </si>
  <si>
    <t>23/0260/FUL</t>
  </si>
  <si>
    <t>The erection of 7 part single, part two-storey residential dwellings; 8 car parking spaces (including 1 disabled parking space); landscaping incorporating communal amenity space and ecological enhancement area; secure cycle and refuse storage.</t>
  </si>
  <si>
    <t>The Mereway Centre, Mereway Road, Twickenham</t>
  </si>
  <si>
    <t>23/0946/GPD26</t>
  </si>
  <si>
    <t>Change of use of ground floor from Use Class E to 1no. flat (Use Class C3)</t>
  </si>
  <si>
    <t>145 White Hart Lane, Barnes SW13 0JP</t>
  </si>
  <si>
    <t>SW13 0JP</t>
  </si>
  <si>
    <t>23/1101/FUL</t>
  </si>
  <si>
    <t>Demolition of existing dwelling and construction of 2 no. semi detached dwellings, associated car parking, cycle and refuse storage and landscaping.</t>
  </si>
  <si>
    <t>22 Broad Lane, Hampton TW12 3AZ</t>
  </si>
  <si>
    <t>TW12 3AZ</t>
  </si>
  <si>
    <t>23/1127/FUL</t>
  </si>
  <si>
    <t>Demolition of existing dwelling and construction of 2no. semi detached dwellings and associated parking and landscaping.</t>
  </si>
  <si>
    <t>6 Wensleydale Road, Hampton TW12 2LW</t>
  </si>
  <si>
    <t>TW12 2LW</t>
  </si>
  <si>
    <t>23/1140/FUL</t>
  </si>
  <si>
    <t>The demolition of existing house and the building of a new six bedroom house, over 3 above ground floors; ground, first and second (loft) floor and a basement level.</t>
  </si>
  <si>
    <t>291A Sheen Road, Richmond TW10 5AW</t>
  </si>
  <si>
    <t>TW10 5AW</t>
  </si>
  <si>
    <t>23/1175/FUL</t>
  </si>
  <si>
    <t>Change of use from mixed use comprising ground floor car motor garage (B2) and ancillary first floor flat(C3) to residential (C3) including alterations to the front and rear facades, the construction of front and rear extensions and the conversion of the roofspace to provide additional accommodation to create 4 no. flats, rear roof extension,  rear roof dormer, 8 rooflights,  alterations to the existing crossover, two active electric charging points, alterations to the existing rear garage to accommodate car and cycle parking, landscaping and waste storage.</t>
  </si>
  <si>
    <t>14-16 Tudor Road, Hampton TW12 2NQ</t>
  </si>
  <si>
    <t>TW12 2NQ</t>
  </si>
  <si>
    <t>23/1413/GPH01</t>
  </si>
  <si>
    <t>Construction of an additional storey containing 3no. flats immediately above the existing topmost residential storey, and recreation of the existing roof shape; addition of 2no. off-street parking spaces along with secure bike and bin storage.</t>
  </si>
  <si>
    <t>Heritage House, 145 London Road Twickenham</t>
  </si>
  <si>
    <t>TW1 1EF</t>
  </si>
  <si>
    <t>23/1565/OUT</t>
  </si>
  <si>
    <t>OUT</t>
  </si>
  <si>
    <t>Outline application for demolition of existing garages and erection of 4 x 2 bedroom flats and 1 x 2 bedroom house with associated hard and soft landscaping, parking and cycle and refuse store. Landscaping to form part of the reserved matters.</t>
  </si>
  <si>
    <t>Garages And Land Adjacent Railway, South Worple Way, East Sheen</t>
  </si>
  <si>
    <t>SW14</t>
  </si>
  <si>
    <t>23/1615/GPD26</t>
  </si>
  <si>
    <t>Conversion of existing ground floor offices (Class E) to residential (class C3). Retention of existing rear garden including secure cycle storage unit and recycling bin area.</t>
  </si>
  <si>
    <t>15 Nelson Road, Twickenham TW2 7AR</t>
  </si>
  <si>
    <t>TW2 7AR</t>
  </si>
  <si>
    <t>23/1618/GPD26</t>
  </si>
  <si>
    <t>Conversion of office space into a single dwelling with associated cycle parking and refuse and recycling provision.</t>
  </si>
  <si>
    <t>Station Point, 121 Sandycombe Road, Richmond</t>
  </si>
  <si>
    <t>TW9 2AD</t>
  </si>
  <si>
    <t>23/1619/FUL</t>
  </si>
  <si>
    <t>Change of Use from the Residential (C3) use into Hotel (C1) and a Listed Building Consent for removal of kitchen and pantry furniture and fixtures, and installation of en-suite shower room &amp; free-standing bath in Suite 1 (long room).</t>
  </si>
  <si>
    <t>1 Palace Gate, Hampton Court Road, Hampton KT8 9BN</t>
  </si>
  <si>
    <t>KT8 9BN</t>
  </si>
  <si>
    <t>CA11 Hampton Court Green</t>
  </si>
  <si>
    <t>23/1623/FUL</t>
  </si>
  <si>
    <t>Change of use from student accommodation to C3 residential use, side extension, erection of a part width rear extension to the lower and upper ground floor) and the creation of vehicular access to No. 23 Queens Road with alterations and improvements to the front boundary walls and landscaping of both no. 23 and no.21 Queens Road</t>
  </si>
  <si>
    <t>21 - 23 Queens Road, Richmond</t>
  </si>
  <si>
    <t>TW10 6JW</t>
  </si>
  <si>
    <t>23/1812/FUL</t>
  </si>
  <si>
    <t>Demolition of existing dwelling and erection of a replacement two storey dwelling.</t>
  </si>
  <si>
    <t>14 Cedar Heights, Petersham, Richmond TW10 7AE</t>
  </si>
  <si>
    <t>TW10 7AE</t>
  </si>
  <si>
    <t>23/1819/FUL</t>
  </si>
  <si>
    <t>Ground floor conversion from commercial to two 1B1P self-contained dwellings. Single storey rear extension to accommodate one new 2B4P self-contained dwelling. First floor extension to allow the sub-division of the existing 3 bedroom first floor flat to form 2No. 1-bedroom flats and the construction of a mansard style roof extension to provide a further 2No. 1 bedroom flats at second floor level. Re-siting of existing front doors at ground floor level of the residential units.</t>
  </si>
  <si>
    <t>3 - 4 New Broadway, Hampton Hill</t>
  </si>
  <si>
    <t>TW12 1JG</t>
  </si>
  <si>
    <t>23/2090/FUL</t>
  </si>
  <si>
    <t>Change of use of existing building from use as hobbyist workshop to 1 bed studio apartment (C3) and associated external alterations including to roof and fenestration.</t>
  </si>
  <si>
    <t>Land Rear Of 63 Sheen Lane, East Sheen</t>
  </si>
  <si>
    <t>SW14 8AB</t>
  </si>
  <si>
    <t>23/2244/FUL</t>
  </si>
  <si>
    <t>Demolition of the existing detached two-storey dwelling house with accommodation in the roofspace and existing attached single-storey garage and outbuildings, and their replacement with a pair of semi-detached two-storey dwelling houses with associated off-street car parking, cycle parking, bin store areas and landscaping.</t>
  </si>
  <si>
    <t>233 Nelson Road, Twickenham TW2 7BQ</t>
  </si>
  <si>
    <t>TW2 7BQ</t>
  </si>
  <si>
    <t>23/2250/FUL</t>
  </si>
  <si>
    <t>The construction of a first and second floor rear extension, erection of a rear dormer window and conversion of the existing two-bedroom flat to create 1No. one-bedroom flat and 1No. two-bedroom flat.</t>
  </si>
  <si>
    <t>31A Broad Street, Teddington TW11 8QZ</t>
  </si>
  <si>
    <t>23/2359/FUL</t>
  </si>
  <si>
    <t>Demolition of the existing bungalow and replacement with a pair of 2 storey, 3-bedroom semi-detached dwellinghouses with associated parking and landscaping</t>
  </si>
  <si>
    <t>83 Udney Park Road, Teddington TW11 9BB</t>
  </si>
  <si>
    <t>TW11 9BB</t>
  </si>
  <si>
    <t>23/2413/FUL</t>
  </si>
  <si>
    <t>Demolition of existing outbuilding. Erection of side/rear extension to create office floorspace and 1 x 2 bed flat with associated landscaping, cycle and refuse storage facilities.</t>
  </si>
  <si>
    <t>53 Sheen Lane, East Sheen SW14 8AB</t>
  </si>
  <si>
    <t>23/2478/FUL</t>
  </si>
  <si>
    <t>Demolition of the existing garages, erection of a residential dwelling (Use Class C3), parking, landscaping, store, alterations and improvements to the existing rear stair core to 19-23 Friars Stile Road and associated works.</t>
  </si>
  <si>
    <t>Rear Of 19-23 Friars Stile Road, Richmond</t>
  </si>
  <si>
    <t>TW10 6QH</t>
  </si>
  <si>
    <t>23/2490/FUL</t>
  </si>
  <si>
    <t>Demolition of Existing Bungalow and the Erection of a Replacement Dwelling</t>
  </si>
  <si>
    <t>84A Hampton Road, Twickenham TW2 5QS</t>
  </si>
  <si>
    <t>TW2 5QS</t>
  </si>
  <si>
    <t>23/2663/FUL</t>
  </si>
  <si>
    <t>Demolition of existing bungalow and the erection of a three-storey replacement dwelling with basement level</t>
  </si>
  <si>
    <t>23A Hampton Road, Teddington TW11 0JN</t>
  </si>
  <si>
    <t>TW11 0JN</t>
  </si>
  <si>
    <t>23/2673/FUL</t>
  </si>
  <si>
    <t>Subdivision of two bed flat to two 1 bed flats with associated refuse storage and cycle parking.</t>
  </si>
  <si>
    <t>28 Hill Street, Richmond TW9 1TW</t>
  </si>
  <si>
    <t>TW9 1TW</t>
  </si>
  <si>
    <t>23/2841/FUL</t>
  </si>
  <si>
    <t>Demolition of the existing detached dwelling and erection of a pair of semi detached dwellings, with associated parking, landscaping cycle and refuse enclosures.</t>
  </si>
  <si>
    <t>108 Stanley Road, Teddington TW11 8TX</t>
  </si>
  <si>
    <t>TW11 8TX</t>
  </si>
  <si>
    <t>23/2872/FUL</t>
  </si>
  <si>
    <t>Part change of use to create 1 x self-contained flat on the upper floors.</t>
  </si>
  <si>
    <t>Flat Above 10 King Street, Richmond TW9 1ND</t>
  </si>
  <si>
    <t>23/2885/FUL</t>
  </si>
  <si>
    <t>Demolition of existing two storey side extension and replacement with a new two storey terraced house with rear parking, 2No. EVCPs</t>
  </si>
  <si>
    <t>68 Lincoln Avenue, Twickenham TW2 6NQ</t>
  </si>
  <si>
    <t>TW2 6NQ</t>
  </si>
  <si>
    <t>23/3062/FUL</t>
  </si>
  <si>
    <t>Demolition of existing side extension and erection of new 3 bedroom dwelling with associated amenity space, parking, cycle and waste storage.</t>
  </si>
  <si>
    <t>224 St Leonards Road, East Sheen SW14 7BN</t>
  </si>
  <si>
    <t>SW14 7BN</t>
  </si>
  <si>
    <t>23/3199/FUL</t>
  </si>
  <si>
    <t>2-storey side extensions to the east and west side elevations (reconstruction of existing) and a GF rear extension to the main house. The reinstatement of a self contained dwelling house to the east/ side . The addition of an Outbuilding/ Gym. Amendments to the front boundary wall including new brickwork piers, a straight wall to the crossover and the insertion of new timber entrance gates. First floor rear extension to the main house and roof addition with dormer roof extensions. Provision of PV Panels.</t>
  </si>
  <si>
    <t>35 Fife Road, East Sheen SW14 7EJ</t>
  </si>
  <si>
    <t>SW14 7EJ</t>
  </si>
  <si>
    <t>CA13 Christchurch Road East Sheen</t>
  </si>
  <si>
    <t>23/3200/FUL</t>
  </si>
  <si>
    <t>Conversion from 3.no self-contained flats to a single family dwelling. Associated alterations comprising replacement windows and doors; removal of side entrance/lightwell and steps to existing lower ground floor flat; hard and soft landscaping including the replacement of existing concrete driveway with shingle; and installation of Air Source Heat Pump in rear garden at rear of garages.</t>
  </si>
  <si>
    <t>30 St Georges Road, Twickenham TW1 1QR</t>
  </si>
  <si>
    <t>TW1 1QR</t>
  </si>
  <si>
    <t>23/3288/FUL</t>
  </si>
  <si>
    <t>Erection of a terrace of three, 4-bedroom townhouses and associated parking, access and landscaping on a 26-space private car park.</t>
  </si>
  <si>
    <t>Car Park Adjacent Elfin Works, Elfin Grove, Teddington</t>
  </si>
  <si>
    <t>23/3371/FUL</t>
  </si>
  <si>
    <t>Creation of two additional levels of Class C3 accommodation comprising 7no.units, conversion and excavation of the existing Class E basement and part conversion of existing floorspace at basement, ground, first, second, and third floor levels to provide internal access and ancillary residential floorspace with external alterations and associated development.</t>
  </si>
  <si>
    <t>Westminster House, Kew Road, Richmond TW9 2ND</t>
  </si>
  <si>
    <t>TW9 2ND</t>
  </si>
  <si>
    <t>23/3399/GPH01</t>
  </si>
  <si>
    <t>A two-storey upward extension creating 8 flats.</t>
  </si>
  <si>
    <t>1 - 12 Duke Of Cambridge Close, Whitton</t>
  </si>
  <si>
    <t>TW2 7DG</t>
  </si>
  <si>
    <t>23/3400/GPH01</t>
  </si>
  <si>
    <t>13 - 24 Duke Of Cambridge Close, Whitton</t>
  </si>
  <si>
    <t>24/0208/FUL</t>
  </si>
  <si>
    <t>Demolition of existing 2 storey dwelling house and erection of new 2.5 storey dwelling house plus basement, garden building, landscaping works and ASHP.</t>
  </si>
  <si>
    <t>1 Cumberland Road, Barnes SW13 9LY</t>
  </si>
  <si>
    <t>SW13 9LY</t>
  </si>
  <si>
    <t>24/0231/FUL</t>
  </si>
  <si>
    <t>Demolition of existing garages and erection of new dwelling attached to No.81 Rosslyn Avenue including basement level, landscaping, on plot parking, bin and cycle store. Provision of air source heat pump.</t>
  </si>
  <si>
    <t>Land Adjacent To 81 Rosslyn Avenue, Barnes</t>
  </si>
  <si>
    <t>SW13</t>
  </si>
  <si>
    <t>24/0264/GPD26</t>
  </si>
  <si>
    <t>Change of use of part of the ground floor from commercial (use class E) to a single residential dwelling (use class C3).</t>
  </si>
  <si>
    <t>137 Percy Road, Twickenham TW2 6HU</t>
  </si>
  <si>
    <t>TW2 6HU</t>
  </si>
  <si>
    <t>24/0305/FUL</t>
  </si>
  <si>
    <t>Subdivision of existing residential unit to create 1 x 1 bedroom flat at first floor, and 1 x retained 1 bed residential unit at 2nd and 3rd floors with associated cycle/refuse stores and rear boundary treatment.</t>
  </si>
  <si>
    <t>Flat Front, 366A Upper Richmond Road West, East Sheen SW14 7JU</t>
  </si>
  <si>
    <t>SW14 7JU</t>
  </si>
  <si>
    <t>24/0353/FUL</t>
  </si>
  <si>
    <t>Demolition of existing dwelling and construction of replacement dwelling and associated site works.</t>
  </si>
  <si>
    <t>92 Boileau Road, Barnes SW13 9BP</t>
  </si>
  <si>
    <t>SW13 9BP</t>
  </si>
  <si>
    <t>24/0438/FUL</t>
  </si>
  <si>
    <t>Change of use of first and second floors to provide 7 x residential dwellings (Class C3) and associated fenestration alterations</t>
  </si>
  <si>
    <t>47 George Street, Richmond TW9 1HJ</t>
  </si>
  <si>
    <t>TW9 1HJ</t>
  </si>
  <si>
    <t>24/0555/GPH03</t>
  </si>
  <si>
    <t>Erection of additional storey to provide for 3 residential units (1 x 1Bed, and 2 x 2Bed) with provision of green roof, new water tank, cycle/refuse and recycling (amended description).</t>
  </si>
  <si>
    <t>Canham House, 17 Heath Road, Twickenham TW1 4AW</t>
  </si>
  <si>
    <t>24/0564/FUL</t>
  </si>
  <si>
    <t>Creation of 4no. dwellings on the site through the refurbishment and extension of the existing former substation with associated landscaping, refuse storage, and cycle parking</t>
  </si>
  <si>
    <t>320A And Land To Rear Of 324 Upper Richmond Road West, East Sheen</t>
  </si>
  <si>
    <t>SW14 7JN</t>
  </si>
  <si>
    <t>24/0708/FUL</t>
  </si>
  <si>
    <t>Demolition of existing two-storey dwelling house and construction of new two-storey dwellinghouse with basement and amendments to front boundary wall access points.</t>
  </si>
  <si>
    <t>16 Sandy Lane, Petersham, Richmond TW10 7EL</t>
  </si>
  <si>
    <t>24/0710/GPD26</t>
  </si>
  <si>
    <t>Proposed change of use from Class E units to 2No. 1 bed apartments C3 (residential) Use Class.</t>
  </si>
  <si>
    <t>24/0778/FUL</t>
  </si>
  <si>
    <t>Change of use of premises from a mixed use (Class A1/E and Class C3) to a residential uses (Class C3) to form a pair of semi-detached houses with associated ASHPs, PV panels and refuse and cycle stores. Removal of shop fronts. Associated fenestration alte</t>
  </si>
  <si>
    <t>561 - 563 Upper Richmond Road West, East Sheen SW14 7ED</t>
  </si>
  <si>
    <t>SW14 7ED</t>
  </si>
  <si>
    <t>24/0825/FUL</t>
  </si>
  <si>
    <t>The erection of a self-build single-storey detached dwelling within the rear garden with associated cycle and refuse stores and 1x ASHP.</t>
  </si>
  <si>
    <t>134 St Leonards Road, East Sheen SW14 7NN</t>
  </si>
  <si>
    <t>SW14 7NN</t>
  </si>
  <si>
    <t>24/0848/FUL</t>
  </si>
  <si>
    <t>Demolition of single storey garage and annex, remodelling of existing two storey property and change of use from Use Class E to C3 and construction of new two storey extension to form five no. residential apartments. External alterations to form refuse store and amenity spaces.</t>
  </si>
  <si>
    <t>179 Upper Richmond Road West, East Sheen SW14 8DU</t>
  </si>
  <si>
    <t>SW14 8DU</t>
  </si>
  <si>
    <t>24/1039/GPD26</t>
  </si>
  <si>
    <t>Change of use to 2 separate 2 bedroom dwellings</t>
  </si>
  <si>
    <t>75 Sheen Lane, East Sheen SW14 8AD</t>
  </si>
  <si>
    <t>SW14 8AD</t>
  </si>
  <si>
    <t>24/1053/FUL</t>
  </si>
  <si>
    <t>First and second floor rear extension incorporating first floor terrace. Additional window to rear elevation. Removal of front elevation advertising panels at first and second floor.</t>
  </si>
  <si>
    <t>37 Kew Road, Richmond TW9 2NQ</t>
  </si>
  <si>
    <t>24/1385/FUL</t>
  </si>
  <si>
    <t>Conversion of Class E rear storage into Class C3, internal reconfiguration of internal layout, rear first floor extension and changes to shopfront to allow for residential access from street</t>
  </si>
  <si>
    <t>54 The Green, Twickenham TW2 5AB</t>
  </si>
  <si>
    <t>TW2 5AB</t>
  </si>
  <si>
    <t>Twickenham Green</t>
  </si>
  <si>
    <t>24/1402/GPD26</t>
  </si>
  <si>
    <t>Change of use from Class E (office) to a 2-bedroom dwelling house.</t>
  </si>
  <si>
    <t>4 Latimer Road, Teddington TW11 8QA</t>
  </si>
  <si>
    <t>TW11 8QA</t>
  </si>
  <si>
    <t>24/1419/FUL</t>
  </si>
  <si>
    <t>Change of use of upper floors from Class E to C3 residential, erection of mansard roof extension, first-floor rear extension and use of terraced area at first-floor level to facilitate the creation of 2no. units.</t>
  </si>
  <si>
    <t>24/1563/GPD26</t>
  </si>
  <si>
    <t>Proposed change of use from 2No. Class E units to 2No. 1 bed apartments C3 (residential) Use Class.</t>
  </si>
  <si>
    <t>24/1580/GPD24</t>
  </si>
  <si>
    <t>Change of use of building from a use within Class E (commercial, business and service) of Schedule 2 to the Use Classes Order, to a mixed use for any purpose within that Class and as up to 2 flats. This would principally comprise the conversion of the fir</t>
  </si>
  <si>
    <t>74 Heath Road, Twickenham TW1 4BW</t>
  </si>
  <si>
    <t>TW1 4BW</t>
  </si>
  <si>
    <t>24/1598/GPD26</t>
  </si>
  <si>
    <t>Conversion of business premises into a dwelling house</t>
  </si>
  <si>
    <t>Engravers House, 35 Wick Road, Teddington TW11 9DN</t>
  </si>
  <si>
    <t>TW11 9DN</t>
  </si>
  <si>
    <t>24/1630/FUL</t>
  </si>
  <si>
    <t>Conversion of a 2-storey flat into 2 self-contained flats providing refuse storage, cycling storage and amenity space.</t>
  </si>
  <si>
    <t>12A High Street, Hampton Wick KT1 4DB</t>
  </si>
  <si>
    <t>KT1 4DB</t>
  </si>
  <si>
    <t>24/1704/FUL</t>
  </si>
  <si>
    <t>Change of use of first, second and third floors from Use Class E to residential. Addition of rear escape metal staircase, and extension of rear dormers. Removal of internal valley roof and infill the void behind existing feature parapet and addition of 2 conservation roof lights to existing front elevation roof. Fenestration alterations.</t>
  </si>
  <si>
    <t>2 - 6 London Road, Twickenham TW1 3RR</t>
  </si>
  <si>
    <t>24/1752/GPD26</t>
  </si>
  <si>
    <t>Change Use of motor repair garage (Use Class E) to a 2-bedroom dwelling (Use Class C3).</t>
  </si>
  <si>
    <t>144 Waldegrave Road, Teddington TW11 8NA</t>
  </si>
  <si>
    <t>TW11 8NA</t>
  </si>
  <si>
    <t>Waldegrave Road, Teddingto</t>
  </si>
  <si>
    <t>24/1789/FUL</t>
  </si>
  <si>
    <t>Re-configuration and subdivision of Units 4 and 5 to create three units (net gain of 1 unit), with associated works.</t>
  </si>
  <si>
    <t>246 Powder Mill Lane, Twickenham TW2 6EJ</t>
  </si>
  <si>
    <t>TW2 6EJ</t>
  </si>
  <si>
    <t>24/1843/GPD26</t>
  </si>
  <si>
    <t>CLASS MA Prior Approval Application for change of use from Class E to Class C3</t>
  </si>
  <si>
    <t>Land At Myrtle Road And 1 High Street, Hampton Hill, Hampton TW12 1NA</t>
  </si>
  <si>
    <t>TW12 1NA</t>
  </si>
  <si>
    <t>24/1844/GPD26</t>
  </si>
  <si>
    <t>Conversion of an office building (Use Class E) to 6 single-family dwellings (C3) with associated refuse and cycle storage</t>
  </si>
  <si>
    <t>The Puzzle Academy, 1 Messom Mews, Twickenham TW1 4DP</t>
  </si>
  <si>
    <t>TW1 4DP</t>
  </si>
  <si>
    <t>CA47 Queens Road Twickenham</t>
  </si>
  <si>
    <t>24/1881/GPD26</t>
  </si>
  <si>
    <t>Conversion of existing office buiding into two dwellings.</t>
  </si>
  <si>
    <t>60 Glentham Road, Barnes SW13 9JJ</t>
  </si>
  <si>
    <t>SW13 9JJ</t>
  </si>
  <si>
    <t>24/1885/GPD26</t>
  </si>
  <si>
    <t>Conversion of existing workshop/studios into two dwellings</t>
  </si>
  <si>
    <t>Sheen Stables Rear Of 119 Sheen Lane, East Sheen</t>
  </si>
  <si>
    <t>24/1925/FUL</t>
  </si>
  <si>
    <t>Change of use of rear part of property from Class C3 (residential) to Class E (e) (dental practice) to extend an existing NHS dental practice, together with minor external amendments and refuse, recycling, and bicycle storage.</t>
  </si>
  <si>
    <t>Surgery And Premises Rear Of 70 - 74 Station Road, Hampton TW2 2AX</t>
  </si>
  <si>
    <t>TW2 2AX</t>
  </si>
  <si>
    <t>Station Road, Hampton</t>
  </si>
  <si>
    <t>24/2041/GPD24</t>
  </si>
  <si>
    <t>Change of use of commercial office floorspace (Class E) to provide 2 x 2 bedroom flats (Class C3) at first floor level.</t>
  </si>
  <si>
    <t>15 St Georges Road, Richmond</t>
  </si>
  <si>
    <t>TW9 2LH</t>
  </si>
  <si>
    <t>24/2061/FUL</t>
  </si>
  <si>
    <t>Reversion of the lower ground floor flat and upper floor dwelling into a single-family dwelling house with associated cycle and refuse stores, replacement fenestration and heat pump. Removal of vehciular access and associated extension of front boundary t</t>
  </si>
  <si>
    <t>14 Strafford Road, Twickenham TW1 3AE</t>
  </si>
  <si>
    <t>TW1 3AE</t>
  </si>
  <si>
    <t>CA48 Amyand Park Road Twickenham</t>
  </si>
  <si>
    <t>24/2125/FUL</t>
  </si>
  <si>
    <t>Construction of part two storey and part single storey attached dwellinghouse; provision of refuse / recycling storage, and amenity space and associated alterations to 15 Tayben Avenue; (following demolition of existing workshop / storage to 15 Tayben Ave</t>
  </si>
  <si>
    <t>13 - 15 Tayben Avenue, Twickenham</t>
  </si>
  <si>
    <t>24/2479/GPD26</t>
  </si>
  <si>
    <t>Prior Approval Class MA Change of use from Class E Office to Class C3 residential comprising 2 no. 2 bedroom houses and 1 no. 1 bedroom flat.</t>
  </si>
  <si>
    <t>8 Second Cross Road, Twickenham</t>
  </si>
  <si>
    <t>TW2 5RF</t>
  </si>
  <si>
    <t>24/2528/GPD26</t>
  </si>
  <si>
    <t>Conversion of offices into a single dwelling</t>
  </si>
  <si>
    <t>Unit 19 And 20, Station Point, 121 Sandycombe Road, Richmond TW9 2AD</t>
  </si>
  <si>
    <t>24/2620/GPD26</t>
  </si>
  <si>
    <t>Conversion of existing vacant office space to create 1no. 2 bedroom flat at first floor level and 1no. 1 bedroom flat at second floor level.</t>
  </si>
  <si>
    <t>First And Second Floors, 1 - 3 Halford Road, Richmond TW10 6AW</t>
  </si>
  <si>
    <t>TW10 6AW</t>
  </si>
  <si>
    <t>24/2622/GPD26</t>
  </si>
  <si>
    <t>Change of use from the existing Use Class E ground floor unit to residential to create 2 x 1-bedroom flats.</t>
  </si>
  <si>
    <t>83A Station Road, Hampton TW12 2BJ</t>
  </si>
  <si>
    <t>TW12 2BJ</t>
  </si>
  <si>
    <t>24/2653/GPD24</t>
  </si>
  <si>
    <t>Change of use of the first to fourth floors of the above property from Class E (Commercial) to C3 (dwellinghouses) comprising 2 x self- contained residential units (bin store at ground floor). Application to determine if prior approval is required for a proposed: Change of use from Commercial, Business and Service (Use Class E), or betting office or pay day loan shop to mixed use including up to two flats (Use Class C3)Town and Country Planning (General Permitted Development) (England) Order 2015 (as amended) - Schedule 2, Part 3, Class G</t>
  </si>
  <si>
    <t>Parkway House, Sheen Lane, East Sheen</t>
  </si>
  <si>
    <t>SW14 8LS</t>
  </si>
  <si>
    <t>24/2680/GPD26</t>
  </si>
  <si>
    <t>Conversion of a ground floor restaurant into a 1-bedroom, 2-person residential flat.</t>
  </si>
  <si>
    <t>6 New Broadway, Hampton Hill, Hampton TW12 1JG</t>
  </si>
  <si>
    <t>24/2688/FUL</t>
  </si>
  <si>
    <t>Change of use Class E to single dwelling C3 including internal alterations such as removal of modern partitions and lobbies at ground floor.</t>
  </si>
  <si>
    <t>9 The Green, Richmond TW9 1PX</t>
  </si>
  <si>
    <t>TW9 1PX</t>
  </si>
  <si>
    <t>24/2729/GPD26</t>
  </si>
  <si>
    <t>Change of use of building from Class E to 3 x 1 bed flats and 1 x 2 bed flat with associated parking and communal amenity space.</t>
  </si>
  <si>
    <t>151 Sheen Lane, East Sheen SW14 8LR</t>
  </si>
  <si>
    <t>SW14 8LR</t>
  </si>
  <si>
    <t>24/2797/GPD26</t>
  </si>
  <si>
    <t>Proposal for conversion of the ground floor rear portion into a studio space and the entire first floor clinic into 2 studios of single person occupancy under class MA of the GPDO.</t>
  </si>
  <si>
    <t>46 Sheen Lane, East Sheen SW14 8LP</t>
  </si>
  <si>
    <t>SW14 8LP</t>
  </si>
  <si>
    <t>24/2798/GPD26</t>
  </si>
  <si>
    <t>Proposal for conversion of the ground floor rear portion into a studio space and the entire first floor clinic into one 3 bed / 4 person occupancy flat under class MA of the GPDO.</t>
  </si>
  <si>
    <t>24/2830/FUL</t>
  </si>
  <si>
    <t>Internal alterations involving the amalgamation of two residential units to form one house with the addition of solar panels on the garage roof and an ASHP to the rear of the property</t>
  </si>
  <si>
    <t>Corner House, Vicarage Road, East Sheen</t>
  </si>
  <si>
    <t>SW14 8RS</t>
  </si>
  <si>
    <t>CA64 Sheen Lane East Sheen</t>
  </si>
  <si>
    <t>24/2838/GPD24</t>
  </si>
  <si>
    <t>Change of use of first and second floors from retail (Class E) to one dwelling (Class C3).</t>
  </si>
  <si>
    <t>5A King Street, Twickenham</t>
  </si>
  <si>
    <t>TW1 3SD</t>
  </si>
  <si>
    <t>24/2938/FUL</t>
  </si>
  <si>
    <t>Amalgamation of two dwellings into a single family 4 bedroom dwelling; alterations to existing rear dormers; addition of front porch; addition of side entrance door; and conversion of a single garage into a garden room. Addition of rooflights, alterations</t>
  </si>
  <si>
    <t>2 Verdun Road, Barnes SW13 9AY</t>
  </si>
  <si>
    <t>SW13 9AY</t>
  </si>
  <si>
    <t>24/3009/GPD24</t>
  </si>
  <si>
    <t>Change of use from Class E commercial business and service use to mixed use consisting of Class E commercial business and service use and Class C3 residential (2 flats).</t>
  </si>
  <si>
    <t>100 High Street, Whitton, Twickenham TW2 7LN</t>
  </si>
  <si>
    <t>TW2 7LN</t>
  </si>
  <si>
    <t>24/3142/GPD26</t>
  </si>
  <si>
    <t>Change use of the first floor ancillary floorspace to the ground floor commercial unit into 1-bed/1-person self contained flat.</t>
  </si>
  <si>
    <t>70 - 72 Richmond Road, Twickenham TW1 3BE</t>
  </si>
  <si>
    <t>24/3263/GPD26</t>
  </si>
  <si>
    <t>Change of use of offices (Use Class E) to 11No. apartments (Use Class C3).</t>
  </si>
  <si>
    <t>1B Sandford House And 1C Jardine House, Claremont Road, Teddington</t>
  </si>
  <si>
    <t>PA25/0073</t>
  </si>
  <si>
    <t>Change of use from Office to 3 no. C3 residential units</t>
  </si>
  <si>
    <t>34 Candler Mews, Twickenham TW1 3JF</t>
  </si>
  <si>
    <t>TW1 3JF</t>
  </si>
  <si>
    <t>Site Allocation</t>
  </si>
  <si>
    <t>N/A</t>
  </si>
  <si>
    <t>04. Site Allocation</t>
  </si>
  <si>
    <t>Open Market / Affordable</t>
  </si>
  <si>
    <t>Sainsbury’s, Manor Road</t>
  </si>
  <si>
    <t>TW9 4NZ</t>
  </si>
  <si>
    <t>Teddington Telephone Exchange</t>
  </si>
  <si>
    <t>TW11 8JD</t>
  </si>
  <si>
    <t>21/3107/FUL</t>
  </si>
  <si>
    <t>Barnes Hospital, East Sheen</t>
  </si>
  <si>
    <t>Demolition of existing structures and redevelopment of site including construction of three new buildings comprising 106 residential units of mixed tenure (Use Class C3), alterations and conversion of two existing buildings for 3 residential use (Use Class C3), car and cycle parking, landscaping and associated works</t>
  </si>
  <si>
    <t>Barnes Hospital, South Worple Way, East Sheen</t>
  </si>
  <si>
    <t>SW14 8SU</t>
  </si>
  <si>
    <t>22/0900/OUT</t>
  </si>
  <si>
    <t>Stag Brewery</t>
  </si>
  <si>
    <t>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t>
  </si>
  <si>
    <t xml:space="preserve">The Stag Brewery, Lower Richmond Road, Mortlake, London </t>
  </si>
  <si>
    <t xml:space="preserve">SW14 7ET </t>
  </si>
  <si>
    <t>Phase 1 - Building 2</t>
  </si>
  <si>
    <t>Mortlake</t>
  </si>
  <si>
    <t>Phase 1 - Building 3</t>
  </si>
  <si>
    <t>Phase 1 - Building 6</t>
  </si>
  <si>
    <t>Phase 1 - Building 18</t>
  </si>
  <si>
    <t>Phase 1 - Building 19</t>
  </si>
  <si>
    <t>Phase 2 - Building 4</t>
  </si>
  <si>
    <t>Phase 2 - Building 7</t>
  </si>
  <si>
    <t>Phase 2 - Building 8</t>
  </si>
  <si>
    <t>Phase 2 - Building 13</t>
  </si>
  <si>
    <t>Phase 2 - Building 14</t>
  </si>
  <si>
    <t>Phase 2 - Building 15</t>
  </si>
  <si>
    <t>Phase 2 - Building 16</t>
  </si>
  <si>
    <t>Phase 2 - Building 17</t>
  </si>
  <si>
    <t>Phase 3 - Building 9</t>
  </si>
  <si>
    <t>Phase 3 - Building 10</t>
  </si>
  <si>
    <t>Phase 3 - Building 11</t>
  </si>
  <si>
    <t>Phase 3 - Building 12</t>
  </si>
  <si>
    <t>Phase 4 - Building 20</t>
  </si>
  <si>
    <t>Phase 4 - Building 21</t>
  </si>
  <si>
    <t>22/2204/FUL</t>
  </si>
  <si>
    <t>St Clare Business Park</t>
  </si>
  <si>
    <t>Demolition of existing buildings and erection of 1no. mixed use building between three and five storeys plus basement in height, comprising 86no. residential flats (Class C3) and 1,311.2sq.m of commercial floorspace (Class E); 1no.two storey building comprising 595sq.m of commercial floorspace (Class E); 14no. residential houses (Class C3); and, associated access, external landscaping and car parking.</t>
  </si>
  <si>
    <t>St Clare Business Park And 7 - 11 Windmill Road, Hampton Hill</t>
  </si>
  <si>
    <t>TW12 1PZ</t>
  </si>
  <si>
    <t>05. Deliverable Site (Site Allocation)</t>
  </si>
  <si>
    <t>Teddington Police Station</t>
  </si>
  <si>
    <t>TW11 0AQ</t>
  </si>
  <si>
    <t>CA22 Park Road Teddington</t>
  </si>
  <si>
    <t>Twickenham Telephone Exchange</t>
  </si>
  <si>
    <t>TW1 3NZ</t>
  </si>
  <si>
    <t>Whitton Telephone Exchange</t>
  </si>
  <si>
    <t>TW2 7BE</t>
  </si>
  <si>
    <t>Large Sites Trend</t>
  </si>
  <si>
    <t>05. Deliverable Sites</t>
  </si>
  <si>
    <t>Small Sites Trend</t>
  </si>
  <si>
    <t>NSC Completion</t>
  </si>
  <si>
    <t>Sum of Net Dwellings</t>
  </si>
  <si>
    <t>Sum of 2024/25 (R)</t>
  </si>
  <si>
    <t>New Build under construction</t>
  </si>
  <si>
    <t>New Build under construction - 5YHLS</t>
  </si>
  <si>
    <t>(blank)</t>
  </si>
  <si>
    <t>Sum of 2025/26 (1)</t>
  </si>
  <si>
    <t>Sum of 2026/27 (2)</t>
  </si>
  <si>
    <t>Sum of 2027/28 (3)</t>
  </si>
  <si>
    <t>Sum of 2028/29 (4)</t>
  </si>
  <si>
    <t>Sum of 2029/30 (5)</t>
  </si>
  <si>
    <t>New Build Sites with planning permission - 5YHLS</t>
  </si>
  <si>
    <t>Deliverable Sites - 2025 - 2029</t>
  </si>
  <si>
    <t>SELECT SITES</t>
  </si>
  <si>
    <t>Sum of 2025–2029 Total</t>
  </si>
  <si>
    <t>Deliverable Sites - 2025 - 2035</t>
  </si>
  <si>
    <t>Sum of 2025–2035 Total</t>
  </si>
  <si>
    <t>Net NB Completions</t>
  </si>
  <si>
    <t>Gross NB Completions</t>
  </si>
  <si>
    <t>Site Allocations - 2024 - 2034</t>
  </si>
  <si>
    <t>Net Conversion Completions</t>
  </si>
  <si>
    <t>Gross Conversions Completions</t>
  </si>
  <si>
    <t>Net Completions Intermediate</t>
  </si>
  <si>
    <t>Net Completions Affordable</t>
  </si>
  <si>
    <t>Net Completions Open Market</t>
  </si>
  <si>
    <t>Gross Completions Intermediate</t>
  </si>
  <si>
    <t>Gross Completions Affordable Rent</t>
  </si>
  <si>
    <t>Gross Completions Open Market</t>
  </si>
  <si>
    <t>New Build Completions Open Market Net</t>
  </si>
  <si>
    <t>New Build Completions Open Market Gross</t>
  </si>
  <si>
    <t>New Build Completions Intermediate Net</t>
  </si>
  <si>
    <t>New Build Completions Intermediate Gross</t>
  </si>
  <si>
    <t>New Build Completions Affordable Rent Net</t>
  </si>
  <si>
    <t>New Build Completions Affordable Rent Gross</t>
  </si>
  <si>
    <t>Completions Net Bedrooms / Application Type</t>
  </si>
  <si>
    <t>Sum of 1 bed net</t>
  </si>
  <si>
    <t>Sum of 2 bed net</t>
  </si>
  <si>
    <t>Sum of 3 bed net</t>
  </si>
  <si>
    <t>Sum of 4 bed net</t>
  </si>
  <si>
    <t>Sum of 5 bed net</t>
  </si>
  <si>
    <t>Sum of 6 bed net</t>
  </si>
  <si>
    <t>Sum of 7 bed net</t>
  </si>
  <si>
    <t>Sum of 8 bed net</t>
  </si>
  <si>
    <t>MOL</t>
  </si>
  <si>
    <t>Net Dwellings Not Started by Ward</t>
  </si>
  <si>
    <t>Net Dwellings Under Construction by Ward</t>
  </si>
  <si>
    <t>Net Dwellings Completed by Ward</t>
  </si>
  <si>
    <t>Gross and Net Dwellings Completed by Ward</t>
  </si>
  <si>
    <t>Gross and Net Dwellings Completed by Area</t>
  </si>
  <si>
    <t>Gross and Net Dwellings Completed by Place-based Strategy</t>
  </si>
  <si>
    <t>Sum of Units Existing</t>
  </si>
  <si>
    <t>New Build Completions Net</t>
  </si>
  <si>
    <t>New Build Under Construction Net</t>
  </si>
  <si>
    <t>New Build Not Started Net</t>
  </si>
  <si>
    <t>(All)</t>
  </si>
  <si>
    <t>PA Conversion Sites Under Construction</t>
  </si>
  <si>
    <t>PA Conversion Sites with approval</t>
  </si>
  <si>
    <t>10 Year Housing Land Supply - Conventional</t>
  </si>
  <si>
    <t>Sum of 2030/31 (6)</t>
  </si>
  <si>
    <t>Sum of 2031/32 (7)</t>
  </si>
  <si>
    <t>Sum of 2032/33 (8)</t>
  </si>
  <si>
    <t>Sum of 2033/34 (9)</t>
  </si>
  <si>
    <t>Sum of 2034/35 (10)</t>
  </si>
  <si>
    <t>10 Year Housing Land Supply - Non Self Contained</t>
  </si>
  <si>
    <t>Housing Land Supply by ward - Sites</t>
  </si>
  <si>
    <t>Local Plan Areas - New Build Sites Under Construction</t>
  </si>
  <si>
    <t>Local Plan Areas - New Build Sites with planning permission</t>
  </si>
  <si>
    <t>Local Plan Areas - Conversion Sites Under Construction</t>
  </si>
  <si>
    <t>Local Plan Areas - PA Conversion Sites with planning permission</t>
  </si>
  <si>
    <t>Local Plan Areas - Conversion Sites with planning permission</t>
  </si>
  <si>
    <t>Place Based Strategy Area - New Build Sites Under Construction</t>
  </si>
  <si>
    <t>Place Based Strategy Area - New Build Sites with planning permission</t>
  </si>
  <si>
    <t>Place Based Strategy Area - Conversion Sites Under Construction</t>
  </si>
  <si>
    <t>Place Based Strategy Area - Conversion Sites with planning permission</t>
  </si>
  <si>
    <t>Place Based Strategy Area -  - PA Conversion Sites with approval</t>
  </si>
  <si>
    <t>Housing Land Supply by Local Plan Area (net gain) 2025/26 – 2034/35</t>
  </si>
  <si>
    <t>Housing Land Supply by Local Plan Place Based Strategy Area (net gain) 2025/26 – 2034/35</t>
  </si>
  <si>
    <t>Time from Decision to Completion</t>
  </si>
  <si>
    <t>Average of approval to completion</t>
  </si>
  <si>
    <t>Existing C3 Dwelling</t>
  </si>
  <si>
    <t>Existing Home Rooms</t>
  </si>
  <si>
    <t>Proposed Home Rooms</t>
  </si>
  <si>
    <t>Net Home Rooms</t>
  </si>
  <si>
    <t>Existing House in Multiple Occupation Rooms</t>
  </si>
  <si>
    <t>Proposed House in Multiple Occupation Rooms</t>
  </si>
  <si>
    <t>Net House in Multiple Occupation Rooms</t>
  </si>
  <si>
    <t>Existing Student Bedrooms</t>
  </si>
  <si>
    <t>Proposed Student Bedrooms</t>
  </si>
  <si>
    <t>Net Student Bedrooms</t>
  </si>
  <si>
    <t>Existing Staff Accomodation</t>
  </si>
  <si>
    <t>Proposed Staff Accomodation</t>
  </si>
  <si>
    <t>Net Staff Accomodation</t>
  </si>
  <si>
    <t>1.8 : 1</t>
  </si>
  <si>
    <t>2.5:1</t>
  </si>
  <si>
    <t>C1</t>
  </si>
  <si>
    <t>D1</t>
  </si>
  <si>
    <t>Net Residential Units</t>
  </si>
  <si>
    <t>2025/26 - 2029/30 Total</t>
  </si>
  <si>
    <t>23/1149/FUL</t>
  </si>
  <si>
    <t>Care Home Beds</t>
  </si>
  <si>
    <t>Change of Use from Guest House (Use Class C1) to Care Home (Use Class C2) comprising 9No. bedrooms with associated refuse and cycle store, car parking and evcp.</t>
  </si>
  <si>
    <t>Bushy Park Lodge, 6 Sandy Lane, Teddington TW11 0DR</t>
  </si>
  <si>
    <t>TW11 0DR</t>
  </si>
  <si>
    <t>24/0688/ES191</t>
  </si>
  <si>
    <t>HMO</t>
  </si>
  <si>
    <t>House in Multiple Occupation Use (Sui Generis) relating to the use of the whole demise.</t>
  </si>
  <si>
    <t>252 Kingston Road, Teddington TW11 9JQ</t>
  </si>
  <si>
    <t>TW11 9JQ</t>
  </si>
  <si>
    <t>27-29 Lower Teddington Road</t>
  </si>
  <si>
    <t>KT1</t>
  </si>
  <si>
    <t>Student Bedrooms</t>
  </si>
  <si>
    <t>23-27 Lower Teddington Road</t>
  </si>
  <si>
    <t>23/1897/VRC</t>
  </si>
  <si>
    <t>Variation of condition U148816 - Approved plans of planning permission 22/1496/FUL to revise internal layouts, reduce guest beds from 57 to 50, increase height of BTM by 200mm, lower ground floor by 145mm, amend landscaping including location and extent o</t>
  </si>
  <si>
    <t>Richmond Inn Hotel, 50 - 56 Sheen Road, Richmond, TW9 1UG</t>
  </si>
  <si>
    <t>TW9 1UG</t>
  </si>
  <si>
    <t>Change of use from student accommodation to C3 residential use, side extension, erection of a part width rear extension to the lower and upper ground floor) and the creation of vehicular access to No. 23 Queens Road with alterations and improvements to th</t>
  </si>
  <si>
    <t xml:space="preserve">19/2822/FUL </t>
  </si>
  <si>
    <t>Retention and refurbishment of the former police station building with part demolition of rear wings and ancillary buildings, and the construction of a three storey side and rear extension and basement to form a registered care home comprising 22 care suites and 66 care bed units, with shared facilities, car and cycle parking, landscaping and ancillary works.</t>
  </si>
  <si>
    <t>Hampton Police Station, Station Road, Hampton TW12 2AX</t>
  </si>
  <si>
    <t>TW12 2AX</t>
  </si>
  <si>
    <t>Change of use of the building from student accommodation to provide 70 residential flats (C3 Use Class) including 4 social rent units, and 7 wheelchair accessible dwellings M4(3), facade and elevational alterations, infill extension at ground floor level and with associated landscaping, widening of two crossovers, access, parking/refuse provision and other external alterations.</t>
  </si>
  <si>
    <t>Expected Housing Delivery Trajectory</t>
  </si>
  <si>
    <t>London Plan Period</t>
  </si>
  <si>
    <t>2016 London Plan</t>
  </si>
  <si>
    <t>London Plan (2021 - 2031)</t>
  </si>
  <si>
    <t>Years of Plan Remaining</t>
  </si>
  <si>
    <t>10-year supply</t>
  </si>
  <si>
    <t>Local Plan</t>
  </si>
  <si>
    <t>2025/26</t>
  </si>
  <si>
    <t>2026/27</t>
  </si>
  <si>
    <t>2027/28</t>
  </si>
  <si>
    <t>2028/29</t>
  </si>
  <si>
    <t>2029/30</t>
  </si>
  <si>
    <t>2030/31</t>
  </si>
  <si>
    <t>2031/32</t>
  </si>
  <si>
    <t>2032/33</t>
  </si>
  <si>
    <t>2033/34</t>
  </si>
  <si>
    <t>2034/35</t>
  </si>
  <si>
    <t>Past Completions</t>
  </si>
  <si>
    <t>Projected Completions</t>
  </si>
  <si>
    <t>Cumulative Completions over Plan Period</t>
  </si>
  <si>
    <t>Annual Target</t>
  </si>
  <si>
    <t>Stepped Trajectory</t>
  </si>
  <si>
    <t>Delivery against Target</t>
  </si>
  <si>
    <t>Cumulative Target over Plan Period</t>
  </si>
  <si>
    <t>Cumulative Completions against Cumulative Target</t>
  </si>
  <si>
    <t>Gross completions by tenure (2024/25)</t>
  </si>
  <si>
    <t>Net Completions</t>
  </si>
  <si>
    <t>Gross Completions</t>
  </si>
  <si>
    <t>Gross Units</t>
  </si>
  <si>
    <t>Table 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</si>
</sst>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
    <numFmt numFmtId="167" formatCode="#,##0_ ;\-#,##0\ "/>
  </numFmts>
  <fonts count="46" x14ac:knownFonts="1">
    <font>
      <sz val="11"/>
      <color theme="1"/>
      <name val="Calibri"/>
      <family val="2"/>
      <scheme val="minor"/>
    </font>
    <font>
      <sz val="11"/>
      <color theme="1"/>
      <name val="Calibri"/>
      <family val="2"/>
      <scheme val="minor"/>
    </font>
    <font>
      <sz val="11"/>
      <name val="Calibri"/>
      <family val="2"/>
      <scheme val="minor"/>
    </font>
    <font>
      <sz val="11"/>
      <name val="Calibri"/>
      <family val="2"/>
    </font>
    <font>
      <sz val="10"/>
      <name val="Arial"/>
      <family val="2"/>
    </font>
    <font>
      <sz val="10"/>
      <color theme="5"/>
      <name val="Arial"/>
      <family val="2"/>
    </font>
    <font>
      <sz val="10"/>
      <name val="MS Sans Serif"/>
      <family val="2"/>
    </font>
    <font>
      <sz val="9"/>
      <color theme="5"/>
      <name val="Arial"/>
      <family val="2"/>
    </font>
    <font>
      <b/>
      <sz val="9"/>
      <color theme="5"/>
      <name val="Arial"/>
      <family val="2"/>
    </font>
    <font>
      <sz val="8"/>
      <color theme="5"/>
      <name val="Arial"/>
      <family val="2"/>
    </font>
    <font>
      <b/>
      <sz val="8"/>
      <color theme="5"/>
      <name val="Arial"/>
      <family val="2"/>
    </font>
    <font>
      <b/>
      <sz val="9"/>
      <name val="Arial"/>
      <family val="2"/>
    </font>
    <font>
      <sz val="9"/>
      <name val="Arial"/>
      <family val="2"/>
    </font>
    <font>
      <b/>
      <sz val="8"/>
      <name val="Arial"/>
      <family val="2"/>
    </font>
    <font>
      <sz val="8"/>
      <name val="Arial"/>
      <family val="2"/>
    </font>
    <font>
      <i/>
      <sz val="8"/>
      <color theme="5"/>
      <name val="Arial"/>
      <family val="2"/>
    </font>
    <font>
      <b/>
      <i/>
      <sz val="8"/>
      <color theme="5"/>
      <name val="Arial"/>
      <family val="2"/>
    </font>
    <font>
      <i/>
      <sz val="9"/>
      <color theme="5"/>
      <name val="Arial"/>
      <family val="2"/>
    </font>
    <font>
      <i/>
      <sz val="9"/>
      <name val="Arial"/>
      <family val="2"/>
    </font>
    <font>
      <i/>
      <sz val="8"/>
      <name val="Arial"/>
      <family val="2"/>
    </font>
    <font>
      <sz val="10"/>
      <color indexed="8"/>
      <name val="Arial"/>
      <family val="2"/>
    </font>
    <font>
      <b/>
      <u/>
      <sz val="16"/>
      <name val="Arial"/>
      <family val="2"/>
    </font>
    <font>
      <sz val="10"/>
      <color theme="5"/>
      <name val="MS Sans Serif"/>
      <family val="2"/>
    </font>
    <font>
      <b/>
      <sz val="11"/>
      <name val="Arial"/>
      <family val="2"/>
    </font>
    <font>
      <sz val="9"/>
      <color rgb="FFFF0000"/>
      <name val="Arial"/>
      <family val="2"/>
    </font>
    <font>
      <sz val="7.5"/>
      <name val="Arial"/>
      <family val="2"/>
    </font>
    <font>
      <sz val="10"/>
      <name val="Calibri"/>
      <family val="2"/>
      <scheme val="minor"/>
    </font>
    <font>
      <b/>
      <sz val="10"/>
      <name val="Calibri"/>
      <family val="2"/>
      <scheme val="minor"/>
    </font>
    <font>
      <b/>
      <sz val="12"/>
      <name val="Arial"/>
      <family val="2"/>
    </font>
    <font>
      <sz val="8"/>
      <color rgb="FFFF0000"/>
      <name val="Arial"/>
      <family val="2"/>
    </font>
    <font>
      <b/>
      <sz val="8"/>
      <color rgb="FFFF0000"/>
      <name val="Arial"/>
      <family val="2"/>
    </font>
    <font>
      <sz val="8"/>
      <name val="Calibri"/>
      <family val="2"/>
      <scheme val="minor"/>
    </font>
    <font>
      <sz val="11"/>
      <color theme="1"/>
      <name val="Calibri"/>
      <family val="2"/>
    </font>
    <font>
      <b/>
      <sz val="9"/>
      <color rgb="FFFF0000"/>
      <name val="Arial"/>
      <family val="2"/>
    </font>
    <font>
      <b/>
      <sz val="10"/>
      <name val="Arial"/>
      <family val="2"/>
    </font>
    <font>
      <sz val="9"/>
      <color theme="0" tint="-0.249977111117893"/>
      <name val="Arial"/>
      <family val="2"/>
    </font>
    <font>
      <sz val="10"/>
      <color theme="0" tint="-0.249977111117893"/>
      <name val="MS Sans Serif"/>
      <family val="2"/>
    </font>
    <font>
      <b/>
      <sz val="9"/>
      <color theme="0" tint="-0.249977111117893"/>
      <name val="Arial"/>
      <family val="2"/>
    </font>
    <font>
      <b/>
      <sz val="8"/>
      <color theme="0" tint="-0.249977111117893"/>
      <name val="Arial"/>
      <family val="2"/>
    </font>
    <font>
      <sz val="10"/>
      <color theme="0" tint="-0.249977111117893"/>
      <name val="Arial"/>
      <family val="2"/>
    </font>
    <font>
      <b/>
      <sz val="8"/>
      <color rgb="FF000000"/>
      <name val="Arial"/>
      <family val="2"/>
    </font>
    <font>
      <sz val="8"/>
      <color rgb="FF000000"/>
      <name val="Arial"/>
      <family val="2"/>
    </font>
    <font>
      <sz val="8"/>
      <color theme="1"/>
      <name val="Arial"/>
      <family val="2"/>
    </font>
    <font>
      <b/>
      <sz val="8"/>
      <color theme="1"/>
      <name val="Arial"/>
      <family val="2"/>
    </font>
    <font>
      <sz val="16"/>
      <name val="Arial"/>
      <family val="2"/>
    </font>
    <font>
      <vertAlign val="superscript"/>
      <sz val="16"/>
      <name val="Arial"/>
      <family val="2"/>
    </font>
  </fonts>
  <fills count="13">
    <fill>
      <patternFill patternType="none"/>
    </fill>
    <fill>
      <patternFill patternType="gray125"/>
    </fill>
    <fill>
      <patternFill patternType="solid">
        <fgColor theme="6"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rgb="FFFFFFFF"/>
        <bgColor rgb="FF000000"/>
      </patternFill>
    </fill>
    <fill>
      <patternFill patternType="solid">
        <fgColor rgb="FFB7DEE8"/>
        <bgColor rgb="FF000000"/>
      </patternFill>
    </fill>
    <fill>
      <patternFill patternType="solid">
        <fgColor rgb="FFDCE6F1"/>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rgb="FFB7DEE8"/>
        <bgColor indexed="64"/>
      </patternFill>
    </fill>
    <fill>
      <patternFill patternType="solid">
        <fgColor rgb="FFFFFFFF"/>
        <bgColor indexed="64"/>
      </patternFill>
    </fill>
    <fill>
      <patternFill patternType="solid">
        <fgColor theme="8" tint="0.59999389629810485"/>
        <bgColor theme="4" tint="0.79998168889431442"/>
      </patternFill>
    </fill>
  </fills>
  <borders count="66">
    <border>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theme="1" tint="0.499984740745262"/>
      </right>
      <top style="thin">
        <color indexed="64"/>
      </top>
      <bottom style="thin">
        <color theme="1" tint="0.499984740745262"/>
      </bottom>
      <diagonal/>
    </border>
    <border>
      <left style="thin">
        <color theme="1" tint="0.499984740745262"/>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thin">
        <color indexed="64"/>
      </right>
      <top style="thin">
        <color theme="1" tint="0.499984740745262"/>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bottom style="thin">
        <color theme="0" tint="-0.499984740745262"/>
      </bottom>
      <diagonal/>
    </border>
    <border>
      <left/>
      <right/>
      <top/>
      <bottom style="thin">
        <color theme="0" tint="-0.499984740745262"/>
      </bottom>
      <diagonal/>
    </border>
    <border>
      <left style="medium">
        <color theme="0" tint="-0.499984740745262"/>
      </left>
      <right/>
      <top/>
      <bottom style="thin">
        <color theme="0"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1" tint="0.499984740745262"/>
      </right>
      <top/>
      <bottom style="thin">
        <color theme="1" tint="0.499984740745262"/>
      </bottom>
      <diagonal/>
    </border>
    <border>
      <left style="thin">
        <color indexed="64"/>
      </left>
      <right/>
      <top/>
      <bottom style="thin">
        <color theme="1" tint="0.499984740745262"/>
      </bottom>
      <diagonal/>
    </border>
    <border>
      <left/>
      <right/>
      <top/>
      <bottom style="thin">
        <color theme="1" tint="0.499984740745262"/>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xf numFmtId="0" fontId="20" fillId="0" borderId="0"/>
    <xf numFmtId="0" fontId="4" fillId="0" borderId="0"/>
    <xf numFmtId="0" fontId="4" fillId="0" borderId="0"/>
    <xf numFmtId="0" fontId="4" fillId="0" borderId="0"/>
    <xf numFmtId="0" fontId="20" fillId="0" borderId="0"/>
    <xf numFmtId="0" fontId="6" fillId="0" borderId="0"/>
    <xf numFmtId="0" fontId="4" fillId="0" borderId="0"/>
  </cellStyleXfs>
  <cellXfs count="487">
    <xf numFmtId="0" fontId="0" fillId="0" borderId="0" xfId="0"/>
    <xf numFmtId="14" fontId="0" fillId="0" borderId="0" xfId="0" applyNumberFormat="1" applyAlignment="1">
      <alignment vertical="center"/>
    </xf>
    <xf numFmtId="0" fontId="0" fillId="0" borderId="0" xfId="0" applyAlignment="1">
      <alignment vertical="top" wrapText="1"/>
    </xf>
    <xf numFmtId="0" fontId="5" fillId="4" borderId="0" xfId="3" applyFont="1" applyFill="1"/>
    <xf numFmtId="0" fontId="5" fillId="4" borderId="4" xfId="3" applyFont="1" applyFill="1" applyBorder="1"/>
    <xf numFmtId="0" fontId="7" fillId="4" borderId="4" xfId="4" applyFont="1" applyFill="1" applyBorder="1"/>
    <xf numFmtId="0" fontId="5" fillId="4" borderId="3" xfId="3" applyFont="1" applyFill="1" applyBorder="1"/>
    <xf numFmtId="0" fontId="8" fillId="4" borderId="0" xfId="4" applyFont="1" applyFill="1"/>
    <xf numFmtId="0" fontId="9" fillId="4" borderId="0" xfId="4" applyFont="1" applyFill="1" applyAlignment="1">
      <alignment horizontal="left" wrapText="1"/>
    </xf>
    <xf numFmtId="3" fontId="10" fillId="4" borderId="0" xfId="4" applyNumberFormat="1" applyFont="1" applyFill="1" applyAlignment="1">
      <alignment horizontal="center" wrapText="1"/>
    </xf>
    <xf numFmtId="3" fontId="9" fillId="4" borderId="0" xfId="4" applyNumberFormat="1" applyFont="1" applyFill="1" applyAlignment="1">
      <alignment horizontal="right" wrapText="1"/>
    </xf>
    <xf numFmtId="9" fontId="10" fillId="4" borderId="0" xfId="4" applyNumberFormat="1" applyFont="1" applyFill="1" applyAlignment="1">
      <alignment horizontal="center" wrapText="1"/>
    </xf>
    <xf numFmtId="0" fontId="7" fillId="4" borderId="0" xfId="4" applyFont="1" applyFill="1"/>
    <xf numFmtId="0" fontId="7" fillId="4" borderId="2" xfId="4" applyFont="1" applyFill="1" applyBorder="1"/>
    <xf numFmtId="0" fontId="11" fillId="4" borderId="9" xfId="4" applyFont="1" applyFill="1" applyBorder="1"/>
    <xf numFmtId="0" fontId="12" fillId="4" borderId="9" xfId="4" applyFont="1" applyFill="1" applyBorder="1"/>
    <xf numFmtId="0" fontId="12" fillId="4" borderId="0" xfId="4" applyFont="1" applyFill="1"/>
    <xf numFmtId="3" fontId="7" fillId="4" borderId="0" xfId="4" applyNumberFormat="1" applyFont="1" applyFill="1"/>
    <xf numFmtId="9" fontId="9" fillId="4" borderId="0" xfId="2" applyFont="1" applyFill="1" applyBorder="1" applyAlignment="1">
      <alignment horizontal="right" wrapText="1"/>
    </xf>
    <xf numFmtId="0" fontId="11" fillId="5" borderId="0" xfId="0" applyFont="1" applyFill="1"/>
    <xf numFmtId="0" fontId="11" fillId="4" borderId="0" xfId="4" applyFont="1" applyFill="1"/>
    <xf numFmtId="0" fontId="12" fillId="5" borderId="0" xfId="0" applyFont="1" applyFill="1"/>
    <xf numFmtId="0" fontId="7" fillId="5" borderId="0" xfId="0" applyFont="1" applyFill="1"/>
    <xf numFmtId="0" fontId="14" fillId="5" borderId="14" xfId="0" applyFont="1" applyFill="1" applyBorder="1" applyAlignment="1">
      <alignment horizontal="center" vertical="center" wrapText="1"/>
    </xf>
    <xf numFmtId="3" fontId="13" fillId="0" borderId="14" xfId="0" applyNumberFormat="1" applyFont="1" applyBorder="1" applyAlignment="1">
      <alignment horizontal="right" vertical="center" wrapText="1"/>
    </xf>
    <xf numFmtId="0" fontId="4" fillId="4" borderId="0" xfId="3" applyFill="1"/>
    <xf numFmtId="9" fontId="13" fillId="0" borderId="14" xfId="3" applyNumberFormat="1" applyFont="1" applyBorder="1" applyAlignment="1">
      <alignment horizontal="right" vertical="center" wrapText="1"/>
    </xf>
    <xf numFmtId="0" fontId="15" fillId="5" borderId="0" xfId="0" applyFont="1" applyFill="1" applyAlignment="1">
      <alignment horizontal="center" vertical="center" wrapText="1"/>
    </xf>
    <xf numFmtId="0" fontId="15" fillId="5" borderId="0" xfId="0" applyFont="1" applyFill="1" applyAlignment="1">
      <alignment horizontal="left" vertical="center" wrapText="1"/>
    </xf>
    <xf numFmtId="165" fontId="16" fillId="4" borderId="0" xfId="3" applyNumberFormat="1" applyFont="1" applyFill="1" applyAlignment="1">
      <alignment horizontal="right" vertical="center" wrapText="1"/>
    </xf>
    <xf numFmtId="0" fontId="17" fillId="4" borderId="0" xfId="4" applyFont="1" applyFill="1"/>
    <xf numFmtId="0" fontId="12" fillId="4" borderId="2" xfId="4" applyFont="1" applyFill="1" applyBorder="1"/>
    <xf numFmtId="0" fontId="18" fillId="4" borderId="0" xfId="4" applyFont="1" applyFill="1"/>
    <xf numFmtId="0" fontId="14" fillId="5" borderId="0" xfId="0" applyFont="1" applyFill="1" applyAlignment="1">
      <alignment horizontal="left" vertical="center" wrapText="1"/>
    </xf>
    <xf numFmtId="0" fontId="14" fillId="5" borderId="0" xfId="0" applyFont="1" applyFill="1" applyAlignment="1">
      <alignment horizontal="center" vertical="center" wrapText="1"/>
    </xf>
    <xf numFmtId="166" fontId="13" fillId="4" borderId="0" xfId="0" applyNumberFormat="1" applyFont="1" applyFill="1" applyAlignment="1">
      <alignment horizontal="right" vertical="center" wrapText="1"/>
    </xf>
    <xf numFmtId="0" fontId="9" fillId="4" borderId="0" xfId="3" applyFont="1" applyFill="1" applyAlignment="1">
      <alignment horizontal="center" vertical="center" wrapText="1"/>
    </xf>
    <xf numFmtId="0" fontId="9" fillId="4" borderId="0" xfId="3" applyFont="1" applyFill="1" applyAlignment="1">
      <alignment horizontal="left" vertical="center" wrapText="1"/>
    </xf>
    <xf numFmtId="0" fontId="9" fillId="4" borderId="0" xfId="3" applyFont="1" applyFill="1" applyAlignment="1">
      <alignment horizontal="right" vertical="center" wrapText="1"/>
    </xf>
    <xf numFmtId="0" fontId="14" fillId="4" borderId="0" xfId="3" applyFont="1" applyFill="1" applyAlignment="1">
      <alignment horizontal="left" vertical="center" wrapText="1"/>
    </xf>
    <xf numFmtId="0" fontId="19" fillId="4" borderId="0" xfId="3" applyFont="1" applyFill="1" applyAlignment="1">
      <alignment horizontal="left" vertical="center" wrapText="1"/>
    </xf>
    <xf numFmtId="0" fontId="5" fillId="4" borderId="1" xfId="3" applyFont="1" applyFill="1" applyBorder="1"/>
    <xf numFmtId="0" fontId="9" fillId="4" borderId="0" xfId="5" applyFont="1" applyFill="1"/>
    <xf numFmtId="0" fontId="9" fillId="4" borderId="0" xfId="5" applyFont="1" applyFill="1" applyAlignment="1">
      <alignment wrapText="1"/>
    </xf>
    <xf numFmtId="3" fontId="9" fillId="4" borderId="0" xfId="5" applyNumberFormat="1" applyFont="1" applyFill="1" applyAlignment="1">
      <alignment horizontal="center"/>
    </xf>
    <xf numFmtId="0" fontId="5" fillId="4" borderId="0" xfId="5" applyFont="1" applyFill="1"/>
    <xf numFmtId="0" fontId="5" fillId="4" borderId="2" xfId="5" applyFont="1" applyFill="1" applyBorder="1"/>
    <xf numFmtId="0" fontId="5" fillId="4" borderId="8" xfId="3" applyFont="1" applyFill="1" applyBorder="1"/>
    <xf numFmtId="0" fontId="9" fillId="4" borderId="9" xfId="5" applyFont="1" applyFill="1" applyBorder="1"/>
    <xf numFmtId="0" fontId="5" fillId="4" borderId="9" xfId="5" applyFont="1" applyFill="1" applyBorder="1"/>
    <xf numFmtId="0" fontId="5" fillId="4" borderId="10" xfId="5" applyFont="1" applyFill="1" applyBorder="1"/>
    <xf numFmtId="0" fontId="5" fillId="4" borderId="6" xfId="3" applyFont="1" applyFill="1" applyBorder="1"/>
    <xf numFmtId="0" fontId="5" fillId="4" borderId="4" xfId="5" applyFont="1" applyFill="1" applyBorder="1"/>
    <xf numFmtId="0" fontId="5" fillId="4" borderId="2" xfId="3" applyFont="1" applyFill="1" applyBorder="1"/>
    <xf numFmtId="0" fontId="12" fillId="4" borderId="0" xfId="5" applyFont="1" applyFill="1"/>
    <xf numFmtId="0" fontId="7" fillId="4" borderId="0" xfId="5" applyFont="1" applyFill="1"/>
    <xf numFmtId="0" fontId="14" fillId="3" borderId="14" xfId="5" applyFont="1" applyFill="1" applyBorder="1" applyAlignment="1">
      <alignment horizontal="center" vertical="top" wrapText="1"/>
    </xf>
    <xf numFmtId="0" fontId="7" fillId="4" borderId="0" xfId="5" applyFont="1" applyFill="1" applyAlignment="1">
      <alignment horizontal="center" vertical="center"/>
    </xf>
    <xf numFmtId="0" fontId="5" fillId="4" borderId="0" xfId="5" applyFont="1" applyFill="1" applyAlignment="1">
      <alignment horizontal="center" vertical="center"/>
    </xf>
    <xf numFmtId="0" fontId="14" fillId="4" borderId="14" xfId="5" applyFont="1" applyFill="1" applyBorder="1" applyAlignment="1">
      <alignment horizontal="center" vertical="center"/>
    </xf>
    <xf numFmtId="3" fontId="14" fillId="4" borderId="14" xfId="5" applyNumberFormat="1" applyFont="1" applyFill="1" applyBorder="1" applyAlignment="1">
      <alignment horizontal="center" vertical="center"/>
    </xf>
    <xf numFmtId="3" fontId="14" fillId="0" borderId="14" xfId="5" applyNumberFormat="1" applyFont="1" applyBorder="1" applyAlignment="1">
      <alignment horizontal="center" vertical="center"/>
    </xf>
    <xf numFmtId="3" fontId="10" fillId="4" borderId="0" xfId="4" applyNumberFormat="1" applyFont="1" applyFill="1" applyAlignment="1">
      <alignment horizontal="right"/>
    </xf>
    <xf numFmtId="0" fontId="13" fillId="3" borderId="14" xfId="4" applyFont="1" applyFill="1" applyBorder="1" applyAlignment="1">
      <alignment horizontal="center"/>
    </xf>
    <xf numFmtId="3" fontId="13" fillId="3" borderId="14" xfId="4" applyNumberFormat="1" applyFont="1" applyFill="1" applyBorder="1" applyAlignment="1">
      <alignment horizontal="center"/>
    </xf>
    <xf numFmtId="0" fontId="7" fillId="4" borderId="9" xfId="4" applyFont="1" applyFill="1" applyBorder="1"/>
    <xf numFmtId="0" fontId="5" fillId="4" borderId="9" xfId="3" applyFont="1" applyFill="1" applyBorder="1"/>
    <xf numFmtId="0" fontId="5" fillId="4" borderId="10" xfId="3" applyFont="1" applyFill="1" applyBorder="1"/>
    <xf numFmtId="0" fontId="5" fillId="4" borderId="7" xfId="3" applyFont="1" applyFill="1" applyBorder="1"/>
    <xf numFmtId="0" fontId="21" fillId="4" borderId="0" xfId="4" applyFont="1" applyFill="1" applyAlignment="1">
      <alignment horizontal="left" indent="1"/>
    </xf>
    <xf numFmtId="0" fontId="6" fillId="4" borderId="0" xfId="4" applyFill="1"/>
    <xf numFmtId="0" fontId="22" fillId="4" borderId="0" xfId="4" applyFont="1" applyFill="1"/>
    <xf numFmtId="0" fontId="13" fillId="3" borderId="31" xfId="4" applyFont="1" applyFill="1" applyBorder="1" applyAlignment="1">
      <alignment horizontal="center"/>
    </xf>
    <xf numFmtId="3" fontId="14" fillId="4" borderId="31" xfId="4" applyNumberFormat="1" applyFont="1" applyFill="1" applyBorder="1" applyAlignment="1">
      <alignment horizontal="center"/>
    </xf>
    <xf numFmtId="9" fontId="14" fillId="4" borderId="31" xfId="4" applyNumberFormat="1" applyFont="1" applyFill="1" applyBorder="1" applyAlignment="1">
      <alignment horizontal="center"/>
    </xf>
    <xf numFmtId="3" fontId="14" fillId="4" borderId="31" xfId="5" applyNumberFormat="1" applyFont="1" applyFill="1" applyBorder="1" applyAlignment="1">
      <alignment horizontal="center"/>
    </xf>
    <xf numFmtId="0" fontId="13" fillId="3" borderId="14" xfId="4" applyFont="1" applyFill="1" applyBorder="1" applyAlignment="1">
      <alignment horizontal="center" vertical="center" wrapText="1"/>
    </xf>
    <xf numFmtId="9" fontId="14" fillId="4" borderId="14" xfId="2" applyFont="1" applyFill="1" applyBorder="1" applyAlignment="1">
      <alignment horizontal="center"/>
    </xf>
    <xf numFmtId="0" fontId="22" fillId="4" borderId="9" xfId="4" applyFont="1" applyFill="1" applyBorder="1"/>
    <xf numFmtId="0" fontId="22" fillId="4" borderId="4" xfId="4" applyFont="1" applyFill="1" applyBorder="1"/>
    <xf numFmtId="0" fontId="14" fillId="4" borderId="0" xfId="3" applyFont="1" applyFill="1" applyAlignment="1">
      <alignment horizontal="left"/>
    </xf>
    <xf numFmtId="0" fontId="13" fillId="3" borderId="31" xfId="3" applyFont="1" applyFill="1" applyBorder="1" applyAlignment="1">
      <alignment horizontal="center"/>
    </xf>
    <xf numFmtId="0" fontId="14" fillId="4" borderId="31" xfId="3" applyFont="1" applyFill="1" applyBorder="1" applyAlignment="1">
      <alignment horizontal="center"/>
    </xf>
    <xf numFmtId="167" fontId="14" fillId="4" borderId="31" xfId="1" applyNumberFormat="1" applyFont="1" applyFill="1" applyBorder="1" applyAlignment="1">
      <alignment horizontal="center" vertical="center"/>
    </xf>
    <xf numFmtId="9" fontId="14" fillId="4" borderId="31" xfId="2" applyFont="1" applyFill="1" applyBorder="1" applyAlignment="1">
      <alignment horizontal="center"/>
    </xf>
    <xf numFmtId="167" fontId="14" fillId="0" borderId="31" xfId="1" applyNumberFormat="1" applyFont="1" applyFill="1" applyBorder="1" applyAlignment="1">
      <alignment horizontal="center" vertical="center"/>
    </xf>
    <xf numFmtId="9" fontId="14" fillId="0" borderId="31" xfId="2" applyFont="1" applyFill="1" applyBorder="1" applyAlignment="1">
      <alignment horizontal="center"/>
    </xf>
    <xf numFmtId="9" fontId="9" fillId="4" borderId="0" xfId="2" applyFont="1" applyFill="1" applyBorder="1" applyAlignment="1">
      <alignment horizontal="center"/>
    </xf>
    <xf numFmtId="0" fontId="14" fillId="4" borderId="14" xfId="3" applyFont="1" applyFill="1" applyBorder="1" applyAlignment="1">
      <alignment horizontal="center"/>
    </xf>
    <xf numFmtId="9" fontId="14" fillId="0" borderId="14" xfId="2" applyFont="1" applyFill="1" applyBorder="1" applyAlignment="1">
      <alignment horizontal="center"/>
    </xf>
    <xf numFmtId="0" fontId="4" fillId="4" borderId="3" xfId="3" applyFill="1" applyBorder="1"/>
    <xf numFmtId="0" fontId="4" fillId="4" borderId="2" xfId="3" applyFill="1" applyBorder="1"/>
    <xf numFmtId="0" fontId="23" fillId="4" borderId="0" xfId="4" applyFont="1" applyFill="1"/>
    <xf numFmtId="0" fontId="4" fillId="4" borderId="1" xfId="3" applyFill="1" applyBorder="1"/>
    <xf numFmtId="0" fontId="13" fillId="3" borderId="32" xfId="4" applyFont="1" applyFill="1" applyBorder="1" applyAlignment="1">
      <alignment horizontal="center"/>
    </xf>
    <xf numFmtId="3" fontId="13" fillId="3" borderId="32" xfId="4" applyNumberFormat="1" applyFont="1" applyFill="1" applyBorder="1" applyAlignment="1">
      <alignment horizontal="right"/>
    </xf>
    <xf numFmtId="3" fontId="12" fillId="4" borderId="0" xfId="4" applyNumberFormat="1" applyFont="1" applyFill="1" applyAlignment="1">
      <alignment horizontal="center"/>
    </xf>
    <xf numFmtId="3" fontId="7" fillId="4" borderId="0" xfId="4" applyNumberFormat="1" applyFont="1" applyFill="1" applyAlignment="1">
      <alignment horizontal="center"/>
    </xf>
    <xf numFmtId="0" fontId="14" fillId="3" borderId="32" xfId="4" applyFont="1" applyFill="1" applyBorder="1" applyAlignment="1">
      <alignment horizontal="center" vertical="top" wrapText="1"/>
    </xf>
    <xf numFmtId="0" fontId="10" fillId="4" borderId="0" xfId="4" applyFont="1" applyFill="1" applyAlignment="1">
      <alignment horizontal="left"/>
    </xf>
    <xf numFmtId="1" fontId="10" fillId="4" borderId="0" xfId="4" applyNumberFormat="1" applyFont="1" applyFill="1" applyAlignment="1">
      <alignment horizontal="right"/>
    </xf>
    <xf numFmtId="0" fontId="10" fillId="4" borderId="9" xfId="4" applyFont="1" applyFill="1" applyBorder="1" applyAlignment="1">
      <alignment horizontal="left"/>
    </xf>
    <xf numFmtId="3" fontId="10" fillId="4" borderId="9" xfId="4" applyNumberFormat="1" applyFont="1" applyFill="1" applyBorder="1" applyAlignment="1">
      <alignment horizontal="right"/>
    </xf>
    <xf numFmtId="1" fontId="10" fillId="4" borderId="9" xfId="4" applyNumberFormat="1" applyFont="1" applyFill="1" applyBorder="1" applyAlignment="1">
      <alignment horizontal="right"/>
    </xf>
    <xf numFmtId="3" fontId="7" fillId="4" borderId="9" xfId="4" applyNumberFormat="1" applyFont="1" applyFill="1" applyBorder="1" applyAlignment="1">
      <alignment horizontal="center"/>
    </xf>
    <xf numFmtId="0" fontId="10" fillId="4" borderId="4" xfId="4" applyFont="1" applyFill="1" applyBorder="1" applyAlignment="1">
      <alignment horizontal="left"/>
    </xf>
    <xf numFmtId="0" fontId="10" fillId="4" borderId="4" xfId="4" applyFont="1" applyFill="1" applyBorder="1"/>
    <xf numFmtId="3" fontId="10" fillId="4" borderId="4" xfId="4" applyNumberFormat="1" applyFont="1" applyFill="1" applyBorder="1" applyAlignment="1">
      <alignment horizontal="center"/>
    </xf>
    <xf numFmtId="0" fontId="14" fillId="3" borderId="32" xfId="4" applyFont="1" applyFill="1" applyBorder="1" applyAlignment="1">
      <alignment horizontal="center"/>
    </xf>
    <xf numFmtId="0" fontId="13" fillId="4" borderId="0" xfId="0" applyFont="1" applyFill="1" applyAlignment="1">
      <alignment vertical="center" wrapText="1"/>
    </xf>
    <xf numFmtId="167" fontId="14" fillId="0" borderId="14" xfId="1" applyNumberFormat="1" applyFont="1" applyFill="1" applyBorder="1" applyAlignment="1">
      <alignment horizontal="center" vertical="center" wrapText="1"/>
    </xf>
    <xf numFmtId="167" fontId="13" fillId="3" borderId="14" xfId="1" applyNumberFormat="1" applyFont="1" applyFill="1" applyBorder="1" applyAlignment="1">
      <alignment horizontal="center" vertical="center" wrapText="1"/>
    </xf>
    <xf numFmtId="0" fontId="11" fillId="4" borderId="0" xfId="4" applyFont="1" applyFill="1" applyAlignment="1">
      <alignment horizontal="left"/>
    </xf>
    <xf numFmtId="3" fontId="14" fillId="0" borderId="32" xfId="4" applyNumberFormat="1" applyFont="1" applyBorder="1" applyAlignment="1">
      <alignment horizontal="right"/>
    </xf>
    <xf numFmtId="9" fontId="14" fillId="0" borderId="32" xfId="4" applyNumberFormat="1" applyFont="1" applyBorder="1" applyAlignment="1">
      <alignment horizontal="right"/>
    </xf>
    <xf numFmtId="9" fontId="13" fillId="3" borderId="32" xfId="4" applyNumberFormat="1" applyFont="1" applyFill="1" applyBorder="1" applyAlignment="1">
      <alignment horizontal="right"/>
    </xf>
    <xf numFmtId="9" fontId="7" fillId="4" borderId="0" xfId="4" applyNumberFormat="1" applyFont="1" applyFill="1" applyAlignment="1">
      <alignment horizontal="center"/>
    </xf>
    <xf numFmtId="9" fontId="7" fillId="4" borderId="9" xfId="4" applyNumberFormat="1" applyFont="1" applyFill="1" applyBorder="1" applyAlignment="1">
      <alignment horizontal="center"/>
    </xf>
    <xf numFmtId="9" fontId="7" fillId="4" borderId="4" xfId="4" applyNumberFormat="1" applyFont="1" applyFill="1" applyBorder="1" applyAlignment="1">
      <alignment horizontal="center"/>
    </xf>
    <xf numFmtId="9" fontId="12" fillId="4" borderId="0" xfId="4" applyNumberFormat="1" applyFont="1" applyFill="1" applyAlignment="1">
      <alignment horizontal="center"/>
    </xf>
    <xf numFmtId="9" fontId="12" fillId="4" borderId="0" xfId="4" applyNumberFormat="1" applyFont="1" applyFill="1" applyAlignment="1">
      <alignment horizontal="left"/>
    </xf>
    <xf numFmtId="0" fontId="24" fillId="4" borderId="0" xfId="4" applyFont="1" applyFill="1"/>
    <xf numFmtId="0" fontId="25" fillId="3" borderId="14" xfId="0" applyFont="1" applyFill="1" applyBorder="1" applyAlignment="1">
      <alignment horizontal="center" vertical="top" wrapText="1"/>
    </xf>
    <xf numFmtId="0" fontId="13" fillId="3" borderId="14" xfId="0" applyFont="1" applyFill="1" applyBorder="1" applyAlignment="1">
      <alignment horizontal="center" vertical="top" wrapText="1"/>
    </xf>
    <xf numFmtId="167" fontId="13" fillId="0" borderId="14" xfId="1" applyNumberFormat="1" applyFont="1" applyFill="1" applyBorder="1" applyAlignment="1">
      <alignment horizontal="center" vertical="center" wrapText="1"/>
    </xf>
    <xf numFmtId="167" fontId="7" fillId="4" borderId="0" xfId="4" applyNumberFormat="1" applyFont="1" applyFill="1"/>
    <xf numFmtId="0" fontId="11" fillId="0" borderId="0" xfId="4" applyFont="1"/>
    <xf numFmtId="164" fontId="14" fillId="0" borderId="14" xfId="3" applyNumberFormat="1" applyFont="1" applyBorder="1" applyAlignment="1">
      <alignment horizontal="center"/>
    </xf>
    <xf numFmtId="0" fontId="26" fillId="0" borderId="0" xfId="0" applyFont="1"/>
    <xf numFmtId="0" fontId="2" fillId="0" borderId="0" xfId="0" applyFont="1"/>
    <xf numFmtId="0" fontId="26" fillId="0" borderId="0" xfId="6" applyFont="1"/>
    <xf numFmtId="0" fontId="26" fillId="0" borderId="0" xfId="7" applyFont="1"/>
    <xf numFmtId="0" fontId="26" fillId="0" borderId="0" xfId="0" applyFont="1" applyAlignment="1">
      <alignment horizontal="left"/>
    </xf>
    <xf numFmtId="0" fontId="27" fillId="0" borderId="0" xfId="0" applyFont="1"/>
    <xf numFmtId="0" fontId="12" fillId="4" borderId="0" xfId="8" applyFont="1" applyFill="1" applyAlignment="1">
      <alignment horizontal="right"/>
    </xf>
    <xf numFmtId="0" fontId="12" fillId="4" borderId="0" xfId="8" applyFont="1" applyFill="1"/>
    <xf numFmtId="0" fontId="12" fillId="8" borderId="3" xfId="8" applyFont="1" applyFill="1" applyBorder="1"/>
    <xf numFmtId="0" fontId="12" fillId="8" borderId="0" xfId="8" applyFont="1" applyFill="1"/>
    <xf numFmtId="0" fontId="12" fillId="8" borderId="2" xfId="8" applyFont="1" applyFill="1" applyBorder="1"/>
    <xf numFmtId="3" fontId="13" fillId="8" borderId="0" xfId="10" applyNumberFormat="1" applyFont="1" applyFill="1" applyAlignment="1">
      <alignment horizontal="center" vertical="center"/>
    </xf>
    <xf numFmtId="3" fontId="13" fillId="8" borderId="0" xfId="10" applyNumberFormat="1" applyFont="1" applyFill="1" applyAlignment="1">
      <alignment vertical="center"/>
    </xf>
    <xf numFmtId="3" fontId="13" fillId="8" borderId="2" xfId="10" applyNumberFormat="1" applyFont="1" applyFill="1" applyBorder="1" applyAlignment="1">
      <alignment vertical="center"/>
    </xf>
    <xf numFmtId="0" fontId="12" fillId="8" borderId="0" xfId="8" applyFont="1" applyFill="1" applyAlignment="1">
      <alignment horizontal="right"/>
    </xf>
    <xf numFmtId="0" fontId="12" fillId="8" borderId="2" xfId="8" applyFont="1" applyFill="1" applyBorder="1" applyAlignment="1">
      <alignment horizontal="right"/>
    </xf>
    <xf numFmtId="0" fontId="13" fillId="2" borderId="12" xfId="9" applyFont="1" applyFill="1" applyBorder="1" applyAlignment="1">
      <alignment horizontal="right" vertical="center"/>
    </xf>
    <xf numFmtId="0" fontId="13" fillId="2" borderId="5" xfId="9" applyFont="1" applyFill="1" applyBorder="1" applyAlignment="1">
      <alignment horizontal="right" vertical="center"/>
    </xf>
    <xf numFmtId="0" fontId="13" fillId="2" borderId="4" xfId="9" applyFont="1" applyFill="1" applyBorder="1" applyAlignment="1">
      <alignment horizontal="right" vertical="center"/>
    </xf>
    <xf numFmtId="0" fontId="13" fillId="2" borderId="13" xfId="9" applyFont="1" applyFill="1" applyBorder="1" applyAlignment="1">
      <alignment horizontal="right" vertical="center"/>
    </xf>
    <xf numFmtId="0" fontId="13" fillId="2" borderId="14" xfId="9" applyFont="1" applyFill="1" applyBorder="1" applyAlignment="1">
      <alignment horizontal="right" vertical="center"/>
    </xf>
    <xf numFmtId="0" fontId="14" fillId="2" borderId="12" xfId="9" applyFont="1" applyFill="1" applyBorder="1" applyAlignment="1">
      <alignment vertical="center" wrapText="1"/>
    </xf>
    <xf numFmtId="0" fontId="14" fillId="0" borderId="14" xfId="11" applyFont="1" applyBorder="1" applyAlignment="1">
      <alignment horizontal="center" vertical="center"/>
    </xf>
    <xf numFmtId="3" fontId="14" fillId="0" borderId="12" xfId="9" applyNumberFormat="1" applyFont="1" applyBorder="1" applyAlignment="1">
      <alignment horizontal="center" vertical="center"/>
    </xf>
    <xf numFmtId="3" fontId="14" fillId="0" borderId="52" xfId="9" applyNumberFormat="1" applyFont="1" applyBorder="1" applyAlignment="1">
      <alignment horizontal="center" vertical="center"/>
    </xf>
    <xf numFmtId="3" fontId="14" fillId="0" borderId="53" xfId="9" applyNumberFormat="1" applyFont="1" applyBorder="1" applyAlignment="1">
      <alignment horizontal="center" vertical="center"/>
    </xf>
    <xf numFmtId="3" fontId="14" fillId="0" borderId="54" xfId="9" applyNumberFormat="1" applyFont="1" applyBorder="1" applyAlignment="1">
      <alignment horizontal="center" vertical="center"/>
    </xf>
    <xf numFmtId="3" fontId="14" fillId="0" borderId="55" xfId="9" applyNumberFormat="1" applyFont="1" applyBorder="1" applyAlignment="1">
      <alignment horizontal="center" vertical="center"/>
    </xf>
    <xf numFmtId="0" fontId="12" fillId="4" borderId="13" xfId="8" applyFont="1" applyFill="1" applyBorder="1" applyAlignment="1">
      <alignment horizontal="right"/>
    </xf>
    <xf numFmtId="0" fontId="12" fillId="4" borderId="14" xfId="8" applyFont="1" applyFill="1" applyBorder="1" applyAlignment="1">
      <alignment horizontal="right"/>
    </xf>
    <xf numFmtId="3" fontId="29" fillId="0" borderId="14" xfId="10" applyNumberFormat="1" applyFont="1" applyBorder="1" applyAlignment="1">
      <alignment horizontal="center" vertical="center"/>
    </xf>
    <xf numFmtId="3" fontId="29" fillId="0" borderId="14" xfId="8" applyNumberFormat="1" applyFont="1" applyBorder="1" applyAlignment="1">
      <alignment horizontal="center" vertical="center"/>
    </xf>
    <xf numFmtId="0" fontId="29" fillId="0" borderId="14" xfId="11" applyFont="1" applyBorder="1" applyAlignment="1">
      <alignment horizontal="center" vertical="center"/>
    </xf>
    <xf numFmtId="0" fontId="30" fillId="0" borderId="14" xfId="11" applyFont="1" applyBorder="1" applyAlignment="1">
      <alignment horizontal="center" vertical="center"/>
    </xf>
    <xf numFmtId="1" fontId="29" fillId="0" borderId="12" xfId="11" applyNumberFormat="1" applyFont="1" applyBorder="1" applyAlignment="1">
      <alignment horizontal="center" vertical="center"/>
    </xf>
    <xf numFmtId="1" fontId="14" fillId="0" borderId="56" xfId="11" applyNumberFormat="1" applyFont="1" applyBorder="1" applyAlignment="1">
      <alignment horizontal="center" vertical="center"/>
    </xf>
    <xf numFmtId="1" fontId="14" fillId="0" borderId="12" xfId="11" applyNumberFormat="1" applyFont="1" applyBorder="1" applyAlignment="1">
      <alignment horizontal="center" vertical="center"/>
    </xf>
    <xf numFmtId="1" fontId="14" fillId="0" borderId="57" xfId="11" applyNumberFormat="1" applyFont="1" applyBorder="1" applyAlignment="1">
      <alignment horizontal="center" vertical="center"/>
    </xf>
    <xf numFmtId="1" fontId="14" fillId="0" borderId="36" xfId="11" applyNumberFormat="1" applyFont="1" applyBorder="1" applyAlignment="1">
      <alignment horizontal="center" vertical="center"/>
    </xf>
    <xf numFmtId="1" fontId="14" fillId="0" borderId="13" xfId="11" applyNumberFormat="1" applyFont="1" applyBorder="1" applyAlignment="1">
      <alignment horizontal="center" vertical="center"/>
    </xf>
    <xf numFmtId="1" fontId="14" fillId="0" borderId="14" xfId="11" applyNumberFormat="1" applyFont="1" applyBorder="1" applyAlignment="1">
      <alignment horizontal="center" vertical="center"/>
    </xf>
    <xf numFmtId="3" fontId="14" fillId="0" borderId="14" xfId="10" applyNumberFormat="1" applyFont="1" applyBorder="1" applyAlignment="1">
      <alignment horizontal="center" vertical="center"/>
    </xf>
    <xf numFmtId="3" fontId="14" fillId="0" borderId="14" xfId="8" applyNumberFormat="1" applyFont="1" applyBorder="1" applyAlignment="1">
      <alignment horizontal="center" vertical="center"/>
    </xf>
    <xf numFmtId="3" fontId="14" fillId="0" borderId="12" xfId="10" applyNumberFormat="1" applyFont="1" applyBorder="1" applyAlignment="1">
      <alignment horizontal="center" vertical="center"/>
    </xf>
    <xf numFmtId="3" fontId="13" fillId="0" borderId="56" xfId="10" applyNumberFormat="1" applyFont="1" applyBorder="1" applyAlignment="1">
      <alignment horizontal="center" vertical="center"/>
    </xf>
    <xf numFmtId="3" fontId="13" fillId="0" borderId="14" xfId="10" applyNumberFormat="1" applyFont="1" applyBorder="1" applyAlignment="1">
      <alignment horizontal="center" vertical="center"/>
    </xf>
    <xf numFmtId="3" fontId="13" fillId="0" borderId="11" xfId="10" applyNumberFormat="1" applyFont="1" applyBorder="1" applyAlignment="1">
      <alignment horizontal="center" vertical="center"/>
    </xf>
    <xf numFmtId="3" fontId="13" fillId="9" borderId="11" xfId="10" applyNumberFormat="1" applyFont="1" applyFill="1" applyBorder="1" applyAlignment="1">
      <alignment horizontal="center" vertical="center"/>
    </xf>
    <xf numFmtId="3" fontId="13" fillId="2" borderId="14" xfId="10" applyNumberFormat="1" applyFont="1" applyFill="1" applyBorder="1" applyAlignment="1">
      <alignment horizontal="center" vertical="center"/>
    </xf>
    <xf numFmtId="3" fontId="13" fillId="2" borderId="58" xfId="10" applyNumberFormat="1" applyFont="1" applyFill="1" applyBorder="1" applyAlignment="1">
      <alignment horizontal="center" vertical="center"/>
    </xf>
    <xf numFmtId="3" fontId="13" fillId="2" borderId="13" xfId="10" applyNumberFormat="1" applyFont="1" applyFill="1" applyBorder="1" applyAlignment="1">
      <alignment horizontal="center" vertical="center"/>
    </xf>
    <xf numFmtId="0" fontId="14" fillId="2" borderId="12" xfId="9" applyFont="1" applyFill="1" applyBorder="1" applyAlignment="1">
      <alignment horizontal="left" vertical="center" wrapText="1"/>
    </xf>
    <xf numFmtId="3" fontId="14" fillId="0" borderId="56" xfId="10" applyNumberFormat="1" applyFont="1" applyBorder="1" applyAlignment="1">
      <alignment horizontal="center" vertical="center"/>
    </xf>
    <xf numFmtId="3" fontId="14" fillId="0" borderId="58" xfId="10" applyNumberFormat="1" applyFont="1" applyBorder="1" applyAlignment="1">
      <alignment horizontal="center" vertical="center"/>
    </xf>
    <xf numFmtId="3" fontId="14" fillId="0" borderId="13" xfId="10" applyNumberFormat="1" applyFont="1" applyBorder="1" applyAlignment="1">
      <alignment horizontal="center" vertical="center"/>
    </xf>
    <xf numFmtId="3" fontId="14" fillId="0" borderId="14" xfId="9" applyNumberFormat="1" applyFont="1" applyBorder="1" applyAlignment="1">
      <alignment horizontal="center" vertical="center"/>
    </xf>
    <xf numFmtId="3" fontId="13" fillId="0" borderId="56" xfId="9" applyNumberFormat="1" applyFont="1" applyBorder="1" applyAlignment="1">
      <alignment horizontal="center" vertical="center"/>
    </xf>
    <xf numFmtId="3" fontId="13" fillId="0" borderId="14" xfId="9" applyNumberFormat="1" applyFont="1" applyBorder="1" applyAlignment="1">
      <alignment horizontal="center" vertical="center"/>
    </xf>
    <xf numFmtId="3" fontId="13" fillId="0" borderId="58" xfId="9" applyNumberFormat="1" applyFont="1" applyBorder="1" applyAlignment="1">
      <alignment horizontal="center" vertical="center"/>
    </xf>
    <xf numFmtId="3" fontId="13" fillId="0" borderId="13" xfId="9" applyNumberFormat="1" applyFont="1" applyBorder="1" applyAlignment="1">
      <alignment horizontal="center" vertical="center"/>
    </xf>
    <xf numFmtId="0" fontId="12" fillId="4" borderId="12" xfId="8" applyFont="1" applyFill="1" applyBorder="1" applyAlignment="1">
      <alignment horizontal="right"/>
    </xf>
    <xf numFmtId="3" fontId="14" fillId="0" borderId="13" xfId="9" applyNumberFormat="1" applyFont="1" applyBorder="1" applyAlignment="1">
      <alignment horizontal="center" vertical="center"/>
    </xf>
    <xf numFmtId="164" fontId="0" fillId="0" borderId="0" xfId="0" applyNumberFormat="1"/>
    <xf numFmtId="164" fontId="2" fillId="0" borderId="0" xfId="0" applyNumberFormat="1" applyFont="1"/>
    <xf numFmtId="0" fontId="0" fillId="0" borderId="0" xfId="0" applyAlignment="1">
      <alignment horizontal="right"/>
    </xf>
    <xf numFmtId="1" fontId="0" fillId="0" borderId="0" xfId="0" applyNumberFormat="1" applyAlignment="1">
      <alignment horizontal="right"/>
    </xf>
    <xf numFmtId="1" fontId="0" fillId="0" borderId="0" xfId="0" applyNumberFormat="1"/>
    <xf numFmtId="0" fontId="33" fillId="4" borderId="0" xfId="8" applyFont="1" applyFill="1" applyAlignment="1">
      <alignment horizontal="left"/>
    </xf>
    <xf numFmtId="0" fontId="24" fillId="4" borderId="0" xfId="8" applyFont="1" applyFill="1"/>
    <xf numFmtId="0" fontId="24" fillId="4" borderId="0" xfId="8" applyFont="1" applyFill="1" applyAlignment="1">
      <alignment horizontal="right"/>
    </xf>
    <xf numFmtId="0" fontId="13" fillId="10" borderId="14" xfId="4" applyFont="1" applyFill="1" applyBorder="1" applyAlignment="1">
      <alignment horizontal="center" vertical="top" wrapText="1"/>
    </xf>
    <xf numFmtId="49" fontId="13" fillId="10" borderId="14" xfId="4" applyNumberFormat="1" applyFont="1" applyFill="1" applyBorder="1" applyAlignment="1">
      <alignment horizontal="center" vertical="center" wrapText="1"/>
    </xf>
    <xf numFmtId="165" fontId="10" fillId="4" borderId="0" xfId="4" applyNumberFormat="1" applyFont="1" applyFill="1" applyAlignment="1">
      <alignment horizontal="center" wrapText="1"/>
    </xf>
    <xf numFmtId="1" fontId="14" fillId="0" borderId="62" xfId="11" applyNumberFormat="1" applyFont="1" applyBorder="1" applyAlignment="1">
      <alignment horizontal="center" vertical="center"/>
    </xf>
    <xf numFmtId="3" fontId="13" fillId="0" borderId="58" xfId="10" applyNumberFormat="1" applyFont="1" applyBorder="1" applyAlignment="1">
      <alignment horizontal="center" vertical="center"/>
    </xf>
    <xf numFmtId="3" fontId="12" fillId="4" borderId="0" xfId="4" applyNumberFormat="1" applyFont="1" applyFill="1"/>
    <xf numFmtId="3" fontId="14" fillId="4" borderId="0" xfId="4" applyNumberFormat="1" applyFont="1" applyFill="1"/>
    <xf numFmtId="0" fontId="34" fillId="4" borderId="0" xfId="4" applyFont="1" applyFill="1" applyAlignment="1">
      <alignment wrapText="1"/>
    </xf>
    <xf numFmtId="0" fontId="11" fillId="4" borderId="0" xfId="5" applyFont="1" applyFill="1"/>
    <xf numFmtId="0" fontId="13" fillId="4" borderId="14" xfId="5" applyFont="1" applyFill="1" applyBorder="1" applyAlignment="1">
      <alignment horizontal="center" vertical="center"/>
    </xf>
    <xf numFmtId="3" fontId="13" fillId="0" borderId="14" xfId="5" applyNumberFormat="1" applyFont="1" applyBorder="1" applyAlignment="1">
      <alignment horizontal="center" vertical="center"/>
    </xf>
    <xf numFmtId="0" fontId="14" fillId="0" borderId="14" xfId="4" applyFont="1" applyBorder="1" applyAlignment="1">
      <alignment horizontal="center"/>
    </xf>
    <xf numFmtId="1" fontId="13" fillId="3" borderId="14" xfId="2" applyNumberFormat="1" applyFont="1" applyFill="1" applyBorder="1" applyAlignment="1">
      <alignment horizontal="center"/>
    </xf>
    <xf numFmtId="9" fontId="13" fillId="3" borderId="14" xfId="2" applyFont="1" applyFill="1" applyBorder="1" applyAlignment="1">
      <alignment horizontal="center"/>
    </xf>
    <xf numFmtId="0" fontId="13" fillId="4" borderId="31" xfId="3" applyFont="1" applyFill="1" applyBorder="1" applyAlignment="1">
      <alignment horizontal="center"/>
    </xf>
    <xf numFmtId="167" fontId="13" fillId="3" borderId="31" xfId="1" applyNumberFormat="1" applyFont="1" applyFill="1" applyBorder="1" applyAlignment="1">
      <alignment horizontal="center" vertical="center"/>
    </xf>
    <xf numFmtId="9" fontId="13" fillId="3" borderId="31" xfId="2" applyFont="1" applyFill="1" applyBorder="1" applyAlignment="1">
      <alignment horizontal="center"/>
    </xf>
    <xf numFmtId="9" fontId="13" fillId="0" borderId="14" xfId="2" applyFont="1" applyFill="1" applyBorder="1" applyAlignment="1">
      <alignment horizontal="center"/>
    </xf>
    <xf numFmtId="0" fontId="35" fillId="4" borderId="0" xfId="4" applyFont="1" applyFill="1"/>
    <xf numFmtId="0" fontId="36" fillId="4" borderId="0" xfId="4" applyFont="1" applyFill="1"/>
    <xf numFmtId="0" fontId="37" fillId="4" borderId="0" xfId="4" applyFont="1" applyFill="1"/>
    <xf numFmtId="3" fontId="14" fillId="0" borderId="32" xfId="5" applyNumberFormat="1" applyFont="1" applyBorder="1" applyAlignment="1">
      <alignment horizontal="center"/>
    </xf>
    <xf numFmtId="3" fontId="14" fillId="0" borderId="32" xfId="4" applyNumberFormat="1" applyFont="1" applyBorder="1" applyAlignment="1">
      <alignment horizontal="center"/>
    </xf>
    <xf numFmtId="3" fontId="14" fillId="4" borderId="32" xfId="5" applyNumberFormat="1" applyFont="1" applyFill="1" applyBorder="1" applyAlignment="1">
      <alignment horizontal="center"/>
    </xf>
    <xf numFmtId="3" fontId="14" fillId="4" borderId="32" xfId="4" applyNumberFormat="1" applyFont="1" applyFill="1" applyBorder="1" applyAlignment="1">
      <alignment horizontal="center"/>
    </xf>
    <xf numFmtId="3" fontId="13" fillId="3" borderId="32" xfId="4" applyNumberFormat="1" applyFont="1" applyFill="1" applyBorder="1" applyAlignment="1">
      <alignment horizontal="center"/>
    </xf>
    <xf numFmtId="1" fontId="13" fillId="3" borderId="32" xfId="4" applyNumberFormat="1" applyFont="1" applyFill="1" applyBorder="1" applyAlignment="1">
      <alignment horizontal="center"/>
    </xf>
    <xf numFmtId="0" fontId="39" fillId="4" borderId="0" xfId="3" applyFont="1" applyFill="1"/>
    <xf numFmtId="0" fontId="38" fillId="4" borderId="0" xfId="4" applyFont="1" applyFill="1" applyAlignment="1">
      <alignment horizontal="left"/>
    </xf>
    <xf numFmtId="3" fontId="38" fillId="4" borderId="0" xfId="4" applyNumberFormat="1" applyFont="1" applyFill="1" applyAlignment="1">
      <alignment horizontal="right"/>
    </xf>
    <xf numFmtId="0" fontId="14" fillId="0" borderId="14" xfId="0" applyFont="1" applyBorder="1" applyAlignment="1">
      <alignment horizontal="center" vertical="center"/>
    </xf>
    <xf numFmtId="9" fontId="35" fillId="4" borderId="0" xfId="4" applyNumberFormat="1" applyFont="1" applyFill="1" applyAlignment="1">
      <alignment horizontal="center"/>
    </xf>
    <xf numFmtId="0" fontId="13" fillId="4" borderId="9" xfId="0" applyFont="1" applyFill="1" applyBorder="1" applyAlignment="1">
      <alignment vertical="center" wrapText="1"/>
    </xf>
    <xf numFmtId="0" fontId="14" fillId="3" borderId="33" xfId="4" applyFont="1" applyFill="1" applyBorder="1" applyAlignment="1">
      <alignment horizontal="center"/>
    </xf>
    <xf numFmtId="0" fontId="14" fillId="3" borderId="34" xfId="4" applyFont="1" applyFill="1" applyBorder="1" applyAlignment="1">
      <alignment horizontal="center"/>
    </xf>
    <xf numFmtId="0" fontId="7" fillId="4" borderId="0" xfId="3" applyFont="1" applyFill="1"/>
    <xf numFmtId="0" fontId="19" fillId="4" borderId="0" xfId="4" applyFont="1" applyFill="1"/>
    <xf numFmtId="0" fontId="14" fillId="7" borderId="14" xfId="0" applyFont="1" applyFill="1" applyBorder="1" applyAlignment="1">
      <alignment horizontal="center" vertical="center"/>
    </xf>
    <xf numFmtId="0" fontId="13" fillId="7" borderId="14" xfId="0" applyFont="1" applyFill="1" applyBorder="1" applyAlignment="1">
      <alignment horizontal="center" vertical="center"/>
    </xf>
    <xf numFmtId="49" fontId="13" fillId="7" borderId="14" xfId="0" applyNumberFormat="1" applyFont="1" applyFill="1" applyBorder="1" applyAlignment="1">
      <alignment horizontal="center" vertical="center"/>
    </xf>
    <xf numFmtId="0" fontId="14" fillId="0" borderId="14" xfId="0" applyFont="1" applyBorder="1" applyAlignment="1">
      <alignment vertical="center"/>
    </xf>
    <xf numFmtId="164" fontId="13" fillId="7" borderId="14" xfId="0" applyNumberFormat="1" applyFont="1" applyFill="1" applyBorder="1" applyAlignment="1">
      <alignment horizontal="center" vertical="center"/>
    </xf>
    <xf numFmtId="0" fontId="4" fillId="4" borderId="8" xfId="3" applyFill="1" applyBorder="1"/>
    <xf numFmtId="0" fontId="4" fillId="4" borderId="9" xfId="3" applyFill="1" applyBorder="1"/>
    <xf numFmtId="0" fontId="4" fillId="4" borderId="10" xfId="3" applyFill="1" applyBorder="1"/>
    <xf numFmtId="0" fontId="14" fillId="4" borderId="0" xfId="3" applyFont="1" applyFill="1" applyAlignment="1">
      <alignment horizontal="center"/>
    </xf>
    <xf numFmtId="164" fontId="14" fillId="4" borderId="0" xfId="3" applyNumberFormat="1" applyFont="1" applyFill="1" applyAlignment="1">
      <alignment horizontal="center"/>
    </xf>
    <xf numFmtId="0" fontId="0" fillId="0" borderId="0" xfId="0" applyAlignment="1">
      <alignment horizontal="center" vertical="top" wrapText="1"/>
    </xf>
    <xf numFmtId="0" fontId="2" fillId="0" borderId="1" xfId="0" applyFont="1" applyBorder="1" applyAlignment="1">
      <alignment vertical="top" wrapText="1"/>
    </xf>
    <xf numFmtId="164" fontId="2" fillId="0" borderId="0" xfId="0" applyNumberFormat="1" applyFont="1" applyAlignment="1">
      <alignment vertical="top" wrapText="1"/>
    </xf>
    <xf numFmtId="0" fontId="2" fillId="0" borderId="0" xfId="0" applyFont="1" applyAlignment="1">
      <alignment vertical="top" wrapText="1"/>
    </xf>
    <xf numFmtId="0" fontId="2" fillId="0" borderId="2" xfId="0" applyFont="1" applyBorder="1" applyAlignment="1">
      <alignment vertical="top" wrapText="1"/>
    </xf>
    <xf numFmtId="14" fontId="0" fillId="0" borderId="0" xfId="0" applyNumberFormat="1"/>
    <xf numFmtId="0" fontId="32" fillId="0" borderId="0" xfId="0" applyFont="1" applyAlignment="1">
      <alignment horizontal="left" vertical="top" wrapText="1"/>
    </xf>
    <xf numFmtId="0" fontId="32" fillId="0" borderId="0" xfId="0" applyFont="1" applyAlignment="1">
      <alignment horizontal="center" vertical="top" wrapText="1"/>
    </xf>
    <xf numFmtId="0" fontId="14" fillId="4" borderId="14" xfId="3" applyFont="1" applyFill="1" applyBorder="1" applyAlignment="1">
      <alignment horizontal="center" vertical="center"/>
    </xf>
    <xf numFmtId="0" fontId="13" fillId="4" borderId="14" xfId="3" applyFont="1" applyFill="1" applyBorder="1" applyAlignment="1">
      <alignment horizontal="center" vertical="center"/>
    </xf>
    <xf numFmtId="0" fontId="13" fillId="3" borderId="14" xfId="3" applyFont="1" applyFill="1" applyBorder="1" applyAlignment="1">
      <alignment horizontal="center" vertical="center"/>
    </xf>
    <xf numFmtId="0" fontId="0" fillId="4" borderId="0" xfId="0" applyFill="1"/>
    <xf numFmtId="0" fontId="12" fillId="4" borderId="0" xfId="5" applyFont="1" applyFill="1" applyAlignment="1">
      <alignment horizontal="center" vertical="center"/>
    </xf>
    <xf numFmtId="0" fontId="14" fillId="4" borderId="0" xfId="5" applyFont="1" applyFill="1"/>
    <xf numFmtId="3" fontId="14" fillId="4" borderId="0" xfId="5" applyNumberFormat="1" applyFont="1" applyFill="1" applyAlignment="1">
      <alignment horizontal="center" vertical="center"/>
    </xf>
    <xf numFmtId="3" fontId="13" fillId="2" borderId="11" xfId="10" applyNumberFormat="1" applyFont="1" applyFill="1" applyBorder="1" applyAlignment="1">
      <alignment horizontal="center" vertical="center"/>
    </xf>
    <xf numFmtId="0" fontId="40" fillId="10" borderId="14" xfId="0" applyFont="1" applyFill="1" applyBorder="1" applyAlignment="1">
      <alignment horizontal="center" vertical="center" wrapText="1"/>
    </xf>
    <xf numFmtId="0" fontId="41" fillId="11" borderId="14" xfId="0" applyFont="1" applyFill="1" applyBorder="1" applyAlignment="1">
      <alignment horizontal="center" vertical="center"/>
    </xf>
    <xf numFmtId="0" fontId="42" fillId="0" borderId="14" xfId="0" applyFont="1" applyBorder="1" applyAlignment="1">
      <alignment horizontal="center" vertical="center"/>
    </xf>
    <xf numFmtId="0" fontId="40" fillId="10" borderId="14" xfId="0" applyFont="1" applyFill="1" applyBorder="1" applyAlignment="1">
      <alignment horizontal="center" vertical="center"/>
    </xf>
    <xf numFmtId="9" fontId="42" fillId="0" borderId="14" xfId="2" applyFont="1" applyBorder="1" applyAlignment="1">
      <alignment horizontal="center"/>
    </xf>
    <xf numFmtId="9" fontId="43" fillId="3" borderId="14" xfId="2" applyFont="1" applyFill="1" applyBorder="1" applyAlignment="1">
      <alignment horizontal="center"/>
    </xf>
    <xf numFmtId="0" fontId="14" fillId="4" borderId="31" xfId="4" applyFont="1" applyFill="1" applyBorder="1" applyAlignment="1">
      <alignment horizontal="center"/>
    </xf>
    <xf numFmtId="0" fontId="14" fillId="4" borderId="31" xfId="5" applyFont="1" applyFill="1" applyBorder="1" applyAlignment="1">
      <alignment horizontal="center"/>
    </xf>
    <xf numFmtId="3" fontId="14" fillId="0" borderId="31" xfId="5" applyNumberFormat="1" applyFont="1" applyBorder="1" applyAlignment="1">
      <alignment horizontal="center"/>
    </xf>
    <xf numFmtId="3" fontId="14" fillId="0" borderId="31" xfId="4" applyNumberFormat="1" applyFont="1" applyBorder="1" applyAlignment="1">
      <alignment horizontal="center"/>
    </xf>
    <xf numFmtId="9" fontId="14" fillId="0" borderId="31" xfId="4" applyNumberFormat="1" applyFont="1" applyBorder="1" applyAlignment="1">
      <alignment horizontal="center"/>
    </xf>
    <xf numFmtId="0" fontId="13" fillId="4" borderId="31" xfId="5" applyFont="1" applyFill="1" applyBorder="1" applyAlignment="1">
      <alignment horizontal="center" vertical="center"/>
    </xf>
    <xf numFmtId="3" fontId="13" fillId="0" borderId="31" xfId="4" applyNumberFormat="1" applyFont="1" applyBorder="1" applyAlignment="1">
      <alignment horizontal="center"/>
    </xf>
    <xf numFmtId="9" fontId="13" fillId="0" borderId="31" xfId="4" applyNumberFormat="1" applyFont="1" applyBorder="1" applyAlignment="1">
      <alignment horizontal="center"/>
    </xf>
    <xf numFmtId="3" fontId="13" fillId="0" borderId="31" xfId="5" applyNumberFormat="1" applyFont="1" applyBorder="1" applyAlignment="1">
      <alignment horizontal="center"/>
    </xf>
    <xf numFmtId="3" fontId="13" fillId="3" borderId="31" xfId="4" applyNumberFormat="1" applyFont="1" applyFill="1" applyBorder="1" applyAlignment="1">
      <alignment horizontal="center"/>
    </xf>
    <xf numFmtId="9" fontId="13" fillId="3" borderId="31" xfId="4" applyNumberFormat="1" applyFont="1" applyFill="1" applyBorder="1" applyAlignment="1">
      <alignment horizontal="center"/>
    </xf>
    <xf numFmtId="3" fontId="13" fillId="0" borderId="32" xfId="4" applyNumberFormat="1" applyFont="1" applyBorder="1" applyAlignment="1">
      <alignment horizontal="center"/>
    </xf>
    <xf numFmtId="3" fontId="14" fillId="0" borderId="59" xfId="9" applyNumberFormat="1" applyFont="1" applyBorder="1" applyAlignment="1">
      <alignment horizontal="center" vertical="center"/>
    </xf>
    <xf numFmtId="3" fontId="14" fillId="0" borderId="60" xfId="9" applyNumberFormat="1" applyFont="1" applyBorder="1" applyAlignment="1">
      <alignment horizontal="center" vertical="center"/>
    </xf>
    <xf numFmtId="3" fontId="14" fillId="0" borderId="61" xfId="9" applyNumberFormat="1" applyFont="1" applyBorder="1" applyAlignment="1">
      <alignment horizontal="center" vertical="center"/>
    </xf>
    <xf numFmtId="0" fontId="13" fillId="8" borderId="6" xfId="9" applyFont="1" applyFill="1" applyBorder="1" applyAlignment="1">
      <alignment vertical="center"/>
    </xf>
    <xf numFmtId="0" fontId="13" fillId="8" borderId="7" xfId="9" applyFont="1" applyFill="1" applyBorder="1" applyAlignment="1">
      <alignment vertical="center"/>
    </xf>
    <xf numFmtId="0" fontId="13" fillId="8" borderId="3" xfId="9" applyFont="1" applyFill="1" applyBorder="1" applyAlignment="1">
      <alignment vertical="center"/>
    </xf>
    <xf numFmtId="0" fontId="13" fillId="8" borderId="2" xfId="9" applyFont="1" applyFill="1" applyBorder="1" applyAlignment="1">
      <alignment vertical="center"/>
    </xf>
    <xf numFmtId="0" fontId="13" fillId="8" borderId="8" xfId="9" applyFont="1" applyFill="1" applyBorder="1" applyAlignment="1">
      <alignment vertical="center"/>
    </xf>
    <xf numFmtId="0" fontId="13" fillId="8" borderId="10" xfId="9" applyFont="1" applyFill="1" applyBorder="1" applyAlignment="1">
      <alignment vertical="center"/>
    </xf>
    <xf numFmtId="0" fontId="13" fillId="0" borderId="14" xfId="8" applyFont="1" applyBorder="1" applyAlignment="1">
      <alignment horizontal="center" vertical="center"/>
    </xf>
    <xf numFmtId="0" fontId="13" fillId="0" borderId="56" xfId="8" applyFont="1" applyBorder="1" applyAlignment="1">
      <alignment horizontal="center" vertical="center"/>
    </xf>
    <xf numFmtId="0" fontId="13" fillId="0" borderId="58" xfId="8" applyFont="1" applyBorder="1" applyAlignment="1">
      <alignment horizontal="center" vertical="center"/>
    </xf>
    <xf numFmtId="1" fontId="13" fillId="0" borderId="14" xfId="0" applyNumberFormat="1" applyFont="1" applyBorder="1" applyAlignment="1">
      <alignment horizontal="right" vertical="center" wrapText="1"/>
    </xf>
    <xf numFmtId="166" fontId="13" fillId="0" borderId="14" xfId="0" applyNumberFormat="1" applyFont="1" applyBorder="1" applyAlignment="1">
      <alignment horizontal="right" vertical="center" wrapText="1"/>
    </xf>
    <xf numFmtId="164" fontId="0" fillId="0" borderId="0" xfId="0" applyNumberFormat="1" applyAlignment="1">
      <alignment horizontal="right"/>
    </xf>
    <xf numFmtId="3" fontId="13" fillId="0" borderId="14" xfId="4" applyNumberFormat="1" applyFont="1" applyBorder="1" applyAlignment="1">
      <alignment horizontal="center" wrapText="1"/>
    </xf>
    <xf numFmtId="3" fontId="42" fillId="0" borderId="14" xfId="4" applyNumberFormat="1" applyFont="1" applyBorder="1" applyAlignment="1">
      <alignment horizontal="center" wrapText="1"/>
    </xf>
    <xf numFmtId="3" fontId="14" fillId="0" borderId="14" xfId="4" applyNumberFormat="1" applyFont="1" applyBorder="1" applyAlignment="1">
      <alignment horizontal="center" wrapText="1"/>
    </xf>
    <xf numFmtId="165" fontId="13" fillId="0" borderId="14" xfId="4" applyNumberFormat="1" applyFont="1" applyBorder="1" applyAlignment="1">
      <alignment horizontal="center" wrapText="1"/>
    </xf>
    <xf numFmtId="0" fontId="14" fillId="3" borderId="23" xfId="4" applyFont="1" applyFill="1" applyBorder="1" applyAlignment="1">
      <alignment horizontal="center" vertical="top"/>
    </xf>
    <xf numFmtId="3" fontId="14" fillId="2" borderId="12" xfId="10" applyNumberFormat="1" applyFont="1" applyFill="1" applyBorder="1" applyAlignment="1">
      <alignment horizontal="center" vertical="center"/>
    </xf>
    <xf numFmtId="3" fontId="14" fillId="2" borderId="5" xfId="10" applyNumberFormat="1" applyFont="1" applyFill="1" applyBorder="1" applyAlignment="1">
      <alignment horizontal="center" vertical="center"/>
    </xf>
    <xf numFmtId="3" fontId="14" fillId="2" borderId="13" xfId="10" applyNumberFormat="1" applyFont="1" applyFill="1" applyBorder="1" applyAlignment="1">
      <alignment horizontal="center" vertical="center"/>
    </xf>
    <xf numFmtId="3" fontId="14" fillId="2" borderId="0" xfId="10" applyNumberFormat="1" applyFont="1" applyFill="1" applyAlignment="1">
      <alignment horizontal="center" vertical="center"/>
    </xf>
    <xf numFmtId="3" fontId="14" fillId="2" borderId="2" xfId="10" applyNumberFormat="1" applyFont="1" applyFill="1" applyBorder="1" applyAlignment="1">
      <alignment horizontal="center" vertical="center"/>
    </xf>
    <xf numFmtId="0" fontId="2" fillId="0" borderId="0" xfId="0" applyFont="1" applyAlignment="1">
      <alignment horizontal="left" vertical="top" wrapText="1"/>
    </xf>
    <xf numFmtId="0" fontId="2" fillId="0" borderId="0" xfId="0" applyFont="1" applyAlignment="1">
      <alignment horizontal="center" vertical="top" wrapText="1"/>
    </xf>
    <xf numFmtId="0" fontId="2" fillId="0" borderId="0" xfId="0" applyFont="1" applyAlignment="1">
      <alignment horizontal="left" vertical="top"/>
    </xf>
    <xf numFmtId="0" fontId="2" fillId="0" borderId="1" xfId="0" applyFont="1" applyBorder="1" applyAlignment="1">
      <alignment horizontal="left" vertical="top" wrapText="1"/>
    </xf>
    <xf numFmtId="0" fontId="3" fillId="0" borderId="0" xfId="0" applyFont="1" applyAlignment="1">
      <alignment vertical="top" wrapText="1"/>
    </xf>
    <xf numFmtId="14" fontId="2" fillId="0" borderId="0" xfId="0" applyNumberFormat="1" applyFont="1" applyAlignment="1">
      <alignment vertical="center"/>
    </xf>
    <xf numFmtId="14" fontId="2" fillId="0" borderId="0" xfId="0" applyNumberFormat="1" applyFont="1" applyAlignment="1">
      <alignment horizontal="center" vertical="center"/>
    </xf>
    <xf numFmtId="0" fontId="2" fillId="0" borderId="0" xfId="0" applyFont="1" applyAlignment="1">
      <alignment vertical="top"/>
    </xf>
    <xf numFmtId="0" fontId="2" fillId="0" borderId="1" xfId="0" applyFont="1" applyBorder="1"/>
    <xf numFmtId="0" fontId="2" fillId="0" borderId="0" xfId="0" applyFont="1" applyAlignment="1">
      <alignment horizontal="center"/>
    </xf>
    <xf numFmtId="0" fontId="2" fillId="0" borderId="2" xfId="0" applyFont="1" applyBorder="1"/>
    <xf numFmtId="14" fontId="2" fillId="0" borderId="0" xfId="0" applyNumberFormat="1" applyFont="1"/>
    <xf numFmtId="2" fontId="2" fillId="0" borderId="0" xfId="0" applyNumberFormat="1" applyFont="1" applyAlignment="1">
      <alignment horizontal="left" vertical="top"/>
    </xf>
    <xf numFmtId="14" fontId="2" fillId="0" borderId="0" xfId="0" applyNumberFormat="1" applyFont="1" applyAlignment="1">
      <alignment vertical="top" wrapText="1"/>
    </xf>
    <xf numFmtId="14" fontId="2" fillId="0" borderId="0" xfId="0" applyNumberFormat="1" applyFont="1" applyAlignment="1">
      <alignment horizontal="center" vertical="top" wrapText="1"/>
    </xf>
    <xf numFmtId="14" fontId="2" fillId="0" borderId="0" xfId="0" applyNumberFormat="1" applyFont="1" applyAlignment="1">
      <alignment horizontal="center"/>
    </xf>
    <xf numFmtId="0" fontId="2" fillId="0" borderId="0" xfId="0" applyFont="1" applyAlignment="1">
      <alignment horizontal="left"/>
    </xf>
    <xf numFmtId="1" fontId="2" fillId="0" borderId="0" xfId="0" applyNumberFormat="1" applyFont="1" applyAlignment="1">
      <alignment vertical="top" wrapText="1"/>
    </xf>
    <xf numFmtId="1" fontId="2" fillId="0" borderId="2" xfId="0" applyNumberFormat="1" applyFont="1" applyBorder="1"/>
    <xf numFmtId="2" fontId="2" fillId="0" borderId="0" xfId="0" applyNumberFormat="1" applyFont="1"/>
    <xf numFmtId="2" fontId="2" fillId="0" borderId="2" xfId="0" applyNumberFormat="1" applyFont="1" applyBorder="1"/>
    <xf numFmtId="0" fontId="26" fillId="0" borderId="35" xfId="0" applyFont="1" applyBorder="1"/>
    <xf numFmtId="0" fontId="26" fillId="0" borderId="36" xfId="0" applyFont="1" applyBorder="1"/>
    <xf numFmtId="0" fontId="26" fillId="0" borderId="39" xfId="0" applyFont="1" applyBorder="1"/>
    <xf numFmtId="0" fontId="26" fillId="0" borderId="43" xfId="0" applyFont="1" applyBorder="1"/>
    <xf numFmtId="0" fontId="26" fillId="0" borderId="40" xfId="0" applyFont="1" applyBorder="1" applyAlignment="1">
      <alignment horizontal="left"/>
    </xf>
    <xf numFmtId="0" fontId="26" fillId="0" borderId="48" xfId="0" applyFont="1" applyBorder="1"/>
    <xf numFmtId="0" fontId="26" fillId="0" borderId="44" xfId="0" applyFont="1" applyBorder="1" applyAlignment="1">
      <alignment horizontal="left"/>
    </xf>
    <xf numFmtId="0" fontId="26" fillId="0" borderId="46" xfId="0" applyFont="1" applyBorder="1"/>
    <xf numFmtId="0" fontId="26" fillId="0" borderId="37" xfId="0" applyFont="1" applyBorder="1"/>
    <xf numFmtId="0" fontId="26" fillId="0" borderId="3" xfId="0" applyFont="1" applyBorder="1" applyAlignment="1">
      <alignment horizontal="left"/>
    </xf>
    <xf numFmtId="0" fontId="26" fillId="0" borderId="47" xfId="0" applyFont="1" applyBorder="1"/>
    <xf numFmtId="0" fontId="26" fillId="0" borderId="42" xfId="0" applyFont="1" applyBorder="1"/>
    <xf numFmtId="164" fontId="26" fillId="0" borderId="44" xfId="0" applyNumberFormat="1" applyFont="1" applyBorder="1"/>
    <xf numFmtId="164" fontId="26" fillId="0" borderId="45" xfId="0" applyNumberFormat="1" applyFont="1" applyBorder="1"/>
    <xf numFmtId="164" fontId="26" fillId="0" borderId="46" xfId="0" applyNumberFormat="1" applyFont="1" applyBorder="1"/>
    <xf numFmtId="0" fontId="26" fillId="0" borderId="41" xfId="0" applyFont="1" applyBorder="1"/>
    <xf numFmtId="0" fontId="26" fillId="0" borderId="38" xfId="0" applyFont="1" applyBorder="1" applyAlignment="1">
      <alignment horizontal="left"/>
    </xf>
    <xf numFmtId="0" fontId="26" fillId="0" borderId="38" xfId="0" applyFont="1" applyBorder="1"/>
    <xf numFmtId="1" fontId="26" fillId="0" borderId="47" xfId="0" applyNumberFormat="1" applyFont="1" applyBorder="1"/>
    <xf numFmtId="0" fontId="26" fillId="0" borderId="40" xfId="0" applyFont="1" applyBorder="1" applyAlignment="1">
      <alignment horizontal="left" vertical="center"/>
    </xf>
    <xf numFmtId="0" fontId="26" fillId="0" borderId="44" xfId="0" applyFont="1" applyBorder="1"/>
    <xf numFmtId="0" fontId="26" fillId="0" borderId="45" xfId="0" applyFont="1" applyBorder="1"/>
    <xf numFmtId="0" fontId="26" fillId="0" borderId="12" xfId="0" applyFont="1" applyBorder="1"/>
    <xf numFmtId="0" fontId="26" fillId="0" borderId="13" xfId="0" applyFont="1" applyBorder="1"/>
    <xf numFmtId="0" fontId="26" fillId="0" borderId="6" xfId="0" applyFont="1" applyBorder="1"/>
    <xf numFmtId="0" fontId="26" fillId="0" borderId="15" xfId="0" applyFont="1" applyBorder="1"/>
    <xf numFmtId="0" fontId="26" fillId="0" borderId="1" xfId="0" applyFont="1" applyBorder="1"/>
    <xf numFmtId="0" fontId="26" fillId="0" borderId="11" xfId="0" applyFont="1" applyBorder="1"/>
    <xf numFmtId="0" fontId="26" fillId="0" borderId="14" xfId="0" applyFont="1" applyBorder="1"/>
    <xf numFmtId="0" fontId="26" fillId="0" borderId="15" xfId="0" applyFont="1" applyBorder="1" applyAlignment="1">
      <alignment horizontal="left"/>
    </xf>
    <xf numFmtId="0" fontId="26" fillId="0" borderId="1" xfId="0" applyFont="1" applyBorder="1" applyAlignment="1">
      <alignment horizontal="left"/>
    </xf>
    <xf numFmtId="0" fontId="26" fillId="0" borderId="11" xfId="0" applyFont="1" applyBorder="1" applyAlignment="1">
      <alignment horizontal="left"/>
    </xf>
    <xf numFmtId="0" fontId="26" fillId="0" borderId="14" xfId="0" applyFont="1" applyBorder="1" applyAlignment="1">
      <alignment horizontal="left"/>
    </xf>
    <xf numFmtId="0" fontId="26" fillId="0" borderId="42" xfId="0" applyFont="1" applyBorder="1" applyAlignment="1">
      <alignment horizontal="left" vertical="top" wrapText="1"/>
    </xf>
    <xf numFmtId="0" fontId="26" fillId="0" borderId="43" xfId="0" applyFont="1" applyBorder="1" applyAlignment="1">
      <alignment horizontal="left" vertical="top" wrapText="1"/>
    </xf>
    <xf numFmtId="1" fontId="26" fillId="0" borderId="0" xfId="0" applyNumberFormat="1" applyFont="1"/>
    <xf numFmtId="1" fontId="26" fillId="0" borderId="48" xfId="0" applyNumberFormat="1" applyFont="1" applyBorder="1"/>
    <xf numFmtId="1" fontId="26" fillId="0" borderId="45" xfId="0" applyNumberFormat="1" applyFont="1" applyBorder="1"/>
    <xf numFmtId="1" fontId="26" fillId="0" borderId="46" xfId="0" applyNumberFormat="1" applyFont="1" applyBorder="1"/>
    <xf numFmtId="0" fontId="26" fillId="0" borderId="40" xfId="0" applyFont="1" applyBorder="1"/>
    <xf numFmtId="0" fontId="13" fillId="12" borderId="31" xfId="0" applyFont="1" applyFill="1" applyBorder="1"/>
    <xf numFmtId="0" fontId="14" fillId="0" borderId="31" xfId="0" applyFont="1" applyBorder="1"/>
    <xf numFmtId="0" fontId="14" fillId="5" borderId="14"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4" fillId="5" borderId="13" xfId="0" applyFont="1" applyFill="1" applyBorder="1" applyAlignment="1">
      <alignment horizontal="left"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0" borderId="14" xfId="0" applyFont="1" applyBorder="1" applyAlignment="1">
      <alignment horizontal="left"/>
    </xf>
    <xf numFmtId="0" fontId="14" fillId="4" borderId="13" xfId="0" applyFont="1" applyFill="1" applyBorder="1" applyAlignment="1">
      <alignment vertical="center" wrapText="1"/>
    </xf>
    <xf numFmtId="0" fontId="14" fillId="4" borderId="14" xfId="0" applyFont="1" applyFill="1" applyBorder="1" applyAlignment="1">
      <alignment vertical="center" wrapText="1"/>
    </xf>
    <xf numFmtId="0" fontId="13" fillId="3" borderId="14" xfId="0" applyFont="1" applyFill="1" applyBorder="1" applyAlignment="1">
      <alignment horizontal="left" vertical="center" wrapText="1"/>
    </xf>
    <xf numFmtId="0" fontId="13" fillId="3" borderId="14" xfId="0" applyFont="1" applyFill="1" applyBorder="1" applyAlignment="1">
      <alignment horizontal="center" vertical="center" wrapText="1"/>
    </xf>
    <xf numFmtId="0" fontId="14" fillId="4" borderId="23" xfId="0" applyFont="1" applyFill="1" applyBorder="1" applyAlignment="1">
      <alignment vertical="center"/>
    </xf>
    <xf numFmtId="0" fontId="14" fillId="4" borderId="32" xfId="0" applyFont="1" applyFill="1" applyBorder="1" applyAlignment="1">
      <alignment vertical="center"/>
    </xf>
    <xf numFmtId="0" fontId="14" fillId="4" borderId="22" xfId="0" applyFont="1" applyFill="1" applyBorder="1" applyAlignment="1">
      <alignment vertical="center"/>
    </xf>
    <xf numFmtId="0" fontId="12" fillId="7" borderId="12" xfId="0" applyFont="1" applyFill="1" applyBorder="1" applyAlignment="1">
      <alignment horizontal="center" vertical="center"/>
    </xf>
    <xf numFmtId="0" fontId="12" fillId="7" borderId="5" xfId="0" applyFont="1" applyFill="1" applyBorder="1" applyAlignment="1">
      <alignment horizontal="center" vertical="center"/>
    </xf>
    <xf numFmtId="0" fontId="12" fillId="7" borderId="13" xfId="0" applyFont="1" applyFill="1" applyBorder="1" applyAlignment="1">
      <alignment horizontal="center" vertical="center"/>
    </xf>
    <xf numFmtId="0" fontId="13" fillId="10" borderId="14" xfId="4" applyFont="1" applyFill="1" applyBorder="1" applyAlignment="1">
      <alignment horizontal="center" vertical="center" wrapText="1"/>
    </xf>
    <xf numFmtId="9" fontId="14" fillId="3" borderId="14" xfId="4" applyNumberFormat="1" applyFont="1" applyFill="1" applyBorder="1" applyAlignment="1">
      <alignment horizontal="left" vertical="center"/>
    </xf>
    <xf numFmtId="0" fontId="13" fillId="3" borderId="23" xfId="4" applyFont="1" applyFill="1" applyBorder="1" applyAlignment="1">
      <alignment horizontal="left" vertical="center"/>
    </xf>
    <xf numFmtId="0" fontId="13" fillId="3" borderId="32" xfId="4" applyFont="1" applyFill="1" applyBorder="1" applyAlignment="1">
      <alignment horizontal="left" vertical="center"/>
    </xf>
    <xf numFmtId="9" fontId="14" fillId="3" borderId="13" xfId="4" applyNumberFormat="1" applyFont="1" applyFill="1" applyBorder="1" applyAlignment="1">
      <alignment horizontal="left" vertical="center"/>
    </xf>
    <xf numFmtId="0" fontId="14" fillId="3" borderId="23" xfId="4" applyFont="1" applyFill="1" applyBorder="1" applyAlignment="1">
      <alignment horizontal="center"/>
    </xf>
    <xf numFmtId="0" fontId="14" fillId="3" borderId="32" xfId="4" applyFont="1" applyFill="1" applyBorder="1" applyAlignment="1">
      <alignment horizontal="center"/>
    </xf>
    <xf numFmtId="0" fontId="14" fillId="4" borderId="23" xfId="4" applyFont="1" applyFill="1" applyBorder="1" applyAlignment="1">
      <alignment horizontal="left" vertical="center"/>
    </xf>
    <xf numFmtId="0" fontId="14" fillId="4" borderId="32" xfId="4" applyFont="1" applyFill="1" applyBorder="1" applyAlignment="1">
      <alignment horizontal="left" vertical="center"/>
    </xf>
    <xf numFmtId="0" fontId="13" fillId="3" borderId="23" xfId="4" applyFont="1" applyFill="1" applyBorder="1" applyAlignment="1">
      <alignment horizontal="left"/>
    </xf>
    <xf numFmtId="0" fontId="13" fillId="3" borderId="32" xfId="4" applyFont="1" applyFill="1" applyBorder="1" applyAlignment="1">
      <alignment horizontal="left"/>
    </xf>
    <xf numFmtId="0" fontId="14" fillId="4" borderId="23" xfId="0" applyFont="1" applyFill="1" applyBorder="1" applyAlignment="1">
      <alignment horizontal="left"/>
    </xf>
    <xf numFmtId="0" fontId="14" fillId="4" borderId="32" xfId="0" applyFont="1" applyFill="1" applyBorder="1" applyAlignment="1">
      <alignment horizontal="left"/>
    </xf>
    <xf numFmtId="0" fontId="14" fillId="4" borderId="22" xfId="0" applyFont="1" applyFill="1" applyBorder="1" applyAlignment="1">
      <alignment horizontal="left"/>
    </xf>
    <xf numFmtId="0" fontId="14" fillId="4" borderId="21" xfId="0" applyFont="1" applyFill="1" applyBorder="1" applyAlignment="1">
      <alignment horizontal="left"/>
    </xf>
    <xf numFmtId="0" fontId="13" fillId="3" borderId="23" xfId="4" applyFont="1" applyFill="1" applyBorder="1"/>
    <xf numFmtId="0" fontId="13" fillId="3" borderId="32" xfId="4" applyFont="1" applyFill="1" applyBorder="1"/>
    <xf numFmtId="3" fontId="14" fillId="4" borderId="32" xfId="5" applyNumberFormat="1" applyFont="1" applyFill="1" applyBorder="1" applyAlignment="1">
      <alignment horizontal="left"/>
    </xf>
    <xf numFmtId="0" fontId="13" fillId="3" borderId="21" xfId="4" applyFont="1" applyFill="1" applyBorder="1" applyAlignment="1">
      <alignment horizontal="left" vertical="center" wrapText="1"/>
    </xf>
    <xf numFmtId="0" fontId="13" fillId="3" borderId="22" xfId="4" applyFont="1" applyFill="1" applyBorder="1" applyAlignment="1">
      <alignment horizontal="left" vertical="center" wrapText="1"/>
    </xf>
    <xf numFmtId="0" fontId="13" fillId="3" borderId="23" xfId="4" applyFont="1" applyFill="1" applyBorder="1" applyAlignment="1">
      <alignment horizontal="left" vertical="center" wrapText="1"/>
    </xf>
    <xf numFmtId="0" fontId="14" fillId="4" borderId="64" xfId="0" applyFont="1" applyFill="1" applyBorder="1" applyAlignment="1">
      <alignment horizontal="left"/>
    </xf>
    <xf numFmtId="0" fontId="14" fillId="4" borderId="65" xfId="0" applyFont="1" applyFill="1" applyBorder="1" applyAlignment="1">
      <alignment horizontal="left"/>
    </xf>
    <xf numFmtId="0" fontId="14" fillId="4" borderId="63" xfId="0" applyFont="1" applyFill="1" applyBorder="1" applyAlignment="1">
      <alignment horizontal="left"/>
    </xf>
    <xf numFmtId="3" fontId="14" fillId="4" borderId="23" xfId="5" applyNumberFormat="1" applyFont="1" applyFill="1" applyBorder="1" applyAlignment="1">
      <alignment horizontal="left"/>
    </xf>
    <xf numFmtId="3" fontId="14" fillId="4" borderId="24" xfId="5" applyNumberFormat="1" applyFont="1" applyFill="1" applyBorder="1" applyAlignment="1">
      <alignment horizontal="left"/>
    </xf>
    <xf numFmtId="0" fontId="13" fillId="3" borderId="14" xfId="4" applyFont="1" applyFill="1" applyBorder="1" applyAlignment="1">
      <alignment horizontal="center"/>
    </xf>
    <xf numFmtId="9" fontId="13" fillId="3" borderId="14" xfId="2" applyFont="1" applyFill="1" applyBorder="1" applyAlignment="1">
      <alignment horizontal="center"/>
    </xf>
    <xf numFmtId="167" fontId="13" fillId="3" borderId="14" xfId="1" applyNumberFormat="1" applyFont="1" applyFill="1" applyBorder="1" applyAlignment="1">
      <alignment horizontal="center" vertical="center"/>
    </xf>
    <xf numFmtId="0" fontId="14" fillId="4" borderId="14" xfId="4" applyFont="1" applyFill="1" applyBorder="1" applyAlignment="1">
      <alignment horizontal="center"/>
    </xf>
    <xf numFmtId="167" fontId="14" fillId="0" borderId="12" xfId="1" applyNumberFormat="1" applyFont="1" applyFill="1" applyBorder="1" applyAlignment="1">
      <alignment horizontal="center" vertical="center"/>
    </xf>
    <xf numFmtId="167" fontId="14" fillId="0" borderId="13" xfId="1" applyNumberFormat="1" applyFont="1" applyFill="1" applyBorder="1" applyAlignment="1">
      <alignment horizontal="center" vertical="center"/>
    </xf>
    <xf numFmtId="167" fontId="14" fillId="0" borderId="14" xfId="1" applyNumberFormat="1" applyFont="1" applyFill="1" applyBorder="1" applyAlignment="1">
      <alignment horizontal="center" vertical="center"/>
    </xf>
    <xf numFmtId="9" fontId="14" fillId="4" borderId="14" xfId="2" applyFont="1" applyFill="1" applyBorder="1" applyAlignment="1">
      <alignment horizontal="center"/>
    </xf>
    <xf numFmtId="0" fontId="13" fillId="4" borderId="14" xfId="4" applyFont="1" applyFill="1" applyBorder="1" applyAlignment="1">
      <alignment horizontal="center"/>
    </xf>
    <xf numFmtId="167" fontId="13" fillId="0" borderId="14" xfId="1" applyNumberFormat="1" applyFont="1" applyFill="1" applyBorder="1" applyAlignment="1">
      <alignment horizontal="center" vertical="center"/>
    </xf>
    <xf numFmtId="167" fontId="14" fillId="4" borderId="14" xfId="1" applyNumberFormat="1" applyFont="1" applyFill="1" applyBorder="1" applyAlignment="1">
      <alignment horizontal="center" vertical="center"/>
    </xf>
    <xf numFmtId="0" fontId="13" fillId="3" borderId="14" xfId="4" applyFont="1" applyFill="1" applyBorder="1" applyAlignment="1">
      <alignment horizontal="center" vertical="center" wrapText="1"/>
    </xf>
    <xf numFmtId="0" fontId="14" fillId="0" borderId="14" xfId="4" applyFont="1" applyBorder="1" applyAlignment="1">
      <alignment horizontal="center"/>
    </xf>
    <xf numFmtId="1" fontId="13" fillId="3" borderId="14" xfId="2" applyNumberFormat="1" applyFont="1" applyFill="1" applyBorder="1" applyAlignment="1">
      <alignment horizontal="center"/>
    </xf>
    <xf numFmtId="0" fontId="13" fillId="3" borderId="31" xfId="4" applyFont="1" applyFill="1" applyBorder="1" applyAlignment="1">
      <alignment horizontal="center" vertical="center" wrapText="1"/>
    </xf>
    <xf numFmtId="0" fontId="13" fillId="3" borderId="31" xfId="4" applyFont="1" applyFill="1" applyBorder="1" applyAlignment="1">
      <alignment horizontal="center"/>
    </xf>
    <xf numFmtId="0" fontId="13" fillId="3" borderId="31" xfId="4" applyFont="1" applyFill="1" applyBorder="1" applyAlignment="1">
      <alignment horizontal="center" wrapText="1"/>
    </xf>
    <xf numFmtId="0" fontId="13" fillId="12" borderId="31" xfId="0" applyFont="1" applyFill="1" applyBorder="1" applyAlignment="1">
      <alignment horizontal="left"/>
    </xf>
    <xf numFmtId="0" fontId="14" fillId="0" borderId="31" xfId="0" applyFont="1" applyBorder="1" applyAlignment="1">
      <alignment horizontal="left"/>
    </xf>
    <xf numFmtId="0" fontId="13" fillId="3" borderId="26" xfId="0" applyFont="1" applyFill="1" applyBorder="1" applyAlignment="1">
      <alignment horizontal="left" vertical="center" wrapText="1"/>
    </xf>
    <xf numFmtId="0" fontId="13" fillId="3" borderId="27" xfId="0" applyFont="1" applyFill="1" applyBorder="1" applyAlignment="1">
      <alignment horizontal="left" vertical="center" wrapText="1"/>
    </xf>
    <xf numFmtId="0" fontId="13" fillId="3" borderId="28" xfId="0" applyFont="1" applyFill="1" applyBorder="1" applyAlignment="1">
      <alignment horizontal="left" vertical="center" wrapText="1"/>
    </xf>
    <xf numFmtId="3" fontId="13" fillId="3" borderId="29" xfId="0" applyNumberFormat="1" applyFont="1" applyFill="1" applyBorder="1" applyAlignment="1">
      <alignment horizontal="center" vertical="center" wrapText="1"/>
    </xf>
    <xf numFmtId="3" fontId="13" fillId="3" borderId="30" xfId="0" applyNumberFormat="1" applyFont="1" applyFill="1" applyBorder="1" applyAlignment="1">
      <alignment horizontal="center" vertical="center" wrapText="1"/>
    </xf>
    <xf numFmtId="0" fontId="14" fillId="0" borderId="21" xfId="0" applyFont="1" applyBorder="1" applyAlignment="1">
      <alignment horizontal="left" vertical="center" wrapText="1"/>
    </xf>
    <xf numFmtId="0" fontId="14" fillId="0" borderId="22" xfId="0" applyFont="1" applyBorder="1" applyAlignment="1">
      <alignment horizontal="left" vertical="center" wrapText="1"/>
    </xf>
    <xf numFmtId="0" fontId="14" fillId="0" borderId="23" xfId="0" applyFont="1" applyBorder="1" applyAlignment="1">
      <alignment horizontal="left" vertical="center" wrapText="1"/>
    </xf>
    <xf numFmtId="3" fontId="14" fillId="0" borderId="24" xfId="0" applyNumberFormat="1" applyFont="1" applyBorder="1" applyAlignment="1">
      <alignment horizontal="center" vertical="center" wrapText="1"/>
    </xf>
    <xf numFmtId="3" fontId="14" fillId="0" borderId="25" xfId="0" applyNumberFormat="1" applyFont="1" applyBorder="1" applyAlignment="1">
      <alignment horizontal="center" vertical="center" wrapText="1"/>
    </xf>
    <xf numFmtId="0" fontId="14" fillId="4" borderId="21" xfId="0" applyFont="1" applyFill="1" applyBorder="1" applyAlignment="1">
      <alignment horizontal="left" vertical="center" wrapText="1"/>
    </xf>
    <xf numFmtId="0" fontId="14" fillId="4" borderId="22" xfId="0" applyFont="1" applyFill="1" applyBorder="1" applyAlignment="1">
      <alignment horizontal="left" vertical="center" wrapText="1"/>
    </xf>
    <xf numFmtId="0" fontId="14" fillId="4" borderId="23" xfId="0" applyFont="1" applyFill="1" applyBorder="1" applyAlignment="1">
      <alignment horizontal="left" vertical="center" wrapText="1"/>
    </xf>
    <xf numFmtId="0" fontId="13" fillId="3" borderId="1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4" fillId="5" borderId="12" xfId="0" applyFont="1" applyFill="1" applyBorder="1" applyAlignment="1">
      <alignment horizontal="left" vertical="center" wrapText="1"/>
    </xf>
    <xf numFmtId="0" fontId="14" fillId="4" borderId="14" xfId="3" applyFont="1" applyFill="1" applyBorder="1" applyAlignment="1">
      <alignment horizontal="left" vertical="center" wrapText="1"/>
    </xf>
    <xf numFmtId="0" fontId="14" fillId="4" borderId="15" xfId="3" applyFont="1" applyFill="1" applyBorder="1" applyAlignment="1">
      <alignment horizontal="left" vertical="center" wrapText="1"/>
    </xf>
    <xf numFmtId="0" fontId="8" fillId="6" borderId="14" xfId="0" applyFont="1" applyFill="1" applyBorder="1" applyAlignment="1">
      <alignment horizontal="center"/>
    </xf>
    <xf numFmtId="0" fontId="14" fillId="0" borderId="14" xfId="3" applyFont="1" applyBorder="1" applyAlignment="1">
      <alignment horizontal="left" vertical="center" wrapText="1"/>
    </xf>
    <xf numFmtId="0" fontId="14" fillId="4" borderId="12" xfId="3" applyFont="1" applyFill="1" applyBorder="1" applyAlignment="1">
      <alignment horizontal="left" vertical="center" wrapText="1"/>
    </xf>
    <xf numFmtId="0" fontId="14" fillId="4" borderId="5" xfId="3" applyFont="1" applyFill="1" applyBorder="1" applyAlignment="1">
      <alignment horizontal="left" vertical="center" wrapText="1"/>
    </xf>
    <xf numFmtId="0" fontId="14" fillId="4" borderId="13" xfId="3" applyFont="1" applyFill="1" applyBorder="1" applyAlignment="1">
      <alignment horizontal="left" vertical="center" wrapText="1"/>
    </xf>
    <xf numFmtId="0" fontId="44" fillId="4" borderId="6" xfId="4" applyFont="1" applyFill="1" applyBorder="1" applyAlignment="1">
      <alignment horizontal="center" vertical="center" wrapText="1"/>
    </xf>
    <xf numFmtId="0" fontId="44" fillId="4" borderId="4" xfId="4" applyFont="1" applyFill="1" applyBorder="1" applyAlignment="1">
      <alignment horizontal="center" vertical="center" wrapText="1"/>
    </xf>
    <xf numFmtId="0" fontId="44" fillId="4" borderId="7" xfId="4" applyFont="1" applyFill="1" applyBorder="1" applyAlignment="1">
      <alignment horizontal="center" vertical="center" wrapText="1"/>
    </xf>
    <xf numFmtId="0" fontId="44" fillId="4" borderId="8" xfId="4" applyFont="1" applyFill="1" applyBorder="1" applyAlignment="1">
      <alignment horizontal="center" vertical="center" wrapText="1"/>
    </xf>
    <xf numFmtId="0" fontId="44" fillId="4" borderId="9" xfId="4" applyFont="1" applyFill="1" applyBorder="1" applyAlignment="1">
      <alignment horizontal="center" vertical="center" wrapText="1"/>
    </xf>
    <xf numFmtId="0" fontId="44" fillId="4" borderId="10" xfId="4" applyFont="1" applyFill="1" applyBorder="1" applyAlignment="1">
      <alignment horizontal="center" vertical="center" wrapText="1"/>
    </xf>
    <xf numFmtId="0" fontId="13" fillId="10" borderId="14" xfId="4" applyFont="1" applyFill="1" applyBorder="1" applyAlignment="1">
      <alignment horizontal="center" vertical="top" wrapText="1"/>
    </xf>
    <xf numFmtId="0" fontId="14" fillId="0" borderId="14" xfId="0" applyFont="1" applyBorder="1" applyAlignment="1">
      <alignment horizontal="left" wrapText="1"/>
    </xf>
    <xf numFmtId="0" fontId="13" fillId="8" borderId="14" xfId="8" applyFont="1" applyFill="1" applyBorder="1" applyAlignment="1">
      <alignment horizontal="center" vertical="center" wrapText="1"/>
    </xf>
    <xf numFmtId="0" fontId="44" fillId="4" borderId="12" xfId="4" applyFont="1" applyFill="1" applyBorder="1" applyAlignment="1">
      <alignment horizontal="center" vertical="center" wrapText="1"/>
    </xf>
    <xf numFmtId="0" fontId="44" fillId="4" borderId="5" xfId="4" applyFont="1" applyFill="1" applyBorder="1" applyAlignment="1">
      <alignment horizontal="center" vertical="center" wrapText="1"/>
    </xf>
    <xf numFmtId="0" fontId="44" fillId="4" borderId="13" xfId="4" applyFont="1" applyFill="1" applyBorder="1" applyAlignment="1">
      <alignment horizontal="center" vertical="center" wrapText="1"/>
    </xf>
    <xf numFmtId="0" fontId="28" fillId="8" borderId="12" xfId="9" applyFont="1" applyFill="1" applyBorder="1" applyAlignment="1">
      <alignment horizontal="center" vertical="center"/>
    </xf>
    <xf numFmtId="0" fontId="28" fillId="8" borderId="5" xfId="9" applyFont="1" applyFill="1" applyBorder="1" applyAlignment="1">
      <alignment horizontal="center" vertical="center"/>
    </xf>
    <xf numFmtId="0" fontId="28" fillId="8" borderId="13" xfId="9" applyFont="1" applyFill="1" applyBorder="1" applyAlignment="1">
      <alignment horizontal="center" vertical="center"/>
    </xf>
    <xf numFmtId="0" fontId="13" fillId="8" borderId="49" xfId="9" applyFont="1" applyFill="1" applyBorder="1" applyAlignment="1">
      <alignment horizontal="right" vertical="center" indent="3"/>
    </xf>
    <xf numFmtId="0" fontId="13" fillId="8" borderId="50" xfId="9" applyFont="1" applyFill="1" applyBorder="1" applyAlignment="1">
      <alignment horizontal="right" vertical="center" indent="3"/>
    </xf>
    <xf numFmtId="3" fontId="13" fillId="8" borderId="51" xfId="10" applyNumberFormat="1" applyFont="1" applyFill="1" applyBorder="1" applyAlignment="1">
      <alignment horizontal="center" vertical="center"/>
    </xf>
    <xf numFmtId="3" fontId="13" fillId="8" borderId="50" xfId="10" applyNumberFormat="1" applyFont="1" applyFill="1" applyBorder="1" applyAlignment="1">
      <alignment horizontal="center" vertical="center"/>
    </xf>
    <xf numFmtId="3" fontId="13" fillId="8" borderId="8" xfId="10" applyNumberFormat="1" applyFont="1" applyFill="1" applyBorder="1" applyAlignment="1">
      <alignment horizontal="center" vertical="center"/>
    </xf>
    <xf numFmtId="3" fontId="13" fillId="8" borderId="9" xfId="10" applyNumberFormat="1" applyFont="1" applyFill="1" applyBorder="1" applyAlignment="1">
      <alignment horizontal="center" vertical="center"/>
    </xf>
    <xf numFmtId="3" fontId="13" fillId="8" borderId="10" xfId="10" applyNumberFormat="1" applyFont="1" applyFill="1" applyBorder="1" applyAlignment="1">
      <alignment horizontal="center" vertical="center"/>
    </xf>
    <xf numFmtId="0" fontId="13" fillId="8" borderId="6" xfId="9" applyFont="1" applyFill="1" applyBorder="1" applyAlignment="1">
      <alignment horizontal="right" vertical="center" wrapText="1" indent="3"/>
    </xf>
    <xf numFmtId="0" fontId="13" fillId="8" borderId="7" xfId="9" applyFont="1" applyFill="1" applyBorder="1" applyAlignment="1">
      <alignment horizontal="right" vertical="center" wrapText="1" indent="3"/>
    </xf>
    <xf numFmtId="3" fontId="13" fillId="8" borderId="12" xfId="10" applyNumberFormat="1" applyFont="1" applyFill="1" applyBorder="1" applyAlignment="1">
      <alignment horizontal="center" vertical="center"/>
    </xf>
    <xf numFmtId="3" fontId="13" fillId="8" borderId="5" xfId="10" applyNumberFormat="1" applyFont="1" applyFill="1" applyBorder="1" applyAlignment="1">
      <alignment horizontal="center" vertical="center"/>
    </xf>
    <xf numFmtId="3" fontId="13" fillId="8" borderId="13" xfId="10" applyNumberFormat="1" applyFont="1" applyFill="1" applyBorder="1" applyAlignment="1">
      <alignment horizontal="center" vertical="center"/>
    </xf>
    <xf numFmtId="0" fontId="13" fillId="8" borderId="3" xfId="8" applyFont="1" applyFill="1" applyBorder="1" applyAlignment="1">
      <alignment horizontal="right" vertical="center" indent="3"/>
    </xf>
    <xf numFmtId="0" fontId="13" fillId="8" borderId="0" xfId="8" applyFont="1" applyFill="1" applyAlignment="1">
      <alignment horizontal="right" vertical="center" indent="3"/>
    </xf>
    <xf numFmtId="0" fontId="13" fillId="8" borderId="14" xfId="8" applyFont="1" applyFill="1" applyBorder="1" applyAlignment="1">
      <alignment horizontal="left" vertical="center" wrapText="1"/>
    </xf>
    <xf numFmtId="0" fontId="13" fillId="8" borderId="1" xfId="8" applyFont="1" applyFill="1" applyBorder="1" applyAlignment="1">
      <alignment horizontal="center" vertical="center" wrapText="1"/>
    </xf>
    <xf numFmtId="0" fontId="13" fillId="8" borderId="11" xfId="8" applyFont="1" applyFill="1" applyBorder="1" applyAlignment="1">
      <alignment horizontal="center" vertical="center" wrapText="1"/>
    </xf>
  </cellXfs>
  <cellStyles count="12">
    <cellStyle name="Comma" xfId="1" builtinId="3"/>
    <cellStyle name="Normal" xfId="0" builtinId="0"/>
    <cellStyle name="Normal 16" xfId="11" xr:uid="{B97E0AA7-5AC8-44D0-8B91-DB85926AE2AA}"/>
    <cellStyle name="Normal 28" xfId="3" xr:uid="{4D447E30-84EE-439C-AA50-92EFD562F3EB}"/>
    <cellStyle name="Normal 29" xfId="6" xr:uid="{05CFF2AB-6E4D-4D08-9057-9F6CF17F25D5}"/>
    <cellStyle name="Normal 30" xfId="7" xr:uid="{09A25B1D-2934-4627-BA15-41A5CAEB6E79}"/>
    <cellStyle name="Normal 33" xfId="8" xr:uid="{1D1D1A29-EAD0-4934-94F4-AB09F8BDBCBE}"/>
    <cellStyle name="Normal_Sheet1_3" xfId="9" xr:uid="{E4AEDC42-F899-4EBE-83DF-3CAFED622D6E}"/>
    <cellStyle name="Normal_Sheet2_1" xfId="4" xr:uid="{71308316-6059-4D9B-B4DD-8B777C2DEE06}"/>
    <cellStyle name="Normal_Summary Tables" xfId="5" xr:uid="{41C8C16E-C3E6-46A7-8A1C-272781D6A5A0}"/>
    <cellStyle name="Normal_Trajectory" xfId="10" xr:uid="{AF9A1011-EB36-419B-9288-BF4B961A0AE1}"/>
    <cellStyle name="Percent" xfId="2" builtinId="5"/>
  </cellStyles>
  <dxfs count="298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0.0"/>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right style="thin">
          <color indexed="64"/>
        </right>
      </border>
    </dxf>
    <dxf>
      <border>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solid">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alignment vertical="center"/>
    </dxf>
    <dxf>
      <font>
        <color auto="1"/>
      </font>
    </dxf>
    <dxf>
      <font>
        <color auto="1"/>
      </font>
    </dxf>
    <dxf>
      <font>
        <color auto="1"/>
      </font>
    </dxf>
    <dxf>
      <font>
        <color auto="1"/>
      </font>
    </dxf>
    <dxf>
      <font>
        <color auto="1"/>
      </font>
    </dxf>
    <dxf>
      <font>
        <sz val="10"/>
      </font>
    </dxf>
    <dxf>
      <font>
        <sz val="10"/>
      </font>
    </dxf>
    <dxf>
      <font>
        <sz val="10"/>
      </font>
    </dxf>
    <dxf>
      <fill>
        <patternFill patternType="solid">
          <bgColor rgb="FFFFC000"/>
        </patternFill>
      </fill>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border>
        <left style="medium">
          <color indexed="64"/>
        </left>
        <right style="medium">
          <color indexed="64"/>
        </right>
        <top style="medium">
          <color indexed="64"/>
        </top>
      </border>
    </dxf>
    <dxf>
      <fill>
        <patternFill patternType="none">
          <bgColor auto="1"/>
        </patternFill>
      </fill>
    </dxf>
    <dxf>
      <fill>
        <patternFill patternType="none">
          <bgColor auto="1"/>
        </patternFill>
      </fill>
    </dxf>
    <dxf>
      <fill>
        <patternFill patternType="solid">
          <bgColor rgb="FFFFC000"/>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font>
        <sz val="10"/>
      </font>
    </dxf>
    <dxf>
      <font>
        <sz val="10"/>
      </font>
    </dxf>
    <dxf>
      <font>
        <color auto="1"/>
      </font>
    </dxf>
    <dxf>
      <font>
        <color auto="1"/>
      </font>
    </dxf>
    <dxf>
      <font>
        <color auto="1"/>
      </font>
    </dxf>
    <dxf>
      <font>
        <color auto="1"/>
      </font>
    </dxf>
    <dxf>
      <font>
        <b val="0"/>
      </font>
    </dxf>
    <dxf>
      <font>
        <b val="0"/>
      </font>
    </dxf>
    <dxf>
      <font>
        <b val="0"/>
      </font>
    </dxf>
    <dxf>
      <font>
        <b val="0"/>
      </font>
    </dxf>
    <dxf>
      <fill>
        <patternFill>
          <bgColor auto="1"/>
        </patternFill>
      </fill>
    </dxf>
    <dxf>
      <fill>
        <patternFill>
          <bgColor auto="1"/>
        </patternFill>
      </fill>
    </dxf>
    <dxf>
      <fill>
        <patternFill>
          <bgColor auto="1"/>
        </patternFill>
      </fill>
    </dxf>
    <dxf>
      <fill>
        <patternFill>
          <bgColor auto="1"/>
        </patternFill>
      </fill>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patternFill>
      </fill>
    </dxf>
    <dxf>
      <fill>
        <patternFill>
          <bgColor theme="0"/>
        </patternFill>
      </fill>
    </dxf>
    <dxf>
      <fill>
        <patternFill>
          <bgColor theme="0"/>
        </patternFill>
      </fill>
    </dxf>
    <dxf>
      <fill>
        <patternFill>
          <bgColor theme="0"/>
        </patternFill>
      </fill>
    </dxf>
    <dxf>
      <border>
        <left/>
      </border>
    </dxf>
    <dxf>
      <border>
        <left/>
      </border>
    </dxf>
    <dxf>
      <border>
        <left/>
      </border>
    </dxf>
    <dxf>
      <border>
        <left/>
      </border>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fgColor indexed="64"/>
          <bgColor indexed="65"/>
        </patternFill>
      </fill>
    </dxf>
    <dxf>
      <font>
        <color auto="1"/>
      </font>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solid">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bgColor auto="1"/>
        </patternFill>
      </fill>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style="medium">
          <color indexed="64"/>
        </left>
        <right style="medium">
          <color indexed="64"/>
        </right>
        <top style="medium">
          <color indexed="64"/>
        </top>
      </border>
    </dxf>
    <dxf>
      <fill>
        <patternFill patternType="none">
          <bgColor auto="1"/>
        </patternFill>
      </fill>
    </dxf>
    <dxf>
      <fill>
        <patternFill patternType="none">
          <bgColor auto="1"/>
        </patternFill>
      </fill>
    </dxf>
    <dxf>
      <fill>
        <patternFill patternType="solid">
          <bgColor rgb="FFFFC000"/>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font>
        <sz val="10"/>
      </font>
    </dxf>
    <dxf>
      <font>
        <sz val="10"/>
      </font>
    </dxf>
    <dxf>
      <font>
        <color auto="1"/>
      </font>
    </dxf>
    <dxf>
      <font>
        <color auto="1"/>
      </font>
    </dxf>
    <dxf>
      <font>
        <color auto="1"/>
      </font>
    </dxf>
    <dxf>
      <font>
        <color auto="1"/>
      </font>
    </dxf>
    <dxf>
      <font>
        <b val="0"/>
      </font>
    </dxf>
    <dxf>
      <font>
        <b val="0"/>
      </font>
    </dxf>
    <dxf>
      <font>
        <b val="0"/>
      </font>
    </dxf>
    <dxf>
      <font>
        <b val="0"/>
      </font>
    </dxf>
    <dxf>
      <fill>
        <patternFill>
          <bgColor auto="1"/>
        </patternFill>
      </fill>
    </dxf>
    <dxf>
      <fill>
        <patternFill>
          <bgColor auto="1"/>
        </patternFill>
      </fill>
    </dxf>
    <dxf>
      <fill>
        <patternFill>
          <bgColor auto="1"/>
        </patternFill>
      </fill>
    </dxf>
    <dxf>
      <fill>
        <patternFill>
          <bgColor auto="1"/>
        </patternFill>
      </fill>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patternFill>
      </fill>
    </dxf>
    <dxf>
      <fill>
        <patternFill>
          <bgColor theme="0"/>
        </patternFill>
      </fill>
    </dxf>
    <dxf>
      <fill>
        <patternFill>
          <bgColor theme="0"/>
        </patternFill>
      </fill>
    </dxf>
    <dxf>
      <fill>
        <patternFill>
          <bgColor theme="0"/>
        </patternFill>
      </fill>
    </dxf>
    <dxf>
      <border>
        <left/>
      </border>
    </dxf>
    <dxf>
      <border>
        <left/>
      </border>
    </dxf>
    <dxf>
      <border>
        <left/>
      </border>
    </dxf>
    <dxf>
      <border>
        <left/>
      </border>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numFmt numFmtId="164" formatCode="0.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right style="thin">
          <color indexed="64"/>
        </right>
      </border>
    </dxf>
    <dxf>
      <border>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right style="thin">
          <color indexed="64"/>
        </right>
        <bottom style="thin">
          <color indexed="64"/>
        </bottom>
      </border>
    </dxf>
    <dxf>
      <border>
        <right style="thin">
          <color indexed="64"/>
        </right>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 formatCode="0"/>
    </dxf>
    <dxf>
      <fill>
        <patternFill patternType="solid">
          <bgColor rgb="FFFFC000"/>
        </patternFill>
      </fill>
    </dxf>
    <dxf>
      <fill>
        <patternFill patternType="solid">
          <bgColor rgb="FFFFC000"/>
        </patternFill>
      </fill>
    </dxf>
    <dxf>
      <font>
        <sz val="10"/>
      </font>
    </dxf>
    <dxf>
      <font>
        <sz val="10"/>
      </font>
    </dxf>
    <dxf>
      <font>
        <sz val="10"/>
      </font>
    </dxf>
    <dxf>
      <font>
        <color auto="1"/>
      </font>
    </dxf>
    <dxf>
      <font>
        <color auto="1"/>
      </font>
    </dxf>
    <dxf>
      <font>
        <color auto="1"/>
      </font>
    </dxf>
    <dxf>
      <numFmt numFmtId="164" formatCode="0.0"/>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ont>
        <color rgb="FFFF0000"/>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border>
        <top style="medium">
          <color indexed="64"/>
        </top>
      </border>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border>
        <top style="medium">
          <color indexed="64"/>
        </top>
      </border>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color rgb="FFFF000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right style="thin">
          <color indexed="64"/>
        </right>
      </border>
    </dxf>
    <dxf>
      <border>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solid">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numFmt numFmtId="1" formatCode="0"/>
    </dxf>
    <dxf>
      <fill>
        <patternFill patternType="solid">
          <bgColor rgb="FFFFC000"/>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ont>
        <color rgb="FFFF0000"/>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bgColor auto="1"/>
        </patternFill>
      </fill>
    </dxf>
    <dxf>
      <alignment vertical="cent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numFmt numFmtId="1" formatCode="0"/>
    </dxf>
    <dxf>
      <fill>
        <patternFill patternType="none">
          <bgColor auto="1"/>
        </patternFill>
      </fill>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style="medium">
          <color indexed="64"/>
        </left>
        <right style="medium">
          <color indexed="64"/>
        </right>
        <top style="medium">
          <color indexed="64"/>
        </top>
      </border>
    </dxf>
    <dxf>
      <fill>
        <patternFill patternType="none">
          <bgColor auto="1"/>
        </patternFill>
      </fill>
    </dxf>
    <dxf>
      <fill>
        <patternFill patternType="none">
          <bgColor auto="1"/>
        </patternFill>
      </fill>
    </dxf>
    <dxf>
      <fill>
        <patternFill patternType="solid">
          <bgColor rgb="FFFFC000"/>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font>
        <sz val="10"/>
      </font>
    </dxf>
    <dxf>
      <font>
        <sz val="10"/>
      </font>
    </dxf>
    <dxf>
      <font>
        <color auto="1"/>
      </font>
    </dxf>
    <dxf>
      <font>
        <color auto="1"/>
      </font>
    </dxf>
    <dxf>
      <font>
        <color auto="1"/>
      </font>
    </dxf>
    <dxf>
      <font>
        <color auto="1"/>
      </font>
    </dxf>
    <dxf>
      <font>
        <b val="0"/>
      </font>
    </dxf>
    <dxf>
      <font>
        <b val="0"/>
      </font>
    </dxf>
    <dxf>
      <font>
        <b val="0"/>
      </font>
    </dxf>
    <dxf>
      <font>
        <b val="0"/>
      </font>
    </dxf>
    <dxf>
      <fill>
        <patternFill>
          <bgColor auto="1"/>
        </patternFill>
      </fill>
    </dxf>
    <dxf>
      <fill>
        <patternFill>
          <bgColor auto="1"/>
        </patternFill>
      </fill>
    </dxf>
    <dxf>
      <fill>
        <patternFill>
          <bgColor auto="1"/>
        </patternFill>
      </fill>
    </dxf>
    <dxf>
      <fill>
        <patternFill>
          <bgColor auto="1"/>
        </patternFill>
      </fill>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patternFill>
      </fill>
    </dxf>
    <dxf>
      <fill>
        <patternFill>
          <bgColor theme="0"/>
        </patternFill>
      </fill>
    </dxf>
    <dxf>
      <fill>
        <patternFill>
          <bgColor theme="0"/>
        </patternFill>
      </fill>
    </dxf>
    <dxf>
      <fill>
        <patternFill>
          <bgColor theme="0"/>
        </patternFill>
      </fill>
    </dxf>
    <dxf>
      <border>
        <left/>
      </border>
    </dxf>
    <dxf>
      <border>
        <left/>
      </border>
    </dxf>
    <dxf>
      <border>
        <left/>
      </border>
    </dxf>
    <dxf>
      <border>
        <left/>
      </border>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numFmt numFmtId="164" formatCode="0.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sz val="10"/>
      </font>
    </dxf>
    <dxf>
      <font>
        <sz val="10"/>
      </font>
    </dxf>
    <dxf>
      <font>
        <color auto="1"/>
      </font>
    </dxf>
    <dxf>
      <font>
        <color auto="1"/>
      </font>
    </dxf>
    <dxf>
      <font>
        <color auto="1"/>
      </font>
    </dxf>
    <dxf>
      <font>
        <color auto="1"/>
      </font>
    </dxf>
    <dxf>
      <font>
        <color auto="1"/>
      </font>
    </dxf>
    <dxf>
      <font>
        <color auto="1"/>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bgColor auto="1"/>
        </patternFill>
      </fill>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 formatCode="0"/>
    </dxf>
    <dxf>
      <fill>
        <patternFill patternType="solid">
          <bgColor rgb="FFFFC000"/>
        </patternFill>
      </fill>
    </dxf>
    <dxf>
      <fill>
        <patternFill patternType="solid">
          <bgColor rgb="FFFFC000"/>
        </patternFill>
      </fill>
    </dxf>
    <dxf>
      <font>
        <sz val="10"/>
      </font>
    </dxf>
    <dxf>
      <font>
        <sz val="10"/>
      </font>
    </dxf>
    <dxf>
      <font>
        <sz val="10"/>
      </font>
    </dxf>
    <dxf>
      <font>
        <color auto="1"/>
      </font>
    </dxf>
    <dxf>
      <font>
        <color auto="1"/>
      </font>
    </dxf>
    <dxf>
      <font>
        <color auto="1"/>
      </font>
    </dxf>
    <dxf>
      <numFmt numFmtId="164" formatCode="0.0"/>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color auto="1"/>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bgColor auto="1"/>
        </patternFill>
      </fill>
    </dxf>
    <dxf>
      <fill>
        <patternFill patternType="solid">
          <bgColor rgb="FF92D050"/>
        </patternFill>
      </fill>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border>
        <top style="medium">
          <color indexed="64"/>
        </top>
      </border>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ill>
        <patternFill patternType="none">
          <bgColor auto="1"/>
        </patternFill>
      </fill>
    </dxf>
    <dxf>
      <font>
        <color rgb="FFFF0000"/>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sz val="10"/>
      </font>
    </dxf>
    <dxf>
      <font>
        <sz val="10"/>
      </font>
    </dxf>
    <dxf>
      <font>
        <sz val="10"/>
      </font>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sz val="10"/>
      </font>
    </dxf>
    <dxf>
      <font>
        <sz val="10"/>
      </font>
    </dxf>
    <dxf>
      <font>
        <color auto="1"/>
      </font>
    </dxf>
    <dxf>
      <font>
        <color auto="1"/>
      </font>
    </dxf>
    <dxf>
      <font>
        <color auto="1"/>
      </font>
    </dxf>
    <dxf>
      <font>
        <color auto="1"/>
      </font>
    </dxf>
    <dxf>
      <font>
        <color auto="1"/>
      </font>
    </dxf>
    <dxf>
      <fill>
        <patternFill patternType="none">
          <fgColor indexed="64"/>
          <bgColor indexed="65"/>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ont>
        <sz val="10"/>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sz val="10"/>
      </font>
    </dxf>
    <dxf>
      <font>
        <sz val="10"/>
      </font>
    </dxf>
    <dxf>
      <font>
        <color auto="1"/>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sz val="10"/>
      </font>
    </dxf>
    <dxf>
      <font>
        <sz val="10"/>
      </font>
    </dxf>
    <dxf>
      <font>
        <color auto="1"/>
      </font>
    </dxf>
    <dxf>
      <font>
        <color auto="1"/>
      </font>
    </dxf>
    <dxf>
      <font>
        <color auto="1"/>
      </font>
    </dxf>
    <dxf>
      <font>
        <color auto="1"/>
      </font>
    </dxf>
    <dxf>
      <font>
        <color auto="1"/>
      </font>
    </dxf>
    <dxf>
      <font>
        <color auto="1"/>
      </font>
    </dxf>
    <dxf>
      <fill>
        <patternFill patternType="none">
          <fgColor indexed="64"/>
          <bgColor indexed="65"/>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color auto="1"/>
      </font>
    </dxf>
    <dxf>
      <font>
        <sz val="10"/>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alignment wrapText="1" readingOrder="0"/>
    </dxf>
    <dxf>
      <alignment vertical="top" readingOrder="0"/>
    </dxf>
    <dxf>
      <alignment horizontal="left" readingOrder="0"/>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ill>
        <patternFill patternType="none">
          <bgColor auto="1"/>
        </patternFill>
      </fill>
    </dxf>
    <dxf>
      <fill>
        <patternFill patternType="none">
          <bgColor auto="1"/>
        </patternFill>
      </fill>
    </dxf>
    <dxf>
      <font>
        <sz val="10"/>
      </font>
    </dxf>
    <dxf>
      <font>
        <sz val="10"/>
      </font>
    </dxf>
    <dxf>
      <font>
        <color auto="1"/>
      </font>
    </dxf>
    <dxf>
      <font>
        <color auto="1"/>
      </font>
    </dxf>
    <dxf>
      <font>
        <color auto="1"/>
      </font>
    </dxf>
    <dxf>
      <font>
        <color auto="1"/>
      </font>
    </dxf>
    <dxf>
      <font>
        <color auto="1"/>
      </font>
    </dxf>
    <dxf>
      <font>
        <color auto="1"/>
      </font>
    </dxf>
    <dxf>
      <fill>
        <patternFill patternType="none">
          <fgColor indexed="64"/>
          <bgColor indexed="65"/>
        </patternFill>
      </fill>
    </dxf>
    <dxf>
      <alignment horizontal="general" vertical="bottom" textRotation="0" wrapText="0" indent="0" justifyLastLine="0" shrinkToFit="0" readingOrder="0"/>
    </dxf>
    <dxf>
      <fill>
        <patternFill patternType="none">
          <bgColor auto="1"/>
        </patternFill>
      </fill>
    </dxf>
    <dxf>
      <fill>
        <patternFill patternType="solid">
          <bgColor rgb="FFFFC000"/>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sz val="10"/>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color auto="1"/>
      </font>
    </dxf>
    <dxf>
      <font>
        <sz val="10"/>
      </font>
    </dxf>
    <dxf>
      <font>
        <sz val="10"/>
      </font>
    </dxf>
    <dxf>
      <font>
        <sz val="10"/>
      </font>
    </dxf>
    <dxf>
      <font>
        <sz val="1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 formatCode="0"/>
    </dxf>
    <dxf>
      <fill>
        <patternFill patternType="solid">
          <bgColor rgb="FFFFC000"/>
        </patternFill>
      </fill>
    </dxf>
    <dxf>
      <fill>
        <patternFill patternType="solid">
          <bgColor rgb="FFFFC000"/>
        </patternFill>
      </fill>
    </dxf>
    <dxf>
      <font>
        <sz val="10"/>
      </font>
    </dxf>
    <dxf>
      <font>
        <sz val="10"/>
      </font>
    </dxf>
    <dxf>
      <font>
        <sz val="10"/>
      </font>
    </dxf>
    <dxf>
      <font>
        <color auto="1"/>
      </font>
    </dxf>
    <dxf>
      <font>
        <color auto="1"/>
      </font>
    </dxf>
    <dxf>
      <font>
        <color auto="1"/>
      </font>
    </dxf>
    <dxf>
      <numFmt numFmtId="164" formatCode="0.0"/>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
      <font>
        <color auto="1"/>
      </font>
    </dxf>
    <dxf>
      <font>
        <color auto="1"/>
      </font>
    </dxf>
    <dxf>
      <font>
        <color auto="1"/>
      </font>
    </dxf>
    <dxf>
      <font>
        <sz val="10"/>
      </font>
    </dxf>
    <dxf>
      <fill>
        <patternFill patternType="none">
          <bgColor auto="1"/>
        </patternFill>
      </fill>
    </dxf>
    <dxf>
      <font>
        <sz val="10"/>
      </font>
    </dxf>
    <dxf>
      <font>
        <sz val="10"/>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sz val="10"/>
      </font>
    </dxf>
    <dxf>
      <font>
        <sz val="10"/>
      </font>
    </dxf>
    <dxf>
      <font>
        <sz val="10"/>
      </font>
    </dxf>
    <dxf>
      <font>
        <color auto="1"/>
      </font>
    </dxf>
    <dxf>
      <font>
        <color auto="1"/>
      </font>
    </dxf>
    <dxf>
      <font>
        <color auto="1"/>
      </font>
    </dxf>
    <dxf>
      <font>
        <b val="0"/>
      </font>
    </dxf>
    <dxf>
      <font>
        <b val="0"/>
      </font>
    </dxf>
    <dxf>
      <font>
        <b val="0"/>
      </font>
    </dxf>
    <dxf>
      <fill>
        <patternFill>
          <bgColor auto="1"/>
        </patternFill>
      </fill>
    </dxf>
    <dxf>
      <fill>
        <patternFill>
          <bgColor auto="1"/>
        </patternFill>
      </fill>
    </dxf>
    <dxf>
      <fill>
        <patternFill>
          <bgColor auto="1"/>
        </patternFill>
      </fill>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ont>
        <color auto="1"/>
      </font>
    </dxf>
    <dxf>
      <font>
        <b val="0"/>
      </font>
    </dxf>
    <dxf>
      <fill>
        <patternFill patternType="none">
          <bgColor auto="1"/>
        </patternFill>
      </fill>
    </dxf>
    <dxf>
      <border>
        <left style="medium">
          <color indexed="64"/>
        </left>
        <right style="medium">
          <color indexed="64"/>
        </right>
        <top style="medium">
          <color indexed="64"/>
        </top>
        <bottom style="medium">
          <color indexed="64"/>
        </bottom>
      </border>
    </dxf>
    <dxf>
      <font>
        <sz val="11"/>
      </font>
    </dxf>
    <dxf>
      <border>
        <left style="medium">
          <color indexed="64"/>
        </left>
        <right style="medium">
          <color indexed="64"/>
        </right>
        <top style="medium">
          <color indexed="64"/>
        </top>
        <bottom style="medium">
          <color indexed="64"/>
        </bottom>
      </border>
    </dxf>
    <dxf>
      <fill>
        <patternFill patternType="none">
          <bgColor auto="1"/>
        </patternFill>
      </fill>
    </dxf>
    <dxf>
      <border>
        <left/>
        <right/>
        <top/>
        <bottom/>
        <vertical/>
        <horizontal/>
      </border>
    </dxf>
    <dxf>
      <font>
        <sz val="8"/>
      </font>
    </dxf>
    <dxf>
      <border>
        <left style="medium">
          <color indexed="64"/>
        </left>
        <right style="medium">
          <color indexed="64"/>
        </right>
        <top style="medium">
          <color indexed="64"/>
        </top>
        <bottom style="medium">
          <color indexed="64"/>
        </bottom>
      </border>
    </dxf>
  </dxfs>
  <tableStyles count="0" defaultTableStyle="TableStyleMedium9" defaultPivotStyle="PivotStyleLight16"/>
  <colors>
    <mruColors>
      <color rgb="FFB7DE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pivotCacheDefinition" Target="pivotCache/pivotCacheDefinition4.xml"/><Relationship Id="rId14" Type="http://schemas.openxmlformats.org/officeDocument/2006/relationships/calcChain" Target="calcChain.xml"/></Relationships>
</file>

<file path=xl/charts/_rels/chart10.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1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243369734789394E-2"/>
          <c:y val="5.8823754686560537E-2"/>
          <c:w val="0.90795631825273015"/>
          <c:h val="0.81348429272427891"/>
        </c:manualLayout>
      </c:layout>
      <c:barChart>
        <c:barDir val="col"/>
        <c:grouping val="clustered"/>
        <c:varyColors val="0"/>
        <c:ser>
          <c:idx val="0"/>
          <c:order val="1"/>
          <c:tx>
            <c:strRef>
              <c:f>'Summary Tables'!$D$50</c:f>
              <c:strCache>
                <c:ptCount val="1"/>
                <c:pt idx="0">
                  <c:v>Completions</c:v>
                </c:pt>
              </c:strCache>
            </c:strRef>
          </c:tx>
          <c:spPr>
            <a:solidFill>
              <a:srgbClr val="0070C0"/>
            </a:solidFill>
            <a:ln w="12700">
              <a:solidFill>
                <a:srgbClr val="002060"/>
              </a:solidFill>
              <a:prstDash val="solid"/>
              <a:miter lim="800000"/>
            </a:ln>
          </c:spPr>
          <c:invertIfNegative val="0"/>
          <c:cat>
            <c:strRef>
              <c:f>'Summary Tables'!$C$51:$C$73</c:f>
              <c:strCache>
                <c:ptCount val="23"/>
                <c:pt idx="0">
                  <c:v>2002/03</c:v>
                </c:pt>
                <c:pt idx="1">
                  <c:v>2003/04</c:v>
                </c:pt>
                <c:pt idx="2">
                  <c:v>2004/05</c:v>
                </c:pt>
                <c:pt idx="3">
                  <c:v>2005/06</c:v>
                </c:pt>
                <c:pt idx="4">
                  <c:v>2006/07</c:v>
                </c:pt>
                <c:pt idx="5">
                  <c:v>2007/08</c:v>
                </c:pt>
                <c:pt idx="6">
                  <c:v>2008/09</c:v>
                </c:pt>
                <c:pt idx="7">
                  <c:v>2009/10</c:v>
                </c:pt>
                <c:pt idx="8">
                  <c:v>2010/11</c:v>
                </c:pt>
                <c:pt idx="9">
                  <c:v>2011/12</c:v>
                </c:pt>
                <c:pt idx="10">
                  <c:v>2012/13</c:v>
                </c:pt>
                <c:pt idx="11">
                  <c:v>2013/14</c:v>
                </c:pt>
                <c:pt idx="12">
                  <c:v>2014/15</c:v>
                </c:pt>
                <c:pt idx="13">
                  <c:v>2015/16</c:v>
                </c:pt>
                <c:pt idx="14">
                  <c:v>2016/17</c:v>
                </c:pt>
                <c:pt idx="15">
                  <c:v>2017/18</c:v>
                </c:pt>
                <c:pt idx="16">
                  <c:v>2018/19</c:v>
                </c:pt>
                <c:pt idx="17">
                  <c:v>2019/20</c:v>
                </c:pt>
                <c:pt idx="18">
                  <c:v>2020/21</c:v>
                </c:pt>
                <c:pt idx="19">
                  <c:v>2021/22</c:v>
                </c:pt>
                <c:pt idx="20">
                  <c:v>2022/23</c:v>
                </c:pt>
                <c:pt idx="21">
                  <c:v>2023/24</c:v>
                </c:pt>
                <c:pt idx="22">
                  <c:v>2024/25</c:v>
                </c:pt>
              </c:strCache>
            </c:strRef>
          </c:cat>
          <c:val>
            <c:numRef>
              <c:f>'Summary Tables'!$D$51:$D$73</c:f>
              <c:numCache>
                <c:formatCode>#,##0</c:formatCode>
                <c:ptCount val="23"/>
                <c:pt idx="0">
                  <c:v>319</c:v>
                </c:pt>
                <c:pt idx="1">
                  <c:v>246</c:v>
                </c:pt>
                <c:pt idx="2">
                  <c:v>582</c:v>
                </c:pt>
                <c:pt idx="3">
                  <c:v>842</c:v>
                </c:pt>
                <c:pt idx="4">
                  <c:v>230</c:v>
                </c:pt>
                <c:pt idx="5">
                  <c:v>260</c:v>
                </c:pt>
                <c:pt idx="6">
                  <c:v>436</c:v>
                </c:pt>
                <c:pt idx="7">
                  <c:v>145</c:v>
                </c:pt>
                <c:pt idx="8">
                  <c:v>399</c:v>
                </c:pt>
                <c:pt idx="9">
                  <c:v>208</c:v>
                </c:pt>
                <c:pt idx="10">
                  <c:v>695</c:v>
                </c:pt>
                <c:pt idx="11">
                  <c:v>235</c:v>
                </c:pt>
                <c:pt idx="12">
                  <c:v>304</c:v>
                </c:pt>
                <c:pt idx="13">
                  <c:v>491</c:v>
                </c:pt>
                <c:pt idx="14">
                  <c:v>460</c:v>
                </c:pt>
                <c:pt idx="15">
                  <c:v>382</c:v>
                </c:pt>
                <c:pt idx="16">
                  <c:v>419</c:v>
                </c:pt>
                <c:pt idx="17">
                  <c:v>331</c:v>
                </c:pt>
                <c:pt idx="18">
                  <c:v>206</c:v>
                </c:pt>
                <c:pt idx="19">
                  <c:v>164</c:v>
                </c:pt>
                <c:pt idx="20">
                  <c:v>141</c:v>
                </c:pt>
                <c:pt idx="21">
                  <c:v>100</c:v>
                </c:pt>
                <c:pt idx="22">
                  <c:v>93.444444444444443</c:v>
                </c:pt>
              </c:numCache>
            </c:numRef>
          </c:val>
          <c:extLst>
            <c:ext xmlns:c16="http://schemas.microsoft.com/office/drawing/2014/chart" uri="{C3380CC4-5D6E-409C-BE32-E72D297353CC}">
              <c16:uniqueId val="{00000000-F937-4085-8E97-B94F8DF22F70}"/>
            </c:ext>
          </c:extLst>
        </c:ser>
        <c:dLbls>
          <c:showLegendKey val="0"/>
          <c:showVal val="0"/>
          <c:showCatName val="0"/>
          <c:showSerName val="0"/>
          <c:showPercent val="0"/>
          <c:showBubbleSize val="0"/>
        </c:dLbls>
        <c:gapWidth val="78"/>
        <c:axId val="261322240"/>
        <c:axId val="261323776"/>
      </c:barChart>
      <c:lineChart>
        <c:grouping val="standard"/>
        <c:varyColors val="0"/>
        <c:ser>
          <c:idx val="2"/>
          <c:order val="0"/>
          <c:tx>
            <c:strRef>
              <c:f>'Summary Tables'!$E$50</c:f>
              <c:strCache>
                <c:ptCount val="1"/>
                <c:pt idx="0">
                  <c:v>Target</c:v>
                </c:pt>
              </c:strCache>
            </c:strRef>
          </c:tx>
          <c:marker>
            <c:symbol val="none"/>
          </c:marker>
          <c:cat>
            <c:strRef>
              <c:f>'Summary Tables'!$C$51:$C$73</c:f>
              <c:strCache>
                <c:ptCount val="23"/>
                <c:pt idx="0">
                  <c:v>2002/03</c:v>
                </c:pt>
                <c:pt idx="1">
                  <c:v>2003/04</c:v>
                </c:pt>
                <c:pt idx="2">
                  <c:v>2004/05</c:v>
                </c:pt>
                <c:pt idx="3">
                  <c:v>2005/06</c:v>
                </c:pt>
                <c:pt idx="4">
                  <c:v>2006/07</c:v>
                </c:pt>
                <c:pt idx="5">
                  <c:v>2007/08</c:v>
                </c:pt>
                <c:pt idx="6">
                  <c:v>2008/09</c:v>
                </c:pt>
                <c:pt idx="7">
                  <c:v>2009/10</c:v>
                </c:pt>
                <c:pt idx="8">
                  <c:v>2010/11</c:v>
                </c:pt>
                <c:pt idx="9">
                  <c:v>2011/12</c:v>
                </c:pt>
                <c:pt idx="10">
                  <c:v>2012/13</c:v>
                </c:pt>
                <c:pt idx="11">
                  <c:v>2013/14</c:v>
                </c:pt>
                <c:pt idx="12">
                  <c:v>2014/15</c:v>
                </c:pt>
                <c:pt idx="13">
                  <c:v>2015/16</c:v>
                </c:pt>
                <c:pt idx="14">
                  <c:v>2016/17</c:v>
                </c:pt>
                <c:pt idx="15">
                  <c:v>2017/18</c:v>
                </c:pt>
                <c:pt idx="16">
                  <c:v>2018/19</c:v>
                </c:pt>
                <c:pt idx="17">
                  <c:v>2019/20</c:v>
                </c:pt>
                <c:pt idx="18">
                  <c:v>2020/21</c:v>
                </c:pt>
                <c:pt idx="19">
                  <c:v>2021/22</c:v>
                </c:pt>
                <c:pt idx="20">
                  <c:v>2022/23</c:v>
                </c:pt>
                <c:pt idx="21">
                  <c:v>2023/24</c:v>
                </c:pt>
                <c:pt idx="22">
                  <c:v>2024/25</c:v>
                </c:pt>
              </c:strCache>
            </c:strRef>
          </c:cat>
          <c:val>
            <c:numRef>
              <c:f>'Summary Tables'!$E$51:$E$73</c:f>
              <c:numCache>
                <c:formatCode>#,##0</c:formatCode>
                <c:ptCount val="23"/>
                <c:pt idx="0">
                  <c:v>270</c:v>
                </c:pt>
                <c:pt idx="1">
                  <c:v>270</c:v>
                </c:pt>
                <c:pt idx="2">
                  <c:v>270</c:v>
                </c:pt>
                <c:pt idx="3">
                  <c:v>270</c:v>
                </c:pt>
                <c:pt idx="4">
                  <c:v>270</c:v>
                </c:pt>
                <c:pt idx="5">
                  <c:v>270</c:v>
                </c:pt>
                <c:pt idx="6">
                  <c:v>270</c:v>
                </c:pt>
                <c:pt idx="7">
                  <c:v>270</c:v>
                </c:pt>
                <c:pt idx="8">
                  <c:v>270</c:v>
                </c:pt>
                <c:pt idx="9">
                  <c:v>245</c:v>
                </c:pt>
                <c:pt idx="10">
                  <c:v>245</c:v>
                </c:pt>
                <c:pt idx="11">
                  <c:v>245</c:v>
                </c:pt>
                <c:pt idx="12">
                  <c:v>245</c:v>
                </c:pt>
                <c:pt idx="13">
                  <c:v>245</c:v>
                </c:pt>
                <c:pt idx="14">
                  <c:v>315</c:v>
                </c:pt>
                <c:pt idx="15">
                  <c:v>315</c:v>
                </c:pt>
                <c:pt idx="16">
                  <c:v>315</c:v>
                </c:pt>
                <c:pt idx="17">
                  <c:v>315</c:v>
                </c:pt>
                <c:pt idx="18">
                  <c:v>315</c:v>
                </c:pt>
                <c:pt idx="19">
                  <c:v>210</c:v>
                </c:pt>
                <c:pt idx="20">
                  <c:v>210</c:v>
                </c:pt>
                <c:pt idx="21">
                  <c:v>210</c:v>
                </c:pt>
                <c:pt idx="22">
                  <c:v>210</c:v>
                </c:pt>
              </c:numCache>
            </c:numRef>
          </c:val>
          <c:smooth val="0"/>
          <c:extLst>
            <c:ext xmlns:c16="http://schemas.microsoft.com/office/drawing/2014/chart" uri="{C3380CC4-5D6E-409C-BE32-E72D297353CC}">
              <c16:uniqueId val="{00000001-F937-4085-8E97-B94F8DF22F70}"/>
            </c:ext>
          </c:extLst>
        </c:ser>
        <c:dLbls>
          <c:showLegendKey val="0"/>
          <c:showVal val="0"/>
          <c:showCatName val="0"/>
          <c:showSerName val="0"/>
          <c:showPercent val="0"/>
          <c:showBubbleSize val="0"/>
        </c:dLbls>
        <c:marker val="1"/>
        <c:smooth val="0"/>
        <c:axId val="261322240"/>
        <c:axId val="261323776"/>
      </c:lineChart>
      <c:catAx>
        <c:axId val="261322240"/>
        <c:scaling>
          <c:orientation val="minMax"/>
        </c:scaling>
        <c:delete val="0"/>
        <c:axPos val="b"/>
        <c:numFmt formatCode="General" sourceLinked="1"/>
        <c:majorTickMark val="out"/>
        <c:minorTickMark val="none"/>
        <c:tickLblPos val="nextTo"/>
        <c:spPr>
          <a:ln w="3175">
            <a:solidFill>
              <a:srgbClr val="000000"/>
            </a:solidFill>
            <a:prstDash val="solid"/>
          </a:ln>
        </c:spPr>
        <c:txPr>
          <a:bodyPr rot="1800000" vert="horz"/>
          <a:lstStyle/>
          <a:p>
            <a:pPr>
              <a:defRPr sz="800" b="0" i="0" u="none" strike="noStrike" baseline="0">
                <a:solidFill>
                  <a:srgbClr val="000000"/>
                </a:solidFill>
                <a:latin typeface="Arial"/>
                <a:ea typeface="Arial"/>
                <a:cs typeface="Arial"/>
              </a:defRPr>
            </a:pPr>
            <a:endParaRPr lang="en-US"/>
          </a:p>
        </c:txPr>
        <c:crossAx val="261323776"/>
        <c:crosses val="autoZero"/>
        <c:auto val="1"/>
        <c:lblAlgn val="ctr"/>
        <c:lblOffset val="100"/>
        <c:noMultiLvlLbl val="0"/>
      </c:catAx>
      <c:valAx>
        <c:axId val="261323776"/>
        <c:scaling>
          <c:orientation val="minMax"/>
        </c:scaling>
        <c:delete val="0"/>
        <c:axPos val="l"/>
        <c:majorGridlines>
          <c:spPr>
            <a:ln w="3175">
              <a:solidFill>
                <a:srgbClr val="969696"/>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61322240"/>
        <c:crosses val="autoZero"/>
        <c:crossBetween val="between"/>
      </c:valAx>
      <c:spPr>
        <a:noFill/>
        <a:ln w="12700">
          <a:noFill/>
          <a:prstDash val="solid"/>
        </a:ln>
      </c:spPr>
    </c:plotArea>
    <c:legend>
      <c:legendPos val="r"/>
      <c:layout>
        <c:manualLayout>
          <c:xMode val="edge"/>
          <c:yMode val="edge"/>
          <c:x val="0.84117815192914558"/>
          <c:y val="1.4894730770653904E-2"/>
          <c:w val="0.13965137211251735"/>
          <c:h val="0.10527743698901718"/>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chemeClr val="bg1">
          <a:lumMod val="50000"/>
        </a:schemeClr>
      </a:solidFill>
      <a:prstDash val="solid"/>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horizontalDpi="-3"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31758530183728"/>
          <c:y val="0.15859591875339904"/>
          <c:w val="0.51536482939632544"/>
          <c:h val="0.7428682225532619"/>
        </c:manualLayout>
      </c:layout>
      <c:pieChart>
        <c:varyColors val="1"/>
        <c:ser>
          <c:idx val="0"/>
          <c:order val="0"/>
          <c:tx>
            <c:strRef>
              <c:f>'Summary Tables'!$L$393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439-4391-B564-D697125083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439-4391-B564-D697125083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439-4391-B564-D6971250830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439-4391-B564-D6971250830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439-4391-B564-D6971250830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439-4391-B564-D69712508305}"/>
              </c:ext>
            </c:extLst>
          </c:dPt>
          <c:dLbls>
            <c:dLbl>
              <c:idx val="0"/>
              <c:layout>
                <c:manualLayout>
                  <c:x val="1.2500164041994751E-2"/>
                  <c:y val="-5.4054054054054057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2289599737532806"/>
                      <c:h val="0.31123123123123125"/>
                    </c:manualLayout>
                  </c15:layout>
                </c:ext>
                <c:ext xmlns:c16="http://schemas.microsoft.com/office/drawing/2014/chart" uri="{C3380CC4-5D6E-409C-BE32-E72D297353CC}">
                  <c16:uniqueId val="{00000001-4439-4391-B564-D69712508305}"/>
                </c:ext>
              </c:extLst>
            </c:dLbl>
            <c:dLbl>
              <c:idx val="1"/>
              <c:layout>
                <c:manualLayout>
                  <c:x val="6.2500164041994599E-2"/>
                  <c:y val="-1.1010883812341616E-16"/>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7460400262467188"/>
                      <c:h val="0.31123123123123125"/>
                    </c:manualLayout>
                  </c15:layout>
                </c:ext>
                <c:ext xmlns:c16="http://schemas.microsoft.com/office/drawing/2014/chart" uri="{C3380CC4-5D6E-409C-BE32-E72D297353CC}">
                  <c16:uniqueId val="{00000003-4439-4391-B564-D69712508305}"/>
                </c:ext>
              </c:extLst>
            </c:dLbl>
            <c:dLbl>
              <c:idx val="2"/>
              <c:layout>
                <c:manualLayout>
                  <c:x val="-5.0000000000000017E-2"/>
                  <c:y val="-5.405405405405405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439-4391-B564-D69712508305}"/>
                </c:ext>
              </c:extLst>
            </c:dLbl>
            <c:dLbl>
              <c:idx val="3"/>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ln>
                        <a:noFill/>
                      </a:ln>
                      <a:solidFill>
                        <a:sysClr val="windowText" lastClr="000000"/>
                      </a:solidFill>
                      <a:effectLst>
                        <a:glow>
                          <a:schemeClr val="accent1">
                            <a:alpha val="40000"/>
                          </a:schemeClr>
                        </a:glow>
                      </a:effectLst>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layout>
                    <c:manualLayout>
                      <c:w val="0.2693959973753281"/>
                      <c:h val="0.34198198198198199"/>
                    </c:manualLayout>
                  </c15:layout>
                </c:ext>
                <c:ext xmlns:c16="http://schemas.microsoft.com/office/drawing/2014/chart" uri="{C3380CC4-5D6E-409C-BE32-E72D297353CC}">
                  <c16:uniqueId val="{00000007-4439-4391-B564-D69712508305}"/>
                </c:ext>
              </c:extLst>
            </c:dLbl>
            <c:dLbl>
              <c:idx val="4"/>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ln>
                        <a:noFill/>
                      </a:ln>
                      <a:solidFill>
                        <a:sysClr val="windowText" lastClr="000000"/>
                      </a:solidFill>
                      <a:effectLst>
                        <a:glow>
                          <a:schemeClr val="accent1">
                            <a:alpha val="40000"/>
                          </a:schemeClr>
                        </a:glow>
                      </a:effectLst>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layout>
                    <c:manualLayout>
                      <c:w val="0.29179166666666667"/>
                      <c:h val="0.24006006006006003"/>
                    </c:manualLayout>
                  </c15:layout>
                </c:ext>
                <c:ext xmlns:c16="http://schemas.microsoft.com/office/drawing/2014/chart" uri="{C3380CC4-5D6E-409C-BE32-E72D297353CC}">
                  <c16:uniqueId val="{00000009-4439-4391-B564-D69712508305}"/>
                </c:ext>
              </c:extLst>
            </c:dLbl>
            <c:dLbl>
              <c:idx val="5"/>
              <c:layout>
                <c:manualLayout>
                  <c:x val="5.833349737532801E-2"/>
                  <c:y val="-1.8018018018018018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6531266404199472"/>
                      <c:h val="0.16462462462462463"/>
                    </c:manualLayout>
                  </c15:layout>
                </c:ext>
                <c:ext xmlns:c16="http://schemas.microsoft.com/office/drawing/2014/chart" uri="{C3380CC4-5D6E-409C-BE32-E72D297353CC}">
                  <c16:uniqueId val="{0000000B-4439-4391-B564-D6971250830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ln>
                      <a:noFill/>
                    </a:ln>
                    <a:solidFill>
                      <a:sysClr val="windowText" lastClr="000000"/>
                    </a:solidFill>
                    <a:effectLst>
                      <a:glow>
                        <a:schemeClr val="accent1">
                          <a:alpha val="40000"/>
                        </a:schemeClr>
                      </a:glow>
                    </a:effectLst>
                    <a:latin typeface="+mn-lt"/>
                    <a:ea typeface="+mn-ea"/>
                    <a:cs typeface="+mn-cs"/>
                  </a:defRPr>
                </a:pPr>
                <a:endParaRPr lang="en-U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Tables'!$C$394:$C$399</c:f>
              <c:strCache>
                <c:ptCount val="6"/>
                <c:pt idx="0">
                  <c:v>Barnes and East Sheen</c:v>
                </c:pt>
                <c:pt idx="1">
                  <c:v>Ham &amp; Petersham</c:v>
                </c:pt>
                <c:pt idx="2">
                  <c:v>Richmond</c:v>
                </c:pt>
                <c:pt idx="3">
                  <c:v>Teddington and the Hamptons</c:v>
                </c:pt>
                <c:pt idx="4">
                  <c:v>Twickenham</c:v>
                </c:pt>
                <c:pt idx="5">
                  <c:v>Whitton</c:v>
                </c:pt>
              </c:strCache>
            </c:strRef>
          </c:cat>
          <c:val>
            <c:numRef>
              <c:f>'Summary Tables'!$L$394:$L$399</c:f>
              <c:numCache>
                <c:formatCode>#,##0_ ;\-#,##0\ </c:formatCode>
                <c:ptCount val="6"/>
                <c:pt idx="0">
                  <c:v>1254</c:v>
                </c:pt>
                <c:pt idx="1">
                  <c:v>266</c:v>
                </c:pt>
                <c:pt idx="2">
                  <c:v>963</c:v>
                </c:pt>
                <c:pt idx="3">
                  <c:v>406</c:v>
                </c:pt>
                <c:pt idx="4">
                  <c:v>530</c:v>
                </c:pt>
                <c:pt idx="5">
                  <c:v>61</c:v>
                </c:pt>
              </c:numCache>
            </c:numRef>
          </c:val>
          <c:extLst>
            <c:ext xmlns:c16="http://schemas.microsoft.com/office/drawing/2014/chart" uri="{C3380CC4-5D6E-409C-BE32-E72D297353CC}">
              <c16:uniqueId val="{0000000C-4439-4391-B564-D6971250830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'Summary Tables'!$D$427</c:f>
              <c:strCache>
                <c:ptCount val="1"/>
                <c:pt idx="0">
                  <c:v>Net units - Expired Permissions</c:v>
                </c:pt>
              </c:strCache>
            </c:strRef>
          </c:tx>
          <c:spPr>
            <a:solidFill>
              <a:schemeClr val="accent1"/>
            </a:solidFill>
            <a:ln>
              <a:noFill/>
            </a:ln>
            <a:effectLst/>
          </c:spPr>
          <c:invertIfNegative val="0"/>
          <c:cat>
            <c:strRef>
              <c:f>'Summary Tables'!$C$428:$C$444</c:f>
              <c:strCache>
                <c:ptCount val="17"/>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strCache>
            </c:strRef>
          </c:cat>
          <c:val>
            <c:numRef>
              <c:f>'Summary Tables'!$D$428:$D$444</c:f>
              <c:numCache>
                <c:formatCode>General</c:formatCode>
                <c:ptCount val="17"/>
                <c:pt idx="0">
                  <c:v>20</c:v>
                </c:pt>
                <c:pt idx="1">
                  <c:v>27</c:v>
                </c:pt>
                <c:pt idx="2">
                  <c:v>36</c:v>
                </c:pt>
                <c:pt idx="3">
                  <c:v>41</c:v>
                </c:pt>
                <c:pt idx="4">
                  <c:v>21</c:v>
                </c:pt>
                <c:pt idx="5">
                  <c:v>132</c:v>
                </c:pt>
                <c:pt idx="6">
                  <c:v>23</c:v>
                </c:pt>
                <c:pt idx="7">
                  <c:v>-4</c:v>
                </c:pt>
                <c:pt idx="8">
                  <c:v>5</c:v>
                </c:pt>
                <c:pt idx="9">
                  <c:v>72</c:v>
                </c:pt>
                <c:pt idx="10">
                  <c:v>14</c:v>
                </c:pt>
                <c:pt idx="11">
                  <c:v>25</c:v>
                </c:pt>
                <c:pt idx="12">
                  <c:v>25</c:v>
                </c:pt>
                <c:pt idx="13">
                  <c:v>78</c:v>
                </c:pt>
                <c:pt idx="14">
                  <c:v>16</c:v>
                </c:pt>
                <c:pt idx="15">
                  <c:v>129</c:v>
                </c:pt>
                <c:pt idx="16">
                  <c:v>36</c:v>
                </c:pt>
              </c:numCache>
            </c:numRef>
          </c:val>
          <c:extLst>
            <c:ext xmlns:c16="http://schemas.microsoft.com/office/drawing/2014/chart" uri="{C3380CC4-5D6E-409C-BE32-E72D297353CC}">
              <c16:uniqueId val="{00000000-5EC5-4BAD-AE3F-85ABCFA74D7E}"/>
            </c:ext>
          </c:extLst>
        </c:ser>
        <c:ser>
          <c:idx val="1"/>
          <c:order val="1"/>
          <c:tx>
            <c:strRef>
              <c:f>'Summary Tables'!$E$427</c:f>
              <c:strCache>
                <c:ptCount val="1"/>
                <c:pt idx="0">
                  <c:v>Net units - Residential Permissions</c:v>
                </c:pt>
              </c:strCache>
            </c:strRef>
          </c:tx>
          <c:spPr>
            <a:solidFill>
              <a:schemeClr val="accent2"/>
            </a:solidFill>
            <a:ln>
              <a:noFill/>
            </a:ln>
            <a:effectLst/>
          </c:spPr>
          <c:invertIfNegative val="0"/>
          <c:cat>
            <c:strRef>
              <c:f>'Summary Tables'!$C$428:$C$444</c:f>
              <c:strCache>
                <c:ptCount val="17"/>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strCache>
            </c:strRef>
          </c:cat>
          <c:val>
            <c:numRef>
              <c:f>'Summary Tables'!$E$428:$E$444</c:f>
              <c:numCache>
                <c:formatCode>General</c:formatCode>
                <c:ptCount val="17"/>
                <c:pt idx="0">
                  <c:v>457</c:v>
                </c:pt>
                <c:pt idx="1">
                  <c:v>286</c:v>
                </c:pt>
                <c:pt idx="2">
                  <c:v>593</c:v>
                </c:pt>
                <c:pt idx="3">
                  <c:v>570</c:v>
                </c:pt>
                <c:pt idx="4">
                  <c:v>140</c:v>
                </c:pt>
                <c:pt idx="5">
                  <c:v>777</c:v>
                </c:pt>
                <c:pt idx="6">
                  <c:v>991</c:v>
                </c:pt>
                <c:pt idx="7">
                  <c:v>567</c:v>
                </c:pt>
                <c:pt idx="8">
                  <c:v>648</c:v>
                </c:pt>
                <c:pt idx="9">
                  <c:v>570</c:v>
                </c:pt>
                <c:pt idx="10">
                  <c:v>221</c:v>
                </c:pt>
                <c:pt idx="11">
                  <c:v>244</c:v>
                </c:pt>
                <c:pt idx="12">
                  <c:v>434</c:v>
                </c:pt>
                <c:pt idx="13">
                  <c:v>169</c:v>
                </c:pt>
                <c:pt idx="14">
                  <c:v>749</c:v>
                </c:pt>
                <c:pt idx="15">
                  <c:v>128</c:v>
                </c:pt>
                <c:pt idx="16">
                  <c:v>804</c:v>
                </c:pt>
              </c:numCache>
            </c:numRef>
          </c:val>
          <c:extLst>
            <c:ext xmlns:c16="http://schemas.microsoft.com/office/drawing/2014/chart" uri="{C3380CC4-5D6E-409C-BE32-E72D297353CC}">
              <c16:uniqueId val="{00000001-5EC5-4BAD-AE3F-85ABCFA74D7E}"/>
            </c:ext>
          </c:extLst>
        </c:ser>
        <c:dLbls>
          <c:showLegendKey val="0"/>
          <c:showVal val="0"/>
          <c:showCatName val="0"/>
          <c:showSerName val="0"/>
          <c:showPercent val="0"/>
          <c:showBubbleSize val="0"/>
        </c:dLbls>
        <c:gapWidth val="50"/>
        <c:axId val="1131050536"/>
        <c:axId val="1131045496"/>
      </c:barChart>
      <c:catAx>
        <c:axId val="113105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1045496"/>
        <c:crosses val="autoZero"/>
        <c:auto val="1"/>
        <c:lblAlgn val="ctr"/>
        <c:lblOffset val="100"/>
        <c:noMultiLvlLbl val="0"/>
      </c:catAx>
      <c:valAx>
        <c:axId val="1131045496"/>
        <c:scaling>
          <c:orientation val="minMax"/>
          <c:max val="10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1050536"/>
        <c:crosses val="autoZero"/>
        <c:crossBetween val="between"/>
      </c:valAx>
      <c:spPr>
        <a:noFill/>
        <a:ln>
          <a:noFill/>
        </a:ln>
        <a:effectLst/>
      </c:spPr>
    </c:plotArea>
    <c:legend>
      <c:legendPos val="tr"/>
      <c:layout>
        <c:manualLayout>
          <c:xMode val="edge"/>
          <c:yMode val="edge"/>
          <c:x val="0.59913508858267717"/>
          <c:y val="3.3984108150864698E-3"/>
          <c:w val="0.38523991141732289"/>
          <c:h val="0.15519332214620712"/>
        </c:manualLayout>
      </c:layout>
      <c:overlay val="1"/>
      <c:spPr>
        <a:solidFill>
          <a:schemeClr val="bg1"/>
        </a:solidFill>
        <a:ln>
          <a:noFill/>
        </a:ln>
        <a:effectLst/>
      </c:spPr>
      <c:txPr>
        <a:bodyPr rot="0" spcFirstLastPara="1" vertOverflow="ellipsis" vert="horz"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31758530183728"/>
          <c:y val="0.15859591875339904"/>
          <c:w val="0.51536482939632544"/>
          <c:h val="0.7428682225532619"/>
        </c:manualLayout>
      </c:layout>
      <c:pieChart>
        <c:varyColors val="1"/>
        <c:ser>
          <c:idx val="0"/>
          <c:order val="0"/>
          <c:tx>
            <c:strRef>
              <c:f>'Summary Tables'!$L$393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1BB-46BA-B89F-85664DF6A72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1BB-46BA-B89F-85664DF6A72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1BB-46BA-B89F-85664DF6A72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1BB-46BA-B89F-85664DF6A72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1BB-46BA-B89F-85664DF6A72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1BB-46BA-B89F-85664DF6A729}"/>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01BB-46BA-B89F-85664DF6A729}"/>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01BB-46BA-B89F-85664DF6A729}"/>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01BB-46BA-B89F-85664DF6A729}"/>
              </c:ext>
            </c:extLst>
          </c:dPt>
          <c:dLbls>
            <c:dLbl>
              <c:idx val="0"/>
              <c:layout>
                <c:manualLayout>
                  <c:x val="0.10416666666666667"/>
                  <c:y val="-8.854166666666667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1BB-46BA-B89F-85664DF6A729}"/>
                </c:ext>
              </c:extLst>
            </c:dLbl>
            <c:dLbl>
              <c:idx val="1"/>
              <c:layout>
                <c:manualLayout>
                  <c:x val="0.125"/>
                  <c:y val="2.0833538385826769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30631266404199481"/>
                      <c:h val="0.2183595800524934"/>
                    </c:manualLayout>
                  </c15:layout>
                </c:ext>
                <c:ext xmlns:c16="http://schemas.microsoft.com/office/drawing/2014/chart" uri="{C3380CC4-5D6E-409C-BE32-E72D297353CC}">
                  <c16:uniqueId val="{00000003-01BB-46BA-B89F-85664DF6A729}"/>
                </c:ext>
              </c:extLst>
            </c:dLbl>
            <c:dLbl>
              <c:idx val="2"/>
              <c:layout>
                <c:manualLayout>
                  <c:x val="5.1160925196850393E-2"/>
                  <c:y val="0.15885437171916009"/>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27719980314960624"/>
                      <c:h val="0.22885416666666661"/>
                    </c:manualLayout>
                  </c15:layout>
                </c:ext>
                <c:ext xmlns:c16="http://schemas.microsoft.com/office/drawing/2014/chart" uri="{C3380CC4-5D6E-409C-BE32-E72D297353CC}">
                  <c16:uniqueId val="{00000005-01BB-46BA-B89F-85664DF6A729}"/>
                </c:ext>
              </c:extLst>
            </c:dLbl>
            <c:dLbl>
              <c:idx val="3"/>
              <c:layout>
                <c:manualLayout>
                  <c:x val="9.583333333333334E-2"/>
                  <c:y val="0.23437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1BB-46BA-B89F-85664DF6A729}"/>
                </c:ext>
              </c:extLst>
            </c:dLbl>
            <c:dLbl>
              <c:idx val="4"/>
              <c:layout>
                <c:manualLayout>
                  <c:x val="3.7499999999999846E-2"/>
                  <c:y val="4.687499999999990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1BB-46BA-B89F-85664DF6A729}"/>
                </c:ext>
              </c:extLst>
            </c:dLbl>
            <c:dLbl>
              <c:idx val="5"/>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layout>
                    <c:manualLayout>
                      <c:w val="0.29116666666666668"/>
                      <c:h val="0.25489583333333332"/>
                    </c:manualLayout>
                  </c15:layout>
                </c:ext>
                <c:ext xmlns:c16="http://schemas.microsoft.com/office/drawing/2014/chart" uri="{C3380CC4-5D6E-409C-BE32-E72D297353CC}">
                  <c16:uniqueId val="{0000000B-01BB-46BA-B89F-85664DF6A729}"/>
                </c:ext>
              </c:extLst>
            </c:dLbl>
            <c:dLbl>
              <c:idx val="6"/>
              <c:layout>
                <c:manualLayout>
                  <c:x val="-3.7499999999999999E-2"/>
                  <c:y val="7.812499999999995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1BB-46BA-B89F-85664DF6A729}"/>
                </c:ext>
              </c:extLst>
            </c:dLbl>
            <c:dLbl>
              <c:idx val="7"/>
              <c:layout>
                <c:manualLayout>
                  <c:x val="1.6404199475065617E-7"/>
                  <c:y val="1.8229166666666668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35249999999999992"/>
                      <c:h val="0.29127624671916008"/>
                    </c:manualLayout>
                  </c15:layout>
                </c:ext>
                <c:ext xmlns:c16="http://schemas.microsoft.com/office/drawing/2014/chart" uri="{C3380CC4-5D6E-409C-BE32-E72D297353CC}">
                  <c16:uniqueId val="{0000000F-01BB-46BA-B89F-85664DF6A729}"/>
                </c:ext>
              </c:extLst>
            </c:dLbl>
            <c:dLbl>
              <c:idx val="8"/>
              <c:layout>
                <c:manualLayout>
                  <c:x val="-6.6666666666666666E-2"/>
                  <c:y val="-5.2083333333333348E-3"/>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6760400262467193"/>
                      <c:h val="0.18726583005249345"/>
                    </c:manualLayout>
                  </c15:layout>
                </c:ext>
                <c:ext xmlns:c16="http://schemas.microsoft.com/office/drawing/2014/chart" uri="{C3380CC4-5D6E-409C-BE32-E72D297353CC}">
                  <c16:uniqueId val="{00000011-01BB-46BA-B89F-85664DF6A72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Tables'!$C$410:$C$418</c:f>
              <c:strCache>
                <c:ptCount val="9"/>
                <c:pt idx="0">
                  <c:v>Barnes</c:v>
                </c:pt>
                <c:pt idx="1">
                  <c:v>Ham, Petersham &amp; Richmond Park</c:v>
                </c:pt>
                <c:pt idx="2">
                  <c:v>Hampton &amp; Hampton Hill</c:v>
                </c:pt>
                <c:pt idx="3">
                  <c:v>Kew</c:v>
                </c:pt>
                <c:pt idx="4">
                  <c:v>Mortlake and East Sheen</c:v>
                </c:pt>
                <c:pt idx="5">
                  <c:v>Richmond and Richmond Hill</c:v>
                </c:pt>
                <c:pt idx="6">
                  <c:v>Teddington &amp; Hampton Wick</c:v>
                </c:pt>
                <c:pt idx="7">
                  <c:v>Twickenham, Strawberry Hill &amp; St Margarets</c:v>
                </c:pt>
                <c:pt idx="8">
                  <c:v>Whitton and Heathfield</c:v>
                </c:pt>
              </c:strCache>
            </c:strRef>
          </c:cat>
          <c:val>
            <c:numRef>
              <c:f>'Summary Tables'!$L$410:$L$418</c:f>
              <c:numCache>
                <c:formatCode>#,##0_ ;\-#,##0\ </c:formatCode>
                <c:ptCount val="9"/>
                <c:pt idx="0">
                  <c:v>25</c:v>
                </c:pt>
                <c:pt idx="1">
                  <c:v>266</c:v>
                </c:pt>
                <c:pt idx="2">
                  <c:v>165</c:v>
                </c:pt>
                <c:pt idx="3">
                  <c:v>93</c:v>
                </c:pt>
                <c:pt idx="4">
                  <c:v>1244</c:v>
                </c:pt>
                <c:pt idx="5">
                  <c:v>855</c:v>
                </c:pt>
                <c:pt idx="6">
                  <c:v>241</c:v>
                </c:pt>
                <c:pt idx="7">
                  <c:v>530</c:v>
                </c:pt>
                <c:pt idx="8">
                  <c:v>61</c:v>
                </c:pt>
              </c:numCache>
            </c:numRef>
          </c:val>
          <c:extLst>
            <c:ext xmlns:c16="http://schemas.microsoft.com/office/drawing/2014/chart" uri="{C3380CC4-5D6E-409C-BE32-E72D297353CC}">
              <c16:uniqueId val="{00000012-01BB-46BA-B89F-85664DF6A72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GB"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GB" sz="900" b="1" i="0" u="none" strike="noStrike" kern="1200" baseline="0">
                <a:solidFill>
                  <a:sysClr val="windowText" lastClr="000000"/>
                </a:solidFill>
                <a:latin typeface="Arial" panose="020B0604020202020204" pitchFamily="34" charset="0"/>
                <a:ea typeface="+mn-ea"/>
                <a:cs typeface="Arial" panose="020B0604020202020204" pitchFamily="34" charset="0"/>
              </a:rPr>
              <a:t>Net completions on small / large sites</a:t>
            </a:r>
          </a:p>
        </c:rich>
      </c:tx>
      <c:overlay val="0"/>
      <c:spPr>
        <a:noFill/>
        <a:ln>
          <a:noFill/>
        </a:ln>
        <a:effectLst/>
      </c:spPr>
      <c:txPr>
        <a:bodyPr rot="0" spcFirstLastPara="1" vertOverflow="ellipsis" vert="horz" wrap="square" anchor="ctr" anchorCtr="1"/>
        <a:lstStyle/>
        <a:p>
          <a:pPr algn="ctr" rtl="0">
            <a:defRPr lang="en-GB"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7353455818022752E-2"/>
          <c:y val="0.14048629337999416"/>
          <c:w val="0.8461874453193351"/>
          <c:h val="0.62759037473257018"/>
        </c:manualLayout>
      </c:layout>
      <c:barChart>
        <c:barDir val="col"/>
        <c:grouping val="stacked"/>
        <c:varyColors val="0"/>
        <c:ser>
          <c:idx val="0"/>
          <c:order val="0"/>
          <c:tx>
            <c:strRef>
              <c:f>'Summary Tables'!$D$157</c:f>
              <c:strCache>
                <c:ptCount val="1"/>
                <c:pt idx="0">
                  <c:v>Small</c:v>
                </c:pt>
              </c:strCache>
            </c:strRef>
          </c:tx>
          <c:spPr>
            <a:solidFill>
              <a:schemeClr val="accent1"/>
            </a:solidFill>
            <a:ln>
              <a:noFill/>
            </a:ln>
            <a:effectLst/>
          </c:spPr>
          <c:invertIfNegative val="0"/>
          <c:cat>
            <c:strRef>
              <c:f>'Summary Tables'!$C$158:$C$169</c:f>
              <c:strCache>
                <c:ptCount val="12"/>
                <c:pt idx="0">
                  <c:v>2013/14</c:v>
                </c:pt>
                <c:pt idx="1">
                  <c:v>2014/15</c:v>
                </c:pt>
                <c:pt idx="2">
                  <c:v>2015/16</c:v>
                </c:pt>
                <c:pt idx="3">
                  <c:v>2016/17</c:v>
                </c:pt>
                <c:pt idx="4">
                  <c:v>2017/18</c:v>
                </c:pt>
                <c:pt idx="5">
                  <c:v>2018/19</c:v>
                </c:pt>
                <c:pt idx="6">
                  <c:v>2019/20</c:v>
                </c:pt>
                <c:pt idx="7">
                  <c:v>2020/21</c:v>
                </c:pt>
                <c:pt idx="8">
                  <c:v>2021/22</c:v>
                </c:pt>
                <c:pt idx="9">
                  <c:v>2022/23</c:v>
                </c:pt>
                <c:pt idx="10">
                  <c:v>2023/24</c:v>
                </c:pt>
                <c:pt idx="11">
                  <c:v>2024/25</c:v>
                </c:pt>
              </c:strCache>
            </c:strRef>
          </c:cat>
          <c:val>
            <c:numRef>
              <c:f>'Summary Tables'!$D$158:$D$169</c:f>
              <c:numCache>
                <c:formatCode>#,##0_ ;\-#,##0\ </c:formatCode>
                <c:ptCount val="12"/>
                <c:pt idx="0">
                  <c:v>63</c:v>
                </c:pt>
                <c:pt idx="1">
                  <c:v>238</c:v>
                </c:pt>
                <c:pt idx="2">
                  <c:v>304</c:v>
                </c:pt>
                <c:pt idx="3">
                  <c:v>242</c:v>
                </c:pt>
                <c:pt idx="4">
                  <c:v>165</c:v>
                </c:pt>
                <c:pt idx="5">
                  <c:v>125</c:v>
                </c:pt>
                <c:pt idx="6">
                  <c:v>98</c:v>
                </c:pt>
                <c:pt idx="7">
                  <c:v>107</c:v>
                </c:pt>
                <c:pt idx="8">
                  <c:v>63</c:v>
                </c:pt>
                <c:pt idx="9">
                  <c:v>121</c:v>
                </c:pt>
                <c:pt idx="10">
                  <c:v>77</c:v>
                </c:pt>
                <c:pt idx="11">
                  <c:v>80</c:v>
                </c:pt>
              </c:numCache>
            </c:numRef>
          </c:val>
          <c:extLst>
            <c:ext xmlns:c16="http://schemas.microsoft.com/office/drawing/2014/chart" uri="{C3380CC4-5D6E-409C-BE32-E72D297353CC}">
              <c16:uniqueId val="{00000000-C79C-4A41-8387-A32F5E3148E8}"/>
            </c:ext>
          </c:extLst>
        </c:ser>
        <c:ser>
          <c:idx val="1"/>
          <c:order val="1"/>
          <c:tx>
            <c:strRef>
              <c:f>'Summary Tables'!$E$157</c:f>
              <c:strCache>
                <c:ptCount val="1"/>
                <c:pt idx="0">
                  <c:v>Large</c:v>
                </c:pt>
              </c:strCache>
            </c:strRef>
          </c:tx>
          <c:spPr>
            <a:solidFill>
              <a:schemeClr val="accent2"/>
            </a:solidFill>
            <a:ln>
              <a:noFill/>
            </a:ln>
            <a:effectLst/>
          </c:spPr>
          <c:invertIfNegative val="0"/>
          <c:cat>
            <c:strRef>
              <c:f>'Summary Tables'!$C$158:$C$169</c:f>
              <c:strCache>
                <c:ptCount val="12"/>
                <c:pt idx="0">
                  <c:v>2013/14</c:v>
                </c:pt>
                <c:pt idx="1">
                  <c:v>2014/15</c:v>
                </c:pt>
                <c:pt idx="2">
                  <c:v>2015/16</c:v>
                </c:pt>
                <c:pt idx="3">
                  <c:v>2016/17</c:v>
                </c:pt>
                <c:pt idx="4">
                  <c:v>2017/18</c:v>
                </c:pt>
                <c:pt idx="5">
                  <c:v>2018/19</c:v>
                </c:pt>
                <c:pt idx="6">
                  <c:v>2019/20</c:v>
                </c:pt>
                <c:pt idx="7">
                  <c:v>2020/21</c:v>
                </c:pt>
                <c:pt idx="8">
                  <c:v>2021/22</c:v>
                </c:pt>
                <c:pt idx="9">
                  <c:v>2022/23</c:v>
                </c:pt>
                <c:pt idx="10">
                  <c:v>2023/24</c:v>
                </c:pt>
                <c:pt idx="11">
                  <c:v>2024/25</c:v>
                </c:pt>
              </c:strCache>
            </c:strRef>
          </c:cat>
          <c:val>
            <c:numRef>
              <c:f>'Summary Tables'!$E$158:$E$169</c:f>
              <c:numCache>
                <c:formatCode>#,##0_ ;\-#,##0\ </c:formatCode>
                <c:ptCount val="12"/>
                <c:pt idx="0">
                  <c:v>172</c:v>
                </c:pt>
                <c:pt idx="1">
                  <c:v>66</c:v>
                </c:pt>
                <c:pt idx="2">
                  <c:v>187</c:v>
                </c:pt>
                <c:pt idx="3">
                  <c:v>218</c:v>
                </c:pt>
                <c:pt idx="4">
                  <c:v>217</c:v>
                </c:pt>
                <c:pt idx="5">
                  <c:v>294</c:v>
                </c:pt>
                <c:pt idx="6">
                  <c:v>233</c:v>
                </c:pt>
                <c:pt idx="7">
                  <c:v>99</c:v>
                </c:pt>
                <c:pt idx="8">
                  <c:v>101</c:v>
                </c:pt>
                <c:pt idx="9">
                  <c:v>20</c:v>
                </c:pt>
                <c:pt idx="10">
                  <c:v>23</c:v>
                </c:pt>
                <c:pt idx="11">
                  <c:v>0</c:v>
                </c:pt>
              </c:numCache>
            </c:numRef>
          </c:val>
          <c:extLst>
            <c:ext xmlns:c16="http://schemas.microsoft.com/office/drawing/2014/chart" uri="{C3380CC4-5D6E-409C-BE32-E72D297353CC}">
              <c16:uniqueId val="{00000001-C79C-4A41-8387-A32F5E3148E8}"/>
            </c:ext>
          </c:extLst>
        </c:ser>
        <c:dLbls>
          <c:showLegendKey val="0"/>
          <c:showVal val="0"/>
          <c:showCatName val="0"/>
          <c:showSerName val="0"/>
          <c:showPercent val="0"/>
          <c:showBubbleSize val="0"/>
        </c:dLbls>
        <c:gapWidth val="150"/>
        <c:overlap val="100"/>
        <c:axId val="794977080"/>
        <c:axId val="794977440"/>
      </c:barChart>
      <c:catAx>
        <c:axId val="794977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800000" spcFirstLastPara="1" vertOverflow="ellipsis" wrap="square" anchor="ctr" anchorCtr="1"/>
          <a:lstStyle/>
          <a:p>
            <a:pPr algn="ct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794977440"/>
        <c:crosses val="autoZero"/>
        <c:auto val="1"/>
        <c:lblAlgn val="ctr"/>
        <c:lblOffset val="100"/>
        <c:noMultiLvlLbl val="0"/>
      </c:catAx>
      <c:valAx>
        <c:axId val="794977440"/>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4977080"/>
        <c:crosses val="autoZero"/>
        <c:crossBetween val="between"/>
      </c:valAx>
      <c:spPr>
        <a:noFill/>
        <a:ln>
          <a:noFill/>
        </a:ln>
        <a:effectLst/>
      </c:spPr>
    </c:plotArea>
    <c:legend>
      <c:legendPos val="b"/>
      <c:layout>
        <c:manualLayout>
          <c:xMode val="edge"/>
          <c:yMode val="edge"/>
          <c:x val="0.82029724409448834"/>
          <c:y val="3.7615193934091531E-2"/>
          <c:w val="0.15384973753280837"/>
          <c:h val="0.212579456979642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en-GB"/>
              <a:t>Net units completed by Local Plan Area 2024/25</a:t>
            </a:r>
            <a:endParaRPr lang="en-GB">
              <a:solidFill>
                <a:sysClr val="windowText" lastClr="000000"/>
              </a:solidFill>
            </a:endParaRPr>
          </a:p>
        </c:rich>
      </c:tx>
      <c:layout>
        <c:manualLayout>
          <c:xMode val="edge"/>
          <c:yMode val="edge"/>
          <c:x val="0.40735926191044303"/>
          <c:y val="1.3368983957219251E-2"/>
        </c:manualLayout>
      </c:layout>
      <c:overlay val="0"/>
      <c:spPr>
        <a:noFill/>
        <a:ln w="25400">
          <a:noFill/>
        </a:ln>
      </c:spPr>
    </c:title>
    <c:autoTitleDeleted val="0"/>
    <c:plotArea>
      <c:layout>
        <c:manualLayout>
          <c:layoutTarget val="inner"/>
          <c:xMode val="edge"/>
          <c:yMode val="edge"/>
          <c:x val="0.37868124718705576"/>
          <c:y val="0.1076958468426741"/>
          <c:w val="0.5882621463488541"/>
          <c:h val="0.80917153002933462"/>
        </c:manualLayout>
      </c:layout>
      <c:barChart>
        <c:barDir val="bar"/>
        <c:grouping val="clustered"/>
        <c:varyColors val="0"/>
        <c:ser>
          <c:idx val="1"/>
          <c:order val="0"/>
          <c:tx>
            <c:strRef>
              <c:f>'Summary Tables'!$H$242</c:f>
              <c:strCache>
                <c:ptCount val="1"/>
                <c:pt idx="0">
                  <c:v>Net Gain</c:v>
                </c:pt>
              </c:strCache>
            </c:strRef>
          </c:tx>
          <c:spPr>
            <a:solidFill>
              <a:srgbClr val="0070C0"/>
            </a:solidFill>
            <a:ln w="6350">
              <a:solidFill>
                <a:srgbClr val="002060"/>
              </a:solidFill>
            </a:ln>
          </c:spPr>
          <c:invertIfNegative val="0"/>
          <c:dLbls>
            <c:delete val="1"/>
          </c:dLbls>
          <c:cat>
            <c:strRef>
              <c:f>'Summary Tables'!$C$267:$C$272</c:f>
              <c:strCache>
                <c:ptCount val="6"/>
                <c:pt idx="0">
                  <c:v>Barnes and East Sheen</c:v>
                </c:pt>
                <c:pt idx="1">
                  <c:v>Ham &amp; Petersham</c:v>
                </c:pt>
                <c:pt idx="2">
                  <c:v>Richmond</c:v>
                </c:pt>
                <c:pt idx="3">
                  <c:v>Teddington and the Hamptons</c:v>
                </c:pt>
                <c:pt idx="4">
                  <c:v>Twickenham</c:v>
                </c:pt>
                <c:pt idx="5">
                  <c:v>Whitton</c:v>
                </c:pt>
              </c:strCache>
            </c:strRef>
          </c:cat>
          <c:val>
            <c:numRef>
              <c:f>'Summary Tables'!$H$267:$H$272</c:f>
              <c:numCache>
                <c:formatCode>#,##0_ ;\-#,##0\ </c:formatCode>
                <c:ptCount val="6"/>
                <c:pt idx="0">
                  <c:v>3</c:v>
                </c:pt>
                <c:pt idx="1">
                  <c:v>-1</c:v>
                </c:pt>
                <c:pt idx="2">
                  <c:v>19</c:v>
                </c:pt>
                <c:pt idx="3">
                  <c:v>30</c:v>
                </c:pt>
                <c:pt idx="4">
                  <c:v>19</c:v>
                </c:pt>
                <c:pt idx="5">
                  <c:v>10</c:v>
                </c:pt>
              </c:numCache>
            </c:numRef>
          </c:val>
          <c:extLst>
            <c:ext xmlns:c16="http://schemas.microsoft.com/office/drawing/2014/chart" uri="{C3380CC4-5D6E-409C-BE32-E72D297353CC}">
              <c16:uniqueId val="{00000000-BF4E-43D9-B42F-F8537CAC0FD2}"/>
            </c:ext>
          </c:extLst>
        </c:ser>
        <c:dLbls>
          <c:showLegendKey val="0"/>
          <c:showVal val="1"/>
          <c:showCatName val="0"/>
          <c:showSerName val="0"/>
          <c:showPercent val="0"/>
          <c:showBubbleSize val="0"/>
        </c:dLbls>
        <c:gapWidth val="50"/>
        <c:overlap val="80"/>
        <c:axId val="324732032"/>
        <c:axId val="324733568"/>
      </c:barChart>
      <c:catAx>
        <c:axId val="324732032"/>
        <c:scaling>
          <c:orientation val="maxMin"/>
        </c:scaling>
        <c:delete val="0"/>
        <c:axPos val="l"/>
        <c:numFmt formatCode="General" sourceLinked="1"/>
        <c:majorTickMark val="out"/>
        <c:minorTickMark val="none"/>
        <c:tickLblPos val="low"/>
        <c:txPr>
          <a:bodyPr rot="0" vert="horz"/>
          <a:lstStyle/>
          <a:p>
            <a:pPr>
              <a:defRPr sz="900"/>
            </a:pPr>
            <a:endParaRPr lang="en-US"/>
          </a:p>
        </c:txPr>
        <c:crossAx val="324733568"/>
        <c:crossesAt val="0"/>
        <c:auto val="1"/>
        <c:lblAlgn val="ctr"/>
        <c:lblOffset val="100"/>
        <c:tickLblSkip val="1"/>
        <c:noMultiLvlLbl val="0"/>
      </c:catAx>
      <c:valAx>
        <c:axId val="324733568"/>
        <c:scaling>
          <c:orientation val="minMax"/>
          <c:max val="30"/>
        </c:scaling>
        <c:delete val="0"/>
        <c:axPos val="b"/>
        <c:majorGridlines>
          <c:spPr>
            <a:ln w="3175">
              <a:solidFill>
                <a:srgbClr val="BEBEBE"/>
              </a:solidFill>
              <a:prstDash val="solid"/>
            </a:ln>
          </c:spPr>
        </c:majorGridlines>
        <c:minorGridlines/>
        <c:numFmt formatCode="General" sourceLinked="0"/>
        <c:majorTickMark val="out"/>
        <c:minorTickMark val="out"/>
        <c:tickLblPos val="high"/>
        <c:spPr>
          <a:ln>
            <a:solidFill>
              <a:schemeClr val="bg1">
                <a:lumMod val="75000"/>
              </a:schemeClr>
            </a:solidFill>
          </a:ln>
        </c:spPr>
        <c:txPr>
          <a:bodyPr rot="0" vert="horz"/>
          <a:lstStyle/>
          <a:p>
            <a:pPr>
              <a:defRPr/>
            </a:pPr>
            <a:endParaRPr lang="en-US"/>
          </a:p>
        </c:txPr>
        <c:crossAx val="324732032"/>
        <c:crosses val="max"/>
        <c:crossBetween val="between"/>
        <c:majorUnit val="5"/>
        <c:minorUnit val="5"/>
      </c:valAx>
    </c:plotArea>
    <c:plotVisOnly val="1"/>
    <c:dispBlanksAs val="gap"/>
    <c:showDLblsOverMax val="0"/>
  </c:chart>
  <c:spPr>
    <a:solidFill>
      <a:srgbClr val="FFFFFF"/>
    </a:solidFill>
    <a:ln w="3175">
      <a:solidFill>
        <a:schemeClr val="bg1">
          <a:lumMod val="50000"/>
        </a:schemeClr>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en-GB"/>
              <a:t>Net units completed by Place Based Strategy Area 2024/25</a:t>
            </a:r>
            <a:endParaRPr lang="en-GB">
              <a:solidFill>
                <a:sysClr val="windowText" lastClr="000000"/>
              </a:solidFill>
            </a:endParaRPr>
          </a:p>
        </c:rich>
      </c:tx>
      <c:layout>
        <c:manualLayout>
          <c:xMode val="edge"/>
          <c:yMode val="edge"/>
          <c:x val="0.40735926191044303"/>
          <c:y val="1.3368983957219251E-2"/>
        </c:manualLayout>
      </c:layout>
      <c:overlay val="0"/>
      <c:spPr>
        <a:noFill/>
        <a:ln w="25400">
          <a:noFill/>
        </a:ln>
      </c:spPr>
    </c:title>
    <c:autoTitleDeleted val="0"/>
    <c:plotArea>
      <c:layout>
        <c:manualLayout>
          <c:layoutTarget val="inner"/>
          <c:xMode val="edge"/>
          <c:yMode val="edge"/>
          <c:x val="0.37868124718705576"/>
          <c:y val="0.1076958468426741"/>
          <c:w val="0.5882621463488541"/>
          <c:h val="0.80917153002933462"/>
        </c:manualLayout>
      </c:layout>
      <c:barChart>
        <c:barDir val="bar"/>
        <c:grouping val="clustered"/>
        <c:varyColors val="0"/>
        <c:ser>
          <c:idx val="1"/>
          <c:order val="0"/>
          <c:tx>
            <c:strRef>
              <c:f>'Summary Tables'!$H$242</c:f>
              <c:strCache>
                <c:ptCount val="1"/>
                <c:pt idx="0">
                  <c:v>Net Gain</c:v>
                </c:pt>
              </c:strCache>
            </c:strRef>
          </c:tx>
          <c:spPr>
            <a:solidFill>
              <a:srgbClr val="0070C0"/>
            </a:solidFill>
            <a:ln w="6350">
              <a:solidFill>
                <a:srgbClr val="002060"/>
              </a:solidFill>
            </a:ln>
          </c:spPr>
          <c:invertIfNegative val="0"/>
          <c:dLbls>
            <c:delete val="1"/>
          </c:dLbls>
          <c:cat>
            <c:strRef>
              <c:f>'Summary Tables'!$C$283:$C$291</c:f>
              <c:strCache>
                <c:ptCount val="9"/>
                <c:pt idx="0">
                  <c:v>Barnes</c:v>
                </c:pt>
                <c:pt idx="1">
                  <c:v>Ham, Petersham &amp; Richmond Park</c:v>
                </c:pt>
                <c:pt idx="2">
                  <c:v>Hampton &amp; Hampton Hill</c:v>
                </c:pt>
                <c:pt idx="3">
                  <c:v>Kew</c:v>
                </c:pt>
                <c:pt idx="4">
                  <c:v>Mortlake and East Sheen</c:v>
                </c:pt>
                <c:pt idx="5">
                  <c:v>Richmond and Richmond Hill</c:v>
                </c:pt>
                <c:pt idx="6">
                  <c:v>Teddington &amp; Hampton Wick</c:v>
                </c:pt>
                <c:pt idx="7">
                  <c:v>Twickenham, Strawberry Hill &amp; St Margarets</c:v>
                </c:pt>
                <c:pt idx="8">
                  <c:v>Whitton and Heathfield</c:v>
                </c:pt>
              </c:strCache>
            </c:strRef>
          </c:cat>
          <c:val>
            <c:numRef>
              <c:f>'Summary Tables'!$H$283:$H$291</c:f>
              <c:numCache>
                <c:formatCode>#,##0_ ;\-#,##0\ </c:formatCode>
                <c:ptCount val="9"/>
                <c:pt idx="0">
                  <c:v>0</c:v>
                </c:pt>
                <c:pt idx="1">
                  <c:v>0</c:v>
                </c:pt>
                <c:pt idx="2">
                  <c:v>14</c:v>
                </c:pt>
                <c:pt idx="3">
                  <c:v>-1</c:v>
                </c:pt>
                <c:pt idx="4">
                  <c:v>3</c:v>
                </c:pt>
                <c:pt idx="5">
                  <c:v>19</c:v>
                </c:pt>
                <c:pt idx="6">
                  <c:v>16</c:v>
                </c:pt>
                <c:pt idx="7">
                  <c:v>19</c:v>
                </c:pt>
                <c:pt idx="8">
                  <c:v>10</c:v>
                </c:pt>
              </c:numCache>
            </c:numRef>
          </c:val>
          <c:extLst>
            <c:ext xmlns:c16="http://schemas.microsoft.com/office/drawing/2014/chart" uri="{C3380CC4-5D6E-409C-BE32-E72D297353CC}">
              <c16:uniqueId val="{00000000-D359-49DC-BD29-C8A10666CCBA}"/>
            </c:ext>
          </c:extLst>
        </c:ser>
        <c:dLbls>
          <c:showLegendKey val="0"/>
          <c:showVal val="1"/>
          <c:showCatName val="0"/>
          <c:showSerName val="0"/>
          <c:showPercent val="0"/>
          <c:showBubbleSize val="0"/>
        </c:dLbls>
        <c:gapWidth val="48"/>
        <c:overlap val="80"/>
        <c:axId val="324732032"/>
        <c:axId val="324733568"/>
      </c:barChart>
      <c:catAx>
        <c:axId val="324732032"/>
        <c:scaling>
          <c:orientation val="maxMin"/>
        </c:scaling>
        <c:delete val="0"/>
        <c:axPos val="l"/>
        <c:numFmt formatCode="General" sourceLinked="1"/>
        <c:majorTickMark val="out"/>
        <c:minorTickMark val="none"/>
        <c:tickLblPos val="low"/>
        <c:txPr>
          <a:bodyPr rot="0" vert="horz"/>
          <a:lstStyle/>
          <a:p>
            <a:pPr>
              <a:defRPr sz="900"/>
            </a:pPr>
            <a:endParaRPr lang="en-US"/>
          </a:p>
        </c:txPr>
        <c:crossAx val="324733568"/>
        <c:crossesAt val="0"/>
        <c:auto val="1"/>
        <c:lblAlgn val="ctr"/>
        <c:lblOffset val="100"/>
        <c:tickLblSkip val="1"/>
        <c:noMultiLvlLbl val="0"/>
      </c:catAx>
      <c:valAx>
        <c:axId val="324733568"/>
        <c:scaling>
          <c:orientation val="minMax"/>
          <c:max val="20"/>
        </c:scaling>
        <c:delete val="0"/>
        <c:axPos val="b"/>
        <c:majorGridlines>
          <c:spPr>
            <a:ln w="3175">
              <a:solidFill>
                <a:srgbClr val="BEBEBE"/>
              </a:solidFill>
              <a:prstDash val="solid"/>
            </a:ln>
          </c:spPr>
        </c:majorGridlines>
        <c:minorGridlines/>
        <c:numFmt formatCode="General" sourceLinked="0"/>
        <c:majorTickMark val="out"/>
        <c:minorTickMark val="out"/>
        <c:tickLblPos val="high"/>
        <c:spPr>
          <a:ln>
            <a:solidFill>
              <a:schemeClr val="bg1">
                <a:lumMod val="75000"/>
              </a:schemeClr>
            </a:solidFill>
          </a:ln>
        </c:spPr>
        <c:txPr>
          <a:bodyPr rot="0" vert="horz"/>
          <a:lstStyle/>
          <a:p>
            <a:pPr>
              <a:defRPr/>
            </a:pPr>
            <a:endParaRPr lang="en-US"/>
          </a:p>
        </c:txPr>
        <c:crossAx val="324732032"/>
        <c:crosses val="max"/>
        <c:crossBetween val="between"/>
        <c:majorUnit val="5"/>
        <c:minorUnit val="5"/>
      </c:valAx>
    </c:plotArea>
    <c:plotVisOnly val="1"/>
    <c:dispBlanksAs val="gap"/>
    <c:showDLblsOverMax val="0"/>
  </c:chart>
  <c:spPr>
    <a:solidFill>
      <a:srgbClr val="FFFFFF"/>
    </a:solidFill>
    <a:ln w="3175">
      <a:solidFill>
        <a:schemeClr val="bg1">
          <a:lumMod val="50000"/>
        </a:schemeClr>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900" b="1" i="0" u="none" strike="noStrike" baseline="0">
                <a:solidFill>
                  <a:srgbClr val="000000"/>
                </a:solidFill>
                <a:latin typeface="Arial"/>
                <a:ea typeface="Arial"/>
                <a:cs typeface="Arial"/>
              </a:defRPr>
            </a:pPr>
            <a:r>
              <a:rPr lang="en-GB"/>
              <a:t>Net units permitted by Place Based Strategy Area 2024/25</a:t>
            </a:r>
            <a:endParaRPr lang="en-GB">
              <a:solidFill>
                <a:sysClr val="windowText" lastClr="000000"/>
              </a:solidFill>
            </a:endParaRPr>
          </a:p>
        </c:rich>
      </c:tx>
      <c:layout>
        <c:manualLayout>
          <c:xMode val="edge"/>
          <c:yMode val="edge"/>
          <c:x val="0.40735926191044303"/>
          <c:y val="1.3368983957219251E-2"/>
        </c:manualLayout>
      </c:layout>
      <c:overlay val="0"/>
      <c:spPr>
        <a:noFill/>
        <a:ln w="25400">
          <a:noFill/>
        </a:ln>
      </c:spPr>
    </c:title>
    <c:autoTitleDeleted val="0"/>
    <c:plotArea>
      <c:layout>
        <c:manualLayout>
          <c:layoutTarget val="inner"/>
          <c:xMode val="edge"/>
          <c:yMode val="edge"/>
          <c:x val="0.37868124718705576"/>
          <c:y val="0.1076958468426741"/>
          <c:w val="0.5882621463488541"/>
          <c:h val="0.80917153002933462"/>
        </c:manualLayout>
      </c:layout>
      <c:barChart>
        <c:barDir val="bar"/>
        <c:grouping val="clustered"/>
        <c:varyColors val="0"/>
        <c:ser>
          <c:idx val="1"/>
          <c:order val="0"/>
          <c:tx>
            <c:strRef>
              <c:f>'Summary Tables'!$H$242</c:f>
              <c:strCache>
                <c:ptCount val="1"/>
                <c:pt idx="0">
                  <c:v>Net Gain</c:v>
                </c:pt>
              </c:strCache>
            </c:strRef>
          </c:tx>
          <c:spPr>
            <a:solidFill>
              <a:srgbClr val="0070C0"/>
            </a:solidFill>
            <a:ln w="6350">
              <a:solidFill>
                <a:srgbClr val="002060"/>
              </a:solidFill>
            </a:ln>
          </c:spPr>
          <c:invertIfNegative val="0"/>
          <c:dLbls>
            <c:delete val="1"/>
          </c:dLbls>
          <c:cat>
            <c:strRef>
              <c:f>'Summary Tables'!$C$299:$C$307</c:f>
              <c:strCache>
                <c:ptCount val="9"/>
                <c:pt idx="0">
                  <c:v>Barnes</c:v>
                </c:pt>
                <c:pt idx="1">
                  <c:v>Ham, Petersham &amp; Richmond Park</c:v>
                </c:pt>
                <c:pt idx="2">
                  <c:v>Hampton &amp; Hampton Hill</c:v>
                </c:pt>
                <c:pt idx="3">
                  <c:v>Kew</c:v>
                </c:pt>
                <c:pt idx="4">
                  <c:v>Mortlake and East Sheen</c:v>
                </c:pt>
                <c:pt idx="5">
                  <c:v>Richmond and Richmond Hill</c:v>
                </c:pt>
                <c:pt idx="6">
                  <c:v>Teddington &amp; Hampton Wick</c:v>
                </c:pt>
                <c:pt idx="7">
                  <c:v>Twickenham, Strawberry Hill &amp; St Margarets</c:v>
                </c:pt>
                <c:pt idx="8">
                  <c:v>Whitton and Heathfield</c:v>
                </c:pt>
              </c:strCache>
            </c:strRef>
          </c:cat>
          <c:val>
            <c:numRef>
              <c:f>'Summary Tables'!$H$299:$H$307</c:f>
              <c:numCache>
                <c:formatCode>#,##0_ ;\-#,##0\ </c:formatCode>
                <c:ptCount val="9"/>
                <c:pt idx="0">
                  <c:v>4</c:v>
                </c:pt>
                <c:pt idx="1">
                  <c:v>0</c:v>
                </c:pt>
                <c:pt idx="2">
                  <c:v>16</c:v>
                </c:pt>
                <c:pt idx="3">
                  <c:v>1</c:v>
                </c:pt>
                <c:pt idx="4">
                  <c:v>45</c:v>
                </c:pt>
                <c:pt idx="5">
                  <c:v>481</c:v>
                </c:pt>
                <c:pt idx="6">
                  <c:v>96</c:v>
                </c:pt>
                <c:pt idx="7">
                  <c:v>156</c:v>
                </c:pt>
                <c:pt idx="8">
                  <c:v>5</c:v>
                </c:pt>
              </c:numCache>
            </c:numRef>
          </c:val>
          <c:extLst>
            <c:ext xmlns:c16="http://schemas.microsoft.com/office/drawing/2014/chart" uri="{C3380CC4-5D6E-409C-BE32-E72D297353CC}">
              <c16:uniqueId val="{00000000-EA2E-41CF-8958-2E242CC609A4}"/>
            </c:ext>
          </c:extLst>
        </c:ser>
        <c:dLbls>
          <c:showLegendKey val="0"/>
          <c:showVal val="1"/>
          <c:showCatName val="0"/>
          <c:showSerName val="0"/>
          <c:showPercent val="0"/>
          <c:showBubbleSize val="0"/>
        </c:dLbls>
        <c:gapWidth val="48"/>
        <c:overlap val="80"/>
        <c:axId val="324732032"/>
        <c:axId val="324733568"/>
      </c:barChart>
      <c:catAx>
        <c:axId val="324732032"/>
        <c:scaling>
          <c:orientation val="maxMin"/>
        </c:scaling>
        <c:delete val="0"/>
        <c:axPos val="l"/>
        <c:numFmt formatCode="General" sourceLinked="1"/>
        <c:majorTickMark val="out"/>
        <c:minorTickMark val="none"/>
        <c:tickLblPos val="low"/>
        <c:txPr>
          <a:bodyPr rot="0" vert="horz"/>
          <a:lstStyle/>
          <a:p>
            <a:pPr>
              <a:defRPr sz="900"/>
            </a:pPr>
            <a:endParaRPr lang="en-US"/>
          </a:p>
        </c:txPr>
        <c:crossAx val="324733568"/>
        <c:crossesAt val="0"/>
        <c:auto val="1"/>
        <c:lblAlgn val="ctr"/>
        <c:lblOffset val="100"/>
        <c:tickLblSkip val="1"/>
        <c:noMultiLvlLbl val="0"/>
      </c:catAx>
      <c:valAx>
        <c:axId val="324733568"/>
        <c:scaling>
          <c:orientation val="minMax"/>
          <c:max val="500"/>
        </c:scaling>
        <c:delete val="0"/>
        <c:axPos val="b"/>
        <c:majorGridlines>
          <c:spPr>
            <a:ln w="3175">
              <a:solidFill>
                <a:srgbClr val="BEBEBE"/>
              </a:solidFill>
              <a:prstDash val="solid"/>
            </a:ln>
          </c:spPr>
        </c:majorGridlines>
        <c:minorGridlines/>
        <c:numFmt formatCode="General" sourceLinked="0"/>
        <c:majorTickMark val="out"/>
        <c:minorTickMark val="out"/>
        <c:tickLblPos val="high"/>
        <c:spPr>
          <a:ln>
            <a:solidFill>
              <a:schemeClr val="bg1">
                <a:lumMod val="75000"/>
              </a:schemeClr>
            </a:solidFill>
          </a:ln>
        </c:spPr>
        <c:txPr>
          <a:bodyPr rot="0" vert="horz"/>
          <a:lstStyle/>
          <a:p>
            <a:pPr>
              <a:defRPr/>
            </a:pPr>
            <a:endParaRPr lang="en-US"/>
          </a:p>
        </c:txPr>
        <c:crossAx val="324732032"/>
        <c:crosses val="max"/>
        <c:crossBetween val="between"/>
        <c:majorUnit val="100"/>
        <c:minorUnit val="50"/>
      </c:valAx>
    </c:plotArea>
    <c:plotVisOnly val="1"/>
    <c:dispBlanksAs val="gap"/>
    <c:showDLblsOverMax val="0"/>
  </c:chart>
  <c:spPr>
    <a:solidFill>
      <a:srgbClr val="FFFFFF"/>
    </a:solidFill>
    <a:ln w="3175">
      <a:solidFill>
        <a:schemeClr val="bg1">
          <a:lumMod val="50000"/>
        </a:schemeClr>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900" b="1">
                <a:solidFill>
                  <a:sysClr val="windowText" lastClr="000000"/>
                </a:solidFill>
                <a:latin typeface="Arial" panose="020B0604020202020204" pitchFamily="34" charset="0"/>
                <a:cs typeface="Arial" panose="020B0604020202020204" pitchFamily="34" charset="0"/>
              </a:rPr>
              <a:t>Dwelling </a:t>
            </a:r>
            <a:r>
              <a:rPr lang="en-GB" sz="900" b="1" baseline="0">
                <a:solidFill>
                  <a:sysClr val="windowText" lastClr="000000"/>
                </a:solidFill>
                <a:latin typeface="Arial" panose="020B0604020202020204" pitchFamily="34" charset="0"/>
                <a:cs typeface="Arial" panose="020B0604020202020204" pitchFamily="34" charset="0"/>
              </a:rPr>
              <a:t>Size % of Net Completions 2020/21 -  2024/25</a:t>
            </a:r>
            <a:endParaRPr lang="en-GB" sz="900" b="1">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tx>
            <c:v>1 bed</c:v>
          </c:tx>
          <c:spPr>
            <a:solidFill>
              <a:schemeClr val="accent1"/>
            </a:solidFill>
            <a:ln>
              <a:noFill/>
            </a:ln>
            <a:effectLst/>
          </c:spPr>
          <c:invertIfNegative val="0"/>
          <c:cat>
            <c:strLit>
              <c:ptCount val="5"/>
              <c:pt idx="0">
                <c:v>2020/21</c:v>
              </c:pt>
              <c:pt idx="1">
                <c:v>2021/22</c:v>
              </c:pt>
              <c:pt idx="2">
                <c:v>2022/23</c:v>
              </c:pt>
              <c:pt idx="3">
                <c:v>2023/24</c:v>
              </c:pt>
              <c:pt idx="4">
                <c:v>2024/25</c:v>
              </c:pt>
            </c:strLit>
          </c:cat>
          <c:val>
            <c:numLit>
              <c:formatCode>General</c:formatCode>
              <c:ptCount val="5"/>
              <c:pt idx="0">
                <c:v>0.33495145631067963</c:v>
              </c:pt>
              <c:pt idx="1">
                <c:v>0.5</c:v>
              </c:pt>
              <c:pt idx="2">
                <c:v>0.46099290780141844</c:v>
              </c:pt>
              <c:pt idx="3">
                <c:v>0.56999999999999995</c:v>
              </c:pt>
              <c:pt idx="4">
                <c:v>0.57999999999999996</c:v>
              </c:pt>
            </c:numLit>
          </c:val>
          <c:extLst>
            <c:ext xmlns:c16="http://schemas.microsoft.com/office/drawing/2014/chart" uri="{C3380CC4-5D6E-409C-BE32-E72D297353CC}">
              <c16:uniqueId val="{00000000-A98E-45BA-9450-3C198A1374FD}"/>
            </c:ext>
          </c:extLst>
        </c:ser>
        <c:ser>
          <c:idx val="1"/>
          <c:order val="1"/>
          <c:tx>
            <c:v>2 bed</c:v>
          </c:tx>
          <c:spPr>
            <a:solidFill>
              <a:schemeClr val="accent2"/>
            </a:solidFill>
            <a:ln>
              <a:noFill/>
            </a:ln>
            <a:effectLst/>
          </c:spPr>
          <c:invertIfNegative val="0"/>
          <c:cat>
            <c:strLit>
              <c:ptCount val="5"/>
              <c:pt idx="0">
                <c:v>2020/21</c:v>
              </c:pt>
              <c:pt idx="1">
                <c:v>2021/22</c:v>
              </c:pt>
              <c:pt idx="2">
                <c:v>2022/23</c:v>
              </c:pt>
              <c:pt idx="3">
                <c:v>2023/24</c:v>
              </c:pt>
              <c:pt idx="4">
                <c:v>2024/25</c:v>
              </c:pt>
            </c:strLit>
          </c:cat>
          <c:val>
            <c:numLit>
              <c:formatCode>General</c:formatCode>
              <c:ptCount val="5"/>
              <c:pt idx="0">
                <c:v>0.45145631067961167</c:v>
              </c:pt>
              <c:pt idx="1">
                <c:v>0.36585365853658536</c:v>
              </c:pt>
              <c:pt idx="2">
                <c:v>0.31914893617021278</c:v>
              </c:pt>
              <c:pt idx="3">
                <c:v>0.32</c:v>
              </c:pt>
              <c:pt idx="4">
                <c:v>0.19</c:v>
              </c:pt>
            </c:numLit>
          </c:val>
          <c:extLst>
            <c:ext xmlns:c16="http://schemas.microsoft.com/office/drawing/2014/chart" uri="{C3380CC4-5D6E-409C-BE32-E72D297353CC}">
              <c16:uniqueId val="{00000001-A98E-45BA-9450-3C198A1374FD}"/>
            </c:ext>
          </c:extLst>
        </c:ser>
        <c:ser>
          <c:idx val="2"/>
          <c:order val="2"/>
          <c:tx>
            <c:v>3 bed</c:v>
          </c:tx>
          <c:spPr>
            <a:solidFill>
              <a:schemeClr val="accent3"/>
            </a:solidFill>
            <a:ln>
              <a:noFill/>
            </a:ln>
            <a:effectLst/>
          </c:spPr>
          <c:invertIfNegative val="0"/>
          <c:cat>
            <c:strLit>
              <c:ptCount val="5"/>
              <c:pt idx="0">
                <c:v>2020/21</c:v>
              </c:pt>
              <c:pt idx="1">
                <c:v>2021/22</c:v>
              </c:pt>
              <c:pt idx="2">
                <c:v>2022/23</c:v>
              </c:pt>
              <c:pt idx="3">
                <c:v>2023/24</c:v>
              </c:pt>
              <c:pt idx="4">
                <c:v>2024/25</c:v>
              </c:pt>
            </c:strLit>
          </c:cat>
          <c:val>
            <c:numLit>
              <c:formatCode>General</c:formatCode>
              <c:ptCount val="5"/>
              <c:pt idx="0">
                <c:v>0.10679611650485436</c:v>
              </c:pt>
              <c:pt idx="1">
                <c:v>7.3170731707317069E-2</c:v>
              </c:pt>
              <c:pt idx="2">
                <c:v>0.10638297872340426</c:v>
              </c:pt>
              <c:pt idx="3">
                <c:v>-0.02</c:v>
              </c:pt>
              <c:pt idx="4">
                <c:v>0.18</c:v>
              </c:pt>
            </c:numLit>
          </c:val>
          <c:extLst>
            <c:ext xmlns:c16="http://schemas.microsoft.com/office/drawing/2014/chart" uri="{C3380CC4-5D6E-409C-BE32-E72D297353CC}">
              <c16:uniqueId val="{00000002-A98E-45BA-9450-3C198A1374FD}"/>
            </c:ext>
          </c:extLst>
        </c:ser>
        <c:ser>
          <c:idx val="3"/>
          <c:order val="3"/>
          <c:tx>
            <c:v>4+ bed</c:v>
          </c:tx>
          <c:spPr>
            <a:solidFill>
              <a:schemeClr val="accent4"/>
            </a:solidFill>
            <a:ln>
              <a:noFill/>
            </a:ln>
            <a:effectLst/>
          </c:spPr>
          <c:invertIfNegative val="0"/>
          <c:cat>
            <c:strLit>
              <c:ptCount val="5"/>
              <c:pt idx="0">
                <c:v>2020/21</c:v>
              </c:pt>
              <c:pt idx="1">
                <c:v>2021/22</c:v>
              </c:pt>
              <c:pt idx="2">
                <c:v>2022/23</c:v>
              </c:pt>
              <c:pt idx="3">
                <c:v>2023/24</c:v>
              </c:pt>
              <c:pt idx="4">
                <c:v>2024/25</c:v>
              </c:pt>
            </c:strLit>
          </c:cat>
          <c:val>
            <c:numLit>
              <c:formatCode>General</c:formatCode>
              <c:ptCount val="5"/>
              <c:pt idx="0">
                <c:v>0.10679611650485436</c:v>
              </c:pt>
              <c:pt idx="1">
                <c:v>6.097560975609756E-2</c:v>
              </c:pt>
              <c:pt idx="2">
                <c:v>0.11347517730496454</c:v>
              </c:pt>
              <c:pt idx="3">
                <c:v>0.13</c:v>
              </c:pt>
              <c:pt idx="4">
                <c:v>0.06</c:v>
              </c:pt>
            </c:numLit>
          </c:val>
          <c:extLst>
            <c:ext xmlns:c16="http://schemas.microsoft.com/office/drawing/2014/chart" uri="{C3380CC4-5D6E-409C-BE32-E72D297353CC}">
              <c16:uniqueId val="{00000003-A98E-45BA-9450-3C198A1374FD}"/>
            </c:ext>
          </c:extLst>
        </c:ser>
        <c:dLbls>
          <c:showLegendKey val="0"/>
          <c:showVal val="0"/>
          <c:showCatName val="0"/>
          <c:showSerName val="0"/>
          <c:showPercent val="0"/>
          <c:showBubbleSize val="0"/>
        </c:dLbls>
        <c:gapWidth val="219"/>
        <c:overlap val="-27"/>
        <c:axId val="1274509248"/>
        <c:axId val="1274506728"/>
      </c:barChart>
      <c:catAx>
        <c:axId val="127450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4506728"/>
        <c:crosses val="autoZero"/>
        <c:auto val="1"/>
        <c:lblAlgn val="ctr"/>
        <c:lblOffset val="100"/>
        <c:noMultiLvlLbl val="0"/>
      </c:catAx>
      <c:valAx>
        <c:axId val="1274506728"/>
        <c:scaling>
          <c:orientation val="minMax"/>
          <c:max val="0.60000000000000009"/>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4509248"/>
        <c:crosses val="autoZero"/>
        <c:crossBetween val="between"/>
      </c:valAx>
      <c:spPr>
        <a:noFill/>
        <a:ln>
          <a:noFill/>
        </a:ln>
        <a:effectLst/>
      </c:spPr>
    </c:plotArea>
    <c:legend>
      <c:legendPos val="t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latin typeface="Arial" panose="020B0604020202020204" pitchFamily="34" charset="0"/>
                <a:cs typeface="Arial" panose="020B0604020202020204" pitchFamily="34" charset="0"/>
              </a:defRPr>
            </a:pPr>
            <a:r>
              <a:rPr lang="en-GB" sz="1100">
                <a:latin typeface="Arial" panose="020B0604020202020204" pitchFamily="34" charset="0"/>
                <a:cs typeface="Arial" panose="020B0604020202020204" pitchFamily="34" charset="0"/>
              </a:rPr>
              <a:t>Housing Delivery</a:t>
            </a:r>
            <a:r>
              <a:rPr lang="en-GB" sz="1100" baseline="0">
                <a:latin typeface="Arial" panose="020B0604020202020204" pitchFamily="34" charset="0"/>
                <a:cs typeface="Arial" panose="020B0604020202020204" pitchFamily="34" charset="0"/>
              </a:rPr>
              <a:t> Trajectory and Managed Target</a:t>
            </a:r>
            <a:endParaRPr lang="en-GB" sz="1100">
              <a:latin typeface="Arial" panose="020B0604020202020204" pitchFamily="34" charset="0"/>
              <a:cs typeface="Arial" panose="020B0604020202020204" pitchFamily="34" charset="0"/>
            </a:endParaRPr>
          </a:p>
        </c:rich>
      </c:tx>
      <c:overlay val="0"/>
    </c:title>
    <c:autoTitleDeleted val="0"/>
    <c:plotArea>
      <c:layout/>
      <c:barChart>
        <c:barDir val="col"/>
        <c:grouping val="clustered"/>
        <c:varyColors val="0"/>
        <c:ser>
          <c:idx val="0"/>
          <c:order val="0"/>
          <c:tx>
            <c:strRef>
              <c:f>Trajectory!$C$12</c:f>
              <c:strCache>
                <c:ptCount val="1"/>
                <c:pt idx="0">
                  <c:v>Past Completions</c:v>
                </c:pt>
              </c:strCache>
            </c:strRef>
          </c:tx>
          <c:spPr>
            <a:solidFill>
              <a:schemeClr val="tx2"/>
            </a:solidFill>
          </c:spPr>
          <c:invertIfNegative val="0"/>
          <c:dPt>
            <c:idx val="7"/>
            <c:invertIfNegative val="0"/>
            <c:bubble3D val="0"/>
            <c:extLst>
              <c:ext xmlns:c16="http://schemas.microsoft.com/office/drawing/2014/chart" uri="{C3380CC4-5D6E-409C-BE32-E72D297353CC}">
                <c16:uniqueId val="{00000000-0DDA-4A2B-96A4-8374895B66DF}"/>
              </c:ext>
            </c:extLst>
          </c:dPt>
          <c:dPt>
            <c:idx val="8"/>
            <c:invertIfNegative val="0"/>
            <c:bubble3D val="0"/>
            <c:extLst>
              <c:ext xmlns:c16="http://schemas.microsoft.com/office/drawing/2014/chart" uri="{C3380CC4-5D6E-409C-BE32-E72D297353CC}">
                <c16:uniqueId val="{00000001-0DDA-4A2B-96A4-8374895B66DF}"/>
              </c:ext>
            </c:extLst>
          </c:dPt>
          <c:dPt>
            <c:idx val="9"/>
            <c:invertIfNegative val="0"/>
            <c:bubble3D val="0"/>
            <c:extLst>
              <c:ext xmlns:c16="http://schemas.microsoft.com/office/drawing/2014/chart" uri="{C3380CC4-5D6E-409C-BE32-E72D297353CC}">
                <c16:uniqueId val="{00000002-0DDA-4A2B-96A4-8374895B66DF}"/>
              </c:ext>
            </c:extLst>
          </c:dPt>
          <c:dPt>
            <c:idx val="10"/>
            <c:invertIfNegative val="0"/>
            <c:bubble3D val="0"/>
            <c:spPr>
              <a:solidFill>
                <a:schemeClr val="accent5"/>
              </a:solidFill>
            </c:spPr>
            <c:extLst>
              <c:ext xmlns:c16="http://schemas.microsoft.com/office/drawing/2014/chart" uri="{C3380CC4-5D6E-409C-BE32-E72D297353CC}">
                <c16:uniqueId val="{00000004-0DDA-4A2B-96A4-8374895B66DF}"/>
              </c:ext>
            </c:extLst>
          </c:dPt>
          <c:dLbls>
            <c:dLbl>
              <c:idx val="9"/>
              <c:spPr>
                <a:solidFill>
                  <a:schemeClr val="bg1"/>
                </a:solid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2-0DDA-4A2B-96A4-8374895B66DF}"/>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Trajectory!$D$11:$Z$11</c:f>
              <c:strCache>
                <c:ptCount val="23"/>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strCache>
            </c:strRef>
          </c:cat>
          <c:val>
            <c:numRef>
              <c:f>Trajectory!$D$12:$R$12</c:f>
              <c:numCache>
                <c:formatCode>General</c:formatCode>
                <c:ptCount val="15"/>
                <c:pt idx="0">
                  <c:v>460</c:v>
                </c:pt>
                <c:pt idx="1">
                  <c:v>382</c:v>
                </c:pt>
                <c:pt idx="2">
                  <c:v>419</c:v>
                </c:pt>
                <c:pt idx="3">
                  <c:v>331</c:v>
                </c:pt>
                <c:pt idx="4" formatCode="#,##0">
                  <c:v>206</c:v>
                </c:pt>
                <c:pt idx="5" formatCode="#,##0">
                  <c:v>163</c:v>
                </c:pt>
                <c:pt idx="6" formatCode="#,##0">
                  <c:v>137</c:v>
                </c:pt>
                <c:pt idx="7" formatCode="#,##0">
                  <c:v>109</c:v>
                </c:pt>
                <c:pt idx="8" formatCode="#,##0">
                  <c:v>93.444444444444443</c:v>
                </c:pt>
              </c:numCache>
            </c:numRef>
          </c:val>
          <c:extLst>
            <c:ext xmlns:c16="http://schemas.microsoft.com/office/drawing/2014/chart" uri="{C3380CC4-5D6E-409C-BE32-E72D297353CC}">
              <c16:uniqueId val="{00000005-0DDA-4A2B-96A4-8374895B66DF}"/>
            </c:ext>
          </c:extLst>
        </c:ser>
        <c:ser>
          <c:idx val="1"/>
          <c:order val="1"/>
          <c:tx>
            <c:strRef>
              <c:f>Trajectory!$C$13</c:f>
              <c:strCache>
                <c:ptCount val="1"/>
                <c:pt idx="0">
                  <c:v>Projected Completions</c:v>
                </c:pt>
              </c:strCache>
            </c:strRef>
          </c:tx>
          <c:spPr>
            <a:solidFill>
              <a:schemeClr val="accent1"/>
            </a:solidFill>
          </c:spPr>
          <c:invertIfNegative val="0"/>
          <c:dLbls>
            <c:numFmt formatCode="#,##0" sourceLinked="0"/>
            <c:spPr>
              <a:noFill/>
              <a:effectLst/>
            </c:spPr>
            <c:txPr>
              <a:bodyPr wrap="square" lIns="38100" tIns="19050" rIns="38100" bIns="19050" anchor="ctr">
                <a:spAutoFit/>
              </a:bodyPr>
              <a:lstStyle/>
              <a:p>
                <a:pPr>
                  <a:defRPr>
                    <a:solidFill>
                      <a:schemeClr val="tx1"/>
                    </a:solidFill>
                    <a:latin typeface="Arial" panose="020B0604020202020204" pitchFamily="34" charset="0"/>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Trajectory!$D$11:$Z$11</c:f>
              <c:strCache>
                <c:ptCount val="23"/>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strCache>
            </c:strRef>
          </c:cat>
          <c:val>
            <c:numRef>
              <c:f>Trajectory!$D$13:$Z$13</c:f>
              <c:numCache>
                <c:formatCode>#,##0</c:formatCode>
                <c:ptCount val="23"/>
                <c:pt idx="9" formatCode="0">
                  <c:v>202.25</c:v>
                </c:pt>
                <c:pt idx="10" formatCode="0">
                  <c:v>526.79999999999995</c:v>
                </c:pt>
                <c:pt idx="11" formatCode="0">
                  <c:v>662.8</c:v>
                </c:pt>
                <c:pt idx="12" formatCode="0">
                  <c:v>652</c:v>
                </c:pt>
                <c:pt idx="13" formatCode="0">
                  <c:v>1143.75</c:v>
                </c:pt>
                <c:pt idx="14">
                  <c:v>845</c:v>
                </c:pt>
                <c:pt idx="15" formatCode="0">
                  <c:v>324</c:v>
                </c:pt>
                <c:pt idx="16" formatCode="0">
                  <c:v>461</c:v>
                </c:pt>
                <c:pt idx="17" formatCode="0">
                  <c:v>399</c:v>
                </c:pt>
                <c:pt idx="18">
                  <c:v>361</c:v>
                </c:pt>
                <c:pt idx="19">
                  <c:v>306</c:v>
                </c:pt>
                <c:pt idx="20" formatCode="General">
                  <c:v>306</c:v>
                </c:pt>
                <c:pt idx="21" formatCode="General">
                  <c:v>306</c:v>
                </c:pt>
                <c:pt idx="22" formatCode="General">
                  <c:v>306</c:v>
                </c:pt>
              </c:numCache>
            </c:numRef>
          </c:val>
          <c:extLst>
            <c:ext xmlns:c16="http://schemas.microsoft.com/office/drawing/2014/chart" uri="{C3380CC4-5D6E-409C-BE32-E72D297353CC}">
              <c16:uniqueId val="{00000006-0DDA-4A2B-96A4-8374895B66DF}"/>
            </c:ext>
          </c:extLst>
        </c:ser>
        <c:dLbls>
          <c:showLegendKey val="0"/>
          <c:showVal val="0"/>
          <c:showCatName val="0"/>
          <c:showSerName val="0"/>
          <c:showPercent val="0"/>
          <c:showBubbleSize val="0"/>
        </c:dLbls>
        <c:gapWidth val="100"/>
        <c:overlap val="100"/>
        <c:axId val="320841984"/>
        <c:axId val="320852352"/>
      </c:barChart>
      <c:lineChart>
        <c:grouping val="standard"/>
        <c:varyColors val="0"/>
        <c:ser>
          <c:idx val="2"/>
          <c:order val="2"/>
          <c:tx>
            <c:strRef>
              <c:f>Trajectory!$C$15</c:f>
              <c:strCache>
                <c:ptCount val="1"/>
                <c:pt idx="0">
                  <c:v>Annual Target</c:v>
                </c:pt>
              </c:strCache>
            </c:strRef>
          </c:tx>
          <c:spPr>
            <a:ln>
              <a:solidFill>
                <a:schemeClr val="accent6">
                  <a:lumMod val="50000"/>
                </a:schemeClr>
              </a:solidFill>
            </a:ln>
          </c:spPr>
          <c:marker>
            <c:symbol val="none"/>
          </c:marker>
          <c:cat>
            <c:strRef>
              <c:f>Trajectory!$D$11:$Z$11</c:f>
              <c:strCache>
                <c:ptCount val="23"/>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strCache>
            </c:strRef>
          </c:cat>
          <c:val>
            <c:numRef>
              <c:f>Trajectory!$D$15:$Z$15</c:f>
              <c:numCache>
                <c:formatCode>#,##0</c:formatCode>
                <c:ptCount val="23"/>
                <c:pt idx="0">
                  <c:v>315</c:v>
                </c:pt>
                <c:pt idx="1">
                  <c:v>315</c:v>
                </c:pt>
                <c:pt idx="2">
                  <c:v>315</c:v>
                </c:pt>
                <c:pt idx="3">
                  <c:v>315</c:v>
                </c:pt>
                <c:pt idx="4">
                  <c:v>315</c:v>
                </c:pt>
                <c:pt idx="5">
                  <c:v>210</c:v>
                </c:pt>
                <c:pt idx="6">
                  <c:v>210</c:v>
                </c:pt>
                <c:pt idx="7">
                  <c:v>210</c:v>
                </c:pt>
                <c:pt idx="8">
                  <c:v>210</c:v>
                </c:pt>
                <c:pt idx="9">
                  <c:v>420</c:v>
                </c:pt>
                <c:pt idx="10">
                  <c:v>420</c:v>
                </c:pt>
                <c:pt idx="11">
                  <c:v>420</c:v>
                </c:pt>
                <c:pt idx="12">
                  <c:v>670</c:v>
                </c:pt>
                <c:pt idx="13">
                  <c:v>670</c:v>
                </c:pt>
                <c:pt idx="14">
                  <c:v>670</c:v>
                </c:pt>
                <c:pt idx="15">
                  <c:v>306</c:v>
                </c:pt>
                <c:pt idx="16">
                  <c:v>306</c:v>
                </c:pt>
                <c:pt idx="17">
                  <c:v>306</c:v>
                </c:pt>
                <c:pt idx="18">
                  <c:v>306</c:v>
                </c:pt>
                <c:pt idx="19">
                  <c:v>306</c:v>
                </c:pt>
                <c:pt idx="20">
                  <c:v>306</c:v>
                </c:pt>
                <c:pt idx="21">
                  <c:v>306</c:v>
                </c:pt>
                <c:pt idx="22">
                  <c:v>306</c:v>
                </c:pt>
              </c:numCache>
            </c:numRef>
          </c:val>
          <c:smooth val="0"/>
          <c:extLst>
            <c:ext xmlns:c16="http://schemas.microsoft.com/office/drawing/2014/chart" uri="{C3380CC4-5D6E-409C-BE32-E72D297353CC}">
              <c16:uniqueId val="{00000007-0DDA-4A2B-96A4-8374895B66DF}"/>
            </c:ext>
          </c:extLst>
        </c:ser>
        <c:ser>
          <c:idx val="4"/>
          <c:order val="3"/>
          <c:tx>
            <c:strRef>
              <c:f>Trajectory!$C$16</c:f>
              <c:strCache>
                <c:ptCount val="1"/>
                <c:pt idx="0">
                  <c:v>Stepped Trajectory</c:v>
                </c:pt>
              </c:strCache>
            </c:strRef>
          </c:tx>
          <c:spPr>
            <a:ln w="22225">
              <a:solidFill>
                <a:srgbClr val="FF0000"/>
              </a:solidFill>
              <a:prstDash val="dash"/>
            </a:ln>
          </c:spPr>
          <c:marker>
            <c:symbol val="none"/>
          </c:marker>
          <c:cat>
            <c:strRef>
              <c:f>Trajectory!$D$11:$Z$11</c:f>
              <c:strCache>
                <c:ptCount val="23"/>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strCache>
            </c:strRef>
          </c:cat>
          <c:val>
            <c:numRef>
              <c:f>Trajectory!$D$16:$R$16</c:f>
              <c:numCache>
                <c:formatCode>General</c:formatCode>
                <c:ptCount val="15"/>
                <c:pt idx="5">
                  <c:v>210</c:v>
                </c:pt>
                <c:pt idx="6">
                  <c:v>210</c:v>
                </c:pt>
                <c:pt idx="7">
                  <c:v>210</c:v>
                </c:pt>
                <c:pt idx="8">
                  <c:v>210</c:v>
                </c:pt>
                <c:pt idx="9">
                  <c:v>420</c:v>
                </c:pt>
                <c:pt idx="10">
                  <c:v>420</c:v>
                </c:pt>
                <c:pt idx="11">
                  <c:v>420</c:v>
                </c:pt>
                <c:pt idx="12">
                  <c:v>670</c:v>
                </c:pt>
                <c:pt idx="13">
                  <c:v>670</c:v>
                </c:pt>
                <c:pt idx="14">
                  <c:v>670</c:v>
                </c:pt>
              </c:numCache>
            </c:numRef>
          </c:val>
          <c:smooth val="0"/>
          <c:extLst>
            <c:ext xmlns:c16="http://schemas.microsoft.com/office/drawing/2014/chart" uri="{C3380CC4-5D6E-409C-BE32-E72D297353CC}">
              <c16:uniqueId val="{00000008-0DDA-4A2B-96A4-8374895B66DF}"/>
            </c:ext>
          </c:extLst>
        </c:ser>
        <c:dLbls>
          <c:showLegendKey val="0"/>
          <c:showVal val="0"/>
          <c:showCatName val="0"/>
          <c:showSerName val="0"/>
          <c:showPercent val="0"/>
          <c:showBubbleSize val="0"/>
        </c:dLbls>
        <c:marker val="1"/>
        <c:smooth val="0"/>
        <c:axId val="320841984"/>
        <c:axId val="320852352"/>
      </c:lineChart>
      <c:catAx>
        <c:axId val="320841984"/>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txPr>
          <a:bodyPr/>
          <a:lstStyle/>
          <a:p>
            <a:pPr>
              <a:defRPr>
                <a:latin typeface="Arial" panose="020B0604020202020204" pitchFamily="34" charset="0"/>
                <a:cs typeface="Arial" panose="020B0604020202020204" pitchFamily="34" charset="0"/>
              </a:defRPr>
            </a:pPr>
            <a:endParaRPr lang="en-US"/>
          </a:p>
        </c:txPr>
        <c:crossAx val="320852352"/>
        <c:crosses val="autoZero"/>
        <c:auto val="1"/>
        <c:lblAlgn val="ctr"/>
        <c:lblOffset val="100"/>
        <c:noMultiLvlLbl val="0"/>
      </c:catAx>
      <c:valAx>
        <c:axId val="320852352"/>
        <c:scaling>
          <c:orientation val="minMax"/>
          <c:max val="1200"/>
        </c:scaling>
        <c:delete val="0"/>
        <c:axPos val="l"/>
        <c:majorGridlines>
          <c:spPr>
            <a:ln>
              <a:noFill/>
            </a:ln>
          </c:spPr>
        </c:majorGridlines>
        <c:title>
          <c:tx>
            <c:rich>
              <a:bodyPr rot="-5400000" vert="horz"/>
              <a:lstStyle/>
              <a:p>
                <a:pPr>
                  <a:defRPr/>
                </a:pPr>
                <a:r>
                  <a:rPr lang="en-GB"/>
                  <a:t>Dwellings</a:t>
                </a:r>
              </a:p>
            </c:rich>
          </c:tx>
          <c:overlay val="0"/>
        </c:title>
        <c:numFmt formatCode="General" sourceLinked="1"/>
        <c:majorTickMark val="out"/>
        <c:minorTickMark val="none"/>
        <c:tickLblPos val="nextTo"/>
        <c:crossAx val="320841984"/>
        <c:crosses val="autoZero"/>
        <c:crossBetween val="between"/>
        <c:majorUnit val="100"/>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w="12700">
      <a:solidFill>
        <a:schemeClr val="tx1"/>
      </a:solidFill>
    </a:ln>
  </c:spPr>
  <c:txPr>
    <a:bodyPr/>
    <a:lstStyle/>
    <a:p>
      <a:pPr>
        <a:defRPr sz="900"/>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i="0" u="none" strike="noStrike" kern="1200" baseline="0">
                <a:solidFill>
                  <a:sysClr val="windowText" lastClr="000000"/>
                </a:solidFill>
                <a:latin typeface="Arial" panose="020B0604020202020204" pitchFamily="34" charset="0"/>
                <a:cs typeface="Arial" panose="020B0604020202020204" pitchFamily="34" charset="0"/>
              </a:rPr>
              <a:t>Housing Delivery above or below the Target over Time</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8"/>
          <c:order val="0"/>
          <c:tx>
            <c:strRef>
              <c:f>Trajectory!$C$18</c:f>
              <c:strCache>
                <c:ptCount val="1"/>
                <c:pt idx="0">
                  <c:v>Cumulative Completions against Cumulative Target</c:v>
                </c:pt>
              </c:strCache>
            </c:strRef>
          </c:tx>
          <c:spPr>
            <a:solidFill>
              <a:schemeClr val="accent3">
                <a:lumMod val="60000"/>
              </a:schemeClr>
            </a:solidFill>
            <a:ln>
              <a:solidFill>
                <a:schemeClr val="accent1"/>
              </a:solidFill>
            </a:ln>
            <a:effectLst/>
          </c:spPr>
          <c:invertIfNegative val="0"/>
          <c:dPt>
            <c:idx val="5"/>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7-45DE-4A67-AC73-DA633932E6F6}"/>
              </c:ext>
            </c:extLst>
          </c:dPt>
          <c:dPt>
            <c:idx val="6"/>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0-45DE-4A67-AC73-DA633932E6F6}"/>
              </c:ext>
            </c:extLst>
          </c:dPt>
          <c:dPt>
            <c:idx val="7"/>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1-45DE-4A67-AC73-DA633932E6F6}"/>
              </c:ext>
            </c:extLst>
          </c:dPt>
          <c:dPt>
            <c:idx val="8"/>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2-45DE-4A67-AC73-DA633932E6F6}"/>
              </c:ext>
            </c:extLst>
          </c:dPt>
          <c:dPt>
            <c:idx val="9"/>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3-45DE-4A67-AC73-DA633932E6F6}"/>
              </c:ext>
            </c:extLst>
          </c:dPt>
          <c:dPt>
            <c:idx val="10"/>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4-45DE-4A67-AC73-DA633932E6F6}"/>
              </c:ext>
            </c:extLst>
          </c:dPt>
          <c:dPt>
            <c:idx val="11"/>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5-45DE-4A67-AC73-DA633932E6F6}"/>
              </c:ext>
            </c:extLst>
          </c:dPt>
          <c:dPt>
            <c:idx val="12"/>
            <c:invertIfNegative val="0"/>
            <c:bubble3D val="0"/>
            <c:spPr>
              <a:solidFill>
                <a:schemeClr val="accent6">
                  <a:lumMod val="75000"/>
                </a:schemeClr>
              </a:solidFill>
              <a:ln>
                <a:solidFill>
                  <a:schemeClr val="accent1"/>
                </a:solidFill>
              </a:ln>
              <a:effectLst/>
            </c:spPr>
            <c:extLst>
              <c:ext xmlns:c16="http://schemas.microsoft.com/office/drawing/2014/chart" uri="{C3380CC4-5D6E-409C-BE32-E72D297353CC}">
                <c16:uniqueId val="{00000006-45DE-4A67-AC73-DA633932E6F6}"/>
              </c:ext>
            </c:extLst>
          </c:dPt>
          <c:cat>
            <c:strRef>
              <c:f>Trajectory!$D$11:$Z$11</c:f>
              <c:strCache>
                <c:ptCount val="23"/>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strCache>
            </c:strRef>
          </c:cat>
          <c:val>
            <c:numRef>
              <c:f>Trajectory!$D$18:$Z$18</c:f>
              <c:numCache>
                <c:formatCode>#,##0</c:formatCode>
                <c:ptCount val="23"/>
                <c:pt idx="0">
                  <c:v>145</c:v>
                </c:pt>
                <c:pt idx="1">
                  <c:v>212</c:v>
                </c:pt>
                <c:pt idx="2">
                  <c:v>316</c:v>
                </c:pt>
                <c:pt idx="3">
                  <c:v>332</c:v>
                </c:pt>
                <c:pt idx="4">
                  <c:v>223</c:v>
                </c:pt>
                <c:pt idx="5">
                  <c:v>-47</c:v>
                </c:pt>
                <c:pt idx="6">
                  <c:v>-120</c:v>
                </c:pt>
                <c:pt idx="7">
                  <c:v>-221</c:v>
                </c:pt>
                <c:pt idx="8">
                  <c:v>-337.55555555555554</c:v>
                </c:pt>
                <c:pt idx="9">
                  <c:v>-555.30555555555554</c:v>
                </c:pt>
                <c:pt idx="10">
                  <c:v>-448.50555555555547</c:v>
                </c:pt>
                <c:pt idx="11">
                  <c:v>-205.70555555555552</c:v>
                </c:pt>
                <c:pt idx="12">
                  <c:v>-223.70555555555529</c:v>
                </c:pt>
                <c:pt idx="13">
                  <c:v>250.04444444444471</c:v>
                </c:pt>
                <c:pt idx="14">
                  <c:v>425.04444444444471</c:v>
                </c:pt>
                <c:pt idx="15">
                  <c:v>443.04444444444471</c:v>
                </c:pt>
                <c:pt idx="16">
                  <c:v>598.04444444444471</c:v>
                </c:pt>
                <c:pt idx="17">
                  <c:v>691.04444444444471</c:v>
                </c:pt>
                <c:pt idx="18">
                  <c:v>746.04444444444471</c:v>
                </c:pt>
                <c:pt idx="19">
                  <c:v>746.04444444444471</c:v>
                </c:pt>
                <c:pt idx="20">
                  <c:v>746.04444444444471</c:v>
                </c:pt>
                <c:pt idx="21">
                  <c:v>746.04444444444471</c:v>
                </c:pt>
                <c:pt idx="22">
                  <c:v>746.04444444444471</c:v>
                </c:pt>
              </c:numCache>
            </c:numRef>
          </c:val>
          <c:extLst>
            <c:ext xmlns:c16="http://schemas.microsoft.com/office/drawing/2014/chart" uri="{C3380CC4-5D6E-409C-BE32-E72D297353CC}">
              <c16:uniqueId val="{00000000-9D03-413D-9D28-D8392EDEC1F1}"/>
            </c:ext>
          </c:extLst>
        </c:ser>
        <c:dLbls>
          <c:showLegendKey val="0"/>
          <c:showVal val="0"/>
          <c:showCatName val="0"/>
          <c:showSerName val="0"/>
          <c:showPercent val="0"/>
          <c:showBubbleSize val="0"/>
        </c:dLbls>
        <c:gapWidth val="100"/>
        <c:overlap val="100"/>
        <c:axId val="1396368408"/>
        <c:axId val="1396372368"/>
      </c:barChart>
      <c:catAx>
        <c:axId val="1396368408"/>
        <c:scaling>
          <c:orientation val="minMax"/>
        </c:scaling>
        <c:delete val="0"/>
        <c:axPos val="b"/>
        <c:numFmt formatCode="General" sourceLinked="1"/>
        <c:majorTickMark val="none"/>
        <c:minorTickMark val="none"/>
        <c:tickLblPos val="low"/>
        <c:spPr>
          <a:noFill/>
          <a:ln w="19050" cap="flat" cmpd="sng" algn="ctr">
            <a:solidFill>
              <a:schemeClr val="accent6">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96372368"/>
        <c:crosses val="autoZero"/>
        <c:auto val="0"/>
        <c:lblAlgn val="ctr"/>
        <c:lblOffset val="100"/>
        <c:noMultiLvlLbl val="0"/>
      </c:catAx>
      <c:valAx>
        <c:axId val="13963723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96368408"/>
        <c:crossesAt val="1"/>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878034954054069E-2"/>
          <c:y val="5.905511811023622E-2"/>
          <c:w val="0.93777804232354312"/>
          <c:h val="0.83639682697237672"/>
        </c:manualLayout>
      </c:layout>
      <c:barChart>
        <c:barDir val="col"/>
        <c:grouping val="stacked"/>
        <c:varyColors val="0"/>
        <c:ser>
          <c:idx val="0"/>
          <c:order val="0"/>
          <c:tx>
            <c:strRef>
              <c:f>'Summary Tables'!$D$80</c:f>
              <c:strCache>
                <c:ptCount val="1"/>
                <c:pt idx="0">
                  <c:v> Open Market</c:v>
                </c:pt>
              </c:strCache>
            </c:strRef>
          </c:tx>
          <c:spPr>
            <a:solidFill>
              <a:schemeClr val="tx2">
                <a:lumMod val="60000"/>
                <a:lumOff val="40000"/>
              </a:schemeClr>
            </a:solidFill>
            <a:ln w="25400">
              <a:solidFill>
                <a:schemeClr val="tx2">
                  <a:lumMod val="60000"/>
                  <a:lumOff val="40000"/>
                </a:schemeClr>
              </a:solidFill>
              <a:prstDash val="solid"/>
              <a:miter lim="800000"/>
            </a:ln>
          </c:spPr>
          <c:invertIfNegative val="0"/>
          <c:dLbls>
            <c:delete val="1"/>
          </c:dLbls>
          <c:cat>
            <c:strRef>
              <c:f>'Summary Tables'!$C$82:$C$101</c:f>
              <c:strCache>
                <c:ptCount val="20"/>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pt idx="15">
                  <c:v>2020/21</c:v>
                </c:pt>
                <c:pt idx="16">
                  <c:v>2021/22</c:v>
                </c:pt>
                <c:pt idx="17">
                  <c:v>2022/23</c:v>
                </c:pt>
                <c:pt idx="18">
                  <c:v>2023/24</c:v>
                </c:pt>
                <c:pt idx="19">
                  <c:v>2024/25</c:v>
                </c:pt>
              </c:strCache>
            </c:strRef>
          </c:cat>
          <c:val>
            <c:numRef>
              <c:f>'Summary Tables'!$D$82:$D$101</c:f>
              <c:numCache>
                <c:formatCode>#,##0</c:formatCode>
                <c:ptCount val="20"/>
                <c:pt idx="0">
                  <c:v>611</c:v>
                </c:pt>
                <c:pt idx="1">
                  <c:v>192</c:v>
                </c:pt>
                <c:pt idx="2">
                  <c:v>257</c:v>
                </c:pt>
                <c:pt idx="3">
                  <c:v>338</c:v>
                </c:pt>
                <c:pt idx="4">
                  <c:v>145</c:v>
                </c:pt>
                <c:pt idx="5">
                  <c:v>273</c:v>
                </c:pt>
                <c:pt idx="6">
                  <c:v>133</c:v>
                </c:pt>
                <c:pt idx="7">
                  <c:v>468</c:v>
                </c:pt>
                <c:pt idx="8">
                  <c:v>202</c:v>
                </c:pt>
                <c:pt idx="9">
                  <c:v>298</c:v>
                </c:pt>
                <c:pt idx="10">
                  <c:v>392</c:v>
                </c:pt>
                <c:pt idx="11">
                  <c:v>398</c:v>
                </c:pt>
                <c:pt idx="12">
                  <c:v>341</c:v>
                </c:pt>
                <c:pt idx="13">
                  <c:v>349</c:v>
                </c:pt>
                <c:pt idx="14">
                  <c:v>297</c:v>
                </c:pt>
                <c:pt idx="15">
                  <c:v>189</c:v>
                </c:pt>
                <c:pt idx="16">
                  <c:v>142</c:v>
                </c:pt>
                <c:pt idx="17">
                  <c:v>127</c:v>
                </c:pt>
                <c:pt idx="18">
                  <c:v>90</c:v>
                </c:pt>
                <c:pt idx="19">
                  <c:v>71</c:v>
                </c:pt>
              </c:numCache>
            </c:numRef>
          </c:val>
          <c:extLst>
            <c:ext xmlns:c16="http://schemas.microsoft.com/office/drawing/2014/chart" uri="{C3380CC4-5D6E-409C-BE32-E72D297353CC}">
              <c16:uniqueId val="{00000000-F322-48BB-A761-72DCA942D0EB}"/>
            </c:ext>
          </c:extLst>
        </c:ser>
        <c:ser>
          <c:idx val="4"/>
          <c:order val="1"/>
          <c:tx>
            <c:strRef>
              <c:f>'Summary Tables'!$F$80</c:f>
              <c:strCache>
                <c:ptCount val="1"/>
                <c:pt idx="0">
                  <c:v> Affordable</c:v>
                </c:pt>
              </c:strCache>
            </c:strRef>
          </c:tx>
          <c:spPr>
            <a:solidFill>
              <a:schemeClr val="accent3"/>
            </a:solidFill>
            <a:ln w="25400">
              <a:solidFill>
                <a:schemeClr val="accent3"/>
              </a:solidFill>
              <a:prstDash val="solid"/>
              <a:miter lim="800000"/>
            </a:ln>
          </c:spPr>
          <c:invertIfNegative val="0"/>
          <c:dLbls>
            <c:delete val="1"/>
          </c:dLbls>
          <c:cat>
            <c:strRef>
              <c:f>'Summary Tables'!$C$82:$C$101</c:f>
              <c:strCache>
                <c:ptCount val="20"/>
                <c:pt idx="0">
                  <c:v>2005/06</c:v>
                </c:pt>
                <c:pt idx="1">
                  <c:v>2006/07</c:v>
                </c:pt>
                <c:pt idx="2">
                  <c:v>2007/08</c:v>
                </c:pt>
                <c:pt idx="3">
                  <c:v>2008/09</c:v>
                </c:pt>
                <c:pt idx="4">
                  <c:v>2009/10</c:v>
                </c:pt>
                <c:pt idx="5">
                  <c:v>2010/11</c:v>
                </c:pt>
                <c:pt idx="6">
                  <c:v>2011/12</c:v>
                </c:pt>
                <c:pt idx="7">
                  <c:v>2012/13</c:v>
                </c:pt>
                <c:pt idx="8">
                  <c:v>2013/14</c:v>
                </c:pt>
                <c:pt idx="9">
                  <c:v>2014/15</c:v>
                </c:pt>
                <c:pt idx="10">
                  <c:v>2015/16</c:v>
                </c:pt>
                <c:pt idx="11">
                  <c:v>2016/17</c:v>
                </c:pt>
                <c:pt idx="12">
                  <c:v>2017/18</c:v>
                </c:pt>
                <c:pt idx="13">
                  <c:v>2018/19</c:v>
                </c:pt>
                <c:pt idx="14">
                  <c:v>2019/20</c:v>
                </c:pt>
                <c:pt idx="15">
                  <c:v>2020/21</c:v>
                </c:pt>
                <c:pt idx="16">
                  <c:v>2021/22</c:v>
                </c:pt>
                <c:pt idx="17">
                  <c:v>2022/23</c:v>
                </c:pt>
                <c:pt idx="18">
                  <c:v>2023/24</c:v>
                </c:pt>
                <c:pt idx="19">
                  <c:v>2024/25</c:v>
                </c:pt>
              </c:strCache>
            </c:strRef>
          </c:cat>
          <c:val>
            <c:numRef>
              <c:f>'Summary Tables'!$F$82:$F$101</c:f>
              <c:numCache>
                <c:formatCode>#,##0</c:formatCode>
                <c:ptCount val="20"/>
                <c:pt idx="0">
                  <c:v>231</c:v>
                </c:pt>
                <c:pt idx="1">
                  <c:v>38</c:v>
                </c:pt>
                <c:pt idx="2">
                  <c:v>3</c:v>
                </c:pt>
                <c:pt idx="3">
                  <c:v>98</c:v>
                </c:pt>
                <c:pt idx="4">
                  <c:v>0</c:v>
                </c:pt>
                <c:pt idx="5">
                  <c:v>126</c:v>
                </c:pt>
                <c:pt idx="6">
                  <c:v>75</c:v>
                </c:pt>
                <c:pt idx="7">
                  <c:v>227</c:v>
                </c:pt>
                <c:pt idx="8">
                  <c:v>33</c:v>
                </c:pt>
                <c:pt idx="9">
                  <c:v>6</c:v>
                </c:pt>
                <c:pt idx="10">
                  <c:v>99</c:v>
                </c:pt>
                <c:pt idx="11">
                  <c:v>62</c:v>
                </c:pt>
                <c:pt idx="12">
                  <c:v>41</c:v>
                </c:pt>
                <c:pt idx="13">
                  <c:v>70</c:v>
                </c:pt>
                <c:pt idx="14">
                  <c:v>34</c:v>
                </c:pt>
                <c:pt idx="15">
                  <c:v>17</c:v>
                </c:pt>
                <c:pt idx="16">
                  <c:v>22</c:v>
                </c:pt>
                <c:pt idx="17">
                  <c:v>14</c:v>
                </c:pt>
                <c:pt idx="18">
                  <c:v>10</c:v>
                </c:pt>
                <c:pt idx="19">
                  <c:v>9</c:v>
                </c:pt>
              </c:numCache>
            </c:numRef>
          </c:val>
          <c:extLst>
            <c:ext xmlns:c16="http://schemas.microsoft.com/office/drawing/2014/chart" uri="{C3380CC4-5D6E-409C-BE32-E72D297353CC}">
              <c16:uniqueId val="{00000001-F322-48BB-A761-72DCA942D0EB}"/>
            </c:ext>
          </c:extLst>
        </c:ser>
        <c:dLbls>
          <c:dLblPos val="ctr"/>
          <c:showLegendKey val="0"/>
          <c:showVal val="1"/>
          <c:showCatName val="0"/>
          <c:showSerName val="0"/>
          <c:showPercent val="0"/>
          <c:showBubbleSize val="0"/>
        </c:dLbls>
        <c:gapWidth val="56"/>
        <c:overlap val="100"/>
        <c:axId val="324841856"/>
        <c:axId val="324843392"/>
      </c:barChart>
      <c:catAx>
        <c:axId val="324841856"/>
        <c:scaling>
          <c:orientation val="minMax"/>
        </c:scaling>
        <c:delete val="0"/>
        <c:axPos val="b"/>
        <c:numFmt formatCode="General" sourceLinked="1"/>
        <c:majorTickMark val="out"/>
        <c:minorTickMark val="none"/>
        <c:tickLblPos val="nextTo"/>
        <c:spPr>
          <a:ln w="3175">
            <a:solidFill>
              <a:srgbClr val="000000"/>
            </a:solidFill>
            <a:prstDash val="solid"/>
          </a:ln>
        </c:spPr>
        <c:txPr>
          <a:bodyPr rot="1800000" vert="horz"/>
          <a:lstStyle/>
          <a:p>
            <a:pPr>
              <a:defRPr sz="800" b="0" i="0" u="none" strike="noStrike" baseline="0">
                <a:solidFill>
                  <a:srgbClr val="000000"/>
                </a:solidFill>
                <a:latin typeface="Arial"/>
                <a:ea typeface="Arial"/>
                <a:cs typeface="Arial"/>
              </a:defRPr>
            </a:pPr>
            <a:endParaRPr lang="en-US"/>
          </a:p>
        </c:txPr>
        <c:crossAx val="324843392"/>
        <c:crosses val="autoZero"/>
        <c:auto val="1"/>
        <c:lblAlgn val="ctr"/>
        <c:lblOffset val="100"/>
        <c:tickLblSkip val="1"/>
        <c:tickMarkSkip val="1"/>
        <c:noMultiLvlLbl val="0"/>
      </c:catAx>
      <c:valAx>
        <c:axId val="324843392"/>
        <c:scaling>
          <c:orientation val="minMax"/>
        </c:scaling>
        <c:delete val="0"/>
        <c:axPos val="l"/>
        <c:majorGridlines>
          <c:spPr>
            <a:ln w="3175">
              <a:solidFill>
                <a:srgbClr val="969696"/>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324841856"/>
        <c:crosses val="autoZero"/>
        <c:crossBetween val="between"/>
      </c:valAx>
      <c:spPr>
        <a:noFill/>
        <a:ln w="12700">
          <a:solidFill>
            <a:schemeClr val="bg1">
              <a:lumMod val="50000"/>
            </a:schemeClr>
          </a:solidFill>
          <a:prstDash val="solid"/>
        </a:ln>
      </c:spPr>
    </c:plotArea>
    <c:legend>
      <c:legendPos val="r"/>
      <c:layout>
        <c:manualLayout>
          <c:xMode val="edge"/>
          <c:yMode val="edge"/>
          <c:x val="0.76499620700426352"/>
          <c:y val="7.3397590007131461E-2"/>
          <c:w val="0.19393234269209397"/>
          <c:h val="0.12386275245006141"/>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chemeClr val="bg1">
          <a:lumMod val="50000"/>
        </a:schemeClr>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anose="020B0604020202020204" pitchFamily="34" charset="0"/>
                <a:cs typeface="Arial" panose="020B0604020202020204" pitchFamily="34" charset="0"/>
              </a:defRPr>
            </a:pPr>
            <a:r>
              <a:rPr lang="en-GB" sz="900">
                <a:latin typeface="Arial" panose="020B0604020202020204" pitchFamily="34" charset="0"/>
                <a:cs typeface="Arial" panose="020B0604020202020204" pitchFamily="34" charset="0"/>
              </a:rPr>
              <a:t>Proportion of housing completions provided by large sites</a:t>
            </a:r>
          </a:p>
        </c:rich>
      </c:tx>
      <c:overlay val="1"/>
    </c:title>
    <c:autoTitleDeleted val="0"/>
    <c:plotArea>
      <c:layout>
        <c:manualLayout>
          <c:layoutTarget val="inner"/>
          <c:xMode val="edge"/>
          <c:yMode val="edge"/>
          <c:x val="8.6616442099943791E-2"/>
          <c:y val="0.1274504604450217"/>
          <c:w val="0.88456888861387417"/>
          <c:h val="0.66614786553742644"/>
        </c:manualLayout>
      </c:layout>
      <c:barChart>
        <c:barDir val="col"/>
        <c:grouping val="clustered"/>
        <c:varyColors val="0"/>
        <c:ser>
          <c:idx val="0"/>
          <c:order val="0"/>
          <c:tx>
            <c:strRef>
              <c:f>'Summary Tables'!$D$175</c:f>
              <c:strCache>
                <c:ptCount val="1"/>
                <c:pt idx="0">
                  <c:v>%</c:v>
                </c:pt>
              </c:strCache>
            </c:strRef>
          </c:tx>
          <c:spPr>
            <a:solidFill>
              <a:srgbClr val="0070C0"/>
            </a:solidFill>
            <a:ln w="12700">
              <a:solidFill>
                <a:srgbClr val="002060"/>
              </a:solidFill>
            </a:ln>
          </c:spPr>
          <c:invertIfNegative val="0"/>
          <c:dLbls>
            <c:spPr>
              <a:solidFill>
                <a:schemeClr val="bg1"/>
              </a:solid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'Summary Tables'!$C$176:$C$197</c:f>
              <c:strCache>
                <c:ptCount val="22"/>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pt idx="17">
                  <c:v>2020/21</c:v>
                </c:pt>
                <c:pt idx="18">
                  <c:v>2021/22</c:v>
                </c:pt>
                <c:pt idx="19">
                  <c:v>2022/23</c:v>
                </c:pt>
                <c:pt idx="20">
                  <c:v>2023/24</c:v>
                </c:pt>
                <c:pt idx="21">
                  <c:v>2024/25</c:v>
                </c:pt>
              </c:strCache>
            </c:strRef>
          </c:cat>
          <c:val>
            <c:numRef>
              <c:f>'Summary Tables'!$D$176:$D$197</c:f>
              <c:numCache>
                <c:formatCode>0%</c:formatCode>
                <c:ptCount val="22"/>
                <c:pt idx="0">
                  <c:v>0.5</c:v>
                </c:pt>
                <c:pt idx="1">
                  <c:v>0.72</c:v>
                </c:pt>
                <c:pt idx="2">
                  <c:v>0.83</c:v>
                </c:pt>
                <c:pt idx="3">
                  <c:v>0.41</c:v>
                </c:pt>
                <c:pt idx="4">
                  <c:v>0.27</c:v>
                </c:pt>
                <c:pt idx="5">
                  <c:v>0.61</c:v>
                </c:pt>
                <c:pt idx="6">
                  <c:v>7.0000000000000007E-2</c:v>
                </c:pt>
                <c:pt idx="7">
                  <c:v>0.67</c:v>
                </c:pt>
                <c:pt idx="8">
                  <c:v>0.3</c:v>
                </c:pt>
                <c:pt idx="9">
                  <c:v>0.79</c:v>
                </c:pt>
                <c:pt idx="10">
                  <c:v>0.73</c:v>
                </c:pt>
                <c:pt idx="11">
                  <c:v>0.22</c:v>
                </c:pt>
                <c:pt idx="12">
                  <c:v>0.38</c:v>
                </c:pt>
                <c:pt idx="13">
                  <c:v>0.47</c:v>
                </c:pt>
                <c:pt idx="14">
                  <c:v>0.56999999999999995</c:v>
                </c:pt>
                <c:pt idx="15">
                  <c:v>0.70167064439140814</c:v>
                </c:pt>
                <c:pt idx="16">
                  <c:v>0.70392749244712993</c:v>
                </c:pt>
                <c:pt idx="17">
                  <c:v>0.48058252427184467</c:v>
                </c:pt>
                <c:pt idx="18">
                  <c:v>0.61585365853658536</c:v>
                </c:pt>
                <c:pt idx="19">
                  <c:v>0.14184397163120568</c:v>
                </c:pt>
                <c:pt idx="20">
                  <c:v>0.23</c:v>
                </c:pt>
                <c:pt idx="21">
                  <c:v>0</c:v>
                </c:pt>
              </c:numCache>
            </c:numRef>
          </c:val>
          <c:extLst>
            <c:ext xmlns:c16="http://schemas.microsoft.com/office/drawing/2014/chart" uri="{C3380CC4-5D6E-409C-BE32-E72D297353CC}">
              <c16:uniqueId val="{00000000-D33A-43E9-81F8-E5A4026018B9}"/>
            </c:ext>
          </c:extLst>
        </c:ser>
        <c:dLbls>
          <c:showLegendKey val="0"/>
          <c:showVal val="0"/>
          <c:showCatName val="0"/>
          <c:showSerName val="0"/>
          <c:showPercent val="0"/>
          <c:showBubbleSize val="0"/>
        </c:dLbls>
        <c:gapWidth val="54"/>
        <c:axId val="325008000"/>
        <c:axId val="325013888"/>
      </c:barChart>
      <c:catAx>
        <c:axId val="325008000"/>
        <c:scaling>
          <c:orientation val="minMax"/>
        </c:scaling>
        <c:delete val="0"/>
        <c:axPos val="b"/>
        <c:numFmt formatCode="General" sourceLinked="0"/>
        <c:majorTickMark val="out"/>
        <c:minorTickMark val="none"/>
        <c:tickLblPos val="nextTo"/>
        <c:txPr>
          <a:bodyPr rot="1800000" vert="horz"/>
          <a:lstStyle/>
          <a:p>
            <a:pPr>
              <a:defRPr sz="900">
                <a:latin typeface="Arial" panose="020B0604020202020204" pitchFamily="34" charset="0"/>
                <a:cs typeface="Arial" panose="020B0604020202020204" pitchFamily="34" charset="0"/>
              </a:defRPr>
            </a:pPr>
            <a:endParaRPr lang="en-US"/>
          </a:p>
        </c:txPr>
        <c:crossAx val="325013888"/>
        <c:crosses val="autoZero"/>
        <c:auto val="1"/>
        <c:lblAlgn val="ctr"/>
        <c:lblOffset val="100"/>
        <c:noMultiLvlLbl val="0"/>
      </c:catAx>
      <c:valAx>
        <c:axId val="325013888"/>
        <c:scaling>
          <c:orientation val="minMax"/>
          <c:max val="0.9"/>
        </c:scaling>
        <c:delete val="0"/>
        <c:axPos val="l"/>
        <c:majorGridlines/>
        <c:numFmt formatCode="0%"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25008000"/>
        <c:crosses val="autoZero"/>
        <c:crossBetween val="between"/>
      </c:valAx>
    </c:plotArea>
    <c:plotVisOnly val="1"/>
    <c:dispBlanksAs val="gap"/>
    <c:showDLblsOverMax val="0"/>
  </c:chart>
  <c:spPr>
    <a:ln>
      <a:solidFill>
        <a:schemeClr val="bg1">
          <a:lumMod val="50000"/>
        </a:schemeClr>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en-GB"/>
              <a:t>Net units completed by Ward 2024/25</a:t>
            </a:r>
            <a:endParaRPr lang="en-GB">
              <a:solidFill>
                <a:sysClr val="windowText" lastClr="000000"/>
              </a:solidFill>
            </a:endParaRPr>
          </a:p>
        </c:rich>
      </c:tx>
      <c:layout>
        <c:manualLayout>
          <c:xMode val="edge"/>
          <c:yMode val="edge"/>
          <c:x val="0.40735926191044303"/>
          <c:y val="1.3368983957219251E-2"/>
        </c:manualLayout>
      </c:layout>
      <c:overlay val="0"/>
      <c:spPr>
        <a:noFill/>
        <a:ln w="25400">
          <a:noFill/>
        </a:ln>
      </c:spPr>
    </c:title>
    <c:autoTitleDeleted val="0"/>
    <c:plotArea>
      <c:layout>
        <c:manualLayout>
          <c:layoutTarget val="inner"/>
          <c:xMode val="edge"/>
          <c:yMode val="edge"/>
          <c:x val="0.37868124718705576"/>
          <c:y val="0.1076958468426741"/>
          <c:w val="0.5882621463488541"/>
          <c:h val="0.80917153002933462"/>
        </c:manualLayout>
      </c:layout>
      <c:barChart>
        <c:barDir val="bar"/>
        <c:grouping val="clustered"/>
        <c:varyColors val="0"/>
        <c:ser>
          <c:idx val="1"/>
          <c:order val="0"/>
          <c:tx>
            <c:strRef>
              <c:f>'Summary Tables'!$H$242</c:f>
              <c:strCache>
                <c:ptCount val="1"/>
                <c:pt idx="0">
                  <c:v>Net Gain</c:v>
                </c:pt>
              </c:strCache>
            </c:strRef>
          </c:tx>
          <c:spPr>
            <a:solidFill>
              <a:srgbClr val="0070C0"/>
            </a:solidFill>
            <a:ln w="12700">
              <a:solidFill>
                <a:srgbClr val="002060"/>
              </a:solidFill>
            </a:ln>
          </c:spPr>
          <c:invertIfNegative val="0"/>
          <c:dLbls>
            <c:delete val="1"/>
          </c:dLbls>
          <c:cat>
            <c:strRef>
              <c:f>'Summary Tables'!$C$243:$C$260</c:f>
              <c:strCache>
                <c:ptCount val="18"/>
                <c:pt idx="0">
                  <c:v>Barnes</c:v>
                </c:pt>
                <c:pt idx="1">
                  <c:v>East Sheen</c:v>
                </c:pt>
                <c:pt idx="2">
                  <c:v>Fulwell &amp; Hampton Hill</c:v>
                </c:pt>
                <c:pt idx="3">
                  <c:v>Ham, Petersham &amp; Richmond Riverside</c:v>
                </c:pt>
                <c:pt idx="4">
                  <c:v>Hampton</c:v>
                </c:pt>
                <c:pt idx="5">
                  <c:v>Hampton North</c:v>
                </c:pt>
                <c:pt idx="6">
                  <c:v>Hampton Wick &amp; South Teddington</c:v>
                </c:pt>
                <c:pt idx="7">
                  <c:v>Heathfield</c:v>
                </c:pt>
                <c:pt idx="8">
                  <c:v>Kew</c:v>
                </c:pt>
                <c:pt idx="9">
                  <c:v>Mortlake &amp; Barnes Common</c:v>
                </c:pt>
                <c:pt idx="10">
                  <c:v>North Richmond</c:v>
                </c:pt>
                <c:pt idx="11">
                  <c:v>South Richmond</c:v>
                </c:pt>
                <c:pt idx="12">
                  <c:v>South Twickenham</c:v>
                </c:pt>
                <c:pt idx="13">
                  <c:v>St. Margarets &amp; North Twickenham</c:v>
                </c:pt>
                <c:pt idx="14">
                  <c:v>Teddington</c:v>
                </c:pt>
                <c:pt idx="15">
                  <c:v>Twickenham Riverside</c:v>
                </c:pt>
                <c:pt idx="16">
                  <c:v>West Twickenham</c:v>
                </c:pt>
                <c:pt idx="17">
                  <c:v>Whitton</c:v>
                </c:pt>
              </c:strCache>
            </c:strRef>
          </c:cat>
          <c:val>
            <c:numRef>
              <c:f>'Summary Tables'!$H$243:$H$260</c:f>
              <c:numCache>
                <c:formatCode>#,##0</c:formatCode>
                <c:ptCount val="18"/>
                <c:pt idx="0">
                  <c:v>-1</c:v>
                </c:pt>
                <c:pt idx="1">
                  <c:v>1</c:v>
                </c:pt>
                <c:pt idx="2">
                  <c:v>7</c:v>
                </c:pt>
                <c:pt idx="3">
                  <c:v>-1</c:v>
                </c:pt>
                <c:pt idx="4">
                  <c:v>3</c:v>
                </c:pt>
                <c:pt idx="5">
                  <c:v>4</c:v>
                </c:pt>
                <c:pt idx="6">
                  <c:v>5</c:v>
                </c:pt>
                <c:pt idx="7">
                  <c:v>1</c:v>
                </c:pt>
                <c:pt idx="8">
                  <c:v>0</c:v>
                </c:pt>
                <c:pt idx="9">
                  <c:v>3</c:v>
                </c:pt>
                <c:pt idx="10">
                  <c:v>10</c:v>
                </c:pt>
                <c:pt idx="11">
                  <c:v>9</c:v>
                </c:pt>
                <c:pt idx="12">
                  <c:v>6</c:v>
                </c:pt>
                <c:pt idx="13">
                  <c:v>5</c:v>
                </c:pt>
                <c:pt idx="14">
                  <c:v>11</c:v>
                </c:pt>
                <c:pt idx="15">
                  <c:v>6</c:v>
                </c:pt>
                <c:pt idx="16">
                  <c:v>2</c:v>
                </c:pt>
                <c:pt idx="17">
                  <c:v>9</c:v>
                </c:pt>
              </c:numCache>
            </c:numRef>
          </c:val>
          <c:extLst>
            <c:ext xmlns:c16="http://schemas.microsoft.com/office/drawing/2014/chart" uri="{C3380CC4-5D6E-409C-BE32-E72D297353CC}">
              <c16:uniqueId val="{00000000-692F-4C12-B736-CC2BE1451ABC}"/>
            </c:ext>
          </c:extLst>
        </c:ser>
        <c:dLbls>
          <c:showLegendKey val="0"/>
          <c:showVal val="1"/>
          <c:showCatName val="0"/>
          <c:showSerName val="0"/>
          <c:showPercent val="0"/>
          <c:showBubbleSize val="0"/>
        </c:dLbls>
        <c:gapWidth val="0"/>
        <c:overlap val="100"/>
        <c:axId val="324732032"/>
        <c:axId val="324733568"/>
      </c:barChart>
      <c:catAx>
        <c:axId val="324732032"/>
        <c:scaling>
          <c:orientation val="maxMin"/>
        </c:scaling>
        <c:delete val="0"/>
        <c:axPos val="l"/>
        <c:numFmt formatCode="General" sourceLinked="1"/>
        <c:majorTickMark val="out"/>
        <c:minorTickMark val="none"/>
        <c:tickLblPos val="low"/>
        <c:txPr>
          <a:bodyPr rot="0" vert="horz"/>
          <a:lstStyle/>
          <a:p>
            <a:pPr>
              <a:defRPr/>
            </a:pPr>
            <a:endParaRPr lang="en-US"/>
          </a:p>
        </c:txPr>
        <c:crossAx val="324733568"/>
        <c:crossesAt val="0"/>
        <c:auto val="1"/>
        <c:lblAlgn val="ctr"/>
        <c:lblOffset val="100"/>
        <c:tickLblSkip val="1"/>
        <c:noMultiLvlLbl val="0"/>
      </c:catAx>
      <c:valAx>
        <c:axId val="324733568"/>
        <c:scaling>
          <c:orientation val="minMax"/>
          <c:max val="15"/>
          <c:min val="0"/>
        </c:scaling>
        <c:delete val="0"/>
        <c:axPos val="b"/>
        <c:majorGridlines>
          <c:spPr>
            <a:ln w="3175">
              <a:solidFill>
                <a:srgbClr val="BEBEBE"/>
              </a:solidFill>
              <a:prstDash val="solid"/>
            </a:ln>
          </c:spPr>
        </c:majorGridlines>
        <c:minorGridlines/>
        <c:numFmt formatCode="General" sourceLinked="0"/>
        <c:majorTickMark val="out"/>
        <c:minorTickMark val="out"/>
        <c:tickLblPos val="high"/>
        <c:spPr>
          <a:ln>
            <a:solidFill>
              <a:schemeClr val="bg1">
                <a:lumMod val="75000"/>
              </a:schemeClr>
            </a:solidFill>
          </a:ln>
        </c:spPr>
        <c:txPr>
          <a:bodyPr rot="0" vert="horz"/>
          <a:lstStyle/>
          <a:p>
            <a:pPr>
              <a:defRPr/>
            </a:pPr>
            <a:endParaRPr lang="en-US"/>
          </a:p>
        </c:txPr>
        <c:crossAx val="324732032"/>
        <c:crosses val="max"/>
        <c:crossBetween val="between"/>
        <c:majorUnit val="5"/>
        <c:minorUnit val="5"/>
      </c:valAx>
    </c:plotArea>
    <c:plotVisOnly val="1"/>
    <c:dispBlanksAs val="gap"/>
    <c:showDLblsOverMax val="0"/>
  </c:chart>
  <c:spPr>
    <a:solidFill>
      <a:srgbClr val="FFFFFF"/>
    </a:solidFill>
    <a:ln w="3175">
      <a:solidFill>
        <a:schemeClr val="bg1">
          <a:lumMod val="50000"/>
        </a:schemeClr>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3385735601933279E-2"/>
          <c:y val="2.2194088484037533E-2"/>
          <c:w val="0.5950272836468723"/>
          <c:h val="0.94294752371639823"/>
        </c:manualLayout>
      </c:layout>
      <c:pieChart>
        <c:varyColors val="1"/>
        <c:ser>
          <c:idx val="0"/>
          <c:order val="0"/>
          <c:tx>
            <c:strRef>
              <c:f>'Summary Tables'!$C$319:$D$319</c:f>
              <c:strCache>
                <c:ptCount val="2"/>
                <c:pt idx="0">
                  <c:v>Market</c:v>
                </c:pt>
              </c:strCache>
            </c:strRef>
          </c:tx>
          <c:spPr>
            <a:solidFill>
              <a:srgbClr val="9999FF"/>
            </a:solidFill>
            <a:ln w="12700">
              <a:solidFill>
                <a:srgbClr val="000000"/>
              </a:solidFill>
              <a:prstDash val="solid"/>
            </a:ln>
          </c:spPr>
          <c:dPt>
            <c:idx val="0"/>
            <c:bubble3D val="0"/>
            <c:spPr>
              <a:solidFill>
                <a:schemeClr val="accent1">
                  <a:lumMod val="20000"/>
                  <a:lumOff val="80000"/>
                </a:schemeClr>
              </a:solidFill>
              <a:ln w="12700">
                <a:solidFill>
                  <a:srgbClr val="000000"/>
                </a:solidFill>
                <a:prstDash val="solid"/>
              </a:ln>
            </c:spPr>
            <c:extLst>
              <c:ext xmlns:c16="http://schemas.microsoft.com/office/drawing/2014/chart" uri="{C3380CC4-5D6E-409C-BE32-E72D297353CC}">
                <c16:uniqueId val="{00000001-7A81-42F4-9493-42DFC1C3EFFE}"/>
              </c:ext>
            </c:extLst>
          </c:dPt>
          <c:dPt>
            <c:idx val="1"/>
            <c:bubble3D val="0"/>
            <c:spPr>
              <a:solidFill>
                <a:schemeClr val="accent1">
                  <a:lumMod val="40000"/>
                  <a:lumOff val="60000"/>
                </a:schemeClr>
              </a:solidFill>
              <a:ln w="12700">
                <a:solidFill>
                  <a:srgbClr val="000000"/>
                </a:solidFill>
                <a:prstDash val="solid"/>
              </a:ln>
            </c:spPr>
            <c:extLst>
              <c:ext xmlns:c16="http://schemas.microsoft.com/office/drawing/2014/chart" uri="{C3380CC4-5D6E-409C-BE32-E72D297353CC}">
                <c16:uniqueId val="{00000003-7A81-42F4-9493-42DFC1C3EFFE}"/>
              </c:ext>
            </c:extLst>
          </c:dPt>
          <c:dPt>
            <c:idx val="2"/>
            <c:bubble3D val="0"/>
            <c:spPr>
              <a:solidFill>
                <a:schemeClr val="accent1">
                  <a:lumMod val="60000"/>
                  <a:lumOff val="40000"/>
                </a:schemeClr>
              </a:solidFill>
              <a:ln w="12700">
                <a:solidFill>
                  <a:srgbClr val="000000"/>
                </a:solidFill>
                <a:prstDash val="solid"/>
              </a:ln>
            </c:spPr>
            <c:extLst>
              <c:ext xmlns:c16="http://schemas.microsoft.com/office/drawing/2014/chart" uri="{C3380CC4-5D6E-409C-BE32-E72D297353CC}">
                <c16:uniqueId val="{00000005-7A81-42F4-9493-42DFC1C3EFFE}"/>
              </c:ext>
            </c:extLst>
          </c:dPt>
          <c:dPt>
            <c:idx val="3"/>
            <c:bubble3D val="0"/>
            <c:spPr>
              <a:solidFill>
                <a:schemeClr val="accent1">
                  <a:lumMod val="75000"/>
                </a:schemeClr>
              </a:solidFill>
              <a:ln w="12700">
                <a:solidFill>
                  <a:srgbClr val="000000"/>
                </a:solidFill>
                <a:prstDash val="solid"/>
              </a:ln>
            </c:spPr>
            <c:extLst>
              <c:ext xmlns:c16="http://schemas.microsoft.com/office/drawing/2014/chart" uri="{C3380CC4-5D6E-409C-BE32-E72D297353CC}">
                <c16:uniqueId val="{00000007-7A81-42F4-9493-42DFC1C3EFFE}"/>
              </c:ext>
            </c:extLst>
          </c:dPt>
          <c:dPt>
            <c:idx val="4"/>
            <c:bubble3D val="0"/>
            <c:spPr>
              <a:solidFill>
                <a:schemeClr val="accent1">
                  <a:lumMod val="50000"/>
                </a:schemeClr>
              </a:solidFill>
              <a:ln w="12700">
                <a:solidFill>
                  <a:srgbClr val="000000"/>
                </a:solidFill>
                <a:prstDash val="solid"/>
              </a:ln>
            </c:spPr>
            <c:extLst>
              <c:ext xmlns:c16="http://schemas.microsoft.com/office/drawing/2014/chart" uri="{C3380CC4-5D6E-409C-BE32-E72D297353CC}">
                <c16:uniqueId val="{00000009-7A81-42F4-9493-42DFC1C3EFFE}"/>
              </c:ext>
            </c:extLst>
          </c:dPt>
          <c:dPt>
            <c:idx val="5"/>
            <c:bubble3D val="0"/>
            <c:spPr>
              <a:solidFill>
                <a:srgbClr val="000000"/>
              </a:solidFill>
              <a:ln w="12700">
                <a:solidFill>
                  <a:srgbClr val="000000"/>
                </a:solidFill>
                <a:prstDash val="solid"/>
              </a:ln>
            </c:spPr>
            <c:extLst>
              <c:ext xmlns:c16="http://schemas.microsoft.com/office/drawing/2014/chart" uri="{C3380CC4-5D6E-409C-BE32-E72D297353CC}">
                <c16:uniqueId val="{0000000B-7A81-42F4-9493-42DFC1C3EFFE}"/>
              </c:ext>
            </c:extLst>
          </c:dPt>
          <c:cat>
            <c:strRef>
              <c:f>'Summary Tables'!$E$318:$H$318</c:f>
              <c:strCache>
                <c:ptCount val="4"/>
                <c:pt idx="0">
                  <c:v>1 bed</c:v>
                </c:pt>
                <c:pt idx="1">
                  <c:v>2 bed</c:v>
                </c:pt>
                <c:pt idx="2">
                  <c:v>3 bed</c:v>
                </c:pt>
                <c:pt idx="3">
                  <c:v>4 + bed</c:v>
                </c:pt>
              </c:strCache>
            </c:strRef>
          </c:cat>
          <c:val>
            <c:numRef>
              <c:f>'Summary Tables'!$E$327:$H$327</c:f>
              <c:numCache>
                <c:formatCode>#,##0</c:formatCode>
                <c:ptCount val="4"/>
                <c:pt idx="0">
                  <c:v>8</c:v>
                </c:pt>
                <c:pt idx="1">
                  <c:v>0</c:v>
                </c:pt>
                <c:pt idx="2">
                  <c:v>12</c:v>
                </c:pt>
                <c:pt idx="3">
                  <c:v>7</c:v>
                </c:pt>
              </c:numCache>
            </c:numRef>
          </c:val>
          <c:extLst>
            <c:ext xmlns:c16="http://schemas.microsoft.com/office/drawing/2014/chart" uri="{C3380CC4-5D6E-409C-BE32-E72D297353CC}">
              <c16:uniqueId val="{0000000C-7A81-42F4-9493-42DFC1C3EFFE}"/>
            </c:ext>
          </c:extLst>
        </c:ser>
        <c:ser>
          <c:idx val="1"/>
          <c:order val="1"/>
          <c:tx>
            <c:strRef>
              <c:f>'Summary Tables'!$C$320:$D$320</c:f>
              <c:strCache>
                <c:ptCount val="2"/>
                <c:pt idx="0">
                  <c:v>Market</c:v>
                </c:pt>
              </c:strCache>
            </c:strRef>
          </c:tx>
          <c:cat>
            <c:strRef>
              <c:f>'Summary Tables'!$E$318:$H$318</c:f>
              <c:strCache>
                <c:ptCount val="4"/>
                <c:pt idx="0">
                  <c:v>1 bed</c:v>
                </c:pt>
                <c:pt idx="1">
                  <c:v>2 bed</c:v>
                </c:pt>
                <c:pt idx="2">
                  <c:v>3 bed</c:v>
                </c:pt>
                <c:pt idx="3">
                  <c:v>4 + bed</c:v>
                </c:pt>
              </c:strCache>
            </c:strRef>
          </c:cat>
          <c:val>
            <c:numRef>
              <c:f>'Summary Tables'!$E$320:$H$320</c:f>
              <c:numCache>
                <c:formatCode>0%</c:formatCode>
                <c:ptCount val="4"/>
                <c:pt idx="0">
                  <c:v>0.1111111111111111</c:v>
                </c:pt>
                <c:pt idx="1">
                  <c:v>0</c:v>
                </c:pt>
                <c:pt idx="2">
                  <c:v>0.44444444444444442</c:v>
                </c:pt>
                <c:pt idx="3">
                  <c:v>0.25925925925925924</c:v>
                </c:pt>
              </c:numCache>
            </c:numRef>
          </c:val>
          <c:extLst>
            <c:ext xmlns:c16="http://schemas.microsoft.com/office/drawing/2014/chart" uri="{C3380CC4-5D6E-409C-BE32-E72D297353CC}">
              <c16:uniqueId val="{0000000D-7A81-42F4-9493-42DFC1C3EFFE}"/>
            </c:ext>
          </c:extLst>
        </c:ser>
        <c:ser>
          <c:idx val="2"/>
          <c:order val="2"/>
          <c:tx>
            <c:strRef>
              <c:f>'Summary Tables'!$C$321:$D$321</c:f>
              <c:strCache>
                <c:ptCount val="2"/>
                <c:pt idx="0">
                  <c:v>Intermediate</c:v>
                </c:pt>
              </c:strCache>
            </c:strRef>
          </c:tx>
          <c:cat>
            <c:strRef>
              <c:f>'Summary Tables'!$E$318:$H$318</c:f>
              <c:strCache>
                <c:ptCount val="4"/>
                <c:pt idx="0">
                  <c:v>1 bed</c:v>
                </c:pt>
                <c:pt idx="1">
                  <c:v>2 bed</c:v>
                </c:pt>
                <c:pt idx="2">
                  <c:v>3 bed</c:v>
                </c:pt>
                <c:pt idx="3">
                  <c:v>4 + bed</c:v>
                </c:pt>
              </c:strCache>
            </c:strRef>
          </c:cat>
          <c:val>
            <c:numRef>
              <c:f>'Summary Tables'!$E$321:$H$321</c:f>
              <c:numCache>
                <c:formatCode>#,##0</c:formatCode>
                <c:ptCount val="4"/>
                <c:pt idx="0">
                  <c:v>0</c:v>
                </c:pt>
                <c:pt idx="1">
                  <c:v>0</c:v>
                </c:pt>
                <c:pt idx="2">
                  <c:v>0</c:v>
                </c:pt>
                <c:pt idx="3">
                  <c:v>0</c:v>
                </c:pt>
              </c:numCache>
            </c:numRef>
          </c:val>
          <c:extLst>
            <c:ext xmlns:c16="http://schemas.microsoft.com/office/drawing/2014/chart" uri="{C3380CC4-5D6E-409C-BE32-E72D297353CC}">
              <c16:uniqueId val="{0000000E-7A81-42F4-9493-42DFC1C3EFFE}"/>
            </c:ext>
          </c:extLst>
        </c:ser>
        <c:ser>
          <c:idx val="3"/>
          <c:order val="3"/>
          <c:tx>
            <c:strRef>
              <c:f>'Summary Tables'!$C$322:$D$322</c:f>
              <c:strCache>
                <c:ptCount val="2"/>
                <c:pt idx="0">
                  <c:v>Intermediate</c:v>
                </c:pt>
              </c:strCache>
            </c:strRef>
          </c:tx>
          <c:cat>
            <c:strRef>
              <c:f>'Summary Tables'!$E$318:$H$318</c:f>
              <c:strCache>
                <c:ptCount val="4"/>
                <c:pt idx="0">
                  <c:v>1 bed</c:v>
                </c:pt>
                <c:pt idx="1">
                  <c:v>2 bed</c:v>
                </c:pt>
                <c:pt idx="2">
                  <c:v>3 bed</c:v>
                </c:pt>
                <c:pt idx="3">
                  <c:v>4 + bed</c:v>
                </c:pt>
              </c:strCache>
            </c:strRef>
          </c:cat>
          <c:val>
            <c:numRef>
              <c:f>'Summary Tables'!$E$322:$H$322</c:f>
              <c:numCache>
                <c:formatCode>0%</c:formatCode>
                <c:ptCount val="4"/>
                <c:pt idx="0">
                  <c:v>0</c:v>
                </c:pt>
                <c:pt idx="1">
                  <c:v>0</c:v>
                </c:pt>
                <c:pt idx="2">
                  <c:v>0</c:v>
                </c:pt>
                <c:pt idx="3">
                  <c:v>0</c:v>
                </c:pt>
              </c:numCache>
            </c:numRef>
          </c:val>
          <c:extLst>
            <c:ext xmlns:c16="http://schemas.microsoft.com/office/drawing/2014/chart" uri="{C3380CC4-5D6E-409C-BE32-E72D297353CC}">
              <c16:uniqueId val="{0000000F-7A81-42F4-9493-42DFC1C3EFFE}"/>
            </c:ext>
          </c:extLst>
        </c:ser>
        <c:ser>
          <c:idx val="4"/>
          <c:order val="4"/>
          <c:tx>
            <c:strRef>
              <c:f>'Summary Tables'!$C$323:$D$323</c:f>
              <c:strCache>
                <c:ptCount val="2"/>
                <c:pt idx="0">
                  <c:v>Affordable Rented</c:v>
                </c:pt>
              </c:strCache>
            </c:strRef>
          </c:tx>
          <c:cat>
            <c:strRef>
              <c:f>'Summary Tables'!$E$318:$H$318</c:f>
              <c:strCache>
                <c:ptCount val="4"/>
                <c:pt idx="0">
                  <c:v>1 bed</c:v>
                </c:pt>
                <c:pt idx="1">
                  <c:v>2 bed</c:v>
                </c:pt>
                <c:pt idx="2">
                  <c:v>3 bed</c:v>
                </c:pt>
                <c:pt idx="3">
                  <c:v>4 + bed</c:v>
                </c:pt>
              </c:strCache>
            </c:strRef>
          </c:cat>
          <c:val>
            <c:numRef>
              <c:f>'Summary Tables'!$E$323:$H$323</c:f>
              <c:numCache>
                <c:formatCode>#,##0</c:formatCode>
                <c:ptCount val="4"/>
                <c:pt idx="0">
                  <c:v>5</c:v>
                </c:pt>
                <c:pt idx="1">
                  <c:v>0</c:v>
                </c:pt>
                <c:pt idx="2">
                  <c:v>0</c:v>
                </c:pt>
                <c:pt idx="3">
                  <c:v>0</c:v>
                </c:pt>
              </c:numCache>
            </c:numRef>
          </c:val>
          <c:extLst>
            <c:ext xmlns:c16="http://schemas.microsoft.com/office/drawing/2014/chart" uri="{C3380CC4-5D6E-409C-BE32-E72D297353CC}">
              <c16:uniqueId val="{00000010-7A81-42F4-9493-42DFC1C3EFFE}"/>
            </c:ext>
          </c:extLst>
        </c:ser>
        <c:ser>
          <c:idx val="5"/>
          <c:order val="5"/>
          <c:tx>
            <c:strRef>
              <c:f>'Summary Tables'!$C$324:$D$324</c:f>
              <c:strCache>
                <c:ptCount val="2"/>
                <c:pt idx="0">
                  <c:v>Affordable Rented</c:v>
                </c:pt>
              </c:strCache>
            </c:strRef>
          </c:tx>
          <c:cat>
            <c:strRef>
              <c:f>'Summary Tables'!$E$318:$H$318</c:f>
              <c:strCache>
                <c:ptCount val="4"/>
                <c:pt idx="0">
                  <c:v>1 bed</c:v>
                </c:pt>
                <c:pt idx="1">
                  <c:v>2 bed</c:v>
                </c:pt>
                <c:pt idx="2">
                  <c:v>3 bed</c:v>
                </c:pt>
                <c:pt idx="3">
                  <c:v>4 + bed</c:v>
                </c:pt>
              </c:strCache>
            </c:strRef>
          </c:cat>
          <c:val>
            <c:numRef>
              <c:f>'Summary Tables'!$E$324:$H$324</c:f>
              <c:numCache>
                <c:formatCode>0%</c:formatCode>
                <c:ptCount val="4"/>
                <c:pt idx="0">
                  <c:v>0.18518518518518517</c:v>
                </c:pt>
                <c:pt idx="1">
                  <c:v>0</c:v>
                </c:pt>
                <c:pt idx="2">
                  <c:v>0</c:v>
                </c:pt>
                <c:pt idx="3">
                  <c:v>0</c:v>
                </c:pt>
              </c:numCache>
            </c:numRef>
          </c:val>
          <c:extLst>
            <c:ext xmlns:c16="http://schemas.microsoft.com/office/drawing/2014/chart" uri="{C3380CC4-5D6E-409C-BE32-E72D297353CC}">
              <c16:uniqueId val="{00000011-7A81-42F4-9493-42DFC1C3EFFE}"/>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3874345549738221"/>
          <c:y val="0.15686343128677543"/>
          <c:w val="0.23790150246967159"/>
          <c:h val="0.55597481687338102"/>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en-US"/>
        </a:p>
      </c:txPr>
    </c:legend>
    <c:plotVisOnly val="1"/>
    <c:dispBlanksAs val="zero"/>
    <c:showDLblsOverMax val="0"/>
  </c:chart>
  <c:spPr>
    <a:solidFill>
      <a:srgbClr val="FFFFFF"/>
    </a:solidFill>
    <a:ln w="9525">
      <a:solidFill>
        <a:schemeClr val="bg1">
          <a:lumMod val="50000"/>
        </a:schemeClr>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123933727034122E-2"/>
          <c:y val="3.7866913694611704E-2"/>
          <c:w val="0.62285474081364833"/>
          <c:h val="0.93794596263702334"/>
        </c:manualLayout>
      </c:layout>
      <c:pieChart>
        <c:varyColors val="1"/>
        <c:ser>
          <c:idx val="0"/>
          <c:order val="0"/>
          <c:spPr>
            <a:solidFill>
              <a:srgbClr val="9999FF"/>
            </a:solidFill>
            <a:ln w="12700">
              <a:solidFill>
                <a:srgbClr val="000000"/>
              </a:solidFill>
              <a:prstDash val="solid"/>
            </a:ln>
          </c:spPr>
          <c:dPt>
            <c:idx val="0"/>
            <c:bubble3D val="0"/>
            <c:spPr>
              <a:solidFill>
                <a:schemeClr val="accent1">
                  <a:lumMod val="20000"/>
                  <a:lumOff val="80000"/>
                </a:schemeClr>
              </a:solidFill>
              <a:ln w="12700">
                <a:solidFill>
                  <a:srgbClr val="000000"/>
                </a:solidFill>
                <a:prstDash val="solid"/>
              </a:ln>
            </c:spPr>
            <c:extLst>
              <c:ext xmlns:c16="http://schemas.microsoft.com/office/drawing/2014/chart" uri="{C3380CC4-5D6E-409C-BE32-E72D297353CC}">
                <c16:uniqueId val="{00000001-8D73-4153-97EF-9C78F0DC953F}"/>
              </c:ext>
            </c:extLst>
          </c:dPt>
          <c:dPt>
            <c:idx val="1"/>
            <c:bubble3D val="0"/>
            <c:spPr>
              <a:solidFill>
                <a:schemeClr val="accent1">
                  <a:lumMod val="40000"/>
                  <a:lumOff val="60000"/>
                </a:schemeClr>
              </a:solidFill>
              <a:ln w="12700">
                <a:solidFill>
                  <a:srgbClr val="000000"/>
                </a:solidFill>
                <a:prstDash val="solid"/>
              </a:ln>
            </c:spPr>
            <c:extLst>
              <c:ext xmlns:c16="http://schemas.microsoft.com/office/drawing/2014/chart" uri="{C3380CC4-5D6E-409C-BE32-E72D297353CC}">
                <c16:uniqueId val="{00000003-8D73-4153-97EF-9C78F0DC953F}"/>
              </c:ext>
            </c:extLst>
          </c:dPt>
          <c:dPt>
            <c:idx val="2"/>
            <c:bubble3D val="0"/>
            <c:spPr>
              <a:solidFill>
                <a:schemeClr val="accent1">
                  <a:lumMod val="60000"/>
                  <a:lumOff val="40000"/>
                </a:schemeClr>
              </a:solidFill>
              <a:ln w="12700">
                <a:solidFill>
                  <a:srgbClr val="000000"/>
                </a:solidFill>
                <a:prstDash val="solid"/>
              </a:ln>
            </c:spPr>
            <c:extLst>
              <c:ext xmlns:c16="http://schemas.microsoft.com/office/drawing/2014/chart" uri="{C3380CC4-5D6E-409C-BE32-E72D297353CC}">
                <c16:uniqueId val="{00000005-8D73-4153-97EF-9C78F0DC953F}"/>
              </c:ext>
            </c:extLst>
          </c:dPt>
          <c:dPt>
            <c:idx val="3"/>
            <c:bubble3D val="0"/>
            <c:spPr>
              <a:solidFill>
                <a:schemeClr val="accent1">
                  <a:lumMod val="75000"/>
                </a:schemeClr>
              </a:solidFill>
              <a:ln w="12700">
                <a:solidFill>
                  <a:srgbClr val="000000"/>
                </a:solidFill>
                <a:prstDash val="solid"/>
              </a:ln>
            </c:spPr>
            <c:extLst>
              <c:ext xmlns:c16="http://schemas.microsoft.com/office/drawing/2014/chart" uri="{C3380CC4-5D6E-409C-BE32-E72D297353CC}">
                <c16:uniqueId val="{00000007-8D73-4153-97EF-9C78F0DC953F}"/>
              </c:ext>
            </c:extLst>
          </c:dPt>
          <c:dPt>
            <c:idx val="4"/>
            <c:bubble3D val="0"/>
            <c:spPr>
              <a:solidFill>
                <a:schemeClr val="accent1">
                  <a:lumMod val="50000"/>
                </a:schemeClr>
              </a:solidFill>
              <a:ln w="12700">
                <a:solidFill>
                  <a:srgbClr val="000000"/>
                </a:solidFill>
                <a:prstDash val="solid"/>
              </a:ln>
            </c:spPr>
            <c:extLst>
              <c:ext xmlns:c16="http://schemas.microsoft.com/office/drawing/2014/chart" uri="{C3380CC4-5D6E-409C-BE32-E72D297353CC}">
                <c16:uniqueId val="{00000009-8D73-4153-97EF-9C78F0DC953F}"/>
              </c:ext>
            </c:extLst>
          </c:dPt>
          <c:dPt>
            <c:idx val="5"/>
            <c:bubble3D val="0"/>
            <c:spPr>
              <a:solidFill>
                <a:srgbClr val="000000"/>
              </a:solidFill>
              <a:ln w="12700">
                <a:solidFill>
                  <a:srgbClr val="000000"/>
                </a:solidFill>
                <a:prstDash val="solid"/>
              </a:ln>
            </c:spPr>
            <c:extLst>
              <c:ext xmlns:c16="http://schemas.microsoft.com/office/drawing/2014/chart" uri="{C3380CC4-5D6E-409C-BE32-E72D297353CC}">
                <c16:uniqueId val="{0000000B-8D73-4153-97EF-9C78F0DC953F}"/>
              </c:ext>
            </c:extLst>
          </c:dPt>
          <c:cat>
            <c:strRef>
              <c:f>'Summary Tables'!$E$332:$H$332</c:f>
              <c:strCache>
                <c:ptCount val="4"/>
                <c:pt idx="0">
                  <c:v>1 bed</c:v>
                </c:pt>
                <c:pt idx="1">
                  <c:v>2 bed</c:v>
                </c:pt>
                <c:pt idx="2">
                  <c:v>3 bed</c:v>
                </c:pt>
                <c:pt idx="3">
                  <c:v>4 + bed</c:v>
                </c:pt>
              </c:strCache>
            </c:strRef>
          </c:cat>
          <c:val>
            <c:numRef>
              <c:f>'Summary Tables'!$E$341:$H$341</c:f>
              <c:numCache>
                <c:formatCode>#,##0</c:formatCode>
                <c:ptCount val="4"/>
                <c:pt idx="0">
                  <c:v>350</c:v>
                </c:pt>
                <c:pt idx="1">
                  <c:v>371</c:v>
                </c:pt>
                <c:pt idx="2">
                  <c:v>116</c:v>
                </c:pt>
                <c:pt idx="3">
                  <c:v>66</c:v>
                </c:pt>
              </c:numCache>
            </c:numRef>
          </c:val>
          <c:extLst>
            <c:ext xmlns:c16="http://schemas.microsoft.com/office/drawing/2014/chart" uri="{C3380CC4-5D6E-409C-BE32-E72D297353CC}">
              <c16:uniqueId val="{0000000C-8D73-4153-97EF-9C78F0DC953F}"/>
            </c:ext>
          </c:extLst>
        </c:ser>
        <c:ser>
          <c:idx val="1"/>
          <c:order val="1"/>
          <c:cat>
            <c:strRef>
              <c:f>'Summary Tables'!$E$332:$H$332</c:f>
              <c:strCache>
                <c:ptCount val="4"/>
                <c:pt idx="0">
                  <c:v>1 bed</c:v>
                </c:pt>
                <c:pt idx="1">
                  <c:v>2 bed</c:v>
                </c:pt>
                <c:pt idx="2">
                  <c:v>3 bed</c:v>
                </c:pt>
                <c:pt idx="3">
                  <c:v>4 + bed</c:v>
                </c:pt>
              </c:strCache>
            </c:strRef>
          </c:cat>
          <c:val>
            <c:numRef>
              <c:f>'Summary Tables'!$E$334:$H$334</c:f>
              <c:numCache>
                <c:formatCode>0%</c:formatCode>
                <c:ptCount val="4"/>
                <c:pt idx="0">
                  <c:v>0.20376522702104097</c:v>
                </c:pt>
                <c:pt idx="1">
                  <c:v>0.2558139534883721</c:v>
                </c:pt>
                <c:pt idx="2">
                  <c:v>8.7486157253599109E-2</c:v>
                </c:pt>
                <c:pt idx="3">
                  <c:v>7.3089700996677748E-2</c:v>
                </c:pt>
              </c:numCache>
            </c:numRef>
          </c:val>
          <c:extLst>
            <c:ext xmlns:c16="http://schemas.microsoft.com/office/drawing/2014/chart" uri="{C3380CC4-5D6E-409C-BE32-E72D297353CC}">
              <c16:uniqueId val="{0000000D-8D73-4153-97EF-9C78F0DC953F}"/>
            </c:ext>
          </c:extLst>
        </c:ser>
        <c:ser>
          <c:idx val="2"/>
          <c:order val="2"/>
          <c:cat>
            <c:strRef>
              <c:f>'Summary Tables'!$E$332:$H$332</c:f>
              <c:strCache>
                <c:ptCount val="4"/>
                <c:pt idx="0">
                  <c:v>1 bed</c:v>
                </c:pt>
                <c:pt idx="1">
                  <c:v>2 bed</c:v>
                </c:pt>
                <c:pt idx="2">
                  <c:v>3 bed</c:v>
                </c:pt>
                <c:pt idx="3">
                  <c:v>4 + bed</c:v>
                </c:pt>
              </c:strCache>
            </c:strRef>
          </c:cat>
          <c:val>
            <c:numRef>
              <c:f>'Summary Tables'!$E$335:$H$335</c:f>
              <c:numCache>
                <c:formatCode>#,##0</c:formatCode>
                <c:ptCount val="4"/>
                <c:pt idx="0">
                  <c:v>66</c:v>
                </c:pt>
                <c:pt idx="1">
                  <c:v>82</c:v>
                </c:pt>
                <c:pt idx="2">
                  <c:v>14</c:v>
                </c:pt>
                <c:pt idx="3">
                  <c:v>0</c:v>
                </c:pt>
              </c:numCache>
            </c:numRef>
          </c:val>
          <c:extLst>
            <c:ext xmlns:c16="http://schemas.microsoft.com/office/drawing/2014/chart" uri="{C3380CC4-5D6E-409C-BE32-E72D297353CC}">
              <c16:uniqueId val="{0000000E-8D73-4153-97EF-9C78F0DC953F}"/>
            </c:ext>
          </c:extLst>
        </c:ser>
        <c:ser>
          <c:idx val="3"/>
          <c:order val="3"/>
          <c:cat>
            <c:strRef>
              <c:f>'Summary Tables'!$E$332:$H$332</c:f>
              <c:strCache>
                <c:ptCount val="4"/>
                <c:pt idx="0">
                  <c:v>1 bed</c:v>
                </c:pt>
                <c:pt idx="1">
                  <c:v>2 bed</c:v>
                </c:pt>
                <c:pt idx="2">
                  <c:v>3 bed</c:v>
                </c:pt>
                <c:pt idx="3">
                  <c:v>4 + bed</c:v>
                </c:pt>
              </c:strCache>
            </c:strRef>
          </c:cat>
          <c:val>
            <c:numRef>
              <c:f>'Summary Tables'!$E$336:$H$336</c:f>
              <c:numCache>
                <c:formatCode>0%</c:formatCode>
                <c:ptCount val="4"/>
                <c:pt idx="0">
                  <c:v>7.3089700996677748E-2</c:v>
                </c:pt>
                <c:pt idx="1">
                  <c:v>9.0808416389811741E-2</c:v>
                </c:pt>
                <c:pt idx="2">
                  <c:v>1.5503875968992248E-2</c:v>
                </c:pt>
                <c:pt idx="3">
                  <c:v>0</c:v>
                </c:pt>
              </c:numCache>
            </c:numRef>
          </c:val>
          <c:extLst>
            <c:ext xmlns:c16="http://schemas.microsoft.com/office/drawing/2014/chart" uri="{C3380CC4-5D6E-409C-BE32-E72D297353CC}">
              <c16:uniqueId val="{0000000F-8D73-4153-97EF-9C78F0DC953F}"/>
            </c:ext>
          </c:extLst>
        </c:ser>
        <c:ser>
          <c:idx val="4"/>
          <c:order val="4"/>
          <c:cat>
            <c:strRef>
              <c:f>'Summary Tables'!$E$332:$H$332</c:f>
              <c:strCache>
                <c:ptCount val="4"/>
                <c:pt idx="0">
                  <c:v>1 bed</c:v>
                </c:pt>
                <c:pt idx="1">
                  <c:v>2 bed</c:v>
                </c:pt>
                <c:pt idx="2">
                  <c:v>3 bed</c:v>
                </c:pt>
                <c:pt idx="3">
                  <c:v>4 + bed</c:v>
                </c:pt>
              </c:strCache>
            </c:strRef>
          </c:cat>
          <c:val>
            <c:numRef>
              <c:f>'Summary Tables'!$E$337:$H$337</c:f>
              <c:numCache>
                <c:formatCode>#,##0</c:formatCode>
                <c:ptCount val="4"/>
                <c:pt idx="0">
                  <c:v>-29</c:v>
                </c:pt>
                <c:pt idx="1">
                  <c:v>4</c:v>
                </c:pt>
                <c:pt idx="2">
                  <c:v>3</c:v>
                </c:pt>
                <c:pt idx="3">
                  <c:v>0</c:v>
                </c:pt>
              </c:numCache>
            </c:numRef>
          </c:val>
          <c:extLst>
            <c:ext xmlns:c16="http://schemas.microsoft.com/office/drawing/2014/chart" uri="{C3380CC4-5D6E-409C-BE32-E72D297353CC}">
              <c16:uniqueId val="{00000010-8D73-4153-97EF-9C78F0DC953F}"/>
            </c:ext>
          </c:extLst>
        </c:ser>
        <c:ser>
          <c:idx val="5"/>
          <c:order val="5"/>
          <c:cat>
            <c:strRef>
              <c:f>'Summary Tables'!$E$332:$H$332</c:f>
              <c:strCache>
                <c:ptCount val="4"/>
                <c:pt idx="0">
                  <c:v>1 bed</c:v>
                </c:pt>
                <c:pt idx="1">
                  <c:v>2 bed</c:v>
                </c:pt>
                <c:pt idx="2">
                  <c:v>3 bed</c:v>
                </c:pt>
                <c:pt idx="3">
                  <c:v>4 + bed</c:v>
                </c:pt>
              </c:strCache>
            </c:strRef>
          </c:cat>
          <c:val>
            <c:numRef>
              <c:f>'Summary Tables'!$E$338:$H$338</c:f>
              <c:numCache>
                <c:formatCode>0%</c:formatCode>
                <c:ptCount val="4"/>
                <c:pt idx="0">
                  <c:v>-3.2115171650055369E-2</c:v>
                </c:pt>
                <c:pt idx="1">
                  <c:v>4.4296788482834993E-3</c:v>
                </c:pt>
                <c:pt idx="2">
                  <c:v>3.3222591362126247E-3</c:v>
                </c:pt>
                <c:pt idx="3">
                  <c:v>0</c:v>
                </c:pt>
              </c:numCache>
            </c:numRef>
          </c:val>
          <c:extLst>
            <c:ext xmlns:c16="http://schemas.microsoft.com/office/drawing/2014/chart" uri="{C3380CC4-5D6E-409C-BE32-E72D297353CC}">
              <c16:uniqueId val="{00000011-8D73-4153-97EF-9C78F0DC953F}"/>
            </c:ext>
          </c:extLst>
        </c:ser>
        <c:ser>
          <c:idx val="6"/>
          <c:order val="6"/>
          <c:cat>
            <c:strRef>
              <c:f>'Summary Tables'!$E$332:$H$332</c:f>
              <c:strCache>
                <c:ptCount val="4"/>
                <c:pt idx="0">
                  <c:v>1 bed</c:v>
                </c:pt>
                <c:pt idx="1">
                  <c:v>2 bed</c:v>
                </c:pt>
                <c:pt idx="2">
                  <c:v>3 bed</c:v>
                </c:pt>
                <c:pt idx="3">
                  <c:v>4 + bed</c:v>
                </c:pt>
              </c:strCache>
            </c:strRef>
          </c:cat>
          <c:val>
            <c:numRef>
              <c:f>'Summary Tables'!$E$339:$H$339</c:f>
              <c:numCache>
                <c:formatCode>#,##0</c:formatCode>
                <c:ptCount val="4"/>
                <c:pt idx="0">
                  <c:v>129</c:v>
                </c:pt>
                <c:pt idx="1">
                  <c:v>54</c:v>
                </c:pt>
                <c:pt idx="2">
                  <c:v>20</c:v>
                </c:pt>
                <c:pt idx="3">
                  <c:v>0</c:v>
                </c:pt>
              </c:numCache>
            </c:numRef>
          </c:val>
          <c:extLst>
            <c:ext xmlns:c16="http://schemas.microsoft.com/office/drawing/2014/chart" uri="{C3380CC4-5D6E-409C-BE32-E72D297353CC}">
              <c16:uniqueId val="{00000012-8D73-4153-97EF-9C78F0DC953F}"/>
            </c:ext>
          </c:extLst>
        </c:ser>
        <c:ser>
          <c:idx val="7"/>
          <c:order val="7"/>
          <c:cat>
            <c:strRef>
              <c:f>'Summary Tables'!$E$332:$H$332</c:f>
              <c:strCache>
                <c:ptCount val="4"/>
                <c:pt idx="0">
                  <c:v>1 bed</c:v>
                </c:pt>
                <c:pt idx="1">
                  <c:v>2 bed</c:v>
                </c:pt>
                <c:pt idx="2">
                  <c:v>3 bed</c:v>
                </c:pt>
                <c:pt idx="3">
                  <c:v>4 + bed</c:v>
                </c:pt>
              </c:strCache>
            </c:strRef>
          </c:cat>
          <c:val>
            <c:numRef>
              <c:f>'Summary Tables'!$E$340:$H$340</c:f>
              <c:numCache>
                <c:formatCode>0%</c:formatCode>
                <c:ptCount val="4"/>
                <c:pt idx="0">
                  <c:v>0.14285714285714285</c:v>
                </c:pt>
                <c:pt idx="1">
                  <c:v>5.9800664451827246E-2</c:v>
                </c:pt>
                <c:pt idx="2">
                  <c:v>2.2148394241417499E-2</c:v>
                </c:pt>
                <c:pt idx="3">
                  <c:v>0</c:v>
                </c:pt>
              </c:numCache>
            </c:numRef>
          </c:val>
          <c:extLst>
            <c:ext xmlns:c16="http://schemas.microsoft.com/office/drawing/2014/chart" uri="{C3380CC4-5D6E-409C-BE32-E72D297353CC}">
              <c16:uniqueId val="{00000013-8D73-4153-97EF-9C78F0DC953F}"/>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4939714141949878"/>
          <c:y val="0.12337730510958858"/>
          <c:w val="0.23543615452958339"/>
          <c:h val="0.45246886692354943"/>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en-US"/>
        </a:p>
      </c:txPr>
    </c:legend>
    <c:plotVisOnly val="1"/>
    <c:dispBlanksAs val="zero"/>
    <c:showDLblsOverMax val="0"/>
  </c:chart>
  <c:spPr>
    <a:solidFill>
      <a:srgbClr val="FFFFFF"/>
    </a:solidFill>
    <a:ln w="9525">
      <a:solidFill>
        <a:srgbClr val="969696"/>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en-GB">
                <a:solidFill>
                  <a:sysClr val="windowText" lastClr="000000"/>
                </a:solidFill>
              </a:rPr>
              <a:t>Net units Under Construction by Ward 2024/25</a:t>
            </a:r>
          </a:p>
        </c:rich>
      </c:tx>
      <c:layout>
        <c:manualLayout>
          <c:xMode val="edge"/>
          <c:yMode val="edge"/>
          <c:x val="0.40735926191044303"/>
          <c:y val="1.3368983957219251E-2"/>
        </c:manualLayout>
      </c:layout>
      <c:overlay val="0"/>
      <c:spPr>
        <a:noFill/>
        <a:ln w="25400">
          <a:noFill/>
        </a:ln>
      </c:spPr>
    </c:title>
    <c:autoTitleDeleted val="0"/>
    <c:plotArea>
      <c:layout>
        <c:manualLayout>
          <c:layoutTarget val="inner"/>
          <c:xMode val="edge"/>
          <c:yMode val="edge"/>
          <c:x val="0.40203382947539906"/>
          <c:y val="7.2401732915915631E-2"/>
          <c:w val="0.56490969759946374"/>
          <c:h val="0.84446573696360239"/>
        </c:manualLayout>
      </c:layout>
      <c:barChart>
        <c:barDir val="bar"/>
        <c:grouping val="clustered"/>
        <c:varyColors val="0"/>
        <c:ser>
          <c:idx val="1"/>
          <c:order val="0"/>
          <c:tx>
            <c:strRef>
              <c:f>'Summary Tables'!$G$216</c:f>
              <c:strCache>
                <c:ptCount val="1"/>
                <c:pt idx="0">
                  <c:v>Under Construction</c:v>
                </c:pt>
              </c:strCache>
            </c:strRef>
          </c:tx>
          <c:spPr>
            <a:solidFill>
              <a:schemeClr val="accent1"/>
            </a:solidFill>
            <a:ln w="12700">
              <a:solidFill>
                <a:srgbClr val="002060"/>
              </a:solidFill>
            </a:ln>
          </c:spPr>
          <c:invertIfNegative val="0"/>
          <c:dLbls>
            <c:delete val="1"/>
          </c:dLbls>
          <c:cat>
            <c:strRef>
              <c:f>'Summary Tables'!$C$217:$C$234</c:f>
              <c:strCache>
                <c:ptCount val="18"/>
                <c:pt idx="0">
                  <c:v>Barnes</c:v>
                </c:pt>
                <c:pt idx="1">
                  <c:v>East Sheen</c:v>
                </c:pt>
                <c:pt idx="2">
                  <c:v>Fulwell &amp; Hampton Hill</c:v>
                </c:pt>
                <c:pt idx="3">
                  <c:v>Ham, Petersham &amp; Richmond Riverside</c:v>
                </c:pt>
                <c:pt idx="4">
                  <c:v>Hampton</c:v>
                </c:pt>
                <c:pt idx="5">
                  <c:v>Hampton North</c:v>
                </c:pt>
                <c:pt idx="6">
                  <c:v>Hampton Wick &amp; South Teddington</c:v>
                </c:pt>
                <c:pt idx="7">
                  <c:v>Heathfield</c:v>
                </c:pt>
                <c:pt idx="8">
                  <c:v>Kew</c:v>
                </c:pt>
                <c:pt idx="9">
                  <c:v>Mortlake &amp; Barnes Common</c:v>
                </c:pt>
                <c:pt idx="10">
                  <c:v>North Richmond</c:v>
                </c:pt>
                <c:pt idx="11">
                  <c:v>South Richmond</c:v>
                </c:pt>
                <c:pt idx="12">
                  <c:v>South Twickenham</c:v>
                </c:pt>
                <c:pt idx="13">
                  <c:v>St. Margarets &amp; North Twickenham</c:v>
                </c:pt>
                <c:pt idx="14">
                  <c:v>Teddington</c:v>
                </c:pt>
                <c:pt idx="15">
                  <c:v>Twickenham Riverside</c:v>
                </c:pt>
                <c:pt idx="16">
                  <c:v>West Twickenham</c:v>
                </c:pt>
                <c:pt idx="17">
                  <c:v>Whitton</c:v>
                </c:pt>
              </c:strCache>
            </c:strRef>
          </c:cat>
          <c:val>
            <c:numRef>
              <c:f>'Summary Tables'!$G$217:$G$234</c:f>
              <c:numCache>
                <c:formatCode>#,##0</c:formatCode>
                <c:ptCount val="18"/>
                <c:pt idx="0">
                  <c:v>6</c:v>
                </c:pt>
                <c:pt idx="1">
                  <c:v>6</c:v>
                </c:pt>
                <c:pt idx="2">
                  <c:v>63</c:v>
                </c:pt>
                <c:pt idx="3">
                  <c:v>264</c:v>
                </c:pt>
                <c:pt idx="4">
                  <c:v>10</c:v>
                </c:pt>
                <c:pt idx="5">
                  <c:v>1</c:v>
                </c:pt>
                <c:pt idx="6">
                  <c:v>36</c:v>
                </c:pt>
                <c:pt idx="7">
                  <c:v>7</c:v>
                </c:pt>
                <c:pt idx="8">
                  <c:v>90</c:v>
                </c:pt>
                <c:pt idx="9">
                  <c:v>16</c:v>
                </c:pt>
                <c:pt idx="10">
                  <c:v>96</c:v>
                </c:pt>
                <c:pt idx="11">
                  <c:v>28</c:v>
                </c:pt>
                <c:pt idx="12">
                  <c:v>136</c:v>
                </c:pt>
                <c:pt idx="13">
                  <c:v>215</c:v>
                </c:pt>
                <c:pt idx="14">
                  <c:v>23</c:v>
                </c:pt>
                <c:pt idx="15">
                  <c:v>52</c:v>
                </c:pt>
                <c:pt idx="16">
                  <c:v>4</c:v>
                </c:pt>
                <c:pt idx="17">
                  <c:v>7</c:v>
                </c:pt>
              </c:numCache>
            </c:numRef>
          </c:val>
          <c:extLst>
            <c:ext xmlns:c16="http://schemas.microsoft.com/office/drawing/2014/chart" uri="{C3380CC4-5D6E-409C-BE32-E72D297353CC}">
              <c16:uniqueId val="{00000000-A5F0-40D4-B56A-77043F0360AC}"/>
            </c:ext>
          </c:extLst>
        </c:ser>
        <c:dLbls>
          <c:showLegendKey val="0"/>
          <c:showVal val="1"/>
          <c:showCatName val="0"/>
          <c:showSerName val="0"/>
          <c:showPercent val="0"/>
          <c:showBubbleSize val="0"/>
        </c:dLbls>
        <c:gapWidth val="0"/>
        <c:overlap val="100"/>
        <c:axId val="325048192"/>
        <c:axId val="325049728"/>
      </c:barChart>
      <c:catAx>
        <c:axId val="325048192"/>
        <c:scaling>
          <c:orientation val="maxMin"/>
        </c:scaling>
        <c:delete val="0"/>
        <c:axPos val="l"/>
        <c:numFmt formatCode="General" sourceLinked="1"/>
        <c:majorTickMark val="out"/>
        <c:minorTickMark val="none"/>
        <c:tickLblPos val="nextTo"/>
        <c:txPr>
          <a:bodyPr rot="0" vert="horz"/>
          <a:lstStyle/>
          <a:p>
            <a:pPr>
              <a:defRPr/>
            </a:pPr>
            <a:endParaRPr lang="en-US"/>
          </a:p>
        </c:txPr>
        <c:crossAx val="325049728"/>
        <c:crosses val="autoZero"/>
        <c:auto val="1"/>
        <c:lblAlgn val="ctr"/>
        <c:lblOffset val="10"/>
        <c:tickLblSkip val="1"/>
        <c:noMultiLvlLbl val="0"/>
      </c:catAx>
      <c:valAx>
        <c:axId val="325049728"/>
        <c:scaling>
          <c:orientation val="minMax"/>
          <c:max val="300"/>
          <c:min val="0"/>
        </c:scaling>
        <c:delete val="0"/>
        <c:axPos val="b"/>
        <c:majorGridlines>
          <c:spPr>
            <a:ln w="3175">
              <a:solidFill>
                <a:srgbClr val="BEBEBE"/>
              </a:solidFill>
              <a:prstDash val="solid"/>
            </a:ln>
          </c:spPr>
        </c:majorGridlines>
        <c:minorGridlines/>
        <c:numFmt formatCode="General" sourceLinked="0"/>
        <c:majorTickMark val="out"/>
        <c:minorTickMark val="none"/>
        <c:tickLblPos val="high"/>
        <c:spPr>
          <a:ln>
            <a:solidFill>
              <a:schemeClr val="bg1">
                <a:lumMod val="75000"/>
              </a:schemeClr>
            </a:solidFill>
          </a:ln>
        </c:spPr>
        <c:txPr>
          <a:bodyPr rot="0" vert="horz"/>
          <a:lstStyle/>
          <a:p>
            <a:pPr>
              <a:defRPr/>
            </a:pPr>
            <a:endParaRPr lang="en-US"/>
          </a:p>
        </c:txPr>
        <c:crossAx val="325048192"/>
        <c:crosses val="max"/>
        <c:crossBetween val="between"/>
        <c:majorUnit val="50"/>
        <c:minorUnit val="50"/>
      </c:valAx>
    </c:plotArea>
    <c:plotVisOnly val="1"/>
    <c:dispBlanksAs val="gap"/>
    <c:showDLblsOverMax val="0"/>
  </c:chart>
  <c:spPr>
    <a:solidFill>
      <a:srgbClr val="FFFFFF"/>
    </a:solidFill>
    <a:ln w="3175">
      <a:solidFill>
        <a:schemeClr val="bg1">
          <a:lumMod val="50000"/>
        </a:schemeClr>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123933727034122E-2"/>
          <c:y val="2.4980700941794044E-2"/>
          <c:w val="0.61764640748031496"/>
          <c:h val="0.9301028253821213"/>
        </c:manualLayout>
      </c:layout>
      <c:pieChart>
        <c:varyColors val="1"/>
        <c:ser>
          <c:idx val="0"/>
          <c:order val="0"/>
          <c:tx>
            <c:strRef>
              <c:f>'Summary Tables'!$C$348:$D$348</c:f>
              <c:strCache>
                <c:ptCount val="2"/>
                <c:pt idx="0">
                  <c:v>Market</c:v>
                </c:pt>
              </c:strCache>
            </c:strRef>
          </c:tx>
          <c:spPr>
            <a:solidFill>
              <a:srgbClr val="9999FF"/>
            </a:solidFill>
            <a:ln w="12700">
              <a:solidFill>
                <a:srgbClr val="000000"/>
              </a:solidFill>
              <a:prstDash val="solid"/>
            </a:ln>
          </c:spPr>
          <c:dPt>
            <c:idx val="0"/>
            <c:bubble3D val="0"/>
            <c:spPr>
              <a:solidFill>
                <a:schemeClr val="accent1">
                  <a:lumMod val="20000"/>
                  <a:lumOff val="80000"/>
                </a:schemeClr>
              </a:solidFill>
              <a:ln w="12700">
                <a:solidFill>
                  <a:srgbClr val="000000"/>
                </a:solidFill>
                <a:prstDash val="solid"/>
              </a:ln>
            </c:spPr>
            <c:extLst>
              <c:ext xmlns:c16="http://schemas.microsoft.com/office/drawing/2014/chart" uri="{C3380CC4-5D6E-409C-BE32-E72D297353CC}">
                <c16:uniqueId val="{00000001-234F-4231-956F-A359301D1DA8}"/>
              </c:ext>
            </c:extLst>
          </c:dPt>
          <c:dPt>
            <c:idx val="1"/>
            <c:bubble3D val="0"/>
            <c:spPr>
              <a:solidFill>
                <a:schemeClr val="accent1">
                  <a:lumMod val="40000"/>
                  <a:lumOff val="60000"/>
                </a:schemeClr>
              </a:solidFill>
              <a:ln w="12700">
                <a:solidFill>
                  <a:srgbClr val="000000"/>
                </a:solidFill>
                <a:prstDash val="solid"/>
              </a:ln>
            </c:spPr>
            <c:extLst>
              <c:ext xmlns:c16="http://schemas.microsoft.com/office/drawing/2014/chart" uri="{C3380CC4-5D6E-409C-BE32-E72D297353CC}">
                <c16:uniqueId val="{00000003-234F-4231-956F-A359301D1DA8}"/>
              </c:ext>
            </c:extLst>
          </c:dPt>
          <c:dPt>
            <c:idx val="2"/>
            <c:bubble3D val="0"/>
            <c:spPr>
              <a:solidFill>
                <a:schemeClr val="accent1">
                  <a:lumMod val="60000"/>
                  <a:lumOff val="40000"/>
                </a:schemeClr>
              </a:solidFill>
              <a:ln w="12700">
                <a:solidFill>
                  <a:srgbClr val="000000"/>
                </a:solidFill>
                <a:prstDash val="solid"/>
              </a:ln>
            </c:spPr>
            <c:extLst>
              <c:ext xmlns:c16="http://schemas.microsoft.com/office/drawing/2014/chart" uri="{C3380CC4-5D6E-409C-BE32-E72D297353CC}">
                <c16:uniqueId val="{00000005-234F-4231-956F-A359301D1DA8}"/>
              </c:ext>
            </c:extLst>
          </c:dPt>
          <c:dPt>
            <c:idx val="3"/>
            <c:bubble3D val="0"/>
            <c:spPr>
              <a:solidFill>
                <a:schemeClr val="accent1">
                  <a:lumMod val="75000"/>
                </a:schemeClr>
              </a:solidFill>
              <a:ln w="12700">
                <a:solidFill>
                  <a:srgbClr val="000000"/>
                </a:solidFill>
                <a:prstDash val="solid"/>
              </a:ln>
            </c:spPr>
            <c:extLst>
              <c:ext xmlns:c16="http://schemas.microsoft.com/office/drawing/2014/chart" uri="{C3380CC4-5D6E-409C-BE32-E72D297353CC}">
                <c16:uniqueId val="{00000007-234F-4231-956F-A359301D1DA8}"/>
              </c:ext>
            </c:extLst>
          </c:dPt>
          <c:dPt>
            <c:idx val="4"/>
            <c:bubble3D val="0"/>
            <c:spPr>
              <a:solidFill>
                <a:schemeClr val="accent1">
                  <a:lumMod val="50000"/>
                </a:schemeClr>
              </a:solidFill>
              <a:ln w="12700">
                <a:solidFill>
                  <a:srgbClr val="000000"/>
                </a:solidFill>
                <a:prstDash val="solid"/>
              </a:ln>
            </c:spPr>
            <c:extLst>
              <c:ext xmlns:c16="http://schemas.microsoft.com/office/drawing/2014/chart" uri="{C3380CC4-5D6E-409C-BE32-E72D297353CC}">
                <c16:uniqueId val="{00000009-234F-4231-956F-A359301D1DA8}"/>
              </c:ext>
            </c:extLst>
          </c:dPt>
          <c:dPt>
            <c:idx val="5"/>
            <c:bubble3D val="0"/>
            <c:spPr>
              <a:solidFill>
                <a:srgbClr val="000000"/>
              </a:solidFill>
              <a:ln w="12700">
                <a:solidFill>
                  <a:srgbClr val="000000"/>
                </a:solidFill>
                <a:prstDash val="solid"/>
              </a:ln>
            </c:spPr>
            <c:extLst>
              <c:ext xmlns:c16="http://schemas.microsoft.com/office/drawing/2014/chart" uri="{C3380CC4-5D6E-409C-BE32-E72D297353CC}">
                <c16:uniqueId val="{0000000B-234F-4231-956F-A359301D1DA8}"/>
              </c:ext>
            </c:extLst>
          </c:dPt>
          <c:cat>
            <c:strRef>
              <c:f>'Summary Tables'!$E$347:$H$347</c:f>
              <c:strCache>
                <c:ptCount val="4"/>
                <c:pt idx="0">
                  <c:v>1 bed</c:v>
                </c:pt>
                <c:pt idx="1">
                  <c:v>2 bed</c:v>
                </c:pt>
                <c:pt idx="2">
                  <c:v>3 bed</c:v>
                </c:pt>
                <c:pt idx="3">
                  <c:v>4 + bed</c:v>
                </c:pt>
              </c:strCache>
            </c:strRef>
          </c:cat>
          <c:val>
            <c:numRef>
              <c:f>'Summary Tables'!$E$356:$H$356</c:f>
              <c:numCache>
                <c:formatCode>#,##0</c:formatCode>
                <c:ptCount val="4"/>
                <c:pt idx="0">
                  <c:v>211</c:v>
                </c:pt>
                <c:pt idx="1">
                  <c:v>247</c:v>
                </c:pt>
                <c:pt idx="2">
                  <c:v>22</c:v>
                </c:pt>
                <c:pt idx="3">
                  <c:v>24</c:v>
                </c:pt>
              </c:numCache>
            </c:numRef>
          </c:val>
          <c:extLst>
            <c:ext xmlns:c16="http://schemas.microsoft.com/office/drawing/2014/chart" uri="{C3380CC4-5D6E-409C-BE32-E72D297353CC}">
              <c16:uniqueId val="{0000000C-234F-4231-956F-A359301D1DA8}"/>
            </c:ext>
          </c:extLst>
        </c:ser>
        <c:ser>
          <c:idx val="1"/>
          <c:order val="1"/>
          <c:tx>
            <c:strRef>
              <c:f>'Summary Tables'!$C$349:$D$349</c:f>
              <c:strCache>
                <c:ptCount val="2"/>
                <c:pt idx="0">
                  <c:v>Market</c:v>
                </c:pt>
              </c:strCache>
            </c:strRef>
          </c:tx>
          <c:cat>
            <c:strRef>
              <c:f>'Summary Tables'!$E$347:$H$347</c:f>
              <c:strCache>
                <c:ptCount val="4"/>
                <c:pt idx="0">
                  <c:v>1 bed</c:v>
                </c:pt>
                <c:pt idx="1">
                  <c:v>2 bed</c:v>
                </c:pt>
                <c:pt idx="2">
                  <c:v>3 bed</c:v>
                </c:pt>
                <c:pt idx="3">
                  <c:v>4 + bed</c:v>
                </c:pt>
              </c:strCache>
            </c:strRef>
          </c:cat>
          <c:val>
            <c:numRef>
              <c:f>'Summary Tables'!$E$349:$H$349</c:f>
              <c:numCache>
                <c:formatCode>0%</c:formatCode>
                <c:ptCount val="4"/>
                <c:pt idx="0">
                  <c:v>0.32142857142857145</c:v>
                </c:pt>
                <c:pt idx="1">
                  <c:v>0.37698412698412698</c:v>
                </c:pt>
                <c:pt idx="2">
                  <c:v>3.5714285714285712E-2</c:v>
                </c:pt>
                <c:pt idx="3">
                  <c:v>4.1666666666666664E-2</c:v>
                </c:pt>
              </c:numCache>
            </c:numRef>
          </c:val>
          <c:extLst>
            <c:ext xmlns:c16="http://schemas.microsoft.com/office/drawing/2014/chart" uri="{C3380CC4-5D6E-409C-BE32-E72D297353CC}">
              <c16:uniqueId val="{0000000D-234F-4231-956F-A359301D1DA8}"/>
            </c:ext>
          </c:extLst>
        </c:ser>
        <c:ser>
          <c:idx val="2"/>
          <c:order val="2"/>
          <c:tx>
            <c:strRef>
              <c:f>'Summary Tables'!$C$350:$D$350</c:f>
              <c:strCache>
                <c:ptCount val="2"/>
                <c:pt idx="0">
                  <c:v>Intermediate (&amp;SO)</c:v>
                </c:pt>
              </c:strCache>
            </c:strRef>
          </c:tx>
          <c:cat>
            <c:strRef>
              <c:f>'Summary Tables'!$E$347:$H$347</c:f>
              <c:strCache>
                <c:ptCount val="4"/>
                <c:pt idx="0">
                  <c:v>1 bed</c:v>
                </c:pt>
                <c:pt idx="1">
                  <c:v>2 bed</c:v>
                </c:pt>
                <c:pt idx="2">
                  <c:v>3 bed</c:v>
                </c:pt>
                <c:pt idx="3">
                  <c:v>4 + bed</c:v>
                </c:pt>
              </c:strCache>
            </c:strRef>
          </c:cat>
          <c:val>
            <c:numRef>
              <c:f>'Summary Tables'!$E$350:$H$350</c:f>
              <c:numCache>
                <c:formatCode>#,##0</c:formatCode>
                <c:ptCount val="4"/>
                <c:pt idx="0">
                  <c:v>3</c:v>
                </c:pt>
                <c:pt idx="1">
                  <c:v>35</c:v>
                </c:pt>
                <c:pt idx="2">
                  <c:v>0</c:v>
                </c:pt>
                <c:pt idx="3">
                  <c:v>0</c:v>
                </c:pt>
              </c:numCache>
            </c:numRef>
          </c:val>
          <c:extLst>
            <c:ext xmlns:c16="http://schemas.microsoft.com/office/drawing/2014/chart" uri="{C3380CC4-5D6E-409C-BE32-E72D297353CC}">
              <c16:uniqueId val="{0000000E-234F-4231-956F-A359301D1DA8}"/>
            </c:ext>
          </c:extLst>
        </c:ser>
        <c:ser>
          <c:idx val="3"/>
          <c:order val="3"/>
          <c:tx>
            <c:strRef>
              <c:f>'Summary Tables'!$C$351:$D$351</c:f>
              <c:strCache>
                <c:ptCount val="2"/>
                <c:pt idx="0">
                  <c:v>Intermediate (&amp;SO)</c:v>
                </c:pt>
              </c:strCache>
            </c:strRef>
          </c:tx>
          <c:cat>
            <c:strRef>
              <c:f>'Summary Tables'!$E$347:$H$347</c:f>
              <c:strCache>
                <c:ptCount val="4"/>
                <c:pt idx="0">
                  <c:v>1 bed</c:v>
                </c:pt>
                <c:pt idx="1">
                  <c:v>2 bed</c:v>
                </c:pt>
                <c:pt idx="2">
                  <c:v>3 bed</c:v>
                </c:pt>
                <c:pt idx="3">
                  <c:v>4 + bed</c:v>
                </c:pt>
              </c:strCache>
            </c:strRef>
          </c:cat>
          <c:val>
            <c:numRef>
              <c:f>'Summary Tables'!$E$351:$H$351</c:f>
              <c:numCache>
                <c:formatCode>0%</c:formatCode>
                <c:ptCount val="4"/>
                <c:pt idx="0">
                  <c:v>5.9523809523809521E-3</c:v>
                </c:pt>
                <c:pt idx="1">
                  <c:v>6.9444444444444448E-2</c:v>
                </c:pt>
                <c:pt idx="2">
                  <c:v>0</c:v>
                </c:pt>
                <c:pt idx="3">
                  <c:v>0</c:v>
                </c:pt>
              </c:numCache>
            </c:numRef>
          </c:val>
          <c:extLst>
            <c:ext xmlns:c16="http://schemas.microsoft.com/office/drawing/2014/chart" uri="{C3380CC4-5D6E-409C-BE32-E72D297353CC}">
              <c16:uniqueId val="{0000000F-234F-4231-956F-A359301D1DA8}"/>
            </c:ext>
          </c:extLst>
        </c:ser>
        <c:ser>
          <c:idx val="4"/>
          <c:order val="4"/>
          <c:tx>
            <c:strRef>
              <c:f>'Summary Tables'!$C$352:$D$352</c:f>
              <c:strCache>
                <c:ptCount val="2"/>
                <c:pt idx="0">
                  <c:v>Affordable Rented</c:v>
                </c:pt>
              </c:strCache>
            </c:strRef>
          </c:tx>
          <c:cat>
            <c:strRef>
              <c:f>'Summary Tables'!$E$347:$H$347</c:f>
              <c:strCache>
                <c:ptCount val="4"/>
                <c:pt idx="0">
                  <c:v>1 bed</c:v>
                </c:pt>
                <c:pt idx="1">
                  <c:v>2 bed</c:v>
                </c:pt>
                <c:pt idx="2">
                  <c:v>3 bed</c:v>
                </c:pt>
                <c:pt idx="3">
                  <c:v>4 + bed</c:v>
                </c:pt>
              </c:strCache>
            </c:strRef>
          </c:cat>
          <c:val>
            <c:numRef>
              <c:f>'Summary Tables'!$E$352:$H$352</c:f>
              <c:numCache>
                <c:formatCode>#,##0</c:formatCode>
                <c:ptCount val="4"/>
                <c:pt idx="0">
                  <c:v>36</c:v>
                </c:pt>
                <c:pt idx="1">
                  <c:v>21</c:v>
                </c:pt>
                <c:pt idx="2">
                  <c:v>1</c:v>
                </c:pt>
                <c:pt idx="3">
                  <c:v>0</c:v>
                </c:pt>
              </c:numCache>
            </c:numRef>
          </c:val>
          <c:extLst>
            <c:ext xmlns:c16="http://schemas.microsoft.com/office/drawing/2014/chart" uri="{C3380CC4-5D6E-409C-BE32-E72D297353CC}">
              <c16:uniqueId val="{00000010-234F-4231-956F-A359301D1DA8}"/>
            </c:ext>
          </c:extLst>
        </c:ser>
        <c:ser>
          <c:idx val="5"/>
          <c:order val="5"/>
          <c:tx>
            <c:strRef>
              <c:f>'Summary Tables'!$C$353:$D$353</c:f>
              <c:strCache>
                <c:ptCount val="2"/>
                <c:pt idx="0">
                  <c:v>Affordable Rented</c:v>
                </c:pt>
              </c:strCache>
            </c:strRef>
          </c:tx>
          <c:cat>
            <c:strRef>
              <c:f>'Summary Tables'!$E$347:$H$347</c:f>
              <c:strCache>
                <c:ptCount val="4"/>
                <c:pt idx="0">
                  <c:v>1 bed</c:v>
                </c:pt>
                <c:pt idx="1">
                  <c:v>2 bed</c:v>
                </c:pt>
                <c:pt idx="2">
                  <c:v>3 bed</c:v>
                </c:pt>
                <c:pt idx="3">
                  <c:v>4 + bed</c:v>
                </c:pt>
              </c:strCache>
            </c:strRef>
          </c:cat>
          <c:val>
            <c:numRef>
              <c:f>'Summary Tables'!$E$353:$H$353</c:f>
              <c:numCache>
                <c:formatCode>0%</c:formatCode>
                <c:ptCount val="4"/>
                <c:pt idx="0">
                  <c:v>7.1428571428571425E-2</c:v>
                </c:pt>
                <c:pt idx="1">
                  <c:v>4.1666666666666664E-2</c:v>
                </c:pt>
                <c:pt idx="2">
                  <c:v>1.984126984126984E-3</c:v>
                </c:pt>
                <c:pt idx="3">
                  <c:v>0</c:v>
                </c:pt>
              </c:numCache>
            </c:numRef>
          </c:val>
          <c:extLst>
            <c:ext xmlns:c16="http://schemas.microsoft.com/office/drawing/2014/chart" uri="{C3380CC4-5D6E-409C-BE32-E72D297353CC}">
              <c16:uniqueId val="{00000011-234F-4231-956F-A359301D1DA8}"/>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4939714141949878"/>
          <c:y val="0.12337730510958858"/>
          <c:w val="0.23543615452958339"/>
          <c:h val="0.55236459078978761"/>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en-US"/>
        </a:p>
      </c:txPr>
    </c:legend>
    <c:plotVisOnly val="1"/>
    <c:dispBlanksAs val="zero"/>
    <c:showDLblsOverMax val="0"/>
  </c:chart>
  <c:spPr>
    <a:solidFill>
      <a:srgbClr val="FFFFFF"/>
    </a:solidFill>
    <a:ln w="6350">
      <a:solidFill>
        <a:srgbClr val="969696"/>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900" b="1"/>
            </a:pPr>
            <a:r>
              <a:rPr lang="en-GB" sz="900" b="1"/>
              <a:t>Dwelling </a:t>
            </a:r>
            <a:r>
              <a:rPr lang="en-GB" sz="900" b="1" baseline="0"/>
              <a:t>Size of Net Completions in 2024/25 (All tenures)</a:t>
            </a:r>
            <a:endParaRPr lang="en-GB" sz="900" b="1"/>
          </a:p>
        </c:rich>
      </c:tx>
      <c:layout>
        <c:manualLayout>
          <c:xMode val="edge"/>
          <c:yMode val="edge"/>
          <c:x val="0.19000976612860349"/>
          <c:y val="2.8492298191232879E-2"/>
        </c:manualLayout>
      </c:layout>
      <c:overlay val="0"/>
    </c:title>
    <c:autoTitleDeleted val="0"/>
    <c:plotArea>
      <c:layout>
        <c:manualLayout>
          <c:layoutTarget val="inner"/>
          <c:xMode val="edge"/>
          <c:yMode val="edge"/>
          <c:x val="0.10406571332698999"/>
          <c:y val="0.11901703731972575"/>
          <c:w val="0.86596894923846879"/>
          <c:h val="0.7715330980126005"/>
        </c:manualLayout>
      </c:layout>
      <c:barChart>
        <c:barDir val="col"/>
        <c:grouping val="stacked"/>
        <c:varyColors val="0"/>
        <c:ser>
          <c:idx val="1"/>
          <c:order val="0"/>
          <c:tx>
            <c:strRef>
              <c:f>'Summary Tables'!$G$113</c:f>
              <c:strCache>
                <c:ptCount val="1"/>
                <c:pt idx="0">
                  <c:v>Prior Approvals</c:v>
                </c:pt>
              </c:strCache>
            </c:strRef>
          </c:tx>
          <c:invertIfNegative val="0"/>
          <c:cat>
            <c:strRef>
              <c:f>'Summary Tables'!$C$114:$D$117</c:f>
              <c:strCache>
                <c:ptCount val="4"/>
                <c:pt idx="0">
                  <c:v>1 bed </c:v>
                </c:pt>
                <c:pt idx="1">
                  <c:v>2 bed </c:v>
                </c:pt>
                <c:pt idx="2">
                  <c:v>3 bed </c:v>
                </c:pt>
                <c:pt idx="3">
                  <c:v>4+ bed </c:v>
                </c:pt>
              </c:strCache>
            </c:strRef>
          </c:cat>
          <c:val>
            <c:numRef>
              <c:f>'Summary Tables'!$G$114:$G$117</c:f>
              <c:numCache>
                <c:formatCode>General</c:formatCode>
                <c:ptCount val="4"/>
                <c:pt idx="0">
                  <c:v>28</c:v>
                </c:pt>
                <c:pt idx="1">
                  <c:v>14</c:v>
                </c:pt>
                <c:pt idx="2">
                  <c:v>0</c:v>
                </c:pt>
                <c:pt idx="3">
                  <c:v>0</c:v>
                </c:pt>
              </c:numCache>
            </c:numRef>
          </c:val>
          <c:extLst>
            <c:ext xmlns:c16="http://schemas.microsoft.com/office/drawing/2014/chart" uri="{C3380CC4-5D6E-409C-BE32-E72D297353CC}">
              <c16:uniqueId val="{00000000-CA37-4C7D-8C74-80AE7DD3D966}"/>
            </c:ext>
          </c:extLst>
        </c:ser>
        <c:ser>
          <c:idx val="0"/>
          <c:order val="1"/>
          <c:tx>
            <c:strRef>
              <c:f>'Summary Tables'!$E$113</c:f>
              <c:strCache>
                <c:ptCount val="1"/>
                <c:pt idx="0">
                  <c:v>Permissions</c:v>
                </c:pt>
              </c:strCache>
            </c:strRef>
          </c:tx>
          <c:invertIfNegative val="0"/>
          <c:cat>
            <c:strRef>
              <c:f>'Summary Tables'!$C$114:$D$117</c:f>
              <c:strCache>
                <c:ptCount val="4"/>
                <c:pt idx="0">
                  <c:v>1 bed </c:v>
                </c:pt>
                <c:pt idx="1">
                  <c:v>2 bed </c:v>
                </c:pt>
                <c:pt idx="2">
                  <c:v>3 bed </c:v>
                </c:pt>
                <c:pt idx="3">
                  <c:v>4+ bed </c:v>
                </c:pt>
              </c:strCache>
            </c:strRef>
          </c:cat>
          <c:val>
            <c:numRef>
              <c:f>'Summary Tables'!$E$114:$E$117</c:f>
              <c:numCache>
                <c:formatCode>General</c:formatCode>
                <c:ptCount val="4"/>
                <c:pt idx="0">
                  <c:v>18</c:v>
                </c:pt>
                <c:pt idx="1">
                  <c:v>1</c:v>
                </c:pt>
                <c:pt idx="2">
                  <c:v>14</c:v>
                </c:pt>
                <c:pt idx="3">
                  <c:v>5</c:v>
                </c:pt>
              </c:numCache>
            </c:numRef>
          </c:val>
          <c:extLst>
            <c:ext xmlns:c16="http://schemas.microsoft.com/office/drawing/2014/chart" uri="{C3380CC4-5D6E-409C-BE32-E72D297353CC}">
              <c16:uniqueId val="{00000001-CA37-4C7D-8C74-80AE7DD3D966}"/>
            </c:ext>
          </c:extLst>
        </c:ser>
        <c:dLbls>
          <c:showLegendKey val="0"/>
          <c:showVal val="0"/>
          <c:showCatName val="0"/>
          <c:showSerName val="0"/>
          <c:showPercent val="0"/>
          <c:showBubbleSize val="0"/>
        </c:dLbls>
        <c:gapWidth val="113"/>
        <c:overlap val="100"/>
        <c:axId val="324678400"/>
        <c:axId val="324679936"/>
      </c:barChart>
      <c:catAx>
        <c:axId val="3246784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rtl="0">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crossAx val="324679936"/>
        <c:crosses val="autoZero"/>
        <c:auto val="1"/>
        <c:lblAlgn val="ctr"/>
        <c:lblOffset val="100"/>
        <c:noMultiLvlLbl val="0"/>
      </c:catAx>
      <c:valAx>
        <c:axId val="324679936"/>
        <c:scaling>
          <c:orientation val="minMax"/>
          <c:min val="0"/>
        </c:scaling>
        <c:delete val="0"/>
        <c:axPos val="l"/>
        <c:majorGridlines>
          <c:spPr>
            <a:ln w="3175">
              <a:solidFill>
                <a:srgbClr val="969696"/>
              </a:solidFill>
              <a:prstDash val="solid"/>
            </a:ln>
          </c:spPr>
        </c:majorGridlines>
        <c:title>
          <c:tx>
            <c:rich>
              <a:bodyPr rot="-5400000" vert="horz"/>
              <a:lstStyle/>
              <a:p>
                <a:pPr>
                  <a:defRPr/>
                </a:pPr>
                <a:r>
                  <a:rPr lang="en-GB" b="1"/>
                  <a:t>Number of units</a:t>
                </a:r>
              </a:p>
            </c:rich>
          </c:tx>
          <c:overlay val="0"/>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en-US"/>
          </a:p>
        </c:txPr>
        <c:crossAx val="324678400"/>
        <c:crosses val="autoZero"/>
        <c:crossBetween val="between"/>
        <c:majorUnit val="10"/>
      </c:valAx>
      <c:spPr>
        <a:noFill/>
        <a:ln w="12700">
          <a:solidFill>
            <a:srgbClr val="969696"/>
          </a:solidFill>
          <a:prstDash val="solid"/>
        </a:ln>
      </c:spPr>
    </c:plotArea>
    <c:legend>
      <c:legendPos val="t"/>
      <c:layout>
        <c:manualLayout>
          <c:xMode val="edge"/>
          <c:yMode val="edge"/>
          <c:x val="0.76772064616433"/>
          <c:y val="0.12919556422574219"/>
          <c:w val="0.19927232559796706"/>
          <c:h val="0.16059247481859873"/>
        </c:manualLayout>
      </c:layout>
      <c:overlay val="0"/>
      <c:spPr>
        <a:solidFill>
          <a:schemeClr val="bg1"/>
        </a:solidFill>
      </c:spPr>
    </c:legend>
    <c:plotVisOnly val="1"/>
    <c:dispBlanksAs val="gap"/>
    <c:showDLblsOverMax val="0"/>
  </c:chart>
  <c:spPr>
    <a:solidFill>
      <a:srgbClr val="FFFFFF"/>
    </a:solidFill>
    <a:ln w="3175">
      <a:solidFill>
        <a:schemeClr val="bg1">
          <a:lumMod val="50000"/>
        </a:schemeClr>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12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image" Target="../media/image1.png"/><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image" Target="../media/image1.png"/><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6</xdr:col>
      <xdr:colOff>0</xdr:colOff>
      <xdr:row>49</xdr:row>
      <xdr:rowOff>1</xdr:rowOff>
    </xdr:from>
    <xdr:to>
      <xdr:col>17</xdr:col>
      <xdr:colOff>552450</xdr:colOff>
      <xdr:row>72</xdr:row>
      <xdr:rowOff>0</xdr:rowOff>
    </xdr:to>
    <xdr:graphicFrame macro="">
      <xdr:nvGraphicFramePr>
        <xdr:cNvPr id="2" name="Chart 12">
          <a:extLst>
            <a:ext uri="{FF2B5EF4-FFF2-40B4-BE49-F238E27FC236}">
              <a16:creationId xmlns:a16="http://schemas.microsoft.com/office/drawing/2014/main" id="{13AD0E63-539E-4567-97D5-7930575606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257175</xdr:colOff>
      <xdr:row>78</xdr:row>
      <xdr:rowOff>161924</xdr:rowOff>
    </xdr:from>
    <xdr:to>
      <xdr:col>18</xdr:col>
      <xdr:colOff>323850</xdr:colOff>
      <xdr:row>102</xdr:row>
      <xdr:rowOff>0</xdr:rowOff>
    </xdr:to>
    <xdr:graphicFrame macro="">
      <xdr:nvGraphicFramePr>
        <xdr:cNvPr id="3" name="Chart 62">
          <a:extLst>
            <a:ext uri="{FF2B5EF4-FFF2-40B4-BE49-F238E27FC236}">
              <a16:creationId xmlns:a16="http://schemas.microsoft.com/office/drawing/2014/main" id="{D65B238F-BA9F-431B-BFD3-E5103EB96F6A}"/>
            </a:ext>
            <a:ext uri="{147F2762-F138-4A5C-976F-8EAC2B608ADB}">
              <a16:predDERef xmlns:a16="http://schemas.microsoft.com/office/drawing/2014/main" pred="{13FC5F98-2726-4200-A0A4-A4C2CC896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118109</xdr:colOff>
      <xdr:row>1</xdr:row>
      <xdr:rowOff>265845</xdr:rowOff>
    </xdr:from>
    <xdr:to>
      <xdr:col>4</xdr:col>
      <xdr:colOff>0</xdr:colOff>
      <xdr:row>2</xdr:row>
      <xdr:rowOff>38100</xdr:rowOff>
    </xdr:to>
    <xdr:pic>
      <xdr:nvPicPr>
        <xdr:cNvPr id="4" name="Picture 3">
          <a:extLst>
            <a:ext uri="{FF2B5EF4-FFF2-40B4-BE49-F238E27FC236}">
              <a16:creationId xmlns:a16="http://schemas.microsoft.com/office/drawing/2014/main" id="{167CE400-9577-4E05-952C-5B489BFDDD0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99109" y="563025"/>
          <a:ext cx="1786891" cy="400905"/>
        </a:xfrm>
        <a:prstGeom prst="rect">
          <a:avLst/>
        </a:prstGeom>
      </xdr:spPr>
    </xdr:pic>
    <xdr:clientData/>
  </xdr:twoCellAnchor>
  <xdr:twoCellAnchor>
    <xdr:from>
      <xdr:col>5</xdr:col>
      <xdr:colOff>495300</xdr:colOff>
      <xdr:row>176</xdr:row>
      <xdr:rowOff>0</xdr:rowOff>
    </xdr:from>
    <xdr:to>
      <xdr:col>18</xdr:col>
      <xdr:colOff>0</xdr:colOff>
      <xdr:row>194</xdr:row>
      <xdr:rowOff>0</xdr:rowOff>
    </xdr:to>
    <xdr:graphicFrame macro="">
      <xdr:nvGraphicFramePr>
        <xdr:cNvPr id="5" name="Chart 4">
          <a:extLst>
            <a:ext uri="{FF2B5EF4-FFF2-40B4-BE49-F238E27FC236}">
              <a16:creationId xmlns:a16="http://schemas.microsoft.com/office/drawing/2014/main" id="{5D66A1D5-124C-4B89-9414-FF06D01C0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xdr:colOff>
      <xdr:row>241</xdr:row>
      <xdr:rowOff>0</xdr:rowOff>
    </xdr:from>
    <xdr:to>
      <xdr:col>18</xdr:col>
      <xdr:colOff>1</xdr:colOff>
      <xdr:row>261</xdr:row>
      <xdr:rowOff>0</xdr:rowOff>
    </xdr:to>
    <xdr:graphicFrame macro="">
      <xdr:nvGraphicFramePr>
        <xdr:cNvPr id="6" name="Chart 55">
          <a:extLst>
            <a:ext uri="{FF2B5EF4-FFF2-40B4-BE49-F238E27FC236}">
              <a16:creationId xmlns:a16="http://schemas.microsoft.com/office/drawing/2014/main" id="{3B91DEF1-DD90-412F-8BB2-E7738FD1B9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xdr:colOff>
      <xdr:row>317</xdr:row>
      <xdr:rowOff>1</xdr:rowOff>
    </xdr:from>
    <xdr:to>
      <xdr:col>16</xdr:col>
      <xdr:colOff>1</xdr:colOff>
      <xdr:row>328</xdr:row>
      <xdr:rowOff>18826</xdr:rowOff>
    </xdr:to>
    <xdr:graphicFrame macro="">
      <xdr:nvGraphicFramePr>
        <xdr:cNvPr id="7" name="Chart 56">
          <a:extLst>
            <a:ext uri="{FF2B5EF4-FFF2-40B4-BE49-F238E27FC236}">
              <a16:creationId xmlns:a16="http://schemas.microsoft.com/office/drawing/2014/main" id="{67BF2A03-D852-4E8C-99AC-AF560918B1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0</xdr:colOff>
      <xdr:row>331</xdr:row>
      <xdr:rowOff>0</xdr:rowOff>
    </xdr:from>
    <xdr:to>
      <xdr:col>16</xdr:col>
      <xdr:colOff>0</xdr:colOff>
      <xdr:row>342</xdr:row>
      <xdr:rowOff>18825</xdr:rowOff>
    </xdr:to>
    <xdr:graphicFrame macro="">
      <xdr:nvGraphicFramePr>
        <xdr:cNvPr id="8" name="Chart 57">
          <a:extLst>
            <a:ext uri="{FF2B5EF4-FFF2-40B4-BE49-F238E27FC236}">
              <a16:creationId xmlns:a16="http://schemas.microsoft.com/office/drawing/2014/main" id="{05A20212-BF81-47E0-B4F9-F40B30B2AE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1</xdr:colOff>
      <xdr:row>215</xdr:row>
      <xdr:rowOff>0</xdr:rowOff>
    </xdr:from>
    <xdr:to>
      <xdr:col>18</xdr:col>
      <xdr:colOff>0</xdr:colOff>
      <xdr:row>234</xdr:row>
      <xdr:rowOff>161924</xdr:rowOff>
    </xdr:to>
    <xdr:graphicFrame macro="">
      <xdr:nvGraphicFramePr>
        <xdr:cNvPr id="9" name="Chart 55">
          <a:extLst>
            <a:ext uri="{FF2B5EF4-FFF2-40B4-BE49-F238E27FC236}">
              <a16:creationId xmlns:a16="http://schemas.microsoft.com/office/drawing/2014/main" id="{04B5749F-28CA-4133-A7E4-9722F235B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346</xdr:row>
      <xdr:rowOff>0</xdr:rowOff>
    </xdr:from>
    <xdr:to>
      <xdr:col>16</xdr:col>
      <xdr:colOff>0</xdr:colOff>
      <xdr:row>357</xdr:row>
      <xdr:rowOff>18825</xdr:rowOff>
    </xdr:to>
    <xdr:graphicFrame macro="">
      <xdr:nvGraphicFramePr>
        <xdr:cNvPr id="10" name="Chart 57">
          <a:extLst>
            <a:ext uri="{FF2B5EF4-FFF2-40B4-BE49-F238E27FC236}">
              <a16:creationId xmlns:a16="http://schemas.microsoft.com/office/drawing/2014/main" id="{D9C5C336-8D36-42A9-8D49-E96CAB105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314325</xdr:colOff>
      <xdr:row>111</xdr:row>
      <xdr:rowOff>161924</xdr:rowOff>
    </xdr:from>
    <xdr:to>
      <xdr:col>18</xdr:col>
      <xdr:colOff>440531</xdr:colOff>
      <xdr:row>124</xdr:row>
      <xdr:rowOff>161924</xdr:rowOff>
    </xdr:to>
    <xdr:graphicFrame macro="">
      <xdr:nvGraphicFramePr>
        <xdr:cNvPr id="11" name="Chart 26">
          <a:extLst>
            <a:ext uri="{FF2B5EF4-FFF2-40B4-BE49-F238E27FC236}">
              <a16:creationId xmlns:a16="http://schemas.microsoft.com/office/drawing/2014/main" id="{86760175-E56B-47F1-BB49-B16C91D10D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0</xdr:colOff>
      <xdr:row>391</xdr:row>
      <xdr:rowOff>0</xdr:rowOff>
    </xdr:from>
    <xdr:to>
      <xdr:col>18</xdr:col>
      <xdr:colOff>0</xdr:colOff>
      <xdr:row>402</xdr:row>
      <xdr:rowOff>0</xdr:rowOff>
    </xdr:to>
    <xdr:graphicFrame macro="">
      <xdr:nvGraphicFramePr>
        <xdr:cNvPr id="12" name="Chart 11">
          <a:extLst>
            <a:ext uri="{FF2B5EF4-FFF2-40B4-BE49-F238E27FC236}">
              <a16:creationId xmlns:a16="http://schemas.microsoft.com/office/drawing/2014/main" id="{EC8B8765-C161-4D24-ACC8-D85F6E3F1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0</xdr:colOff>
      <xdr:row>426</xdr:row>
      <xdr:rowOff>180974</xdr:rowOff>
    </xdr:from>
    <xdr:to>
      <xdr:col>15</xdr:col>
      <xdr:colOff>0</xdr:colOff>
      <xdr:row>442</xdr:row>
      <xdr:rowOff>161924</xdr:rowOff>
    </xdr:to>
    <xdr:graphicFrame macro="">
      <xdr:nvGraphicFramePr>
        <xdr:cNvPr id="13" name="Chart 12">
          <a:extLst>
            <a:ext uri="{FF2B5EF4-FFF2-40B4-BE49-F238E27FC236}">
              <a16:creationId xmlns:a16="http://schemas.microsoft.com/office/drawing/2014/main" id="{0AB56951-74C5-4C85-92D4-97AA819D4C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407</xdr:row>
      <xdr:rowOff>0</xdr:rowOff>
    </xdr:from>
    <xdr:to>
      <xdr:col>18</xdr:col>
      <xdr:colOff>0</xdr:colOff>
      <xdr:row>420</xdr:row>
      <xdr:rowOff>0</xdr:rowOff>
    </xdr:to>
    <xdr:graphicFrame macro="">
      <xdr:nvGraphicFramePr>
        <xdr:cNvPr id="15" name="Chart 14">
          <a:extLst>
            <a:ext uri="{FF2B5EF4-FFF2-40B4-BE49-F238E27FC236}">
              <a16:creationId xmlns:a16="http://schemas.microsoft.com/office/drawing/2014/main" id="{E9A5CF8E-E2E0-4EA6-8462-C2EF9264E2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304800</xdr:colOff>
      <xdr:row>156</xdr:row>
      <xdr:rowOff>0</xdr:rowOff>
    </xdr:from>
    <xdr:to>
      <xdr:col>17</xdr:col>
      <xdr:colOff>0</xdr:colOff>
      <xdr:row>170</xdr:row>
      <xdr:rowOff>0</xdr:rowOff>
    </xdr:to>
    <xdr:graphicFrame macro="">
      <xdr:nvGraphicFramePr>
        <xdr:cNvPr id="17" name="Chart 16">
          <a:extLst>
            <a:ext uri="{FF2B5EF4-FFF2-40B4-BE49-F238E27FC236}">
              <a16:creationId xmlns:a16="http://schemas.microsoft.com/office/drawing/2014/main" id="{BE0E6FBA-2D0E-4C58-80B9-DAD48A813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44824</xdr:colOff>
      <xdr:row>264</xdr:row>
      <xdr:rowOff>0</xdr:rowOff>
    </xdr:from>
    <xdr:to>
      <xdr:col>18</xdr:col>
      <xdr:colOff>44824</xdr:colOff>
      <xdr:row>278</xdr:row>
      <xdr:rowOff>0</xdr:rowOff>
    </xdr:to>
    <xdr:graphicFrame macro="">
      <xdr:nvGraphicFramePr>
        <xdr:cNvPr id="21" name="Chart 55">
          <a:extLst>
            <a:ext uri="{FF2B5EF4-FFF2-40B4-BE49-F238E27FC236}">
              <a16:creationId xmlns:a16="http://schemas.microsoft.com/office/drawing/2014/main" id="{FD799090-CF1B-4EA9-A872-107477A21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44824</xdr:colOff>
      <xdr:row>280</xdr:row>
      <xdr:rowOff>0</xdr:rowOff>
    </xdr:from>
    <xdr:to>
      <xdr:col>18</xdr:col>
      <xdr:colOff>44824</xdr:colOff>
      <xdr:row>294</xdr:row>
      <xdr:rowOff>0</xdr:rowOff>
    </xdr:to>
    <xdr:graphicFrame macro="">
      <xdr:nvGraphicFramePr>
        <xdr:cNvPr id="22" name="Chart 55">
          <a:extLst>
            <a:ext uri="{FF2B5EF4-FFF2-40B4-BE49-F238E27FC236}">
              <a16:creationId xmlns:a16="http://schemas.microsoft.com/office/drawing/2014/main" id="{A2950F70-511C-4959-8C98-6C0FFCB43D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9</xdr:col>
      <xdr:colOff>0</xdr:colOff>
      <xdr:row>296</xdr:row>
      <xdr:rowOff>0</xdr:rowOff>
    </xdr:from>
    <xdr:to>
      <xdr:col>18</xdr:col>
      <xdr:colOff>0</xdr:colOff>
      <xdr:row>310</xdr:row>
      <xdr:rowOff>0</xdr:rowOff>
    </xdr:to>
    <xdr:graphicFrame macro="">
      <xdr:nvGraphicFramePr>
        <xdr:cNvPr id="23" name="Chart 55">
          <a:extLst>
            <a:ext uri="{FF2B5EF4-FFF2-40B4-BE49-F238E27FC236}">
              <a16:creationId xmlns:a16="http://schemas.microsoft.com/office/drawing/2014/main" id="{CCE7899B-C1DE-4531-80BE-A5200DEC2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304799</xdr:colOff>
      <xdr:row>127</xdr:row>
      <xdr:rowOff>0</xdr:rowOff>
    </xdr:from>
    <xdr:to>
      <xdr:col>18</xdr:col>
      <xdr:colOff>409574</xdr:colOff>
      <xdr:row>137</xdr:row>
      <xdr:rowOff>142875</xdr:rowOff>
    </xdr:to>
    <xdr:graphicFrame macro="">
      <xdr:nvGraphicFramePr>
        <xdr:cNvPr id="19" name="Chart 18">
          <a:extLst>
            <a:ext uri="{FF2B5EF4-FFF2-40B4-BE49-F238E27FC236}">
              <a16:creationId xmlns:a16="http://schemas.microsoft.com/office/drawing/2014/main" id="{2273F0B9-D831-42E2-8E5F-C3B1555A6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18</xdr:row>
      <xdr:rowOff>9525</xdr:rowOff>
    </xdr:from>
    <xdr:to>
      <xdr:col>26</xdr:col>
      <xdr:colOff>0</xdr:colOff>
      <xdr:row>41</xdr:row>
      <xdr:rowOff>9525</xdr:rowOff>
    </xdr:to>
    <xdr:graphicFrame macro="">
      <xdr:nvGraphicFramePr>
        <xdr:cNvPr id="2" name="Chart 1">
          <a:extLst>
            <a:ext uri="{FF2B5EF4-FFF2-40B4-BE49-F238E27FC236}">
              <a16:creationId xmlns:a16="http://schemas.microsoft.com/office/drawing/2014/main" id="{E529B36A-74DA-4C14-99F3-468C4D670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56030</xdr:colOff>
      <xdr:row>1</xdr:row>
      <xdr:rowOff>119527</xdr:rowOff>
    </xdr:from>
    <xdr:ext cx="1800499" cy="360084"/>
    <xdr:pic>
      <xdr:nvPicPr>
        <xdr:cNvPr id="3" name="Picture 2">
          <a:extLst>
            <a:ext uri="{FF2B5EF4-FFF2-40B4-BE49-F238E27FC236}">
              <a16:creationId xmlns:a16="http://schemas.microsoft.com/office/drawing/2014/main" id="{3C525BD3-56D7-4B71-8679-D24927235C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37030" y="414802"/>
          <a:ext cx="1800499" cy="360084"/>
        </a:xfrm>
        <a:prstGeom prst="rect">
          <a:avLst/>
        </a:prstGeom>
      </xdr:spPr>
    </xdr:pic>
    <xdr:clientData/>
  </xdr:oneCellAnchor>
  <xdr:twoCellAnchor>
    <xdr:from>
      <xdr:col>1</xdr:col>
      <xdr:colOff>0</xdr:colOff>
      <xdr:row>41</xdr:row>
      <xdr:rowOff>9525</xdr:rowOff>
    </xdr:from>
    <xdr:to>
      <xdr:col>26</xdr:col>
      <xdr:colOff>0</xdr:colOff>
      <xdr:row>59</xdr:row>
      <xdr:rowOff>9525</xdr:rowOff>
    </xdr:to>
    <xdr:graphicFrame macro="">
      <xdr:nvGraphicFramePr>
        <xdr:cNvPr id="4" name="Chart 3">
          <a:extLst>
            <a:ext uri="{FF2B5EF4-FFF2-40B4-BE49-F238E27FC236}">
              <a16:creationId xmlns:a16="http://schemas.microsoft.com/office/drawing/2014/main" id="{D01E05C8-C74D-4E56-A663-FEF182E7C9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s, Chris" refreshedDate="46189.402535879628" createdVersion="8" refreshedVersion="8" minRefreshableVersion="3" recordCount="363" xr:uid="{F396348B-018B-4E09-8D00-A8D7C21BD6B5}">
  <cacheSource type="worksheet">
    <worksheetSource ref="A1:CE364" sheet="Data"/>
  </cacheSource>
  <cacheFields count="86">
    <cacheField name="Planning Ref" numFmtId="0">
      <sharedItems/>
    </cacheField>
    <cacheField name="Development Category" numFmtId="0">
      <sharedItems/>
    </cacheField>
    <cacheField name="Application Type" numFmtId="0">
      <sharedItems containsBlank="1"/>
    </cacheField>
    <cacheField name="Decision Date" numFmtId="14">
      <sharedItems containsNonDate="0" containsDate="1" containsString="0" containsBlank="1" minDate="2004-07-26T00:00:00" maxDate="2025-05-03T00:00:00" count="265">
        <d v="2017-03-07T00:00:00"/>
        <d v="2018-11-29T00:00:00"/>
        <d v="2019-08-21T00:00:00"/>
        <d v="2019-09-30T00:00:00"/>
        <d v="2020-05-06T00:00:00"/>
        <d v="2020-06-18T00:00:00"/>
        <d v="2020-07-08T00:00:00"/>
        <d v="2020-10-02T00:00:00"/>
        <d v="2021-06-24T00:00:00"/>
        <d v="2021-02-12T00:00:00"/>
        <d v="2021-10-28T00:00:00"/>
        <d v="2021-05-12T00:00:00"/>
        <d v="2021-05-19T00:00:00"/>
        <d v="2023-02-16T00:00:00"/>
        <d v="2021-07-26T00:00:00"/>
        <d v="2022-08-10T00:00:00"/>
        <d v="2022-04-08T00:00:00"/>
        <d v="2022-08-12T00:00:00"/>
        <d v="2022-02-02T00:00:00"/>
        <d v="2022-01-21T00:00:00"/>
        <d v="2022-03-24T00:00:00"/>
        <d v="2022-07-18T00:00:00"/>
        <d v="2023-02-07T00:00:00"/>
        <d v="2023-09-06T00:00:00"/>
        <d v="2022-08-09T00:00:00"/>
        <d v="2023-04-20T00:00:00"/>
        <d v="2022-12-09T00:00:00"/>
        <d v="2023-01-19T00:00:00"/>
        <d v="2022-09-16T00:00:00"/>
        <d v="2022-11-16T00:00:00"/>
        <d v="2022-11-28T00:00:00"/>
        <d v="2024-03-01T00:00:00"/>
        <d v="2023-01-26T00:00:00"/>
        <d v="2023-03-13T00:00:00"/>
        <d v="2023-03-28T00:00:00"/>
        <d v="2023-06-23T00:00:00"/>
        <d v="2024-01-24T00:00:00"/>
        <d v="2023-08-17T00:00:00"/>
        <d v="2023-07-17T00:00:00"/>
        <d v="2023-07-24T00:00:00"/>
        <d v="2023-10-12T00:00:00"/>
        <d v="2023-08-07T00:00:00"/>
        <d v="2023-08-29T00:00:00"/>
        <d v="2024-04-23T00:00:00"/>
        <d v="2024-03-08T00:00:00"/>
        <d v="2024-06-26T00:00:00"/>
        <d v="2024-04-12T00:00:00"/>
        <d v="2024-04-17T00:00:00"/>
        <d v="2024-06-03T00:00:00"/>
        <d v="2024-05-24T00:00:00"/>
        <d v="2024-05-20T00:00:00"/>
        <d v="2024-04-22T00:00:00"/>
        <d v="2024-06-12T00:00:00"/>
        <d v="2024-07-10T00:00:00"/>
        <d v="2024-05-23T00:00:00"/>
        <d v="2024-07-16T00:00:00"/>
        <d v="2024-12-06T00:00:00"/>
        <d v="2024-09-03T00:00:00"/>
        <d v="2024-10-09T00:00:00"/>
        <d v="2024-12-30T00:00:00"/>
        <d v="2025-02-26T00:00:00"/>
        <d v="2004-07-26T00:00:00"/>
        <d v="2009-04-03T00:00:00"/>
        <d v="2011-03-07T00:00:00"/>
        <d v="2013-07-31T00:00:00"/>
        <d v="2013-09-03T00:00:00"/>
        <d v="2014-08-20T00:00:00"/>
        <d v="2016-07-14T00:00:00"/>
        <d v="2018-07-19T00:00:00"/>
        <d v="2017-11-02T00:00:00"/>
        <d v="2018-03-23T00:00:00"/>
        <d v="2018-01-08T00:00:00"/>
        <d v="2021-08-10T00:00:00"/>
        <d v="2018-11-15T00:00:00"/>
        <d v="2018-07-26T00:00:00"/>
        <d v="2018-04-25T00:00:00"/>
        <d v="2018-12-05T00:00:00"/>
        <d v="2018-12-21T00:00:00"/>
        <d v="2019-01-07T00:00:00"/>
        <d v="2020-09-16T00:00:00"/>
        <d v="2019-10-17T00:00:00"/>
        <d v="2019-07-15T00:00:00"/>
        <d v="2019-12-12T00:00:00"/>
        <d v="2019-05-09T00:00:00"/>
        <d v="2021-07-28T00:00:00"/>
        <d v="2020-02-05T00:00:00"/>
        <d v="2019-10-16T00:00:00"/>
        <d v="2019-07-10T00:00:00"/>
        <d v="2020-03-20T00:00:00"/>
        <d v="2019-07-03T00:00:00"/>
        <d v="2020-06-08T00:00:00"/>
        <d v="2021-01-13T00:00:00"/>
        <d v="2021-06-30T00:00:00"/>
        <d v="2020-06-19T00:00:00"/>
        <d v="2020-09-18T00:00:00"/>
        <d v="2021-03-03T00:00:00"/>
        <d v="2020-11-02T00:00:00"/>
        <d v="2020-10-22T00:00:00"/>
        <d v="2020-10-05T00:00:00"/>
        <d v="2022-04-04T00:00:00"/>
        <d v="2020-09-24T00:00:00"/>
        <d v="2021-08-02T00:00:00"/>
        <d v="2020-10-30T00:00:00"/>
        <d v="2022-03-04T00:00:00"/>
        <d v="2021-03-08T00:00:00"/>
        <d v="2021-02-16T00:00:00"/>
        <d v="2021-08-03T00:00:00"/>
        <d v="2021-04-12T00:00:00"/>
        <d v="2023-12-21T00:00:00"/>
        <d v="2022-04-21T00:00:00"/>
        <d v="2022-03-31T00:00:00"/>
        <d v="2023-04-05T00:00:00"/>
        <d v="2023-01-30T00:00:00"/>
        <d v="2022-08-23T00:00:00"/>
        <d v="2022-06-23T00:00:00"/>
        <d v="2021-10-20T00:00:00"/>
        <d v="2022-03-02T00:00:00"/>
        <d v="2023-02-28T00:00:00"/>
        <d v="2022-08-22T00:00:00"/>
        <d v="2022-05-20T00:00:00"/>
        <d v="2022-07-12T00:00:00"/>
        <d v="2022-08-05T00:00:00"/>
        <d v="2022-03-22T00:00:00"/>
        <d v="2022-11-07T00:00:00"/>
        <d v="2022-08-26T00:00:00"/>
        <d v="2023-05-02T00:00:00"/>
        <d v="2022-05-26T00:00:00"/>
        <d v="2022-06-14T00:00:00"/>
        <d v="2022-06-20T00:00:00"/>
        <d v="2023-03-22T00:00:00"/>
        <d v="2023-02-10T00:00:00"/>
        <d v="2023-08-08T00:00:00"/>
        <d v="2024-06-14T00:00:00"/>
        <d v="2023-07-14T00:00:00"/>
        <d v="2022-12-15T00:00:00"/>
        <d v="2023-06-14T00:00:00"/>
        <d v="2023-08-03T00:00:00"/>
        <d v="2023-07-04T00:00:00"/>
        <d v="2023-07-05T00:00:00"/>
        <d v="2024-01-30T00:00:00"/>
        <d v="2024-05-29T00:00:00"/>
        <d v="2024-01-16T00:00:00"/>
        <d v="2024-03-26T00:00:00"/>
        <d v="2023-12-22T00:00:00"/>
        <d v="2024-07-26T00:00:00"/>
        <d v="2024-11-06T00:00:00"/>
        <d v="2024-08-15T00:00:00"/>
        <d v="2024-11-14T00:00:00"/>
        <d v="2024-09-04T00:00:00"/>
        <d v="2024-09-26T00:00:00"/>
        <d v="2024-12-19T00:00:00"/>
        <d v="2024-12-20T00:00:00"/>
        <d v="2025-02-11T00:00:00"/>
        <d v="2023-10-27T00:00:00"/>
        <d v="2023-08-31T00:00:00"/>
        <d v="2022-06-30T00:00:00"/>
        <d v="2023-07-10T00:00:00"/>
        <d v="2021-11-29T00:00:00"/>
        <d v="2022-10-20T00:00:00"/>
        <d v="2024-08-22T00:00:00"/>
        <d v="2023-11-09T00:00:00"/>
        <d v="2023-01-13T00:00:00"/>
        <d v="2024-01-11T00:00:00"/>
        <d v="2022-09-13T00:00:00"/>
        <d v="2022-09-12T00:00:00"/>
        <d v="2022-12-21T00:00:00"/>
        <d v="2022-06-28T00:00:00"/>
        <d v="2022-12-16T00:00:00"/>
        <d v="2022-04-20T00:00:00"/>
        <d v="2022-10-21T00:00:00"/>
        <d v="2022-09-05T00:00:00"/>
        <d v="2022-09-02T00:00:00"/>
        <d v="2022-09-14T00:00:00"/>
        <d v="2024-04-26T00:00:00"/>
        <d v="2022-06-09T00:00:00"/>
        <d v="2022-05-30T00:00:00"/>
        <d v="2023-09-28T00:00:00"/>
        <d v="2022-05-31T00:00:00"/>
        <d v="2023-09-20T00:00:00"/>
        <d v="2023-01-09T00:00:00"/>
        <d v="2022-07-25T00:00:00"/>
        <d v="2023-04-28T00:00:00"/>
        <d v="2022-10-12T00:00:00"/>
        <d v="2022-12-13T00:00:00"/>
        <d v="2023-07-11T00:00:00"/>
        <d v="2024-10-04T00:00:00"/>
        <d v="2023-02-08T00:00:00"/>
        <d v="2022-12-12T00:00:00"/>
        <d v="2022-11-30T00:00:00"/>
        <d v="2023-11-14T00:00:00"/>
        <d v="2023-09-14T00:00:00"/>
        <d v="2022-12-19T00:00:00"/>
        <d v="2025-02-17T00:00:00"/>
        <d v="2024-01-15T00:00:00"/>
        <d v="2023-04-25T00:00:00"/>
        <d v="2024-02-26T00:00:00"/>
        <d v="2025-03-03T00:00:00"/>
        <d v="2023-05-26T00:00:00"/>
        <d v="2024-06-25T00:00:00"/>
        <d v="2023-11-07T00:00:00"/>
        <d v="2024-02-02T00:00:00"/>
        <d v="2023-06-13T00:00:00"/>
        <d v="2024-02-01T00:00:00"/>
        <d v="2023-05-24T00:00:00"/>
        <d v="2024-04-02T00:00:00"/>
        <d v="2024-01-26T00:00:00"/>
        <d v="2024-05-02T00:00:00"/>
        <d v="2024-06-20T00:00:00"/>
        <d v="2024-09-16T00:00:00"/>
        <d v="2023-08-14T00:00:00"/>
        <d v="2023-07-28T00:00:00"/>
        <d v="2024-08-13T00:00:00"/>
        <d v="2023-09-07T00:00:00"/>
        <d v="2023-09-18T00:00:00"/>
        <d v="2024-04-09T00:00:00"/>
        <d v="2024-03-13T00:00:00"/>
        <d v="2024-07-09T00:00:00"/>
        <d v="2024-02-12T00:00:00"/>
        <d v="2023-12-14T00:00:00"/>
        <d v="2024-11-27T00:00:00"/>
        <d v="2024-05-16T00:00:00"/>
        <d v="2024-12-13T00:00:00"/>
        <d v="2024-05-09T00:00:00"/>
        <d v="2024-11-11T00:00:00"/>
        <d v="2024-06-11T00:00:00"/>
        <d v="2024-02-05T00:00:00"/>
        <d v="2024-09-02T00:00:00"/>
        <d v="2024-09-05T00:00:00"/>
        <d v="2024-03-25T00:00:00"/>
        <d v="2024-04-25T00:00:00"/>
        <d v="2024-09-19T00:00:00"/>
        <d v="2024-10-23T00:00:00"/>
        <d v="2024-05-08T00:00:00"/>
        <d v="2024-12-09T00:00:00"/>
        <d v="2024-10-29T00:00:00"/>
        <d v="2024-11-18T00:00:00"/>
        <d v="2025-01-09T00:00:00"/>
        <d v="2024-11-01T00:00:00"/>
        <d v="2024-07-15T00:00:00"/>
        <d v="2025-01-16T00:00:00"/>
        <d v="2024-08-19T00:00:00"/>
        <d v="2024-08-14T00:00:00"/>
        <d v="2025-02-14T00:00:00"/>
        <d v="2025-01-21T00:00:00"/>
        <d v="2024-10-01T00:00:00"/>
        <d v="2024-09-09T00:00:00"/>
        <d v="2024-10-14T00:00:00"/>
        <d v="2024-09-24T00:00:00"/>
        <d v="2024-12-18T00:00:00"/>
        <d v="2025-03-05T00:00:00"/>
        <d v="2024-11-15T00:00:00"/>
        <d v="2024-11-25T00:00:00"/>
        <d v="2024-12-02T00:00:00"/>
        <d v="2024-12-05T00:00:00"/>
        <d v="2024-11-28T00:00:00"/>
        <d v="2024-12-16T00:00:00"/>
        <d v="2025-02-19T00:00:00"/>
        <d v="2025-01-03T00:00:00"/>
        <d v="2025-01-08T00:00:00"/>
        <d v="2025-02-24T00:00:00"/>
        <d v="2025-01-28T00:00:00"/>
        <d v="2025-02-13T00:00:00"/>
        <d v="2025-03-28T00:00:00"/>
        <m/>
        <d v="2025-05-02T00:00:00"/>
      </sharedItems>
      <fieldGroup par="85"/>
    </cacheField>
    <cacheField name="Expiry Date" numFmtId="14">
      <sharedItems containsNonDate="0" containsDate="1" containsString="0" containsBlank="1" minDate="2009-07-23T00:00:00" maxDate="2028-05-03T00:00:00"/>
    </cacheField>
    <cacheField name="Start Date" numFmtId="0">
      <sharedItems containsNonDate="0" containsDate="1" containsString="0" containsBlank="1" minDate="2009-07-01T00:00:00" maxDate="2026-02-03T00:00:00"/>
    </cacheField>
    <cacheField name="24-25 start date" numFmtId="0">
      <sharedItems containsBlank="1"/>
    </cacheField>
    <cacheField name="24-25 decision date" numFmtId="0">
      <sharedItems containsBlank="1"/>
    </cacheField>
    <cacheField name="Completion Date" numFmtId="0">
      <sharedItems containsNonDate="0" containsDate="1" containsString="0" containsBlank="1" minDate="2024-04-12T00:00:00" maxDate="2026-02-04T00:00:00"/>
    </cacheField>
    <cacheField name="Site Status" numFmtId="0">
      <sharedItems count="7">
        <s v="01. Completion"/>
        <s v="02. Under Construction"/>
        <s v="03. Not Started"/>
        <s v="04. Site Allocation"/>
        <s v="05. Deliverable Site (Application under consideration)"/>
        <s v="05. Deliverable Site (Site Allocation)"/>
        <s v="05. Deliverable Sites"/>
      </sharedItems>
    </cacheField>
    <cacheField name="Tenure" numFmtId="0">
      <sharedItems/>
    </cacheField>
    <cacheField name="5YHLS" numFmtId="0">
      <sharedItems containsBlank="1"/>
    </cacheField>
    <cacheField name="Approval to completion" numFmtId="164">
      <sharedItems containsString="0" containsBlank="1" containsNumber="1" minValue="0" maxValue="8.0712328767123296"/>
    </cacheField>
    <cacheField name="Site size" numFmtId="0">
      <sharedItems containsBlank="1"/>
    </cacheField>
    <cacheField name="Proposal" numFmtId="0">
      <sharedItems containsBlank="1" longText="1"/>
    </cacheField>
    <cacheField name="Address_x000a_" numFmtId="0">
      <sharedItems/>
    </cacheField>
    <cacheField name="PostCode" numFmtId="0">
      <sharedItems/>
    </cacheField>
    <cacheField name="Plot Description" numFmtId="0">
      <sharedItems containsBlank="1"/>
    </cacheField>
    <cacheField name="1 Bed Existing" numFmtId="0">
      <sharedItems containsString="0" containsBlank="1" containsNumber="1" containsInteger="1" minValue="1" maxValue="70"/>
    </cacheField>
    <cacheField name="2 Bed Existing" numFmtId="0">
      <sharedItems containsString="0" containsBlank="1" containsNumber="1" containsInteger="1" minValue="1" maxValue="20"/>
    </cacheField>
    <cacheField name="3 Bed Existing" numFmtId="0">
      <sharedItems containsString="0" containsBlank="1" containsNumber="1" containsInteger="1" minValue="1" maxValue="6"/>
    </cacheField>
    <cacheField name="4 Bed Existing" numFmtId="0">
      <sharedItems containsString="0" containsBlank="1" containsNumber="1" containsInteger="1" minValue="1" maxValue="2"/>
    </cacheField>
    <cacheField name="5 Bed Existing" numFmtId="0">
      <sharedItems containsString="0" containsBlank="1" containsNumber="1" containsInteger="1" minValue="1" maxValue="1"/>
    </cacheField>
    <cacheField name="6 Bed Existing" numFmtId="0">
      <sharedItems containsString="0" containsBlank="1" containsNumber="1" containsInteger="1" minValue="1" maxValue="1"/>
    </cacheField>
    <cacheField name="7 Bed Existing" numFmtId="0">
      <sharedItems containsNonDate="0" containsString="0" containsBlank="1"/>
    </cacheField>
    <cacheField name="8 Bed Existing" numFmtId="0">
      <sharedItems containsNonDate="0" containsString="0" containsBlank="1"/>
    </cacheField>
    <cacheField name="Units Existing" numFmtId="0">
      <sharedItems containsString="0" containsBlank="1" containsNumber="1" containsInteger="1" minValue="0" maxValue="95"/>
    </cacheField>
    <cacheField name="Affordable" numFmtId="0">
      <sharedItems containsBlank="1"/>
    </cacheField>
    <cacheField name="1 Bed Proposed" numFmtId="0">
      <sharedItems containsString="0" containsBlank="1" containsNumber="1" containsInteger="1" minValue="0" maxValue="116"/>
    </cacheField>
    <cacheField name="2 Bed Proposed" numFmtId="0">
      <sharedItems containsString="0" containsBlank="1" containsNumber="1" containsInteger="1" minValue="0" maxValue="145"/>
    </cacheField>
    <cacheField name="3 Bed Proposed" numFmtId="0">
      <sharedItems containsString="0" containsBlank="1" containsNumber="1" containsInteger="1" minValue="0" maxValue="46"/>
    </cacheField>
    <cacheField name="4 Bed Proposed" numFmtId="0">
      <sharedItems containsString="0" containsBlank="1" containsNumber="1" containsInteger="1" minValue="0" maxValue="34"/>
    </cacheField>
    <cacheField name="5 Bed Proposed" numFmtId="0">
      <sharedItems containsString="0" containsBlank="1" containsNumber="1" containsInteger="1" minValue="1" maxValue="8"/>
    </cacheField>
    <cacheField name="6 Bed Proposed" numFmtId="0">
      <sharedItems containsString="0" containsBlank="1" containsNumber="1" containsInteger="1" minValue="1" maxValue="2"/>
    </cacheField>
    <cacheField name="7 Bed Proposed" numFmtId="0">
      <sharedItems containsString="0" containsBlank="1" containsNumber="1" containsInteger="1" minValue="1" maxValue="1"/>
    </cacheField>
    <cacheField name="8 Bed Proposed" numFmtId="0">
      <sharedItems containsString="0" containsBlank="1" containsNumber="1" containsInteger="1" minValue="1" maxValue="1"/>
    </cacheField>
    <cacheField name="Units Proposed" numFmtId="0">
      <sharedItems containsSemiMixedTypes="0" containsString="0" containsNumber="1" containsInteger="1" minValue="0" maxValue="3316"/>
    </cacheField>
    <cacheField name="1 bed net" numFmtId="0">
      <sharedItems containsSemiMixedTypes="0" containsString="0" containsNumber="1" containsInteger="1" minValue="-70" maxValue="116"/>
    </cacheField>
    <cacheField name="2 bed net" numFmtId="0">
      <sharedItems containsSemiMixedTypes="0" containsString="0" containsNumber="1" containsInteger="1" minValue="-20" maxValue="145"/>
    </cacheField>
    <cacheField name="3 bed net" numFmtId="0">
      <sharedItems containsSemiMixedTypes="0" containsString="0" containsNumber="1" containsInteger="1" minValue="-6" maxValue="46"/>
    </cacheField>
    <cacheField name="4 bed net" numFmtId="0">
      <sharedItems containsSemiMixedTypes="0" containsString="0" containsNumber="1" containsInteger="1" minValue="-2" maxValue="34"/>
    </cacheField>
    <cacheField name="5 bed net" numFmtId="0">
      <sharedItems containsSemiMixedTypes="0" containsString="0" containsNumber="1" containsInteger="1" minValue="-1" maxValue="8"/>
    </cacheField>
    <cacheField name="6 bed net" numFmtId="0">
      <sharedItems containsSemiMixedTypes="0" containsString="0" containsNumber="1" containsInteger="1" minValue="-1" maxValue="2"/>
    </cacheField>
    <cacheField name="7 bed net" numFmtId="0">
      <sharedItems containsSemiMixedTypes="0" containsString="0" containsNumber="1" containsInteger="1" minValue="0" maxValue="1"/>
    </cacheField>
    <cacheField name="8 bed net" numFmtId="0">
      <sharedItems containsSemiMixedTypes="0" containsString="0" containsNumber="1" containsInteger="1" minValue="0" maxValue="1"/>
    </cacheField>
    <cacheField name="Net Dwellings" numFmtId="0">
      <sharedItems containsSemiMixedTypes="0" containsString="0" containsNumber="1" containsInteger="1" minValue="-95" maxValue="1912"/>
    </cacheField>
    <cacheField name="Large Site" numFmtId="0">
      <sharedItems containsBlank="1"/>
    </cacheField>
    <cacheField name="2024/25 (R)" numFmtId="0">
      <sharedItems containsString="0" containsBlank="1" containsNumber="1" containsInteger="1" minValue="-1" maxValue="5"/>
    </cacheField>
    <cacheField name="2025/26 (1)" numFmtId="0">
      <sharedItems containsString="0" containsBlank="1" containsNumber="1" minValue="-11" maxValue="56"/>
    </cacheField>
    <cacheField name="2026/27 (2)" numFmtId="0">
      <sharedItems containsString="0" containsBlank="1" containsNumber="1" minValue="-1.25" maxValue="63"/>
    </cacheField>
    <cacheField name="2027/28 (3)" numFmtId="0">
      <sharedItems containsString="0" containsBlank="1" containsNumber="1" minValue="-37" maxValue="234"/>
    </cacheField>
    <cacheField name="2028/29 (4)" numFmtId="0">
      <sharedItems containsString="0" containsBlank="1" containsNumber="1" minValue="-1.25" maxValue="234"/>
    </cacheField>
    <cacheField name="2029/30 (5)" numFmtId="0">
      <sharedItems containsString="0" containsBlank="1" containsNumber="1" minValue="-1.25" maxValue="234"/>
    </cacheField>
    <cacheField name="2030/31 (6)" numFmtId="0">
      <sharedItems containsString="0" containsBlank="1" containsNumber="1" containsInteger="1" minValue="-95" maxValue="234"/>
    </cacheField>
    <cacheField name="2031/32 (7)" numFmtId="0">
      <sharedItems containsString="0" containsBlank="1" containsNumber="1" containsInteger="1" minValue="5" maxValue="234"/>
    </cacheField>
    <cacheField name="2032/33 (8)" numFmtId="0">
      <sharedItems containsString="0" containsBlank="1" containsNumber="1" containsInteger="1" minValue="5" maxValue="234"/>
    </cacheField>
    <cacheField name="2033/34 (9)" numFmtId="0">
      <sharedItems containsString="0" containsBlank="1" containsNumber="1" containsInteger="1" minValue="5" maxValue="234"/>
    </cacheField>
    <cacheField name="2034/35 (10)" numFmtId="0">
      <sharedItems containsString="0" containsBlank="1" containsNumber="1" containsInteger="1" minValue="5" maxValue="234"/>
    </cacheField>
    <cacheField name="2035/36" numFmtId="0">
      <sharedItems containsString="0" containsBlank="1" containsNumber="1" containsInteger="1" minValue="72" maxValue="234"/>
    </cacheField>
    <cacheField name="2036/37" numFmtId="0">
      <sharedItems containsString="0" containsBlank="1" containsNumber="1" containsInteger="1" minValue="72" maxValue="234"/>
    </cacheField>
    <cacheField name="2037/38" numFmtId="0">
      <sharedItems containsString="0" containsBlank="1" containsNumber="1" containsInteger="1" minValue="72" maxValue="234"/>
    </cacheField>
    <cacheField name="2038/39" numFmtId="0">
      <sharedItems containsString="0" containsBlank="1" containsNumber="1" containsInteger="1" minValue="72" maxValue="234"/>
    </cacheField>
    <cacheField name="2039/40" numFmtId="0">
      <sharedItems containsString="0" containsBlank="1" containsNumber="1" containsInteger="1" minValue="72" maxValue="234"/>
    </cacheField>
    <cacheField name="2040/41" numFmtId="0">
      <sharedItems containsString="0" containsBlank="1" containsNumber="1" containsInteger="1" minValue="72" maxValue="234"/>
    </cacheField>
    <cacheField name="2025–2029 Total" numFmtId="0">
      <sharedItems containsString="0" containsBlank="1" containsNumber="1" minValue="-37" maxValue="742"/>
    </cacheField>
    <cacheField name="2025–2035 Total" numFmtId="0">
      <sharedItems containsString="0" containsBlank="1" containsNumber="1" minValue="-95" maxValue="1912"/>
    </cacheField>
    <cacheField name="Older People" numFmtId="0">
      <sharedItems containsBlank="1"/>
    </cacheField>
    <cacheField name="ShelteredAccom" numFmtId="0">
      <sharedItems containsBlank="1"/>
    </cacheField>
    <cacheField name="MultipleOcc" numFmtId="0">
      <sharedItems containsBlank="1"/>
    </cacheField>
    <cacheField name="Easting" numFmtId="0">
      <sharedItems containsString="0" containsBlank="1" containsNumber="1" containsInteger="1" minValue="512514" maxValue="522676"/>
    </cacheField>
    <cacheField name="Northing" numFmtId="0">
      <sharedItems containsString="0" containsBlank="1" containsNumber="1" containsInteger="1" minValue="168615" maxValue="177999"/>
    </cacheField>
    <cacheField name="Ward_Name" numFmtId="0">
      <sharedItems/>
    </cacheField>
    <cacheField name="Area Name" numFmtId="0">
      <sharedItems containsBlank="1"/>
    </cacheField>
    <cacheField name="Town_Centre" numFmtId="0">
      <sharedItems containsBlank="1"/>
    </cacheField>
    <cacheField name="Thames_Policy_Area" numFmtId="0">
      <sharedItems containsBlank="1"/>
    </cacheField>
    <cacheField name="Mixed_Use_Area_Name" numFmtId="0">
      <sharedItems containsBlank="1"/>
    </cacheField>
    <cacheField name="Mixed_Use_Area" numFmtId="0">
      <sharedItems containsBlank="1"/>
    </cacheField>
    <cacheField name="Met_Open_Land" numFmtId="0">
      <sharedItems containsBlank="1"/>
    </cacheField>
    <cacheField name="Conservation_Area_Name" numFmtId="0">
      <sharedItems containsBlank="1"/>
    </cacheField>
    <cacheField name="Conservation_Area" numFmtId="0">
      <sharedItems containsBlank="1"/>
    </cacheField>
    <cacheField name="Areas_for_Intensification" numFmtId="0">
      <sharedItems containsBlank="1"/>
    </cacheField>
    <cacheField name="Place_Based_Strategies" numFmtId="0">
      <sharedItems containsBlank="1"/>
    </cacheField>
    <cacheField name="Garden Land" numFmtId="0">
      <sharedItems containsBlank="1" count="2">
        <m/>
        <s v="Y"/>
      </sharedItems>
    </cacheField>
    <cacheField name="Months (Decision Date)" numFmtId="0" databaseField="0">
      <fieldGroup base="3">
        <rangePr groupBy="months" startDate="2004-07-26T00:00:00" endDate="2025-05-03T00:00:00"/>
        <groupItems count="14">
          <s v="&lt;26/07/2004"/>
          <s v="Jan"/>
          <s v="Feb"/>
          <s v="Mar"/>
          <s v="Apr"/>
          <s v="May"/>
          <s v="Jun"/>
          <s v="Jul"/>
          <s v="Aug"/>
          <s v="Sep"/>
          <s v="Oct"/>
          <s v="Nov"/>
          <s v="Dec"/>
          <s v="&gt;03/05/2025"/>
        </groupItems>
      </fieldGroup>
    </cacheField>
    <cacheField name="Quarters (Decision Date)" numFmtId="0" databaseField="0">
      <fieldGroup base="3">
        <rangePr groupBy="quarters" startDate="2004-07-26T00:00:00" endDate="2025-05-03T00:00:00"/>
        <groupItems count="6">
          <s v="&lt;26/07/2004"/>
          <s v="Qtr1"/>
          <s v="Qtr2"/>
          <s v="Qtr3"/>
          <s v="Qtr4"/>
          <s v="&gt;03/05/2025"/>
        </groupItems>
      </fieldGroup>
    </cacheField>
    <cacheField name="Years (Decision Date)" numFmtId="0" databaseField="0">
      <fieldGroup base="3">
        <rangePr groupBy="years" startDate="2004-07-26T00:00:00" endDate="2025-05-03T00:00:00"/>
        <groupItems count="24">
          <s v="&lt;26/07/2004"/>
          <s v="2004"/>
          <s v="2005"/>
          <s v="2006"/>
          <s v="2007"/>
          <s v="2008"/>
          <s v="2009"/>
          <s v="2010"/>
          <s v="2011"/>
          <s v="2012"/>
          <s v="2013"/>
          <s v="2014"/>
          <s v="2015"/>
          <s v="2016"/>
          <s v="2017"/>
          <s v="2018"/>
          <s v="2019"/>
          <s v="2020"/>
          <s v="2021"/>
          <s v="2022"/>
          <s v="2023"/>
          <s v="2024"/>
          <s v="2025"/>
          <s v="&gt;03/05/2025"/>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s, Chris" refreshedDate="46189.402536689813" createdVersion="8" refreshedVersion="8" minRefreshableVersion="3" recordCount="333" xr:uid="{422F47CC-832A-447C-A3C7-C45BE55E0372}">
  <cacheSource type="worksheet">
    <worksheetSource ref="A1:BT334" sheet="Data"/>
  </cacheSource>
  <cacheFields count="72">
    <cacheField name="Planning Ref" numFmtId="0">
      <sharedItems/>
    </cacheField>
    <cacheField name="Development Category" numFmtId="0">
      <sharedItems count="5">
        <s v="NEW"/>
        <s v="CHU"/>
        <s v="EXT"/>
        <s v="MIX"/>
        <s v="CON"/>
      </sharedItems>
    </cacheField>
    <cacheField name="Application Type" numFmtId="0">
      <sharedItems containsBlank="1"/>
    </cacheField>
    <cacheField name="Decision Date" numFmtId="14">
      <sharedItems containsSemiMixedTypes="0" containsNonDate="0" containsDate="1" containsString="0" minDate="2004-07-26T00:00:00" maxDate="2025-03-29T00:00:00"/>
    </cacheField>
    <cacheField name="Expiry Date" numFmtId="14">
      <sharedItems containsSemiMixedTypes="0" containsNonDate="0" containsDate="1" containsString="0" minDate="2009-07-23T00:00:00" maxDate="2028-03-29T00:00:00"/>
    </cacheField>
    <cacheField name="Start Date" numFmtId="0">
      <sharedItems containsNonDate="0" containsDate="1" containsString="0" containsBlank="1" minDate="2009-07-01T00:00:00" maxDate="2026-02-03T00:00:00"/>
    </cacheField>
    <cacheField name="24-25 start date" numFmtId="0">
      <sharedItems containsBlank="1"/>
    </cacheField>
    <cacheField name="24-25 decision date" numFmtId="0">
      <sharedItems containsBlank="1"/>
    </cacheField>
    <cacheField name="Completion Date" numFmtId="0">
      <sharedItems containsNonDate="0" containsDate="1" containsString="0" containsBlank="1" minDate="2024-04-12T00:00:00" maxDate="2026-02-04T00:00:00"/>
    </cacheField>
    <cacheField name="Site Status" numFmtId="0">
      <sharedItems containsBlank="1" count="8">
        <s v="01. Completion"/>
        <s v="02. Under Construction"/>
        <s v="03. Not Started"/>
        <s v="05. Deliverable Site (Application under consideration)" u="1"/>
        <s v="05. Deliverable Sites" u="1"/>
        <s v="04. Site Allocation" u="1"/>
        <s v="05. Deliverable Site (Site Allocation)" u="1"/>
        <m u="1"/>
      </sharedItems>
    </cacheField>
    <cacheField name="Tenure" numFmtId="0">
      <sharedItems containsBlank="1" count="11">
        <s v="Open Market"/>
        <s v="Affordable Rent"/>
        <s v="Intermediate"/>
        <s v="London Affordable Rent"/>
        <s v="Shared Ownership"/>
        <s v="London Living rent"/>
        <s v="Social Rent"/>
        <s v="Living Rent" u="1"/>
        <s v="Open Market / Affordable" u="1"/>
        <m u="1"/>
        <s v="Social rented" u="1"/>
      </sharedItems>
    </cacheField>
    <cacheField name="5YHLS" numFmtId="0">
      <sharedItems containsBlank="1"/>
    </cacheField>
    <cacheField name="Approval to completion" numFmtId="164">
      <sharedItems containsString="0" containsBlank="1" containsNumber="1" minValue="0" maxValue="8.0712328767123296"/>
    </cacheField>
    <cacheField name="Site size" numFmtId="0">
      <sharedItems containsBlank="1"/>
    </cacheField>
    <cacheField name="Proposal" numFmtId="0">
      <sharedItems longText="1"/>
    </cacheField>
    <cacheField name="Address_x000a_" numFmtId="0">
      <sharedItems/>
    </cacheField>
    <cacheField name="PostCode" numFmtId="0">
      <sharedItems/>
    </cacheField>
    <cacheField name="Plot Description" numFmtId="0">
      <sharedItems containsBlank="1"/>
    </cacheField>
    <cacheField name="1 Bed Existing" numFmtId="0">
      <sharedItems containsString="0" containsBlank="1" containsNumber="1" containsInteger="1" minValue="1" maxValue="70"/>
    </cacheField>
    <cacheField name="2 Bed Existing" numFmtId="0">
      <sharedItems containsString="0" containsBlank="1" containsNumber="1" containsInteger="1" minValue="1" maxValue="20"/>
    </cacheField>
    <cacheField name="3 Bed Existing" numFmtId="0">
      <sharedItems containsString="0" containsBlank="1" containsNumber="1" containsInteger="1" minValue="1" maxValue="6"/>
    </cacheField>
    <cacheField name="4 Bed Existing" numFmtId="0">
      <sharedItems containsString="0" containsBlank="1" containsNumber="1" containsInteger="1" minValue="1" maxValue="2"/>
    </cacheField>
    <cacheField name="5 Bed Existing" numFmtId="0">
      <sharedItems containsString="0" containsBlank="1" containsNumber="1" containsInteger="1" minValue="1" maxValue="1"/>
    </cacheField>
    <cacheField name="6 Bed Existing" numFmtId="0">
      <sharedItems containsString="0" containsBlank="1" containsNumber="1" containsInteger="1" minValue="1" maxValue="1"/>
    </cacheField>
    <cacheField name="7 Bed Existing" numFmtId="0">
      <sharedItems containsNonDate="0" containsString="0" containsBlank="1"/>
    </cacheField>
    <cacheField name="8 Bed Existing" numFmtId="0">
      <sharedItems containsNonDate="0" containsString="0" containsBlank="1"/>
    </cacheField>
    <cacheField name="Units Existing" numFmtId="0">
      <sharedItems containsSemiMixedTypes="0" containsString="0" containsNumber="1" containsInteger="1" minValue="0" maxValue="95"/>
    </cacheField>
    <cacheField name="Affordable" numFmtId="0">
      <sharedItems containsBlank="1"/>
    </cacheField>
    <cacheField name="1 Bed Proposed" numFmtId="0">
      <sharedItems containsString="0" containsBlank="1" containsNumber="1" containsInteger="1" minValue="1" maxValue="116"/>
    </cacheField>
    <cacheField name="2 Bed Proposed" numFmtId="0">
      <sharedItems containsString="0" containsBlank="1" containsNumber="1" containsInteger="1" minValue="1" maxValue="145"/>
    </cacheField>
    <cacheField name="3 Bed Proposed" numFmtId="0">
      <sharedItems containsString="0" containsBlank="1" containsNumber="1" containsInteger="1" minValue="1" maxValue="39"/>
    </cacheField>
    <cacheField name="4 Bed Proposed" numFmtId="0">
      <sharedItems containsString="0" containsBlank="1" containsNumber="1" containsInteger="1" minValue="1" maxValue="34"/>
    </cacheField>
    <cacheField name="5 Bed Proposed" numFmtId="0">
      <sharedItems containsString="0" containsBlank="1" containsNumber="1" containsInteger="1" minValue="1" maxValue="8"/>
    </cacheField>
    <cacheField name="6 Bed Proposed" numFmtId="0">
      <sharedItems containsString="0" containsBlank="1" containsNumber="1" containsInteger="1" minValue="1" maxValue="2"/>
    </cacheField>
    <cacheField name="7 Bed Proposed" numFmtId="0">
      <sharedItems containsString="0" containsBlank="1" containsNumber="1" containsInteger="1" minValue="1" maxValue="1"/>
    </cacheField>
    <cacheField name="8 Bed Proposed" numFmtId="0">
      <sharedItems containsString="0" containsBlank="1" containsNumber="1" containsInteger="1" minValue="1" maxValue="1"/>
    </cacheField>
    <cacheField name="Units Proposed" numFmtId="0">
      <sharedItems containsSemiMixedTypes="0" containsString="0" containsNumber="1" containsInteger="1" minValue="0" maxValue="280"/>
    </cacheField>
    <cacheField name="1 bed net" numFmtId="0">
      <sharedItems containsSemiMixedTypes="0" containsString="0" containsNumber="1" containsInteger="1" minValue="-70" maxValue="116"/>
    </cacheField>
    <cacheField name="2 bed net" numFmtId="0">
      <sharedItems containsSemiMixedTypes="0" containsString="0" containsNumber="1" containsInteger="1" minValue="-20" maxValue="145"/>
    </cacheField>
    <cacheField name="3 bed net" numFmtId="0">
      <sharedItems containsSemiMixedTypes="0" containsString="0" containsNumber="1" containsInteger="1" minValue="-6" maxValue="39"/>
    </cacheField>
    <cacheField name="4 bed net" numFmtId="0">
      <sharedItems containsSemiMixedTypes="0" containsString="0" containsNumber="1" containsInteger="1" minValue="-2" maxValue="34"/>
    </cacheField>
    <cacheField name="5 bed net" numFmtId="0">
      <sharedItems containsSemiMixedTypes="0" containsString="0" containsNumber="1" containsInteger="1" minValue="-1" maxValue="8"/>
    </cacheField>
    <cacheField name="6 bed net" numFmtId="0">
      <sharedItems containsSemiMixedTypes="0" containsString="0" containsNumber="1" containsInteger="1" minValue="-1" maxValue="2"/>
    </cacheField>
    <cacheField name="7 bed net" numFmtId="0">
      <sharedItems containsSemiMixedTypes="0" containsString="0" containsNumber="1" containsInteger="1" minValue="0" maxValue="1"/>
    </cacheField>
    <cacheField name="8 bed net" numFmtId="0">
      <sharedItems containsSemiMixedTypes="0" containsString="0" containsNumber="1" containsInteger="1" minValue="0" maxValue="1"/>
    </cacheField>
    <cacheField name="Net Dwellings" numFmtId="0">
      <sharedItems containsSemiMixedTypes="0" containsString="0" containsNumber="1" containsInteger="1" minValue="-95" maxValue="280"/>
    </cacheField>
    <cacheField name="Large Site" numFmtId="0">
      <sharedItems containsBlank="1"/>
    </cacheField>
    <cacheField name="2024/25 (R)" numFmtId="0">
      <sharedItems containsString="0" containsBlank="1" containsNumber="1" containsInteger="1" minValue="-1" maxValue="5"/>
    </cacheField>
    <cacheField name="2025/26 (1)" numFmtId="0">
      <sharedItems containsString="0" containsBlank="1" containsNumber="1" minValue="-11" maxValue="56"/>
    </cacheField>
    <cacheField name="2026/27 (2)" numFmtId="0">
      <sharedItems containsString="0" containsBlank="1" containsNumber="1" minValue="-1.25" maxValue="63"/>
    </cacheField>
    <cacheField name="2027/28 (3)" numFmtId="0">
      <sharedItems containsString="0" containsBlank="1" containsNumber="1" minValue="-37" maxValue="88"/>
    </cacheField>
    <cacheField name="2028/29 (4)" numFmtId="0">
      <sharedItems containsString="0" containsBlank="1" containsNumber="1" minValue="-1.25" maxValue="140"/>
    </cacheField>
    <cacheField name="2029/30 (5)" numFmtId="0">
      <sharedItems containsString="0" containsBlank="1" containsNumber="1" minValue="-1.25" maxValue="140"/>
    </cacheField>
    <cacheField name="2030/31 (6)" numFmtId="0">
      <sharedItems containsString="0" containsBlank="1" containsNumber="1" containsInteger="1" minValue="-95" maxValue="-37"/>
    </cacheField>
    <cacheField name="2031/32 (7)" numFmtId="0">
      <sharedItems containsString="0" containsBlank="1" containsNumber="1" containsInteger="1" minValue="35" maxValue="35"/>
    </cacheField>
    <cacheField name="2032/33 (8)" numFmtId="0">
      <sharedItems containsString="0" containsBlank="1" containsNumber="1" containsInteger="1" minValue="10" maxValue="73"/>
    </cacheField>
    <cacheField name="2033/34 (9)" numFmtId="0">
      <sharedItems containsString="0" containsBlank="1" containsNumber="1" containsInteger="1" minValue="38" maxValue="38"/>
    </cacheField>
    <cacheField name="2034/35 (10)" numFmtId="0">
      <sharedItems containsNonDate="0" containsString="0" containsBlank="1"/>
    </cacheField>
    <cacheField name="2035/36" numFmtId="0">
      <sharedItems containsNonDate="0" containsString="0" containsBlank="1"/>
    </cacheField>
    <cacheField name="2036/37" numFmtId="0">
      <sharedItems containsNonDate="0" containsString="0" containsBlank="1"/>
    </cacheField>
    <cacheField name="2037/38" numFmtId="0">
      <sharedItems containsNonDate="0" containsString="0" containsBlank="1"/>
    </cacheField>
    <cacheField name="2038/39" numFmtId="0">
      <sharedItems containsNonDate="0" containsString="0" containsBlank="1"/>
    </cacheField>
    <cacheField name="2039/40" numFmtId="0">
      <sharedItems containsNonDate="0" containsString="0" containsBlank="1"/>
    </cacheField>
    <cacheField name="2040/41" numFmtId="0">
      <sharedItems containsNonDate="0" containsString="0" containsBlank="1"/>
    </cacheField>
    <cacheField name="2025–2029 Total" numFmtId="0">
      <sharedItems containsString="0" containsBlank="1" containsNumber="1" containsInteger="1" minValue="-37" maxValue="280"/>
    </cacheField>
    <cacheField name="2025–2035 Total" numFmtId="0">
      <sharedItems containsString="0" containsBlank="1" containsNumber="1" containsInteger="1" minValue="-95" maxValue="280"/>
    </cacheField>
    <cacheField name="Older People" numFmtId="0">
      <sharedItems containsBlank="1"/>
    </cacheField>
    <cacheField name="ShelteredAccom" numFmtId="0">
      <sharedItems containsBlank="1"/>
    </cacheField>
    <cacheField name="MultipleOcc" numFmtId="0">
      <sharedItems containsBlank="1"/>
    </cacheField>
    <cacheField name="Easting" numFmtId="0">
      <sharedItems containsSemiMixedTypes="0" containsString="0" containsNumber="1" containsInteger="1" minValue="512514" maxValue="522676"/>
    </cacheField>
    <cacheField name="Northing" numFmtId="0">
      <sharedItems containsSemiMixedTypes="0" containsString="0" containsNumber="1" containsInteger="1" minValue="168615" maxValue="177999"/>
    </cacheField>
    <cacheField name="Ward_Name"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s, Chris" refreshedDate="46189.402537847222" createdVersion="8" refreshedVersion="8" minRefreshableVersion="3" recordCount="363" xr:uid="{F8D01DFD-1DED-4652-988E-27FA7908D328}">
  <cacheSource type="worksheet">
    <worksheetSource ref="A1:CD364" sheet="Data"/>
  </cacheSource>
  <cacheFields count="85">
    <cacheField name="Planning Ref" numFmtId="0">
      <sharedItems/>
    </cacheField>
    <cacheField name="Development Category" numFmtId="0">
      <sharedItems count="5">
        <s v="NEW"/>
        <s v="CHU"/>
        <s v="EXT"/>
        <s v="MIX"/>
        <s v="CON"/>
      </sharedItems>
    </cacheField>
    <cacheField name="Application Type" numFmtId="0">
      <sharedItems containsBlank="1" count="8">
        <s v="FULL"/>
        <s v="PA"/>
        <s v="S192"/>
        <s v="ES191"/>
        <s v="VRC"/>
        <m/>
        <s v="OUT"/>
        <s v="N/A"/>
      </sharedItems>
    </cacheField>
    <cacheField name="Decision Date" numFmtId="14">
      <sharedItems containsNonDate="0" containsDate="1" containsString="0" containsBlank="1" minDate="2004-07-26T00:00:00" maxDate="2025-05-03T00:00:00" count="265">
        <d v="2017-03-07T00:00:00"/>
        <d v="2018-11-29T00:00:00"/>
        <d v="2019-08-21T00:00:00"/>
        <d v="2019-09-30T00:00:00"/>
        <d v="2020-05-06T00:00:00"/>
        <d v="2020-06-18T00:00:00"/>
        <d v="2020-07-08T00:00:00"/>
        <d v="2020-10-02T00:00:00"/>
        <d v="2021-06-24T00:00:00"/>
        <d v="2021-02-12T00:00:00"/>
        <d v="2021-10-28T00:00:00"/>
        <d v="2021-05-12T00:00:00"/>
        <d v="2021-05-19T00:00:00"/>
        <d v="2023-02-16T00:00:00"/>
        <d v="2021-07-26T00:00:00"/>
        <d v="2022-08-10T00:00:00"/>
        <d v="2022-04-08T00:00:00"/>
        <d v="2022-08-12T00:00:00"/>
        <d v="2022-02-02T00:00:00"/>
        <d v="2022-01-21T00:00:00"/>
        <d v="2022-03-24T00:00:00"/>
        <d v="2022-07-18T00:00:00"/>
        <d v="2023-02-07T00:00:00"/>
        <d v="2023-09-06T00:00:00"/>
        <d v="2022-08-09T00:00:00"/>
        <d v="2023-04-20T00:00:00"/>
        <d v="2022-12-09T00:00:00"/>
        <d v="2023-01-19T00:00:00"/>
        <d v="2022-09-16T00:00:00"/>
        <d v="2022-11-16T00:00:00"/>
        <d v="2022-11-28T00:00:00"/>
        <d v="2024-03-01T00:00:00"/>
        <d v="2023-01-26T00:00:00"/>
        <d v="2023-03-13T00:00:00"/>
        <d v="2023-03-28T00:00:00"/>
        <d v="2023-06-23T00:00:00"/>
        <d v="2024-01-24T00:00:00"/>
        <d v="2023-08-17T00:00:00"/>
        <d v="2023-07-17T00:00:00"/>
        <d v="2023-07-24T00:00:00"/>
        <d v="2023-10-12T00:00:00"/>
        <d v="2023-08-07T00:00:00"/>
        <d v="2023-08-29T00:00:00"/>
        <d v="2024-04-23T00:00:00"/>
        <d v="2024-03-08T00:00:00"/>
        <d v="2024-06-26T00:00:00"/>
        <d v="2024-04-12T00:00:00"/>
        <d v="2024-04-17T00:00:00"/>
        <d v="2024-06-03T00:00:00"/>
        <d v="2024-05-24T00:00:00"/>
        <d v="2024-05-20T00:00:00"/>
        <d v="2024-04-22T00:00:00"/>
        <d v="2024-06-12T00:00:00"/>
        <d v="2024-07-10T00:00:00"/>
        <d v="2024-05-23T00:00:00"/>
        <d v="2024-07-16T00:00:00"/>
        <d v="2024-12-06T00:00:00"/>
        <d v="2024-09-03T00:00:00"/>
        <d v="2024-10-09T00:00:00"/>
        <d v="2024-12-30T00:00:00"/>
        <d v="2025-02-26T00:00:00"/>
        <d v="2004-07-26T00:00:00"/>
        <d v="2009-04-03T00:00:00"/>
        <d v="2011-03-07T00:00:00"/>
        <d v="2013-07-31T00:00:00"/>
        <d v="2013-09-03T00:00:00"/>
        <d v="2014-08-20T00:00:00"/>
        <d v="2016-07-14T00:00:00"/>
        <d v="2018-07-19T00:00:00"/>
        <d v="2017-11-02T00:00:00"/>
        <d v="2018-03-23T00:00:00"/>
        <d v="2018-01-08T00:00:00"/>
        <d v="2021-08-10T00:00:00"/>
        <d v="2018-11-15T00:00:00"/>
        <d v="2018-07-26T00:00:00"/>
        <d v="2018-04-25T00:00:00"/>
        <d v="2018-12-05T00:00:00"/>
        <d v="2018-12-21T00:00:00"/>
        <d v="2019-01-07T00:00:00"/>
        <d v="2020-09-16T00:00:00"/>
        <d v="2019-10-17T00:00:00"/>
        <d v="2019-07-15T00:00:00"/>
        <d v="2019-12-12T00:00:00"/>
        <d v="2019-05-09T00:00:00"/>
        <d v="2021-07-28T00:00:00"/>
        <d v="2020-02-05T00:00:00"/>
        <d v="2019-10-16T00:00:00"/>
        <d v="2019-07-10T00:00:00"/>
        <d v="2020-03-20T00:00:00"/>
        <d v="2019-07-03T00:00:00"/>
        <d v="2020-06-08T00:00:00"/>
        <d v="2021-01-13T00:00:00"/>
        <d v="2021-06-30T00:00:00"/>
        <d v="2020-06-19T00:00:00"/>
        <d v="2020-09-18T00:00:00"/>
        <d v="2021-03-03T00:00:00"/>
        <d v="2020-11-02T00:00:00"/>
        <d v="2020-10-22T00:00:00"/>
        <d v="2020-10-05T00:00:00"/>
        <d v="2022-04-04T00:00:00"/>
        <d v="2020-09-24T00:00:00"/>
        <d v="2021-08-02T00:00:00"/>
        <d v="2020-10-30T00:00:00"/>
        <d v="2022-03-04T00:00:00"/>
        <d v="2021-03-08T00:00:00"/>
        <d v="2021-02-16T00:00:00"/>
        <d v="2021-08-03T00:00:00"/>
        <d v="2021-04-12T00:00:00"/>
        <d v="2023-12-21T00:00:00"/>
        <d v="2022-04-21T00:00:00"/>
        <d v="2022-03-31T00:00:00"/>
        <d v="2023-04-05T00:00:00"/>
        <d v="2023-01-30T00:00:00"/>
        <d v="2022-08-23T00:00:00"/>
        <d v="2022-06-23T00:00:00"/>
        <d v="2021-10-20T00:00:00"/>
        <d v="2022-03-02T00:00:00"/>
        <d v="2023-02-28T00:00:00"/>
        <d v="2022-08-22T00:00:00"/>
        <d v="2022-05-20T00:00:00"/>
        <d v="2022-07-12T00:00:00"/>
        <d v="2022-08-05T00:00:00"/>
        <d v="2022-03-22T00:00:00"/>
        <d v="2022-11-07T00:00:00"/>
        <d v="2022-08-26T00:00:00"/>
        <d v="2023-05-02T00:00:00"/>
        <d v="2022-05-26T00:00:00"/>
        <d v="2022-06-14T00:00:00"/>
        <d v="2022-06-20T00:00:00"/>
        <d v="2023-03-22T00:00:00"/>
        <d v="2023-02-10T00:00:00"/>
        <d v="2023-08-08T00:00:00"/>
        <d v="2024-06-14T00:00:00"/>
        <d v="2023-07-14T00:00:00"/>
        <d v="2022-12-15T00:00:00"/>
        <d v="2023-06-14T00:00:00"/>
        <d v="2023-08-03T00:00:00"/>
        <d v="2023-07-04T00:00:00"/>
        <d v="2023-07-05T00:00:00"/>
        <d v="2024-01-30T00:00:00"/>
        <d v="2024-05-29T00:00:00"/>
        <d v="2024-01-16T00:00:00"/>
        <d v="2024-03-26T00:00:00"/>
        <d v="2023-12-22T00:00:00"/>
        <d v="2024-07-26T00:00:00"/>
        <d v="2024-11-06T00:00:00"/>
        <d v="2024-08-15T00:00:00"/>
        <d v="2024-11-14T00:00:00"/>
        <d v="2024-09-04T00:00:00"/>
        <d v="2024-09-26T00:00:00"/>
        <d v="2024-12-19T00:00:00"/>
        <d v="2024-12-20T00:00:00"/>
        <d v="2025-02-11T00:00:00"/>
        <d v="2023-10-27T00:00:00"/>
        <d v="2023-08-31T00:00:00"/>
        <d v="2022-06-30T00:00:00"/>
        <d v="2023-07-10T00:00:00"/>
        <d v="2021-11-29T00:00:00"/>
        <d v="2022-10-20T00:00:00"/>
        <d v="2024-08-22T00:00:00"/>
        <d v="2023-11-09T00:00:00"/>
        <d v="2023-01-13T00:00:00"/>
        <d v="2024-01-11T00:00:00"/>
        <d v="2022-09-13T00:00:00"/>
        <d v="2022-09-12T00:00:00"/>
        <d v="2022-12-21T00:00:00"/>
        <d v="2022-06-28T00:00:00"/>
        <d v="2022-12-16T00:00:00"/>
        <d v="2022-04-20T00:00:00"/>
        <d v="2022-10-21T00:00:00"/>
        <d v="2022-09-05T00:00:00"/>
        <d v="2022-09-02T00:00:00"/>
        <d v="2022-09-14T00:00:00"/>
        <d v="2024-04-26T00:00:00"/>
        <d v="2022-06-09T00:00:00"/>
        <d v="2022-05-30T00:00:00"/>
        <d v="2023-09-28T00:00:00"/>
        <d v="2022-05-31T00:00:00"/>
        <d v="2023-09-20T00:00:00"/>
        <d v="2023-01-09T00:00:00"/>
        <d v="2022-07-25T00:00:00"/>
        <d v="2023-04-28T00:00:00"/>
        <d v="2022-10-12T00:00:00"/>
        <d v="2022-12-13T00:00:00"/>
        <d v="2023-07-11T00:00:00"/>
        <d v="2024-10-04T00:00:00"/>
        <d v="2023-02-08T00:00:00"/>
        <d v="2022-12-12T00:00:00"/>
        <d v="2022-11-30T00:00:00"/>
        <d v="2023-11-14T00:00:00"/>
        <d v="2023-09-14T00:00:00"/>
        <d v="2022-12-19T00:00:00"/>
        <d v="2025-02-17T00:00:00"/>
        <d v="2024-01-15T00:00:00"/>
        <d v="2023-04-25T00:00:00"/>
        <d v="2024-02-26T00:00:00"/>
        <d v="2025-03-03T00:00:00"/>
        <d v="2023-05-26T00:00:00"/>
        <d v="2024-06-25T00:00:00"/>
        <d v="2023-11-07T00:00:00"/>
        <d v="2024-02-02T00:00:00"/>
        <d v="2023-06-13T00:00:00"/>
        <d v="2024-02-01T00:00:00"/>
        <d v="2023-05-24T00:00:00"/>
        <d v="2024-04-02T00:00:00"/>
        <d v="2024-01-26T00:00:00"/>
        <d v="2024-05-02T00:00:00"/>
        <d v="2024-06-20T00:00:00"/>
        <d v="2024-09-16T00:00:00"/>
        <d v="2023-08-14T00:00:00"/>
        <d v="2023-07-28T00:00:00"/>
        <d v="2024-08-13T00:00:00"/>
        <d v="2023-09-07T00:00:00"/>
        <d v="2023-09-18T00:00:00"/>
        <d v="2024-04-09T00:00:00"/>
        <d v="2024-03-13T00:00:00"/>
        <d v="2024-07-09T00:00:00"/>
        <d v="2024-02-12T00:00:00"/>
        <d v="2023-12-14T00:00:00"/>
        <d v="2024-11-27T00:00:00"/>
        <d v="2024-05-16T00:00:00"/>
        <d v="2024-12-13T00:00:00"/>
        <d v="2024-05-09T00:00:00"/>
        <d v="2024-11-11T00:00:00"/>
        <d v="2024-06-11T00:00:00"/>
        <d v="2024-02-05T00:00:00"/>
        <d v="2024-09-02T00:00:00"/>
        <d v="2024-09-05T00:00:00"/>
        <d v="2024-03-25T00:00:00"/>
        <d v="2024-04-25T00:00:00"/>
        <d v="2024-09-19T00:00:00"/>
        <d v="2024-10-23T00:00:00"/>
        <d v="2024-05-08T00:00:00"/>
        <d v="2024-12-09T00:00:00"/>
        <d v="2024-10-29T00:00:00"/>
        <d v="2024-11-18T00:00:00"/>
        <d v="2025-01-09T00:00:00"/>
        <d v="2024-11-01T00:00:00"/>
        <d v="2024-07-15T00:00:00"/>
        <d v="2025-01-16T00:00:00"/>
        <d v="2024-08-19T00:00:00"/>
        <d v="2024-08-14T00:00:00"/>
        <d v="2025-02-14T00:00:00"/>
        <d v="2025-01-21T00:00:00"/>
        <d v="2024-10-01T00:00:00"/>
        <d v="2024-09-09T00:00:00"/>
        <d v="2024-10-14T00:00:00"/>
        <d v="2024-09-24T00:00:00"/>
        <d v="2024-12-18T00:00:00"/>
        <d v="2025-03-05T00:00:00"/>
        <d v="2024-11-15T00:00:00"/>
        <d v="2024-11-25T00:00:00"/>
        <d v="2024-12-02T00:00:00"/>
        <d v="2024-12-05T00:00:00"/>
        <d v="2024-11-28T00:00:00"/>
        <d v="2024-12-16T00:00:00"/>
        <d v="2025-02-19T00:00:00"/>
        <d v="2025-01-03T00:00:00"/>
        <d v="2025-01-08T00:00:00"/>
        <d v="2025-02-24T00:00:00"/>
        <d v="2025-01-28T00:00:00"/>
        <d v="2025-02-13T00:00:00"/>
        <d v="2025-03-28T00:00:00"/>
        <m/>
        <d v="2025-05-02T00:00:00"/>
      </sharedItems>
      <fieldGroup par="84"/>
    </cacheField>
    <cacheField name="Expiry Date" numFmtId="14">
      <sharedItems containsNonDate="0" containsDate="1" containsString="0" containsBlank="1" minDate="2009-07-23T00:00:00" maxDate="2028-05-03T00:00:00"/>
    </cacheField>
    <cacheField name="Start Date" numFmtId="0">
      <sharedItems containsNonDate="0" containsDate="1" containsString="0" containsBlank="1" minDate="2009-07-01T00:00:00" maxDate="2026-02-03T00:00:00"/>
    </cacheField>
    <cacheField name="24-25 start date" numFmtId="0">
      <sharedItems containsBlank="1"/>
    </cacheField>
    <cacheField name="24-25 decision date" numFmtId="0">
      <sharedItems containsBlank="1" count="2">
        <m/>
        <s v="Y"/>
      </sharedItems>
    </cacheField>
    <cacheField name="Completion Date" numFmtId="0">
      <sharedItems containsNonDate="0" containsDate="1" containsString="0" containsBlank="1" minDate="2024-04-12T00:00:00" maxDate="2026-02-04T00:00:00"/>
    </cacheField>
    <cacheField name="Site Status" numFmtId="0">
      <sharedItems count="7">
        <s v="01. Completion"/>
        <s v="02. Under Construction"/>
        <s v="03. Not Started"/>
        <s v="04. Site Allocation"/>
        <s v="05. Deliverable Site (Application under consideration)"/>
        <s v="05. Deliverable Site (Site Allocation)"/>
        <s v="05. Deliverable Sites"/>
      </sharedItems>
    </cacheField>
    <cacheField name="Tenure" numFmtId="0">
      <sharedItems count="8">
        <s v="Open Market"/>
        <s v="Affordable Rent"/>
        <s v="Intermediate"/>
        <s v="London Affordable Rent"/>
        <s v="Shared Ownership"/>
        <s v="London Living rent"/>
        <s v="Social Rent"/>
        <s v="Open Market / Affordable"/>
      </sharedItems>
    </cacheField>
    <cacheField name="5YHLS" numFmtId="0">
      <sharedItems containsBlank="1" count="12">
        <m/>
        <s v="N"/>
        <s v="Sainsbury’s, Manor Road"/>
        <s v="Teddington Telephone Exchange"/>
        <s v="Barnes Hospital, East Sheen"/>
        <s v="Stag Brewery"/>
        <s v="St Clare Business Park"/>
        <s v="Teddington Police Station"/>
        <s v="Twickenham Telephone Exchange"/>
        <s v="Whitton Telephone Exchange"/>
        <s v="Large Sites Trend"/>
        <s v="Small Sites Trend"/>
      </sharedItems>
    </cacheField>
    <cacheField name="Approval to completion" numFmtId="164">
      <sharedItems containsString="0" containsBlank="1" containsNumber="1" minValue="0" maxValue="8.0712328767123296"/>
    </cacheField>
    <cacheField name="Site size" numFmtId="0">
      <sharedItems containsBlank="1" count="3">
        <s v="1 to 4"/>
        <s v="5 to 9"/>
        <m/>
      </sharedItems>
    </cacheField>
    <cacheField name="Proposal" numFmtId="0">
      <sharedItems containsBlank="1" longText="1"/>
    </cacheField>
    <cacheField name="Address_x000a_" numFmtId="0">
      <sharedItems/>
    </cacheField>
    <cacheField name="PostCode" numFmtId="0">
      <sharedItems/>
    </cacheField>
    <cacheField name="Plot Description" numFmtId="0">
      <sharedItems containsBlank="1"/>
    </cacheField>
    <cacheField name="1 Bed Existing" numFmtId="0">
      <sharedItems containsString="0" containsBlank="1" containsNumber="1" containsInteger="1" minValue="1" maxValue="70"/>
    </cacheField>
    <cacheField name="2 Bed Existing" numFmtId="0">
      <sharedItems containsString="0" containsBlank="1" containsNumber="1" containsInteger="1" minValue="1" maxValue="20"/>
    </cacheField>
    <cacheField name="3 Bed Existing" numFmtId="0">
      <sharedItems containsString="0" containsBlank="1" containsNumber="1" containsInteger="1" minValue="1" maxValue="6"/>
    </cacheField>
    <cacheField name="4 Bed Existing" numFmtId="0">
      <sharedItems containsString="0" containsBlank="1" containsNumber="1" containsInteger="1" minValue="1" maxValue="2"/>
    </cacheField>
    <cacheField name="5 Bed Existing" numFmtId="0">
      <sharedItems containsString="0" containsBlank="1" containsNumber="1" containsInteger="1" minValue="1" maxValue="1"/>
    </cacheField>
    <cacheField name="6 Bed Existing" numFmtId="0">
      <sharedItems containsString="0" containsBlank="1" containsNumber="1" containsInteger="1" minValue="1" maxValue="1"/>
    </cacheField>
    <cacheField name="7 Bed Existing" numFmtId="0">
      <sharedItems containsNonDate="0" containsString="0" containsBlank="1"/>
    </cacheField>
    <cacheField name="8 Bed Existing" numFmtId="0">
      <sharedItems containsNonDate="0" containsString="0" containsBlank="1"/>
    </cacheField>
    <cacheField name="Units Existing" numFmtId="0">
      <sharedItems containsString="0" containsBlank="1" containsNumber="1" containsInteger="1" minValue="0" maxValue="95"/>
    </cacheField>
    <cacheField name="Affordable" numFmtId="0">
      <sharedItems containsBlank="1"/>
    </cacheField>
    <cacheField name="1 Bed Proposed" numFmtId="0">
      <sharedItems containsString="0" containsBlank="1" containsNumber="1" containsInteger="1" minValue="0" maxValue="116"/>
    </cacheField>
    <cacheField name="2 Bed Proposed" numFmtId="0">
      <sharedItems containsString="0" containsBlank="1" containsNumber="1" containsInteger="1" minValue="0" maxValue="145"/>
    </cacheField>
    <cacheField name="3 Bed Proposed" numFmtId="0">
      <sharedItems containsString="0" containsBlank="1" containsNumber="1" containsInteger="1" minValue="0" maxValue="46"/>
    </cacheField>
    <cacheField name="4 Bed Proposed" numFmtId="0">
      <sharedItems containsString="0" containsBlank="1" containsNumber="1" containsInteger="1" minValue="0" maxValue="34"/>
    </cacheField>
    <cacheField name="5 Bed Proposed" numFmtId="0">
      <sharedItems containsString="0" containsBlank="1" containsNumber="1" containsInteger="1" minValue="1" maxValue="8"/>
    </cacheField>
    <cacheField name="6 Bed Proposed" numFmtId="0">
      <sharedItems containsString="0" containsBlank="1" containsNumber="1" containsInteger="1" minValue="1" maxValue="2"/>
    </cacheField>
    <cacheField name="7 Bed Proposed" numFmtId="0">
      <sharedItems containsString="0" containsBlank="1" containsNumber="1" containsInteger="1" minValue="1" maxValue="1"/>
    </cacheField>
    <cacheField name="8 Bed Proposed" numFmtId="0">
      <sharedItems containsString="0" containsBlank="1" containsNumber="1" containsInteger="1" minValue="1" maxValue="1"/>
    </cacheField>
    <cacheField name="Units Proposed" numFmtId="0">
      <sharedItems containsSemiMixedTypes="0" containsString="0" containsNumber="1" containsInteger="1" minValue="0" maxValue="3316"/>
    </cacheField>
    <cacheField name="1 bed net" numFmtId="0">
      <sharedItems containsSemiMixedTypes="0" containsString="0" containsNumber="1" containsInteger="1" minValue="-70" maxValue="116"/>
    </cacheField>
    <cacheField name="2 bed net" numFmtId="0">
      <sharedItems containsSemiMixedTypes="0" containsString="0" containsNumber="1" containsInteger="1" minValue="-20" maxValue="145"/>
    </cacheField>
    <cacheField name="3 bed net" numFmtId="0">
      <sharedItems containsSemiMixedTypes="0" containsString="0" containsNumber="1" containsInteger="1" minValue="-6" maxValue="46"/>
    </cacheField>
    <cacheField name="4 bed net" numFmtId="0">
      <sharedItems containsSemiMixedTypes="0" containsString="0" containsNumber="1" containsInteger="1" minValue="-2" maxValue="34"/>
    </cacheField>
    <cacheField name="5 bed net" numFmtId="0">
      <sharedItems containsSemiMixedTypes="0" containsString="0" containsNumber="1" containsInteger="1" minValue="-1" maxValue="8"/>
    </cacheField>
    <cacheField name="6 bed net" numFmtId="0">
      <sharedItems containsSemiMixedTypes="0" containsString="0" containsNumber="1" containsInteger="1" minValue="-1" maxValue="2"/>
    </cacheField>
    <cacheField name="7 bed net" numFmtId="0">
      <sharedItems containsSemiMixedTypes="0" containsString="0" containsNumber="1" containsInteger="1" minValue="0" maxValue="1"/>
    </cacheField>
    <cacheField name="8 bed net" numFmtId="0">
      <sharedItems containsSemiMixedTypes="0" containsString="0" containsNumber="1" containsInteger="1" minValue="0" maxValue="1"/>
    </cacheField>
    <cacheField name="Net Dwellings" numFmtId="0">
      <sharedItems containsSemiMixedTypes="0" containsString="0" containsNumber="1" containsInteger="1" minValue="-95" maxValue="1912"/>
    </cacheField>
    <cacheField name="Large Site" numFmtId="0">
      <sharedItems containsBlank="1" count="2">
        <m/>
        <s v="Y"/>
      </sharedItems>
    </cacheField>
    <cacheField name="2024/25 (R)" numFmtId="0">
      <sharedItems containsString="0" containsBlank="1" containsNumber="1" containsInteger="1" minValue="-1" maxValue="5"/>
    </cacheField>
    <cacheField name="2025/26 (1)" numFmtId="0">
      <sharedItems containsString="0" containsBlank="1" containsNumber="1" minValue="-11" maxValue="56"/>
    </cacheField>
    <cacheField name="2026/27 (2)" numFmtId="0">
      <sharedItems containsString="0" containsBlank="1" containsNumber="1" minValue="-1.25" maxValue="63"/>
    </cacheField>
    <cacheField name="2027/28 (3)" numFmtId="0">
      <sharedItems containsString="0" containsBlank="1" containsNumber="1" minValue="-37" maxValue="234"/>
    </cacheField>
    <cacheField name="2028/29 (4)" numFmtId="0">
      <sharedItems containsString="0" containsBlank="1" containsNumber="1" minValue="-1.25" maxValue="234"/>
    </cacheField>
    <cacheField name="2029/30 (5)" numFmtId="0">
      <sharedItems containsString="0" containsBlank="1" containsNumber="1" minValue="-1.25" maxValue="234"/>
    </cacheField>
    <cacheField name="2030/31 (6)" numFmtId="0">
      <sharedItems containsString="0" containsBlank="1" containsNumber="1" containsInteger="1" minValue="-95" maxValue="234"/>
    </cacheField>
    <cacheField name="2031/32 (7)" numFmtId="0">
      <sharedItems containsString="0" containsBlank="1" containsNumber="1" containsInteger="1" minValue="5" maxValue="234"/>
    </cacheField>
    <cacheField name="2032/33 (8)" numFmtId="0">
      <sharedItems containsString="0" containsBlank="1" containsNumber="1" containsInteger="1" minValue="5" maxValue="234"/>
    </cacheField>
    <cacheField name="2033/34 (9)" numFmtId="0">
      <sharedItems containsString="0" containsBlank="1" containsNumber="1" containsInteger="1" minValue="5" maxValue="234"/>
    </cacheField>
    <cacheField name="2034/35 (10)" numFmtId="0">
      <sharedItems containsString="0" containsBlank="1" containsNumber="1" containsInteger="1" minValue="5" maxValue="234"/>
    </cacheField>
    <cacheField name="2035/36" numFmtId="0">
      <sharedItems containsString="0" containsBlank="1" containsNumber="1" containsInteger="1" minValue="72" maxValue="234"/>
    </cacheField>
    <cacheField name="2036/37" numFmtId="0">
      <sharedItems containsString="0" containsBlank="1" containsNumber="1" containsInteger="1" minValue="72" maxValue="234"/>
    </cacheField>
    <cacheField name="2037/38" numFmtId="0">
      <sharedItems containsString="0" containsBlank="1" containsNumber="1" containsInteger="1" minValue="72" maxValue="234"/>
    </cacheField>
    <cacheField name="2038/39" numFmtId="0">
      <sharedItems containsString="0" containsBlank="1" containsNumber="1" containsInteger="1" minValue="72" maxValue="234"/>
    </cacheField>
    <cacheField name="2039/40" numFmtId="0">
      <sharedItems containsString="0" containsBlank="1" containsNumber="1" containsInteger="1" minValue="72" maxValue="234"/>
    </cacheField>
    <cacheField name="2040/41" numFmtId="0">
      <sharedItems containsString="0" containsBlank="1" containsNumber="1" containsInteger="1" minValue="72" maxValue="234"/>
    </cacheField>
    <cacheField name="2025–2029 Total" numFmtId="0">
      <sharedItems containsString="0" containsBlank="1" containsNumber="1" minValue="-37" maxValue="742"/>
    </cacheField>
    <cacheField name="2025–2035 Total" numFmtId="0">
      <sharedItems containsString="0" containsBlank="1" containsNumber="1" minValue="-95" maxValue="1912"/>
    </cacheField>
    <cacheField name="Older People" numFmtId="0">
      <sharedItems containsBlank="1"/>
    </cacheField>
    <cacheField name="ShelteredAccom" numFmtId="0">
      <sharedItems containsBlank="1"/>
    </cacheField>
    <cacheField name="MultipleOcc" numFmtId="0">
      <sharedItems containsBlank="1"/>
    </cacheField>
    <cacheField name="Easting" numFmtId="0">
      <sharedItems containsString="0" containsBlank="1" containsNumber="1" containsInteger="1" minValue="512514" maxValue="522676"/>
    </cacheField>
    <cacheField name="Northing" numFmtId="0">
      <sharedItems containsString="0" containsBlank="1" containsNumber="1" containsInteger="1" minValue="168615" maxValue="177999"/>
    </cacheField>
    <cacheField name="Ward_Name" numFmtId="0">
      <sharedItems count="19">
        <s v="Whitton"/>
        <s v="Hampton North"/>
        <s v="South Twickenham"/>
        <s v="St. Margarets &amp; North Twickenham"/>
        <s v="Twickenham Riverside"/>
        <s v="Mortlake &amp; Barnes Common"/>
        <s v="Fulwell &amp; Hampton Hill"/>
        <s v="Hampton"/>
        <s v="North Richmond"/>
        <s v="East Sheen"/>
        <s v="Ham, Petersham &amp; Richmond Riverside"/>
        <s v="Teddington"/>
        <s v="South Richmond"/>
        <s v="Kew"/>
        <s v="Hampton Wick &amp; South Teddington"/>
        <s v="Heathfield"/>
        <s v="West Twickenham"/>
        <s v="Barnes"/>
        <s v="N/A"/>
      </sharedItems>
    </cacheField>
    <cacheField name="Area Name" numFmtId="0">
      <sharedItems containsBlank="1" count="7">
        <s v="Whitton"/>
        <s v="Teddington and the Hamptons"/>
        <s v="Twickenham"/>
        <s v="Barnes and East Sheen"/>
        <s v="Richmond"/>
        <s v="Ham &amp; Petersham"/>
        <m/>
      </sharedItems>
    </cacheField>
    <cacheField name="Town_Centre" numFmtId="0">
      <sharedItems containsBlank="1" count="6">
        <m/>
        <s v="Whitton"/>
        <s v="Twickenham"/>
        <s v="Richmond"/>
        <s v="East Sheen"/>
        <s v="Teddington"/>
      </sharedItems>
    </cacheField>
    <cacheField name="Thames_Policy_Area" numFmtId="0">
      <sharedItems containsBlank="1" count="2">
        <m/>
        <s v="Thames Policy Area"/>
      </sharedItems>
    </cacheField>
    <cacheField name="Mixed_Use_Area_Name" numFmtId="0">
      <sharedItems containsBlank="1"/>
    </cacheField>
    <cacheField name="Mixed_Use_Area" numFmtId="0">
      <sharedItems containsBlank="1" count="2">
        <m/>
        <s v="Y"/>
      </sharedItems>
    </cacheField>
    <cacheField name="Met_Open_Land" numFmtId="0">
      <sharedItems containsBlank="1" count="8">
        <m/>
        <s v="Barn Elms Pf"/>
        <s v="Petersham Lodge"/>
        <s v="Townmead Kew"/>
        <s v="The Manor House Ham"/>
        <s v="Hampton Court"/>
        <s v="Thames Hampton Wick"/>
        <s v="Orleans School"/>
      </sharedItems>
    </cacheField>
    <cacheField name="Conservation_Area_Name" numFmtId="0">
      <sharedItems containsBlank="1"/>
    </cacheField>
    <cacheField name="Conservation_Area" numFmtId="0">
      <sharedItems containsBlank="1" count="2">
        <m/>
        <s v="Y"/>
      </sharedItems>
    </cacheField>
    <cacheField name="Areas_for_Intensification" numFmtId="0">
      <sharedItems containsBlank="1"/>
    </cacheField>
    <cacheField name="Place_Based_Strategies" numFmtId="0">
      <sharedItems containsBlank="1" count="10">
        <s v="Whitton and Heathfield"/>
        <s v="Hampton &amp; Hampton Hill"/>
        <s v="Twickenham, Strawberry Hill &amp; St Margarets"/>
        <s v="Barnes"/>
        <s v="Richmond and Richmond Hill"/>
        <s v="Mortlake and East Sheen"/>
        <s v="Ham, Petersham &amp; Richmond Park"/>
        <s v="Teddington &amp; Hampton Wick"/>
        <s v="Kew"/>
        <m/>
      </sharedItems>
    </cacheField>
    <cacheField name="Months (Decision Date)" numFmtId="0" databaseField="0">
      <fieldGroup base="3">
        <rangePr groupBy="months" startDate="2004-07-26T00:00:00" endDate="2025-05-03T00:00:00"/>
        <groupItems count="14">
          <s v="&lt;26/07/2004"/>
          <s v="Jan"/>
          <s v="Feb"/>
          <s v="Mar"/>
          <s v="Apr"/>
          <s v="May"/>
          <s v="Jun"/>
          <s v="Jul"/>
          <s v="Aug"/>
          <s v="Sep"/>
          <s v="Oct"/>
          <s v="Nov"/>
          <s v="Dec"/>
          <s v="&gt;03/05/2025"/>
        </groupItems>
      </fieldGroup>
    </cacheField>
    <cacheField name="Quarters (Decision Date)" numFmtId="0" databaseField="0">
      <fieldGroup base="3">
        <rangePr groupBy="quarters" startDate="2004-07-26T00:00:00" endDate="2025-05-03T00:00:00"/>
        <groupItems count="6">
          <s v="&lt;26/07/2004"/>
          <s v="Qtr1"/>
          <s v="Qtr2"/>
          <s v="Qtr3"/>
          <s v="Qtr4"/>
          <s v="&gt;03/05/2025"/>
        </groupItems>
      </fieldGroup>
    </cacheField>
    <cacheField name="Years (Decision Date)" numFmtId="0" databaseField="0">
      <fieldGroup base="3">
        <rangePr groupBy="years" startDate="2004-07-26T00:00:00" endDate="2025-05-03T00:00:00"/>
        <groupItems count="24">
          <s v="&lt;26/07/2004"/>
          <s v="2004"/>
          <s v="2005"/>
          <s v="2006"/>
          <s v="2007"/>
          <s v="2008"/>
          <s v="2009"/>
          <s v="2010"/>
          <s v="2011"/>
          <s v="2012"/>
          <s v="2013"/>
          <s v="2014"/>
          <s v="2015"/>
          <s v="2016"/>
          <s v="2017"/>
          <s v="2018"/>
          <s v="2019"/>
          <s v="2020"/>
          <s v="2021"/>
          <s v="2022"/>
          <s v="2023"/>
          <s v="2024"/>
          <s v="2025"/>
          <s v="&gt;03/05/2025"/>
        </groupItems>
      </fieldGroup>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s, Chris" refreshedDate="46189.402545486111" createdVersion="8" refreshedVersion="8" minRefreshableVersion="3" recordCount="8" xr:uid="{EB93A658-9DEA-4FBE-8CC6-755D636F557C}">
  <cacheSource type="worksheet">
    <worksheetSource ref="A1:AN9" sheet="Non-Self-Contained"/>
  </cacheSource>
  <cacheFields count="40">
    <cacheField name="Planning Ref" numFmtId="0">
      <sharedItems/>
    </cacheField>
    <cacheField name="Development Category" numFmtId="0">
      <sharedItems/>
    </cacheField>
    <cacheField name="Application Type" numFmtId="0">
      <sharedItems/>
    </cacheField>
    <cacheField name="Decision Date" numFmtId="14">
      <sharedItems containsSemiMixedTypes="0" containsNonDate="0" containsDate="1" containsString="0" minDate="2019-12-12T00:00:00" maxDate="2024-08-14T00:00:00"/>
    </cacheField>
    <cacheField name="Expiry Date" numFmtId="14">
      <sharedItems containsSemiMixedTypes="0" containsNonDate="0" containsDate="1" containsString="0" minDate="2022-12-12T00:00:00" maxDate="2027-08-14T00:00:00"/>
    </cacheField>
    <cacheField name="Start Date" numFmtId="0">
      <sharedItems containsNonDate="0" containsDate="1" containsString="0" containsBlank="1" minDate="2020-03-30T00:00:00" maxDate="2025-09-02T00:00:00"/>
    </cacheField>
    <cacheField name="Completion Date" numFmtId="0">
      <sharedItems containsNonDate="0" containsDate="1" containsString="0" containsBlank="1" minDate="2024-05-30T00:00:00" maxDate="2025-03-04T00:00:00"/>
    </cacheField>
    <cacheField name="Site Status" numFmtId="0">
      <sharedItems count="3">
        <s v="01. Completion"/>
        <s v="02. Under Construction"/>
        <s v="03. Not Started"/>
      </sharedItems>
    </cacheField>
    <cacheField name="Proposal" numFmtId="0">
      <sharedItems longText="1"/>
    </cacheField>
    <cacheField name="Address_x000a_" numFmtId="0">
      <sharedItems/>
    </cacheField>
    <cacheField name="PostCode" numFmtId="0">
      <sharedItems containsBlank="1"/>
    </cacheField>
    <cacheField name="Existing C3 Dwelling" numFmtId="0">
      <sharedItems containsNonDate="0" containsString="0" containsBlank="1"/>
    </cacheField>
    <cacheField name="Existing Home Rooms" numFmtId="0">
      <sharedItems containsNonDate="0" containsString="0" containsBlank="1"/>
    </cacheField>
    <cacheField name="Proposed Home Rooms" numFmtId="0">
      <sharedItems containsString="0" containsBlank="1" containsNumber="1" containsInteger="1" minValue="9" maxValue="88"/>
    </cacheField>
    <cacheField name="Net Home Rooms" numFmtId="0">
      <sharedItems containsString="0" containsBlank="1" containsNumber="1" containsInteger="1" minValue="9" maxValue="88"/>
    </cacheField>
    <cacheField name="Existing House in Multiple Occupation Rooms" numFmtId="0">
      <sharedItems containsString="0" containsBlank="1" containsNumber="1" containsInteger="1" minValue="14" maxValue="14"/>
    </cacheField>
    <cacheField name="Proposed House in Multiple Occupation Rooms" numFmtId="0">
      <sharedItems containsString="0" containsBlank="1" containsNumber="1" containsInteger="1" minValue="0" maxValue="8"/>
    </cacheField>
    <cacheField name="Net House in Multiple Occupation Rooms" numFmtId="0">
      <sharedItems containsString="0" containsBlank="1" containsNumber="1" containsInteger="1" minValue="-14" maxValue="8"/>
    </cacheField>
    <cacheField name="Existing Student Bedrooms" numFmtId="0">
      <sharedItems containsString="0" containsBlank="1" containsNumber="1" containsInteger="1" minValue="0" maxValue="216"/>
    </cacheField>
    <cacheField name="Proposed Student Bedrooms" numFmtId="0">
      <sharedItems containsString="0" containsBlank="1" containsNumber="1" containsInteger="1" minValue="0" maxValue="10"/>
    </cacheField>
    <cacheField name="Net Student Bedrooms" numFmtId="0">
      <sharedItems containsString="0" containsBlank="1" containsNumber="1" containsInteger="1" minValue="-216" maxValue="10"/>
    </cacheField>
    <cacheField name="Existing Staff Accomodation" numFmtId="0">
      <sharedItems containsNonDate="0" containsString="0" containsBlank="1"/>
    </cacheField>
    <cacheField name="Proposed Staff Accomodation" numFmtId="0">
      <sharedItems containsNonDate="0" containsString="0" containsBlank="1"/>
    </cacheField>
    <cacheField name="Net Staff Accomodation" numFmtId="0">
      <sharedItems containsNonDate="0" containsString="0" containsBlank="1"/>
    </cacheField>
    <cacheField name="1.8 : 1" numFmtId="0">
      <sharedItems containsString="0" containsBlank="1" containsNumber="1" minValue="-7.7777777777777777" maxValue="4.4444444444444446"/>
    </cacheField>
    <cacheField name="2.5:1" numFmtId="0">
      <sharedItems containsString="0" containsBlank="1" containsNumber="1" minValue="-86.4" maxValue="4"/>
    </cacheField>
    <cacheField name="C1" numFmtId="0">
      <sharedItems containsNonDate="0" containsString="0" containsBlank="1"/>
    </cacheField>
    <cacheField name="D1" numFmtId="0">
      <sharedItems containsNonDate="0" containsString="0" containsBlank="1"/>
    </cacheField>
    <cacheField name="Net Residential Units" numFmtId="0">
      <sharedItems containsSemiMixedTypes="0" containsString="0" containsNumber="1" minValue="-86.4" maxValue="88"/>
    </cacheField>
    <cacheField name="2024/25 (R)" numFmtId="0">
      <sharedItems containsString="0" containsBlank="1" containsNumber="1" minValue="4.4444444444444446" maxValue="9"/>
    </cacheField>
    <cacheField name="2025/26 (1)" numFmtId="0">
      <sharedItems containsString="0" containsBlank="1" containsNumber="1" containsInteger="1" minValue="-8" maxValue="4"/>
    </cacheField>
    <cacheField name="2026/27 (2)" numFmtId="0">
      <sharedItems containsString="0" containsBlank="1" containsNumber="1" minValue="-43.2" maxValue="50"/>
    </cacheField>
    <cacheField name="2027/28 (3)" numFmtId="0">
      <sharedItems containsString="0" containsBlank="1" containsNumber="1" minValue="-43.2" maxValue="44"/>
    </cacheField>
    <cacheField name="2028/29 (4)" numFmtId="0">
      <sharedItems containsNonDate="0" containsString="0" containsBlank="1"/>
    </cacheField>
    <cacheField name="2029/30 (5)" numFmtId="0">
      <sharedItems containsNonDate="0" containsString="0" containsBlank="1"/>
    </cacheField>
    <cacheField name="2030/31 (6)" numFmtId="0">
      <sharedItems containsNonDate="0" containsString="0" containsBlank="1"/>
    </cacheField>
    <cacheField name="2031/32 (7)" numFmtId="0">
      <sharedItems containsNonDate="0" containsString="0" containsBlank="1"/>
    </cacheField>
    <cacheField name="2032/33 (8)" numFmtId="0">
      <sharedItems containsNonDate="0" containsString="0" containsBlank="1"/>
    </cacheField>
    <cacheField name="2033/34 (9)" numFmtId="0">
      <sharedItems containsNonDate="0" containsString="0" containsBlank="1"/>
    </cacheField>
    <cacheField name="2034/35 (10)"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s, Chris" refreshedDate="46189.402546296296" createdVersion="8" refreshedVersion="8" minRefreshableVersion="3" recordCount="8" xr:uid="{2C774E9A-09CA-42E5-AD46-5831832933ED}">
  <cacheSource type="worksheet">
    <worksheetSource ref="A1:AD9" sheet="Non-Self-Contained"/>
  </cacheSource>
  <cacheFields count="30">
    <cacheField name="Planning Ref" numFmtId="0">
      <sharedItems/>
    </cacheField>
    <cacheField name="Development Category" numFmtId="0">
      <sharedItems/>
    </cacheField>
    <cacheField name="Application Type" numFmtId="0">
      <sharedItems/>
    </cacheField>
    <cacheField name="Decision Date" numFmtId="14">
      <sharedItems containsSemiMixedTypes="0" containsNonDate="0" containsDate="1" containsString="0" minDate="2019-12-12T00:00:00" maxDate="2024-08-14T00:00:00"/>
    </cacheField>
    <cacheField name="Expiry Date" numFmtId="14">
      <sharedItems containsSemiMixedTypes="0" containsNonDate="0" containsDate="1" containsString="0" minDate="2022-12-12T00:00:00" maxDate="2027-08-14T00:00:00"/>
    </cacheField>
    <cacheField name="Start Date" numFmtId="0">
      <sharedItems containsNonDate="0" containsDate="1" containsString="0" containsBlank="1" minDate="2020-03-30T00:00:00" maxDate="2025-09-02T00:00:00"/>
    </cacheField>
    <cacheField name="Completion Date" numFmtId="0">
      <sharedItems containsNonDate="0" containsDate="1" containsString="0" containsBlank="1" minDate="2024-05-30T00:00:00" maxDate="2025-03-04T00:00:00"/>
    </cacheField>
    <cacheField name="Site Status" numFmtId="0">
      <sharedItems count="3">
        <s v="01. Completion"/>
        <s v="02. Under Construction"/>
        <s v="03. Not Started"/>
      </sharedItems>
    </cacheField>
    <cacheField name="Proposal" numFmtId="0">
      <sharedItems longText="1"/>
    </cacheField>
    <cacheField name="Address_x000a_" numFmtId="0">
      <sharedItems/>
    </cacheField>
    <cacheField name="PostCode" numFmtId="0">
      <sharedItems containsBlank="1"/>
    </cacheField>
    <cacheField name="Existing C3 Dwelling" numFmtId="0">
      <sharedItems containsNonDate="0" containsString="0" containsBlank="1"/>
    </cacheField>
    <cacheField name="Existing Home Rooms" numFmtId="0">
      <sharedItems containsNonDate="0" containsString="0" containsBlank="1"/>
    </cacheField>
    <cacheField name="Proposed Home Rooms" numFmtId="0">
      <sharedItems containsString="0" containsBlank="1" containsNumber="1" containsInteger="1" minValue="9" maxValue="88"/>
    </cacheField>
    <cacheField name="Net Home Rooms" numFmtId="0">
      <sharedItems containsString="0" containsBlank="1" containsNumber="1" containsInteger="1" minValue="9" maxValue="88"/>
    </cacheField>
    <cacheField name="Existing House in Multiple Occupation Rooms" numFmtId="0">
      <sharedItems containsString="0" containsBlank="1" containsNumber="1" containsInteger="1" minValue="14" maxValue="14"/>
    </cacheField>
    <cacheField name="Proposed House in Multiple Occupation Rooms" numFmtId="0">
      <sharedItems containsString="0" containsBlank="1" containsNumber="1" containsInteger="1" minValue="0" maxValue="8"/>
    </cacheField>
    <cacheField name="Net House in Multiple Occupation Rooms" numFmtId="0">
      <sharedItems containsString="0" containsBlank="1" containsNumber="1" containsInteger="1" minValue="-14" maxValue="8"/>
    </cacheField>
    <cacheField name="Existing Student Bedrooms" numFmtId="0">
      <sharedItems containsString="0" containsBlank="1" containsNumber="1" containsInteger="1" minValue="0" maxValue="216"/>
    </cacheField>
    <cacheField name="Proposed Student Bedrooms" numFmtId="0">
      <sharedItems containsString="0" containsBlank="1" containsNumber="1" containsInteger="1" minValue="0" maxValue="10"/>
    </cacheField>
    <cacheField name="Net Student Bedrooms" numFmtId="0">
      <sharedItems containsString="0" containsBlank="1" containsNumber="1" containsInteger="1" minValue="-216" maxValue="10"/>
    </cacheField>
    <cacheField name="Existing Staff Accomodation" numFmtId="0">
      <sharedItems containsNonDate="0" containsString="0" containsBlank="1"/>
    </cacheField>
    <cacheField name="Proposed Staff Accomodation" numFmtId="0">
      <sharedItems containsNonDate="0" containsString="0" containsBlank="1"/>
    </cacheField>
    <cacheField name="Net Staff Accomodation" numFmtId="0">
      <sharedItems containsNonDate="0" containsString="0" containsBlank="1"/>
    </cacheField>
    <cacheField name="1.8 : 1" numFmtId="0">
      <sharedItems containsString="0" containsBlank="1" containsNumber="1" minValue="-7.7777777777777777" maxValue="4.4444444444444446"/>
    </cacheField>
    <cacheField name="2.5:1" numFmtId="0">
      <sharedItems containsString="0" containsBlank="1" containsNumber="1" minValue="-86.4" maxValue="4"/>
    </cacheField>
    <cacheField name="C1" numFmtId="0">
      <sharedItems containsNonDate="0" containsString="0" containsBlank="1"/>
    </cacheField>
    <cacheField name="D1" numFmtId="0">
      <sharedItems containsNonDate="0" containsString="0" containsBlank="1"/>
    </cacheField>
    <cacheField name="Net Residential Units" numFmtId="0">
      <sharedItems containsSemiMixedTypes="0" containsString="0" containsNumber="1" minValue="-86.4" maxValue="88"/>
    </cacheField>
    <cacheField name="2024/25 (R)" numFmtId="0">
      <sharedItems containsString="0" containsBlank="1" containsNumber="1" minValue="4.4444444444444446" maxValue="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3">
  <r>
    <s v="16/4635/FUL"/>
    <s v="NEW"/>
    <s v="FULL"/>
    <x v="0"/>
    <d v="2020-03-07T00:00:00"/>
    <d v="2020-03-01T00:00:00"/>
    <m/>
    <m/>
    <d v="2025-03-31T00:00:00"/>
    <x v="0"/>
    <s v="Open Market"/>
    <m/>
    <n v="8.0712328767123296"/>
    <s v="1 to 4"/>
    <s v="Construction of a three bedroom single storey dwelling with associated hard and soft landscaping, parking and access road (bollard lit)"/>
    <s v="Land Rear Of 12 To 36 Vincam Close, Twickenham"/>
    <s v="TW2 7AB"/>
    <m/>
    <m/>
    <m/>
    <m/>
    <m/>
    <m/>
    <m/>
    <m/>
    <m/>
    <n v="0"/>
    <m/>
    <m/>
    <m/>
    <n v="1"/>
    <m/>
    <m/>
    <m/>
    <m/>
    <m/>
    <n v="1"/>
    <n v="0"/>
    <n v="0"/>
    <n v="1"/>
    <n v="0"/>
    <n v="0"/>
    <n v="0"/>
    <n v="0"/>
    <n v="0"/>
    <n v="1"/>
    <m/>
    <n v="1"/>
    <m/>
    <m/>
    <m/>
    <m/>
    <m/>
    <m/>
    <m/>
    <m/>
    <m/>
    <m/>
    <m/>
    <m/>
    <m/>
    <m/>
    <m/>
    <m/>
    <n v="0"/>
    <n v="0"/>
    <m/>
    <m/>
    <m/>
    <n v="513432"/>
    <n v="173849"/>
    <s v="Whitton"/>
    <s v="Whitton"/>
    <m/>
    <m/>
    <m/>
    <m/>
    <m/>
    <m/>
    <m/>
    <s v="Y"/>
    <s v="Whitton and Heathfield"/>
    <x v="0"/>
  </r>
  <r>
    <s v="18/1889/FUL"/>
    <s v="NEW"/>
    <s v="FULL"/>
    <x v="1"/>
    <d v="2022-09-10T00:00:00"/>
    <d v="2022-06-06T00:00:00"/>
    <m/>
    <m/>
    <d v="2025-03-31T00:00:00"/>
    <x v="0"/>
    <s v="Open Market"/>
    <m/>
    <n v="6.3397260273972602"/>
    <s v="1 to 4"/>
    <s v="Erection of a pair of 2 storey semi-detached 2 bed (1 x 2B4P and 1 x 2B3P) dwellinghouses with associated hard and soft landscaping and parking."/>
    <s v="Land To The Side Of 61 Acacia Road, Hampton TW12 3DP"/>
    <s v="TW12 3DP"/>
    <m/>
    <m/>
    <m/>
    <m/>
    <m/>
    <m/>
    <m/>
    <m/>
    <m/>
    <n v="0"/>
    <m/>
    <m/>
    <n v="2"/>
    <m/>
    <m/>
    <m/>
    <m/>
    <m/>
    <m/>
    <n v="2"/>
    <n v="0"/>
    <n v="2"/>
    <n v="0"/>
    <n v="0"/>
    <n v="0"/>
    <n v="0"/>
    <n v="0"/>
    <n v="0"/>
    <n v="2"/>
    <m/>
    <n v="2"/>
    <m/>
    <m/>
    <m/>
    <m/>
    <m/>
    <m/>
    <m/>
    <m/>
    <m/>
    <m/>
    <m/>
    <m/>
    <m/>
    <m/>
    <m/>
    <m/>
    <n v="0"/>
    <n v="0"/>
    <m/>
    <m/>
    <m/>
    <n v="513221"/>
    <n v="170897"/>
    <s v="Hampton North"/>
    <s v="Teddington and the Hamptons"/>
    <m/>
    <m/>
    <m/>
    <m/>
    <m/>
    <m/>
    <m/>
    <m/>
    <s v="Hampton &amp; Hampton Hill"/>
    <x v="1"/>
  </r>
  <r>
    <s v="19/1731/FUL"/>
    <s v="NEW"/>
    <s v="FULL"/>
    <x v="2"/>
    <d v="2022-08-21T00:00:00"/>
    <d v="2022-09-01T00:00:00"/>
    <m/>
    <m/>
    <d v="2024-10-01T00:00:00"/>
    <x v="0"/>
    <s v="Open Market"/>
    <m/>
    <n v="5.117808219178082"/>
    <s v="1 to 4"/>
    <s v="Demolition of existing dwellinghouse and erection of replacement two storey 4 bedroom dwellinghouse with associated hard and soft landscaping and cycle and refuse store. Replacement boundary fence/gates."/>
    <s v="17A Tower Road, Twickenham TW1 4PD"/>
    <s v="TW1 4PD"/>
    <m/>
    <m/>
    <n v="1"/>
    <m/>
    <m/>
    <m/>
    <m/>
    <m/>
    <m/>
    <n v="1"/>
    <m/>
    <m/>
    <m/>
    <m/>
    <n v="1"/>
    <m/>
    <m/>
    <m/>
    <m/>
    <n v="1"/>
    <n v="0"/>
    <n v="-1"/>
    <n v="0"/>
    <n v="1"/>
    <n v="0"/>
    <n v="0"/>
    <n v="0"/>
    <n v="0"/>
    <n v="0"/>
    <m/>
    <n v="0"/>
    <m/>
    <m/>
    <m/>
    <m/>
    <m/>
    <m/>
    <m/>
    <m/>
    <m/>
    <m/>
    <m/>
    <m/>
    <m/>
    <m/>
    <m/>
    <m/>
    <n v="0"/>
    <n v="0"/>
    <m/>
    <m/>
    <m/>
    <n v="515806"/>
    <n v="172455"/>
    <s v="South Twickenham"/>
    <s v="Twickenham"/>
    <m/>
    <m/>
    <m/>
    <m/>
    <m/>
    <m/>
    <m/>
    <s v="Y"/>
    <s v="Twickenham, Strawberry Hill &amp; St Margarets"/>
    <x v="0"/>
  </r>
  <r>
    <s v="19/2377/GPD15"/>
    <s v="CHU"/>
    <s v="PA"/>
    <x v="3"/>
    <d v="2022-09-30T00:00:00"/>
    <d v="2020-02-17T00:00:00"/>
    <m/>
    <m/>
    <d v="2025-03-31T00:00:00"/>
    <x v="0"/>
    <s v="Open Market"/>
    <m/>
    <n v="5.5041095890410956"/>
    <s v="1 to 4"/>
    <s v="Partial change of use from office to residential (4 No flats)."/>
    <s v="122 - 124 St Margarets Road, Twickenham"/>
    <s v="TW1 2AA"/>
    <m/>
    <m/>
    <m/>
    <m/>
    <m/>
    <m/>
    <m/>
    <m/>
    <m/>
    <n v="0"/>
    <m/>
    <m/>
    <n v="4"/>
    <m/>
    <m/>
    <m/>
    <m/>
    <m/>
    <m/>
    <n v="4"/>
    <n v="0"/>
    <n v="4"/>
    <n v="0"/>
    <n v="0"/>
    <n v="0"/>
    <n v="0"/>
    <n v="0"/>
    <n v="0"/>
    <n v="4"/>
    <m/>
    <n v="4"/>
    <m/>
    <m/>
    <m/>
    <m/>
    <m/>
    <m/>
    <m/>
    <m/>
    <m/>
    <m/>
    <m/>
    <m/>
    <m/>
    <m/>
    <m/>
    <m/>
    <n v="0"/>
    <n v="0"/>
    <m/>
    <m/>
    <m/>
    <n v="516843"/>
    <n v="174266"/>
    <s v="St. Margarets &amp; North Twickenham"/>
    <s v="Twickenham"/>
    <m/>
    <m/>
    <s v="St Margarets"/>
    <s v="Y"/>
    <m/>
    <s v="CA49 Crown Road St Margarets"/>
    <s v="Y"/>
    <s v="Y"/>
    <s v="Twickenham, Strawberry Hill &amp; St Margarets"/>
    <x v="0"/>
  </r>
  <r>
    <s v="19/2471/FUL"/>
    <s v="EXT"/>
    <s v="FULL"/>
    <x v="4"/>
    <d v="2023-05-06T00:00:00"/>
    <d v="2023-03-01T00:00:00"/>
    <m/>
    <m/>
    <d v="2024-08-08T00:00:00"/>
    <x v="0"/>
    <s v="Open Market"/>
    <m/>
    <n v="4.2602739726027394"/>
    <s v="1 to 4"/>
    <s v="Demoltion of existing staircase/structures to rear. Construction of a part 3 part 2 storey rear extension to provide 2 x new flats and roof terrace (1 x studio and 1 x 1 bed flat) and associated bin store, cycle parking and hard and soft landscaping."/>
    <s v="121 High Street, Whitton, Twickenham TW2 7LG"/>
    <s v="TW2 7LG"/>
    <m/>
    <m/>
    <m/>
    <m/>
    <m/>
    <m/>
    <m/>
    <m/>
    <m/>
    <n v="0"/>
    <m/>
    <n v="2"/>
    <m/>
    <m/>
    <m/>
    <m/>
    <m/>
    <m/>
    <m/>
    <n v="2"/>
    <n v="2"/>
    <n v="0"/>
    <n v="0"/>
    <n v="0"/>
    <n v="0"/>
    <n v="0"/>
    <n v="0"/>
    <n v="0"/>
    <n v="2"/>
    <m/>
    <n v="2"/>
    <m/>
    <m/>
    <m/>
    <m/>
    <m/>
    <m/>
    <m/>
    <m/>
    <m/>
    <m/>
    <m/>
    <m/>
    <m/>
    <m/>
    <m/>
    <m/>
    <n v="0"/>
    <n v="0"/>
    <m/>
    <m/>
    <m/>
    <n v="514218"/>
    <n v="173596"/>
    <s v="Whitton"/>
    <s v="Whitton"/>
    <s v="Whitton"/>
    <m/>
    <m/>
    <m/>
    <m/>
    <m/>
    <m/>
    <s v="Y"/>
    <s v="Whitton and Heathfield"/>
    <x v="0"/>
  </r>
  <r>
    <s v="19/3857/FUL"/>
    <s v="MIX"/>
    <s v="FULL"/>
    <x v="5"/>
    <d v="2023-06-18T00:00:00"/>
    <d v="2023-05-15T00:00:00"/>
    <m/>
    <m/>
    <d v="2024-06-12T00:00:00"/>
    <x v="0"/>
    <s v="Open Market"/>
    <m/>
    <n v="3.9863013698630136"/>
    <s v="1 to 4"/>
    <s v="Part two storey, part first floor infill, part second floor rear extensions and extensions / alterations to the roof to facilitate the conversion of existing 1 x studio and 1 x 2 bed flat into four flats (2 x studio and 2 x 1 bed) and increase in retail floorspace with associated refuse and bicycle enclosures and hard and soft landscaping"/>
    <s v="20 London Road, Twickenham TW1 3RR"/>
    <s v="TW1 3RR"/>
    <m/>
    <n v="1"/>
    <n v="1"/>
    <m/>
    <m/>
    <m/>
    <m/>
    <m/>
    <m/>
    <n v="2"/>
    <m/>
    <n v="4"/>
    <m/>
    <m/>
    <m/>
    <m/>
    <m/>
    <m/>
    <m/>
    <n v="4"/>
    <n v="3"/>
    <n v="-1"/>
    <n v="0"/>
    <n v="0"/>
    <n v="0"/>
    <n v="0"/>
    <n v="0"/>
    <n v="0"/>
    <n v="2"/>
    <m/>
    <n v="2"/>
    <m/>
    <m/>
    <m/>
    <m/>
    <m/>
    <m/>
    <m/>
    <m/>
    <m/>
    <m/>
    <m/>
    <m/>
    <m/>
    <m/>
    <m/>
    <m/>
    <n v="0"/>
    <n v="0"/>
    <m/>
    <m/>
    <m/>
    <n v="516259"/>
    <n v="173377"/>
    <s v="Twickenham Riverside"/>
    <s v="Twickenham"/>
    <s v="Twickenham"/>
    <m/>
    <m/>
    <m/>
    <m/>
    <s v="CA8 Twickenham Riverside"/>
    <s v="Y"/>
    <s v="Y"/>
    <s v="Twickenham, Strawberry Hill &amp; St Margarets"/>
    <x v="0"/>
  </r>
  <r>
    <s v="20/0773/FUL"/>
    <s v="NEW"/>
    <s v="FULL"/>
    <x v="6"/>
    <d v="2023-07-08T00:00:00"/>
    <d v="2020-09-08T00:00:00"/>
    <m/>
    <m/>
    <d v="2024-06-11T00:00:00"/>
    <x v="0"/>
    <s v="Open Market"/>
    <m/>
    <n v="3.9287671232876713"/>
    <s v="1 to 4"/>
    <s v="Erection of 1no. single storey 2 bed dwellinghouse with associated cycle and refuse stores"/>
    <s v="Land At Railway Side, Barnes, London"/>
    <s v="SW13 0AL"/>
    <m/>
    <m/>
    <m/>
    <m/>
    <m/>
    <m/>
    <m/>
    <m/>
    <m/>
    <n v="0"/>
    <m/>
    <m/>
    <n v="1"/>
    <m/>
    <m/>
    <m/>
    <m/>
    <m/>
    <m/>
    <n v="1"/>
    <n v="0"/>
    <n v="1"/>
    <n v="0"/>
    <n v="0"/>
    <n v="0"/>
    <n v="0"/>
    <n v="0"/>
    <n v="0"/>
    <n v="1"/>
    <m/>
    <n v="1"/>
    <m/>
    <m/>
    <m/>
    <m/>
    <m/>
    <m/>
    <m/>
    <m/>
    <m/>
    <m/>
    <m/>
    <m/>
    <m/>
    <m/>
    <m/>
    <m/>
    <n v="0"/>
    <n v="0"/>
    <m/>
    <m/>
    <m/>
    <n v="521729"/>
    <n v="176011"/>
    <s v="Mortlake &amp; Barnes Common"/>
    <s v="Barnes and East Sheen"/>
    <m/>
    <m/>
    <m/>
    <m/>
    <m/>
    <s v="CA16 Thorne Passage Mortlake"/>
    <s v="Y"/>
    <s v="Y"/>
    <s v="Barnes"/>
    <x v="0"/>
  </r>
  <r>
    <s v="20/1885/FUL"/>
    <s v="CHU"/>
    <s v="FULL"/>
    <x v="7"/>
    <d v="2023-10-02T00:00:00"/>
    <d v="2023-09-01T00:00:00"/>
    <m/>
    <m/>
    <d v="2024-08-01T00:00:00"/>
    <x v="0"/>
    <s v="Open Market"/>
    <m/>
    <n v="3.8328767123287673"/>
    <s v="1 to 4"/>
    <s v="Conversion of public house to a single residential dwelling"/>
    <s v="80 Windmill Road, Hampton Hill, Hampton TW12 1QU"/>
    <s v="TW12 1QU"/>
    <m/>
    <m/>
    <m/>
    <m/>
    <m/>
    <m/>
    <m/>
    <m/>
    <m/>
    <n v="0"/>
    <m/>
    <m/>
    <m/>
    <m/>
    <n v="1"/>
    <m/>
    <m/>
    <m/>
    <m/>
    <n v="1"/>
    <n v="0"/>
    <n v="0"/>
    <n v="0"/>
    <n v="1"/>
    <n v="0"/>
    <n v="0"/>
    <n v="0"/>
    <n v="0"/>
    <n v="1"/>
    <m/>
    <n v="1"/>
    <m/>
    <m/>
    <m/>
    <m/>
    <m/>
    <m/>
    <m/>
    <m/>
    <m/>
    <m/>
    <m/>
    <m/>
    <m/>
    <m/>
    <m/>
    <m/>
    <n v="0"/>
    <n v="0"/>
    <m/>
    <m/>
    <m/>
    <n v="513956"/>
    <n v="171140"/>
    <s v="Fulwell &amp; Hampton Hill"/>
    <s v="Teddington and the Hamptons"/>
    <m/>
    <m/>
    <m/>
    <m/>
    <m/>
    <m/>
    <m/>
    <m/>
    <s v="Hampton &amp; Hampton Hill"/>
    <x v="0"/>
  </r>
  <r>
    <s v="20/2411/FUL"/>
    <s v="NEW"/>
    <s v="FULL"/>
    <x v="8"/>
    <d v="2024-06-24T00:00:00"/>
    <d v="2023-08-01T00:00:00"/>
    <m/>
    <m/>
    <d v="2025-03-31T00:00:00"/>
    <x v="0"/>
    <s v="Open Market"/>
    <m/>
    <n v="3.7698630136986302"/>
    <s v="1 to 4"/>
    <s v="Erection of a 3 bed detached dwelling house with associated off-street parking and amenity space"/>
    <s v="52 Ringwood Way, Hampton Hill TW12 1AT"/>
    <s v="TW12 1AT"/>
    <m/>
    <m/>
    <m/>
    <m/>
    <m/>
    <m/>
    <m/>
    <m/>
    <m/>
    <n v="0"/>
    <m/>
    <m/>
    <m/>
    <n v="1"/>
    <m/>
    <m/>
    <m/>
    <m/>
    <m/>
    <n v="1"/>
    <n v="0"/>
    <n v="0"/>
    <n v="1"/>
    <n v="0"/>
    <n v="0"/>
    <n v="0"/>
    <n v="0"/>
    <n v="0"/>
    <n v="1"/>
    <m/>
    <n v="1"/>
    <m/>
    <m/>
    <m/>
    <m/>
    <m/>
    <m/>
    <m/>
    <m/>
    <m/>
    <m/>
    <m/>
    <m/>
    <m/>
    <m/>
    <m/>
    <m/>
    <n v="0"/>
    <n v="0"/>
    <m/>
    <m/>
    <m/>
    <n v="513279"/>
    <n v="171614"/>
    <s v="Hampton North"/>
    <s v="Teddington and the Hamptons"/>
    <m/>
    <m/>
    <m/>
    <m/>
    <m/>
    <m/>
    <m/>
    <m/>
    <s v="Hampton &amp; Hampton Hill"/>
    <x v="1"/>
  </r>
  <r>
    <s v="20/2841/FUL"/>
    <s v="EXT"/>
    <s v="FULL"/>
    <x v="9"/>
    <d v="2024-02-12T00:00:00"/>
    <d v="2023-10-02T00:00:00"/>
    <m/>
    <m/>
    <d v="2025-03-31T00:00:00"/>
    <x v="0"/>
    <s v="Open Market"/>
    <m/>
    <n v="4.1315068493150688"/>
    <s v="1 to 4"/>
    <s v="Proposed erection of single storey building at rear to provide 1 no. self contained flat"/>
    <s v="118A - 118B High Street, Hampton Hill, Hampton TW12 1NT"/>
    <s v="TW12 1NT"/>
    <m/>
    <m/>
    <m/>
    <m/>
    <m/>
    <m/>
    <m/>
    <m/>
    <m/>
    <n v="0"/>
    <m/>
    <n v="1"/>
    <m/>
    <m/>
    <m/>
    <m/>
    <m/>
    <m/>
    <m/>
    <n v="1"/>
    <n v="1"/>
    <n v="0"/>
    <n v="0"/>
    <n v="0"/>
    <n v="0"/>
    <n v="0"/>
    <n v="0"/>
    <n v="0"/>
    <n v="1"/>
    <m/>
    <n v="1"/>
    <m/>
    <m/>
    <m/>
    <m/>
    <m/>
    <m/>
    <m/>
    <m/>
    <m/>
    <m/>
    <m/>
    <m/>
    <m/>
    <m/>
    <m/>
    <m/>
    <n v="0"/>
    <n v="0"/>
    <m/>
    <m/>
    <m/>
    <n v="514515"/>
    <n v="171261"/>
    <s v="Fulwell &amp; Hampton Hill"/>
    <s v="Teddington and the Hamptons"/>
    <m/>
    <m/>
    <s v="High Street, Hampton Hill"/>
    <s v="Y"/>
    <m/>
    <m/>
    <m/>
    <s v="Y"/>
    <s v="Hampton &amp; Hampton Hill"/>
    <x v="0"/>
  </r>
  <r>
    <s v="20/2902/FUL"/>
    <s v="NEW"/>
    <s v="FULL"/>
    <x v="10"/>
    <d v="2024-10-28T00:00:00"/>
    <d v="2022-10-21T00:00:00"/>
    <m/>
    <m/>
    <d v="2024-08-28T00:00:00"/>
    <x v="0"/>
    <s v="Open Market"/>
    <m/>
    <n v="2.8356164383561642"/>
    <s v="1 to 4"/>
    <s v="New 2-storey detached house with associated parking to replace existing bungalow. ."/>
    <s v="60A Wensleydale Road, Hampton TW12 2LX"/>
    <s v="TW12 2LX"/>
    <m/>
    <m/>
    <m/>
    <n v="1"/>
    <m/>
    <m/>
    <m/>
    <m/>
    <m/>
    <n v="1"/>
    <m/>
    <m/>
    <m/>
    <m/>
    <m/>
    <n v="1"/>
    <m/>
    <m/>
    <m/>
    <n v="1"/>
    <n v="0"/>
    <n v="0"/>
    <n v="-1"/>
    <n v="0"/>
    <n v="1"/>
    <n v="0"/>
    <n v="0"/>
    <n v="0"/>
    <n v="0"/>
    <m/>
    <n v="0"/>
    <m/>
    <m/>
    <m/>
    <m/>
    <m/>
    <m/>
    <m/>
    <m/>
    <m/>
    <m/>
    <m/>
    <m/>
    <m/>
    <m/>
    <m/>
    <m/>
    <n v="0"/>
    <n v="0"/>
    <m/>
    <m/>
    <m/>
    <n v="513562"/>
    <n v="170238"/>
    <s v="Hampton"/>
    <s v="Teddington and the Hamptons"/>
    <m/>
    <m/>
    <m/>
    <m/>
    <m/>
    <m/>
    <m/>
    <s v="Y"/>
    <s v="Hampton &amp; Hampton Hill"/>
    <x v="0"/>
  </r>
  <r>
    <s v="20/3641/FUL"/>
    <s v="NEW"/>
    <s v="FULL"/>
    <x v="11"/>
    <d v="2024-05-12T00:00:00"/>
    <d v="2022-02-01T00:00:00"/>
    <m/>
    <m/>
    <d v="2024-11-01T00:00:00"/>
    <x v="0"/>
    <s v="Open Market"/>
    <m/>
    <n v="3.4767123287671233"/>
    <s v="1 to 4"/>
    <s v="Demolition of existing semi-detached bungalow and garage replacement detached dwelling house (Class C3) comprising ground, first floor and accommodation within the roof space."/>
    <s v="2 Chestnut Avenue, Hampton TW12 2NU"/>
    <s v="TW12 2NU"/>
    <m/>
    <m/>
    <n v="1"/>
    <m/>
    <m/>
    <m/>
    <m/>
    <m/>
    <m/>
    <n v="1"/>
    <m/>
    <m/>
    <m/>
    <m/>
    <m/>
    <n v="1"/>
    <m/>
    <m/>
    <m/>
    <n v="1"/>
    <n v="0"/>
    <n v="-1"/>
    <n v="0"/>
    <n v="0"/>
    <n v="1"/>
    <n v="0"/>
    <n v="0"/>
    <n v="0"/>
    <n v="0"/>
    <m/>
    <n v="0"/>
    <m/>
    <m/>
    <m/>
    <m/>
    <m/>
    <m/>
    <m/>
    <m/>
    <m/>
    <m/>
    <m/>
    <m/>
    <m/>
    <m/>
    <m/>
    <m/>
    <n v="0"/>
    <n v="0"/>
    <m/>
    <m/>
    <m/>
    <n v="513278"/>
    <n v="170135"/>
    <s v="Hampton"/>
    <s v="Teddington and the Hamptons"/>
    <m/>
    <m/>
    <m/>
    <m/>
    <m/>
    <m/>
    <m/>
    <s v="Y"/>
    <s v="Hampton &amp; Hampton Hill"/>
    <x v="0"/>
  </r>
  <r>
    <s v="21/1087/GPD15"/>
    <s v="CHU"/>
    <s v="PA"/>
    <x v="12"/>
    <d v="2024-05-19T00:00:00"/>
    <d v="2024-02-02T00:00:00"/>
    <m/>
    <m/>
    <d v="2024-05-18T00:00:00"/>
    <x v="0"/>
    <s v="Open Market"/>
    <m/>
    <n v="3"/>
    <s v="1 to 4"/>
    <s v="The proposed works is for the change of use of existing Class E office use on first floor to provide C3 3 x 1 bedroom units and a 1 x 2 bedroom unit"/>
    <s v="First Floor, 55 - 61 Heath Road, Twickenham"/>
    <s v="TW1 4AW"/>
    <m/>
    <m/>
    <m/>
    <m/>
    <m/>
    <m/>
    <m/>
    <m/>
    <m/>
    <n v="0"/>
    <m/>
    <n v="3"/>
    <n v="1"/>
    <m/>
    <m/>
    <m/>
    <m/>
    <m/>
    <m/>
    <n v="4"/>
    <n v="3"/>
    <n v="1"/>
    <n v="0"/>
    <n v="0"/>
    <n v="0"/>
    <n v="0"/>
    <n v="0"/>
    <n v="0"/>
    <n v="4"/>
    <m/>
    <n v="4"/>
    <m/>
    <m/>
    <m/>
    <m/>
    <m/>
    <m/>
    <m/>
    <m/>
    <m/>
    <m/>
    <m/>
    <m/>
    <m/>
    <m/>
    <m/>
    <m/>
    <n v="0"/>
    <n v="0"/>
    <m/>
    <m/>
    <m/>
    <n v="515975"/>
    <n v="173091"/>
    <s v="South Twickenham"/>
    <s v="Twickenham"/>
    <s v="Twickenham"/>
    <m/>
    <m/>
    <m/>
    <m/>
    <m/>
    <m/>
    <s v="Y"/>
    <s v="Twickenham, Strawberry Hill &amp; St Margarets"/>
    <x v="0"/>
  </r>
  <r>
    <s v="21/1841/FUL"/>
    <s v="MIX"/>
    <s v="FULL"/>
    <x v="13"/>
    <d v="2026-02-16T00:00:00"/>
    <d v="2023-06-01T00:00:00"/>
    <m/>
    <m/>
    <d v="2025-03-31T00:00:00"/>
    <x v="0"/>
    <s v="Open Market"/>
    <m/>
    <n v="2.1205479452054794"/>
    <s v="1 to 4"/>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m/>
    <n v="2"/>
    <m/>
    <m/>
    <m/>
    <m/>
    <m/>
    <m/>
    <m/>
    <m/>
    <m/>
    <m/>
    <m/>
    <m/>
    <m/>
    <m/>
    <m/>
    <m/>
    <n v="0"/>
    <n v="0"/>
    <m/>
    <m/>
    <m/>
    <n v="513825"/>
    <n v="169567"/>
    <s v="Hampton"/>
    <s v="Teddington and the Hamptons"/>
    <m/>
    <m/>
    <m/>
    <m/>
    <m/>
    <s v="CA12 Hampton Village"/>
    <s v="Y"/>
    <s v="Y"/>
    <s v="Hampton &amp; Hampton Hill"/>
    <x v="0"/>
  </r>
  <r>
    <s v="21/1925/GPD15"/>
    <s v="CHU"/>
    <s v="PA"/>
    <x v="14"/>
    <d v="2026-05-24T00:00:00"/>
    <d v="2023-12-18T00:00:00"/>
    <m/>
    <m/>
    <d v="2024-07-25T00:00:00"/>
    <x v="0"/>
    <s v="Open Market"/>
    <m/>
    <n v="3"/>
    <s v="1 to 4"/>
    <s v="Change of use of the existing office to create three dwellings"/>
    <s v="1A Rosedale Road, Richmond TW9 2SX"/>
    <s v="TW9 2SX"/>
    <m/>
    <m/>
    <m/>
    <m/>
    <m/>
    <m/>
    <m/>
    <m/>
    <m/>
    <n v="0"/>
    <m/>
    <n v="2"/>
    <n v="1"/>
    <m/>
    <m/>
    <m/>
    <m/>
    <m/>
    <m/>
    <n v="3"/>
    <n v="2"/>
    <n v="1"/>
    <n v="0"/>
    <n v="0"/>
    <n v="0"/>
    <n v="0"/>
    <n v="0"/>
    <n v="0"/>
    <n v="3"/>
    <m/>
    <n v="3"/>
    <m/>
    <m/>
    <m/>
    <m/>
    <m/>
    <m/>
    <m/>
    <m/>
    <m/>
    <m/>
    <m/>
    <m/>
    <m/>
    <m/>
    <m/>
    <m/>
    <n v="0"/>
    <n v="0"/>
    <m/>
    <m/>
    <m/>
    <n v="518108"/>
    <n v="175469"/>
    <s v="North Richmond"/>
    <s v="Richmond"/>
    <m/>
    <m/>
    <m/>
    <m/>
    <m/>
    <s v="CA36 Kew Foot Road"/>
    <s v="Y"/>
    <s v="Y"/>
    <s v="Richmond and Richmond Hill"/>
    <x v="0"/>
  </r>
  <r>
    <s v="21/2151/FUL"/>
    <s v="NEW"/>
    <s v="FULL"/>
    <x v="15"/>
    <d v="2025-08-10T00:00:00"/>
    <d v="2023-10-16T00:00:00"/>
    <m/>
    <m/>
    <d v="2025-02-06T00:00:00"/>
    <x v="0"/>
    <s v="Open Market"/>
    <m/>
    <n v="2.495890410958904"/>
    <s v="1 to 4"/>
    <s v="Demolition of the existing three storey house and erection of a replacement two storey plus basement single family dwelling with associated hard and soft landscpaing and refuse store."/>
    <s v="40 West Temple Sheen, East Sheen SW14 7AP"/>
    <s v="SW14 7AP"/>
    <m/>
    <m/>
    <m/>
    <m/>
    <m/>
    <n v="1"/>
    <m/>
    <m/>
    <m/>
    <n v="1"/>
    <m/>
    <m/>
    <m/>
    <m/>
    <m/>
    <n v="1"/>
    <m/>
    <m/>
    <m/>
    <n v="1"/>
    <n v="0"/>
    <n v="0"/>
    <n v="0"/>
    <n v="0"/>
    <n v="0"/>
    <n v="0"/>
    <n v="0"/>
    <n v="0"/>
    <n v="0"/>
    <m/>
    <n v="0"/>
    <m/>
    <m/>
    <m/>
    <m/>
    <m/>
    <m/>
    <m/>
    <m/>
    <m/>
    <m/>
    <m/>
    <m/>
    <m/>
    <m/>
    <m/>
    <m/>
    <n v="0"/>
    <n v="0"/>
    <m/>
    <m/>
    <m/>
    <n v="519892"/>
    <n v="174721"/>
    <s v="East Sheen"/>
    <s v="Barnes and East Sheen"/>
    <m/>
    <m/>
    <m/>
    <m/>
    <m/>
    <m/>
    <m/>
    <s v="Y"/>
    <s v="Mortlake and East Sheen"/>
    <x v="0"/>
  </r>
  <r>
    <s v="21/2642/FUL"/>
    <s v="CHU"/>
    <s v="FULL"/>
    <x v="16"/>
    <d v="2025-04-08T00:00:00"/>
    <d v="2023-07-28T00:00:00"/>
    <m/>
    <m/>
    <d v="2024-08-09T00:00:00"/>
    <x v="0"/>
    <s v="Affordable Rent"/>
    <m/>
    <n v="2.3397260273972602"/>
    <s v="1 to 4"/>
    <s v="Change of use to four C3 residential units for supported living together with external alterations including changes to the roof form and a first floor extension"/>
    <s v="67A Holly Road, Twickenham TW1 4HF"/>
    <s v="TW1 4HF"/>
    <m/>
    <m/>
    <m/>
    <m/>
    <m/>
    <m/>
    <m/>
    <m/>
    <m/>
    <n v="0"/>
    <s v="Y"/>
    <n v="4"/>
    <m/>
    <m/>
    <m/>
    <m/>
    <m/>
    <m/>
    <m/>
    <n v="4"/>
    <n v="4"/>
    <n v="0"/>
    <n v="0"/>
    <n v="0"/>
    <n v="0"/>
    <n v="0"/>
    <n v="0"/>
    <n v="0"/>
    <n v="4"/>
    <m/>
    <n v="4"/>
    <m/>
    <m/>
    <m/>
    <m/>
    <m/>
    <m/>
    <m/>
    <m/>
    <m/>
    <m/>
    <m/>
    <m/>
    <m/>
    <m/>
    <m/>
    <m/>
    <n v="0"/>
    <n v="0"/>
    <m/>
    <m/>
    <m/>
    <n v="516114"/>
    <n v="173184"/>
    <s v="Twickenham Riverside"/>
    <s v="Twickenham"/>
    <s v="Twickenham"/>
    <m/>
    <m/>
    <m/>
    <m/>
    <m/>
    <m/>
    <s v="Y"/>
    <s v="Twickenham, Strawberry Hill &amp; St Margarets"/>
    <x v="0"/>
  </r>
  <r>
    <s v="21/3140/FUL"/>
    <s v="NEW"/>
    <s v="FULL"/>
    <x v="17"/>
    <d v="2025-08-12T00:00:00"/>
    <d v="2023-12-01T00:00:00"/>
    <m/>
    <m/>
    <d v="2025-03-31T00:00:00"/>
    <x v="0"/>
    <s v="Open Market"/>
    <m/>
    <n v="2.6356164383561644"/>
    <s v="5 to 9"/>
    <s v="Demolition of 3 houses and construction of 8 new houses at 38 to 42 Vincam close"/>
    <s v="38 - 42 Vincam Close, Twickenham"/>
    <s v="TW2 7AB"/>
    <m/>
    <m/>
    <n v="1"/>
    <n v="1"/>
    <m/>
    <n v="1"/>
    <m/>
    <m/>
    <m/>
    <n v="3"/>
    <m/>
    <m/>
    <m/>
    <n v="6"/>
    <n v="2"/>
    <m/>
    <m/>
    <m/>
    <m/>
    <n v="8"/>
    <n v="0"/>
    <n v="-1"/>
    <n v="5"/>
    <n v="2"/>
    <n v="-1"/>
    <n v="0"/>
    <n v="0"/>
    <n v="0"/>
    <n v="5"/>
    <m/>
    <n v="5"/>
    <m/>
    <m/>
    <m/>
    <m/>
    <m/>
    <m/>
    <m/>
    <m/>
    <m/>
    <m/>
    <m/>
    <m/>
    <m/>
    <m/>
    <m/>
    <m/>
    <n v="0"/>
    <n v="0"/>
    <m/>
    <m/>
    <m/>
    <n v="513356"/>
    <n v="173823"/>
    <s v="Whitton"/>
    <s v="Whitton"/>
    <m/>
    <m/>
    <m/>
    <m/>
    <m/>
    <m/>
    <m/>
    <s v="Y"/>
    <s v="Whitton and Heathfield"/>
    <x v="1"/>
  </r>
  <r>
    <s v="21/3330/FUL"/>
    <s v="NEW"/>
    <s v="FULL"/>
    <x v="18"/>
    <d v="2025-02-02T00:00:00"/>
    <d v="2023-09-11T00:00:00"/>
    <m/>
    <m/>
    <d v="2024-12-16T00:00:00"/>
    <x v="0"/>
    <s v="Open Market"/>
    <m/>
    <n v="2.871232876712329"/>
    <s v="1 to 4"/>
    <s v="Construction of terrace of 3 family houses with associated parking and landscaping."/>
    <s v="Car Park, Brooklands Place, Hampton"/>
    <s v="TW12"/>
    <m/>
    <m/>
    <m/>
    <m/>
    <m/>
    <m/>
    <m/>
    <m/>
    <m/>
    <n v="0"/>
    <m/>
    <m/>
    <m/>
    <n v="3"/>
    <m/>
    <m/>
    <m/>
    <m/>
    <m/>
    <n v="3"/>
    <n v="0"/>
    <n v="0"/>
    <n v="3"/>
    <n v="0"/>
    <n v="0"/>
    <n v="0"/>
    <n v="0"/>
    <n v="0"/>
    <n v="3"/>
    <m/>
    <n v="3"/>
    <m/>
    <m/>
    <m/>
    <m/>
    <m/>
    <m/>
    <m/>
    <m/>
    <m/>
    <m/>
    <m/>
    <m/>
    <m/>
    <m/>
    <m/>
    <m/>
    <n v="0"/>
    <n v="0"/>
    <m/>
    <m/>
    <m/>
    <n v="513958"/>
    <n v="171178"/>
    <s v="Fulwell &amp; Hampton Hill"/>
    <s v="Teddington and the Hamptons"/>
    <m/>
    <m/>
    <m/>
    <m/>
    <m/>
    <m/>
    <m/>
    <m/>
    <s v="Hampton &amp; Hampton Hill"/>
    <x v="0"/>
  </r>
  <r>
    <s v="21/4123/GPD26"/>
    <s v="CHU"/>
    <s v="PA"/>
    <x v="19"/>
    <d v="2025-01-21T00:00:00"/>
    <d v="2023-01-10T00:00:00"/>
    <m/>
    <m/>
    <d v="2024-12-09T00:00:00"/>
    <x v="0"/>
    <s v="Open Market"/>
    <m/>
    <n v="2.8849315068493149"/>
    <s v="1 to 4"/>
    <s v="Change of use and conversion of Unit H from Use Class E office to Use Class C3 dwelling house, with ground level car and cycle parking and refuse storage."/>
    <s v="Unit H, 42 Upper Richmond Road West, East Sheen SW14 8DD"/>
    <s v="SW14 8DD"/>
    <m/>
    <m/>
    <m/>
    <m/>
    <m/>
    <m/>
    <m/>
    <m/>
    <m/>
    <n v="0"/>
    <m/>
    <n v="1"/>
    <m/>
    <m/>
    <m/>
    <m/>
    <m/>
    <m/>
    <m/>
    <n v="1"/>
    <n v="1"/>
    <n v="0"/>
    <n v="0"/>
    <n v="0"/>
    <n v="0"/>
    <n v="0"/>
    <n v="0"/>
    <n v="0"/>
    <n v="1"/>
    <m/>
    <n v="1"/>
    <m/>
    <m/>
    <m/>
    <m/>
    <m/>
    <m/>
    <m/>
    <m/>
    <m/>
    <m/>
    <m/>
    <m/>
    <m/>
    <m/>
    <m/>
    <m/>
    <n v="0"/>
    <n v="0"/>
    <m/>
    <m/>
    <m/>
    <n v="521328"/>
    <n v="175496"/>
    <s v="Mortlake &amp; Barnes Common"/>
    <s v="Barnes and East Sheen"/>
    <m/>
    <m/>
    <m/>
    <m/>
    <m/>
    <m/>
    <m/>
    <s v="Y"/>
    <s v="Mortlake and East Sheen"/>
    <x v="0"/>
  </r>
  <r>
    <s v="22/0304/GPD26"/>
    <s v="CHU"/>
    <s v="PA"/>
    <x v="20"/>
    <d v="2025-03-24T00:00:00"/>
    <d v="2023-01-10T00:00:00"/>
    <m/>
    <m/>
    <d v="2024-12-06T00:00:00"/>
    <x v="0"/>
    <s v="Open Market"/>
    <m/>
    <n v="2.7068493150684931"/>
    <s v="1 to 4"/>
    <s v="Change of use from class E office to single dwellinghouse, with ground level car and cycle parking and refuse storage."/>
    <s v="Unit J1 And J2, 42 Upper Richmond Road West, East Sheen SW14 8DD"/>
    <s v="SW14 8DD"/>
    <m/>
    <m/>
    <m/>
    <m/>
    <m/>
    <m/>
    <m/>
    <m/>
    <m/>
    <n v="0"/>
    <m/>
    <m/>
    <n v="1"/>
    <m/>
    <m/>
    <m/>
    <m/>
    <m/>
    <m/>
    <n v="1"/>
    <n v="0"/>
    <n v="1"/>
    <n v="0"/>
    <n v="0"/>
    <n v="0"/>
    <n v="0"/>
    <n v="0"/>
    <n v="0"/>
    <n v="1"/>
    <m/>
    <n v="1"/>
    <m/>
    <m/>
    <m/>
    <m/>
    <m/>
    <m/>
    <m/>
    <m/>
    <m/>
    <m/>
    <m/>
    <m/>
    <m/>
    <m/>
    <m/>
    <m/>
    <n v="0"/>
    <n v="0"/>
    <m/>
    <m/>
    <m/>
    <n v="521328"/>
    <n v="175496"/>
    <s v="Mortlake &amp; Barnes Common"/>
    <s v="Barnes and East Sheen"/>
    <m/>
    <m/>
    <m/>
    <m/>
    <m/>
    <m/>
    <m/>
    <s v="Y"/>
    <s v="Mortlake and East Sheen"/>
    <x v="0"/>
  </r>
  <r>
    <s v="22/0487/FUL"/>
    <s v="NEW"/>
    <s v="FULL"/>
    <x v="21"/>
    <d v="2026-08-30T00:00:00"/>
    <d v="2024-07-01T00:00:00"/>
    <s v="Y"/>
    <m/>
    <d v="2025-02-01T00:00:00"/>
    <x v="0"/>
    <s v="Open Market"/>
    <m/>
    <n v="2.5452054794520547"/>
    <s v="1 to 4"/>
    <s v="Erection of a 3 bedroom attached dwelling.  Demolition of existing timber outbuildings."/>
    <s v="147 Haliburton Road, Twickenham TW1 1PE"/>
    <s v="TW1 1PE"/>
    <m/>
    <m/>
    <m/>
    <m/>
    <m/>
    <m/>
    <m/>
    <m/>
    <m/>
    <n v="0"/>
    <m/>
    <m/>
    <m/>
    <n v="1"/>
    <m/>
    <m/>
    <m/>
    <m/>
    <m/>
    <n v="1"/>
    <n v="0"/>
    <n v="0"/>
    <n v="1"/>
    <n v="0"/>
    <n v="0"/>
    <n v="0"/>
    <n v="0"/>
    <n v="0"/>
    <n v="1"/>
    <m/>
    <n v="1"/>
    <m/>
    <m/>
    <m/>
    <m/>
    <m/>
    <m/>
    <m/>
    <m/>
    <m/>
    <m/>
    <m/>
    <m/>
    <m/>
    <m/>
    <m/>
    <m/>
    <n v="0"/>
    <n v="0"/>
    <m/>
    <m/>
    <m/>
    <n v="516377"/>
    <n v="174907"/>
    <s v="St. Margarets &amp; North Twickenham"/>
    <s v="Twickenham"/>
    <m/>
    <m/>
    <m/>
    <m/>
    <m/>
    <m/>
    <m/>
    <s v="Y"/>
    <s v="Twickenham, Strawberry Hill &amp; St Margarets"/>
    <x v="0"/>
  </r>
  <r>
    <s v="22/1453/FUL"/>
    <s v="NEW"/>
    <s v="FULL"/>
    <x v="22"/>
    <d v="2026-02-07T00:00:00"/>
    <d v="2023-10-01T00:00:00"/>
    <m/>
    <m/>
    <d v="2025-03-31T00:00:00"/>
    <x v="0"/>
    <s v="Open Market"/>
    <m/>
    <n v="2.1452054794520548"/>
    <s v="1 to 4"/>
    <s v="Proposed four bedroom dwelling house with full wheelchair accessibility to all levels &amp; rooms.  The proposed dwelling is to be built in the side garden of number 47 Nightingale Road."/>
    <s v="47 Nightingale Road, Hampton TW12 3HZ"/>
    <s v="TW12 3HZ"/>
    <m/>
    <m/>
    <m/>
    <m/>
    <m/>
    <m/>
    <m/>
    <m/>
    <m/>
    <n v="0"/>
    <m/>
    <m/>
    <m/>
    <m/>
    <n v="1"/>
    <m/>
    <m/>
    <m/>
    <m/>
    <n v="1"/>
    <n v="0"/>
    <n v="0"/>
    <n v="0"/>
    <n v="1"/>
    <n v="0"/>
    <n v="0"/>
    <n v="0"/>
    <n v="0"/>
    <n v="1"/>
    <m/>
    <n v="1"/>
    <m/>
    <m/>
    <m/>
    <m/>
    <m/>
    <m/>
    <m/>
    <m/>
    <m/>
    <m/>
    <m/>
    <m/>
    <m/>
    <m/>
    <m/>
    <m/>
    <n v="0"/>
    <n v="0"/>
    <m/>
    <m/>
    <m/>
    <n v="513292"/>
    <n v="170919"/>
    <s v="Hampton North"/>
    <s v="Teddington and the Hamptons"/>
    <m/>
    <m/>
    <m/>
    <m/>
    <m/>
    <m/>
    <m/>
    <m/>
    <s v="Hampton &amp; Hampton Hill"/>
    <x v="1"/>
  </r>
  <r>
    <s v="22/1458/FUL"/>
    <s v="NEW"/>
    <s v="FULL"/>
    <x v="23"/>
    <d v="2026-09-06T00:00:00"/>
    <d v="2023-12-01T00:00:00"/>
    <m/>
    <m/>
    <d v="2024-11-30T00:00:00"/>
    <x v="0"/>
    <s v="Open Market"/>
    <m/>
    <n v="1.2356164383561643"/>
    <s v="1 to 4"/>
    <s v="Erect new end-of-terrace dwelling. Part removal of ground floor rear extension on existing dwellinghouse (amended description)."/>
    <s v="57 Warwick Road, Twickenham TW2 6SW"/>
    <s v="TW2 6SW"/>
    <m/>
    <m/>
    <m/>
    <m/>
    <m/>
    <m/>
    <m/>
    <m/>
    <m/>
    <n v="0"/>
    <m/>
    <m/>
    <n v="1"/>
    <m/>
    <m/>
    <m/>
    <m/>
    <m/>
    <m/>
    <n v="1"/>
    <n v="0"/>
    <n v="1"/>
    <n v="0"/>
    <n v="0"/>
    <n v="0"/>
    <n v="0"/>
    <n v="0"/>
    <n v="0"/>
    <n v="1"/>
    <m/>
    <n v="1"/>
    <m/>
    <m/>
    <m/>
    <m/>
    <m/>
    <m/>
    <m/>
    <m/>
    <m/>
    <m/>
    <m/>
    <m/>
    <m/>
    <m/>
    <m/>
    <m/>
    <n v="0"/>
    <n v="0"/>
    <m/>
    <m/>
    <m/>
    <n v="515447"/>
    <n v="173212"/>
    <s v="South Twickenham"/>
    <s v="Twickenham"/>
    <m/>
    <m/>
    <m/>
    <m/>
    <m/>
    <s v="CA72 Hamilton Road Twickenham"/>
    <s v="Y"/>
    <s v="Y"/>
    <s v="Twickenham, Strawberry Hill &amp; St Margarets"/>
    <x v="1"/>
  </r>
  <r>
    <s v="22/1568/FUL"/>
    <s v="NEW"/>
    <s v="FULL"/>
    <x v="24"/>
    <d v="2025-08-09T00:00:00"/>
    <d v="2023-07-01T00:00:00"/>
    <m/>
    <m/>
    <d v="2024-08-29T00:00:00"/>
    <x v="0"/>
    <s v="Open Market"/>
    <m/>
    <n v="2.0575342465753423"/>
    <s v="1 to 4"/>
    <s v="Demolition of the existing 5-bed bungalow and replacement with a 5-bed family house. Associated hard and soft landscaping. Installation of vehicular and pedestrian gate. Bike and refuse stores."/>
    <s v="Jude Gate, 35 Ham Common, Ham, Richmond TW10 7JG"/>
    <s v="TW10 7JG"/>
    <m/>
    <m/>
    <m/>
    <m/>
    <n v="1"/>
    <m/>
    <m/>
    <m/>
    <m/>
    <n v="1"/>
    <m/>
    <m/>
    <m/>
    <m/>
    <m/>
    <n v="1"/>
    <m/>
    <m/>
    <m/>
    <n v="1"/>
    <n v="0"/>
    <n v="0"/>
    <n v="0"/>
    <n v="-1"/>
    <n v="1"/>
    <n v="0"/>
    <n v="0"/>
    <n v="0"/>
    <n v="0"/>
    <m/>
    <n v="0"/>
    <m/>
    <m/>
    <m/>
    <m/>
    <m/>
    <m/>
    <m/>
    <m/>
    <m/>
    <m/>
    <m/>
    <m/>
    <m/>
    <m/>
    <m/>
    <m/>
    <n v="0"/>
    <n v="0"/>
    <m/>
    <m/>
    <m/>
    <n v="517549"/>
    <n v="172179"/>
    <s v="Ham, Petersham &amp; Richmond Riverside"/>
    <s v="Ham &amp; Petersham"/>
    <m/>
    <m/>
    <m/>
    <m/>
    <m/>
    <s v="CA7 Ham Common"/>
    <s v="Y"/>
    <m/>
    <s v="Ham, Petersham &amp; Richmond Park"/>
    <x v="0"/>
  </r>
  <r>
    <s v="22/1711/FUL"/>
    <s v="NEW"/>
    <s v="FULL"/>
    <x v="25"/>
    <d v="2026-04-20T00:00:00"/>
    <d v="2023-11-01T00:00:00"/>
    <m/>
    <m/>
    <d v="2025-01-31T00:00:00"/>
    <x v="0"/>
    <s v="Open Market"/>
    <m/>
    <n v="1.7863013698630137"/>
    <s v="1 to 4"/>
    <s v="Demolition of existing building. Erection of 2 semi-detached houses with associated landscaping, parking, and refuse/cycle storage."/>
    <s v="116A Amyand Park Road, Twickenham TW1 3HP"/>
    <s v="TW1 3HP"/>
    <m/>
    <m/>
    <m/>
    <n v="1"/>
    <m/>
    <m/>
    <m/>
    <m/>
    <m/>
    <n v="1"/>
    <m/>
    <m/>
    <m/>
    <n v="2"/>
    <m/>
    <m/>
    <m/>
    <m/>
    <m/>
    <n v="2"/>
    <n v="0"/>
    <n v="0"/>
    <n v="1"/>
    <n v="0"/>
    <n v="0"/>
    <n v="0"/>
    <n v="0"/>
    <n v="0"/>
    <n v="1"/>
    <m/>
    <n v="1"/>
    <m/>
    <m/>
    <m/>
    <m/>
    <m/>
    <m/>
    <m/>
    <m/>
    <m/>
    <m/>
    <m/>
    <m/>
    <m/>
    <m/>
    <m/>
    <m/>
    <n v="0"/>
    <n v="0"/>
    <m/>
    <m/>
    <m/>
    <n v="516560"/>
    <n v="173850"/>
    <s v="Twickenham Riverside"/>
    <s v="Twickenham"/>
    <m/>
    <m/>
    <m/>
    <m/>
    <m/>
    <m/>
    <m/>
    <s v="Y"/>
    <s v="Twickenham, Strawberry Hill &amp; St Margarets"/>
    <x v="1"/>
  </r>
  <r>
    <s v="22/1742/FUL"/>
    <s v="NEW"/>
    <s v="FULL"/>
    <x v="26"/>
    <d v="2025-12-09T00:00:00"/>
    <d v="2024-01-29T00:00:00"/>
    <m/>
    <m/>
    <d v="2025-03-31T00:00:00"/>
    <x v="0"/>
    <s v="Open Market"/>
    <m/>
    <n v="2.3095890410958906"/>
    <s v="1 to 4"/>
    <s v="Demolition of existing building and erection of two semi-detached houses"/>
    <s v="34 Udney Park Road, Teddington TW11 9BG"/>
    <s v="TW11 9BG"/>
    <m/>
    <m/>
    <m/>
    <n v="1"/>
    <m/>
    <m/>
    <m/>
    <m/>
    <m/>
    <n v="1"/>
    <m/>
    <m/>
    <m/>
    <m/>
    <n v="2"/>
    <m/>
    <m/>
    <m/>
    <m/>
    <n v="2"/>
    <n v="0"/>
    <n v="0"/>
    <n v="-1"/>
    <n v="2"/>
    <n v="0"/>
    <n v="0"/>
    <n v="0"/>
    <n v="0"/>
    <n v="1"/>
    <m/>
    <n v="1"/>
    <m/>
    <m/>
    <m/>
    <m/>
    <m/>
    <m/>
    <m/>
    <m/>
    <m/>
    <m/>
    <m/>
    <m/>
    <m/>
    <m/>
    <m/>
    <m/>
    <n v="0"/>
    <n v="0"/>
    <m/>
    <m/>
    <m/>
    <n v="516303"/>
    <n v="170784"/>
    <s v="Teddington"/>
    <s v="Teddington and the Hamptons"/>
    <m/>
    <m/>
    <m/>
    <m/>
    <m/>
    <m/>
    <m/>
    <s v="Y"/>
    <s v="Teddington &amp; Hampton Wick"/>
    <x v="0"/>
  </r>
  <r>
    <s v="22/2082/FUL"/>
    <s v="NEW"/>
    <s v="FULL"/>
    <x v="27"/>
    <d v="2026-01-19T00:00:00"/>
    <d v="2023-10-23T00:00:00"/>
    <m/>
    <m/>
    <d v="2024-11-18T00:00:00"/>
    <x v="0"/>
    <s v="Affordable Rent"/>
    <m/>
    <n v="1.832876712328767"/>
    <s v="5 to 9"/>
    <s v="Demolition of 17 existing garages and erection of five one-bed single-storey dwellings (almshouses) for the over 65s."/>
    <s v="Garages Rear Of 20 - 34 St Marys Grove, Richmond"/>
    <s v="TW9 1UY"/>
    <m/>
    <m/>
    <m/>
    <m/>
    <m/>
    <m/>
    <m/>
    <m/>
    <m/>
    <n v="0"/>
    <s v="Y"/>
    <n v="5"/>
    <m/>
    <m/>
    <m/>
    <m/>
    <m/>
    <m/>
    <m/>
    <n v="5"/>
    <n v="5"/>
    <n v="0"/>
    <n v="0"/>
    <n v="0"/>
    <n v="0"/>
    <n v="0"/>
    <n v="0"/>
    <n v="0"/>
    <n v="5"/>
    <m/>
    <n v="5"/>
    <m/>
    <m/>
    <m/>
    <m/>
    <m/>
    <m/>
    <m/>
    <m/>
    <m/>
    <m/>
    <m/>
    <m/>
    <m/>
    <m/>
    <m/>
    <m/>
    <n v="0"/>
    <n v="0"/>
    <m/>
    <m/>
    <m/>
    <n v="518758"/>
    <n v="175172"/>
    <s v="North Richmond"/>
    <s v="Richmond"/>
    <m/>
    <m/>
    <m/>
    <m/>
    <m/>
    <s v="CA31 Sheen Road Richmond"/>
    <s v="Y"/>
    <s v="Y"/>
    <s v="Richmond and Richmond Hill"/>
    <x v="0"/>
  </r>
  <r>
    <s v="22/2337/GPD26"/>
    <s v="CON"/>
    <s v="PA"/>
    <x v="28"/>
    <d v="2025-09-16T00:00:00"/>
    <d v="2024-01-16T00:00:00"/>
    <m/>
    <m/>
    <d v="2024-10-23T00:00:00"/>
    <x v="0"/>
    <s v="Open Market"/>
    <m/>
    <n v="2.1041095890410957"/>
    <s v="1 to 4"/>
    <s v="Conversion of 3 Friars Lane to provide 2no. flats"/>
    <s v="3 Friars Lane, Richmond TW9 1NL"/>
    <s v="TW9 1NL"/>
    <m/>
    <m/>
    <m/>
    <m/>
    <m/>
    <m/>
    <m/>
    <m/>
    <m/>
    <n v="0"/>
    <m/>
    <n v="2"/>
    <m/>
    <m/>
    <m/>
    <m/>
    <m/>
    <m/>
    <m/>
    <n v="2"/>
    <n v="2"/>
    <n v="0"/>
    <n v="0"/>
    <n v="0"/>
    <n v="0"/>
    <n v="0"/>
    <n v="0"/>
    <n v="0"/>
    <n v="2"/>
    <m/>
    <n v="2"/>
    <m/>
    <m/>
    <m/>
    <m/>
    <m/>
    <m/>
    <m/>
    <m/>
    <m/>
    <m/>
    <m/>
    <m/>
    <m/>
    <m/>
    <m/>
    <m/>
    <n v="0"/>
    <n v="0"/>
    <m/>
    <m/>
    <m/>
    <n v="517628"/>
    <n v="174828"/>
    <s v="South Richmond"/>
    <s v="Richmond"/>
    <m/>
    <m/>
    <m/>
    <m/>
    <m/>
    <s v="CA3 Richmond Green"/>
    <s v="Y"/>
    <s v="Y"/>
    <s v="Richmond and Richmond Hill"/>
    <x v="0"/>
  </r>
  <r>
    <s v="22/2338/GPD26"/>
    <s v="CHU"/>
    <s v="PA"/>
    <x v="28"/>
    <d v="2025-09-16T00:00:00"/>
    <d v="2024-01-16T00:00:00"/>
    <m/>
    <m/>
    <d v="2024-10-23T00:00:00"/>
    <x v="0"/>
    <s v="Open Market"/>
    <m/>
    <n v="2.1041095890410957"/>
    <s v="1 to 4"/>
    <s v="Conversion of part of 4 Friars Lane to provide 1no. flat"/>
    <s v="4 Friars Lane, Richmond TW9 1NL"/>
    <s v="TW9 1NL"/>
    <m/>
    <m/>
    <m/>
    <m/>
    <m/>
    <m/>
    <m/>
    <m/>
    <m/>
    <n v="0"/>
    <m/>
    <n v="1"/>
    <m/>
    <m/>
    <m/>
    <m/>
    <m/>
    <m/>
    <m/>
    <n v="1"/>
    <n v="1"/>
    <n v="0"/>
    <n v="0"/>
    <n v="0"/>
    <n v="0"/>
    <n v="0"/>
    <n v="0"/>
    <n v="0"/>
    <n v="1"/>
    <m/>
    <n v="1"/>
    <m/>
    <m/>
    <m/>
    <m/>
    <m/>
    <m/>
    <m/>
    <m/>
    <m/>
    <m/>
    <m/>
    <m/>
    <m/>
    <m/>
    <m/>
    <m/>
    <n v="0"/>
    <n v="0"/>
    <m/>
    <m/>
    <m/>
    <n v="517621"/>
    <n v="174819"/>
    <s v="South Richmond"/>
    <s v="Richmond"/>
    <m/>
    <m/>
    <m/>
    <m/>
    <m/>
    <s v="CA3 Richmond Green"/>
    <s v="Y"/>
    <s v="Y"/>
    <s v="Richmond and Richmond Hill"/>
    <x v="0"/>
  </r>
  <r>
    <s v="22/2628/FUL"/>
    <s v="CON"/>
    <s v="FULL"/>
    <x v="29"/>
    <d v="2025-11-16T00:00:00"/>
    <d v="2023-01-09T00:00:00"/>
    <m/>
    <m/>
    <d v="2025-03-11T00:00:00"/>
    <x v="0"/>
    <s v="Open Market"/>
    <m/>
    <n v="2.3178082191780822"/>
    <s v="1 to 4"/>
    <s v="New single storey side extension, new verandah roof, replacement fenestration to all elevations, new rooflights to existing rear extension, new roof dormers and associated landscaping to facilitate the conversion of existing 2 properties into 1 dwellinghouse"/>
    <s v="174 Kew Road, Kew, Richmond TW9 2AS"/>
    <s v="TW9 2AS"/>
    <m/>
    <m/>
    <m/>
    <n v="1"/>
    <m/>
    <n v="1"/>
    <m/>
    <m/>
    <m/>
    <n v="2"/>
    <m/>
    <m/>
    <m/>
    <m/>
    <m/>
    <m/>
    <m/>
    <m/>
    <n v="1"/>
    <n v="1"/>
    <n v="0"/>
    <n v="0"/>
    <n v="-1"/>
    <n v="0"/>
    <n v="-1"/>
    <n v="0"/>
    <n v="0"/>
    <n v="1"/>
    <n v="-1"/>
    <m/>
    <n v="-1"/>
    <m/>
    <m/>
    <m/>
    <m/>
    <m/>
    <m/>
    <m/>
    <m/>
    <m/>
    <m/>
    <m/>
    <m/>
    <m/>
    <m/>
    <m/>
    <m/>
    <n v="0"/>
    <n v="0"/>
    <m/>
    <m/>
    <m/>
    <n v="518652"/>
    <n v="175923"/>
    <s v="North Richmond"/>
    <s v="Richmond"/>
    <m/>
    <m/>
    <m/>
    <m/>
    <m/>
    <s v="CA55 Kew Road"/>
    <s v="Y"/>
    <s v="Y"/>
    <s v="Kew"/>
    <x v="0"/>
  </r>
  <r>
    <s v="22/3002/GPD26"/>
    <s v="CHU"/>
    <s v="PA"/>
    <x v="30"/>
    <d v="2025-11-20T00:00:00"/>
    <d v="2024-01-16T00:00:00"/>
    <m/>
    <m/>
    <d v="2024-10-23T00:00:00"/>
    <x v="0"/>
    <s v="Open Market"/>
    <m/>
    <n v="1.904109589041096"/>
    <s v="1 to 4"/>
    <s v="Conversion of offices on ground floor (Class E Use) to 1no. residential dwelling (Class C3 Use)"/>
    <s v="Friars Way, The Green, Richmond TW9 1NQ"/>
    <s v="TW9 1NQ"/>
    <m/>
    <m/>
    <m/>
    <m/>
    <m/>
    <m/>
    <m/>
    <m/>
    <m/>
    <n v="0"/>
    <m/>
    <n v="1"/>
    <m/>
    <m/>
    <m/>
    <m/>
    <m/>
    <m/>
    <m/>
    <n v="1"/>
    <n v="1"/>
    <n v="0"/>
    <n v="0"/>
    <n v="0"/>
    <n v="0"/>
    <n v="0"/>
    <n v="0"/>
    <n v="0"/>
    <n v="1"/>
    <m/>
    <n v="1"/>
    <m/>
    <m/>
    <m/>
    <m/>
    <m/>
    <m/>
    <m/>
    <m/>
    <m/>
    <m/>
    <m/>
    <m/>
    <m/>
    <m/>
    <m/>
    <m/>
    <n v="0"/>
    <n v="0"/>
    <m/>
    <m/>
    <m/>
    <n v="517638"/>
    <n v="174846"/>
    <s v="South Richmond"/>
    <s v="Richmond"/>
    <m/>
    <m/>
    <m/>
    <m/>
    <m/>
    <s v="CA3 Richmond Green"/>
    <s v="Y"/>
    <s v="Y"/>
    <s v="Richmond and Richmond Hill"/>
    <x v="0"/>
  </r>
  <r>
    <s v="22/3061/FUL"/>
    <s v="EXT"/>
    <s v="FULL"/>
    <x v="31"/>
    <d v="2027-03-01T00:00:00"/>
    <d v="2024-07-01T00:00:00"/>
    <s v="Y"/>
    <m/>
    <d v="2025-03-31T00:00:00"/>
    <x v="0"/>
    <s v="Open Market"/>
    <m/>
    <n v="1.0821917808219179"/>
    <s v="1 to 4"/>
    <s v="Additional storey to add two single bed dwellings"/>
    <s v="118A - 118B High Street, Hampton Hill, Hampton TW12 1NT"/>
    <s v="TW12 1NT"/>
    <m/>
    <m/>
    <m/>
    <m/>
    <m/>
    <m/>
    <m/>
    <m/>
    <m/>
    <n v="0"/>
    <m/>
    <n v="2"/>
    <m/>
    <m/>
    <m/>
    <m/>
    <m/>
    <m/>
    <m/>
    <n v="2"/>
    <n v="2"/>
    <n v="0"/>
    <n v="0"/>
    <n v="0"/>
    <n v="0"/>
    <n v="0"/>
    <n v="0"/>
    <n v="0"/>
    <n v="2"/>
    <m/>
    <n v="2"/>
    <m/>
    <m/>
    <m/>
    <m/>
    <m/>
    <m/>
    <m/>
    <m/>
    <m/>
    <m/>
    <m/>
    <m/>
    <m/>
    <m/>
    <m/>
    <m/>
    <n v="0"/>
    <n v="0"/>
    <m/>
    <m/>
    <m/>
    <n v="514515"/>
    <n v="171261"/>
    <s v="Fulwell &amp; Hampton Hill"/>
    <s v="Teddington and the Hamptons"/>
    <m/>
    <m/>
    <s v="High Street, Hampton Hill"/>
    <s v="Y"/>
    <m/>
    <m/>
    <m/>
    <s v="Y"/>
    <s v="Hampton &amp; Hampton Hill"/>
    <x v="0"/>
  </r>
  <r>
    <s v="22/3626/GPD26"/>
    <s v="CHU"/>
    <s v="PA"/>
    <x v="32"/>
    <d v="2026-01-26T00:00:00"/>
    <d v="2024-01-16T00:00:00"/>
    <m/>
    <m/>
    <d v="2024-10-23T00:00:00"/>
    <x v="0"/>
    <s v="Open Market"/>
    <m/>
    <n v="1.7424657534246575"/>
    <s v="1 to 4"/>
    <s v="Conversion of first and second floor office accommodation to provide 2no. flats"/>
    <s v="2 Friars Lane, Richmond TW9 1NL"/>
    <s v="TW9 1NL"/>
    <m/>
    <m/>
    <m/>
    <m/>
    <m/>
    <m/>
    <m/>
    <m/>
    <m/>
    <n v="0"/>
    <m/>
    <n v="2"/>
    <m/>
    <m/>
    <m/>
    <m/>
    <m/>
    <m/>
    <m/>
    <n v="2"/>
    <n v="2"/>
    <n v="0"/>
    <n v="0"/>
    <n v="0"/>
    <n v="0"/>
    <n v="0"/>
    <n v="0"/>
    <n v="0"/>
    <n v="2"/>
    <m/>
    <n v="2"/>
    <m/>
    <m/>
    <m/>
    <m/>
    <m/>
    <m/>
    <m/>
    <m/>
    <m/>
    <m/>
    <m/>
    <m/>
    <m/>
    <m/>
    <m/>
    <m/>
    <n v="0"/>
    <n v="0"/>
    <m/>
    <m/>
    <m/>
    <n v="517631"/>
    <n v="174833"/>
    <s v="South Richmond"/>
    <s v="Richmond"/>
    <m/>
    <m/>
    <m/>
    <m/>
    <m/>
    <s v="CA3 Richmond Green"/>
    <s v="Y"/>
    <s v="Y"/>
    <s v="Richmond and Richmond Hill"/>
    <x v="0"/>
  </r>
  <r>
    <s v="23/0253/GPD26"/>
    <s v="CHU"/>
    <s v="PA"/>
    <x v="33"/>
    <d v="2026-03-13T00:00:00"/>
    <d v="2024-01-08T00:00:00"/>
    <m/>
    <m/>
    <d v="2024-07-30T00:00:00"/>
    <x v="0"/>
    <s v="Open Market"/>
    <m/>
    <n v="1.3835616438356164"/>
    <s v="1 to 4"/>
    <s v="Conversion of first floor to two self-contained residential flats"/>
    <s v="26A York Street, Twickenham TW1 3LJ"/>
    <s v="TW1 3LJ"/>
    <m/>
    <m/>
    <m/>
    <m/>
    <m/>
    <m/>
    <m/>
    <m/>
    <m/>
    <n v="0"/>
    <m/>
    <n v="2"/>
    <m/>
    <m/>
    <m/>
    <m/>
    <m/>
    <m/>
    <m/>
    <n v="2"/>
    <n v="2"/>
    <n v="0"/>
    <n v="0"/>
    <n v="0"/>
    <n v="0"/>
    <n v="0"/>
    <n v="0"/>
    <n v="0"/>
    <n v="2"/>
    <m/>
    <n v="2"/>
    <m/>
    <m/>
    <m/>
    <m/>
    <m/>
    <m/>
    <m/>
    <m/>
    <m/>
    <m/>
    <m/>
    <m/>
    <m/>
    <m/>
    <m/>
    <m/>
    <n v="0"/>
    <n v="0"/>
    <m/>
    <m/>
    <m/>
    <n v="516335"/>
    <n v="173355"/>
    <s v="Twickenham Riverside"/>
    <s v="Twickenham"/>
    <s v="Twickenham"/>
    <m/>
    <m/>
    <m/>
    <m/>
    <s v="CA8 Twickenham Riverside"/>
    <s v="Y"/>
    <s v="Y"/>
    <s v="Twickenham, Strawberry Hill &amp; St Margarets"/>
    <x v="0"/>
  </r>
  <r>
    <s v="23/0399/FUL"/>
    <s v="NEW"/>
    <s v="FULL"/>
    <x v="34"/>
    <d v="2024-09-30T00:00:00"/>
    <d v="2023-11-01T00:00:00"/>
    <m/>
    <m/>
    <d v="2024-12-01T00:00:00"/>
    <x v="0"/>
    <s v="Open Market"/>
    <m/>
    <n v="1.6821917808219178"/>
    <s v="1 to 4"/>
    <s v="Demolition of the Existing house and outbuildings and replacement with a Single Family Dwelling"/>
    <s v="19 Nylands Avenue, Kew, Richmond TW9 4HH"/>
    <s v="TW9 4HH"/>
    <m/>
    <m/>
    <m/>
    <m/>
    <m/>
    <n v="1"/>
    <m/>
    <m/>
    <m/>
    <n v="1"/>
    <m/>
    <m/>
    <m/>
    <m/>
    <m/>
    <m/>
    <n v="1"/>
    <m/>
    <m/>
    <n v="1"/>
    <n v="0"/>
    <n v="0"/>
    <n v="0"/>
    <n v="0"/>
    <n v="-1"/>
    <n v="1"/>
    <n v="0"/>
    <n v="0"/>
    <n v="0"/>
    <m/>
    <n v="0"/>
    <m/>
    <m/>
    <m/>
    <m/>
    <m/>
    <m/>
    <m/>
    <m/>
    <m/>
    <m/>
    <m/>
    <m/>
    <m/>
    <m/>
    <m/>
    <m/>
    <n v="0"/>
    <n v="0"/>
    <m/>
    <m/>
    <m/>
    <n v="519305"/>
    <n v="176468"/>
    <s v="Kew"/>
    <s v="Richmond"/>
    <m/>
    <m/>
    <m/>
    <m/>
    <m/>
    <m/>
    <m/>
    <s v="Y"/>
    <s v="Kew"/>
    <x v="0"/>
  </r>
  <r>
    <s v="23/0679/FUL"/>
    <s v="CHU"/>
    <s v="FULL"/>
    <x v="35"/>
    <d v="2026-06-23T00:00:00"/>
    <d v="2023-11-27T00:00:00"/>
    <m/>
    <m/>
    <d v="2024-05-29T00:00:00"/>
    <x v="0"/>
    <s v="Open Market"/>
    <m/>
    <n v="0.9342465753424658"/>
    <s v="1 to 4"/>
    <s v="Reversion of 2 bedroom flat, converted in 1990s, back to use as part of Park Lane Stables to accommodate DDA compliant w.c., counselling room, reception area and stable for 'Cuddle Horse' and associated works to improve accessibility and usability. Change"/>
    <s v="Park Lane Stables, Park Lane, Teddington TW11 0HY"/>
    <s v="TW11 0HY"/>
    <m/>
    <m/>
    <n v="1"/>
    <m/>
    <m/>
    <m/>
    <m/>
    <m/>
    <m/>
    <n v="1"/>
    <m/>
    <m/>
    <m/>
    <m/>
    <m/>
    <m/>
    <m/>
    <m/>
    <m/>
    <n v="0"/>
    <n v="0"/>
    <n v="-1"/>
    <n v="0"/>
    <n v="0"/>
    <n v="0"/>
    <n v="0"/>
    <n v="0"/>
    <n v="0"/>
    <n v="-1"/>
    <m/>
    <n v="-1"/>
    <m/>
    <m/>
    <m/>
    <m/>
    <m/>
    <m/>
    <m/>
    <m/>
    <m/>
    <m/>
    <m/>
    <m/>
    <m/>
    <m/>
    <m/>
    <m/>
    <n v="0"/>
    <n v="0"/>
    <m/>
    <m/>
    <m/>
    <n v="515689"/>
    <n v="170740"/>
    <s v="Teddington"/>
    <s v="Teddington and the Hamptons"/>
    <m/>
    <m/>
    <m/>
    <m/>
    <m/>
    <m/>
    <m/>
    <s v="Y"/>
    <s v="Teddington &amp; Hampton Wick"/>
    <x v="0"/>
  </r>
  <r>
    <s v="23/0977/FUL"/>
    <s v="CON"/>
    <s v="FULL"/>
    <x v="36"/>
    <d v="2027-01-24T00:00:00"/>
    <d v="2024-04-01T00:00:00"/>
    <s v="Y"/>
    <m/>
    <d v="2024-12-31T00:00:00"/>
    <x v="0"/>
    <s v="Open Market"/>
    <m/>
    <n v="0.93698630136986305"/>
    <s v="1 to 4"/>
    <s v="Proposed flat conversion to split into 2, 2-bed flats."/>
    <s v="148A Heath Road, Twickenham TW1 4BN"/>
    <s v="TW1 4BN"/>
    <m/>
    <m/>
    <m/>
    <m/>
    <n v="1"/>
    <m/>
    <m/>
    <m/>
    <m/>
    <n v="1"/>
    <m/>
    <m/>
    <n v="2"/>
    <m/>
    <m/>
    <m/>
    <m/>
    <m/>
    <m/>
    <n v="2"/>
    <n v="0"/>
    <n v="2"/>
    <n v="0"/>
    <n v="-1"/>
    <n v="0"/>
    <n v="0"/>
    <n v="0"/>
    <n v="0"/>
    <n v="1"/>
    <m/>
    <n v="1"/>
    <m/>
    <m/>
    <m/>
    <m/>
    <m/>
    <m/>
    <m/>
    <m/>
    <m/>
    <m/>
    <m/>
    <m/>
    <m/>
    <m/>
    <m/>
    <m/>
    <n v="0"/>
    <n v="0"/>
    <m/>
    <m/>
    <m/>
    <n v="515669"/>
    <n v="173146"/>
    <s v="South Twickenham"/>
    <s v="Twickenham"/>
    <s v="Twickenham"/>
    <m/>
    <m/>
    <m/>
    <m/>
    <m/>
    <m/>
    <s v="Y"/>
    <s v="Twickenham, Strawberry Hill &amp; St Margarets"/>
    <x v="0"/>
  </r>
  <r>
    <s v="23/1118/FUL"/>
    <s v="CHU"/>
    <s v="FULL"/>
    <x v="37"/>
    <d v="2026-08-17T00:00:00"/>
    <d v="2024-03-18T00:00:00"/>
    <m/>
    <m/>
    <d v="2024-10-23T00:00:00"/>
    <x v="0"/>
    <s v="Open Market"/>
    <m/>
    <n v="1.1863013698630136"/>
    <s v="1 to 4"/>
    <s v="Conversion of redundant garage to 1bedroom flat with associated external alterations together with the provision of bin and cycle storage."/>
    <s v="2 Friars Lane, Richmond TW9 1NL"/>
    <s v="TW9 1NL"/>
    <m/>
    <m/>
    <m/>
    <m/>
    <m/>
    <m/>
    <m/>
    <m/>
    <m/>
    <n v="0"/>
    <m/>
    <n v="1"/>
    <m/>
    <m/>
    <m/>
    <m/>
    <m/>
    <m/>
    <m/>
    <n v="1"/>
    <n v="1"/>
    <n v="0"/>
    <n v="0"/>
    <n v="0"/>
    <n v="0"/>
    <n v="0"/>
    <n v="0"/>
    <n v="0"/>
    <n v="1"/>
    <m/>
    <n v="1"/>
    <m/>
    <m/>
    <m/>
    <m/>
    <m/>
    <m/>
    <m/>
    <m/>
    <m/>
    <m/>
    <m/>
    <m/>
    <m/>
    <m/>
    <m/>
    <m/>
    <n v="0"/>
    <n v="0"/>
    <m/>
    <m/>
    <m/>
    <n v="517631"/>
    <n v="174833"/>
    <s v="South Richmond"/>
    <s v="Richmond"/>
    <m/>
    <m/>
    <m/>
    <m/>
    <m/>
    <s v="CA3 Richmond Green"/>
    <s v="Y"/>
    <s v="Y"/>
    <s v="Richmond and Richmond Hill"/>
    <x v="0"/>
  </r>
  <r>
    <s v="23/1471/GPD26"/>
    <s v="CHU"/>
    <s v="PA"/>
    <x v="38"/>
    <d v="2026-07-17T00:00:00"/>
    <d v="2023-07-17T00:00:00"/>
    <m/>
    <m/>
    <d v="2025-03-31T00:00:00"/>
    <x v="0"/>
    <s v="Open Market"/>
    <m/>
    <n v="1.7068493150684931"/>
    <s v="5 to 9"/>
    <s v="Change of use and addition of mezzanine floor to create 5 residential units"/>
    <s v="12 Park Road, Hampton Wick KT1 4AS"/>
    <s v="KT1 4AS"/>
    <m/>
    <m/>
    <m/>
    <m/>
    <m/>
    <m/>
    <m/>
    <m/>
    <m/>
    <n v="0"/>
    <m/>
    <n v="4"/>
    <n v="1"/>
    <m/>
    <m/>
    <m/>
    <m/>
    <m/>
    <m/>
    <n v="5"/>
    <n v="4"/>
    <n v="1"/>
    <n v="0"/>
    <n v="0"/>
    <n v="0"/>
    <n v="0"/>
    <n v="0"/>
    <n v="0"/>
    <n v="5"/>
    <m/>
    <n v="5"/>
    <m/>
    <m/>
    <m/>
    <m/>
    <m/>
    <m/>
    <m/>
    <m/>
    <m/>
    <m/>
    <m/>
    <m/>
    <m/>
    <m/>
    <m/>
    <m/>
    <n v="0"/>
    <n v="0"/>
    <m/>
    <m/>
    <m/>
    <n v="517458"/>
    <n v="169588"/>
    <s v="Hampton Wick &amp; South Teddington"/>
    <s v="Teddington and the Hamptons"/>
    <m/>
    <m/>
    <s v="Hampton Wick"/>
    <s v="Y"/>
    <m/>
    <s v="CA18 Hampton Wick"/>
    <s v="Y"/>
    <s v="Y"/>
    <s v="Teddington &amp; Hampton Wick"/>
    <x v="0"/>
  </r>
  <r>
    <s v="23/1495/GPD26"/>
    <s v="CHU"/>
    <s v="PA"/>
    <x v="39"/>
    <d v="2026-07-24T00:00:00"/>
    <d v="2024-02-01T00:00:00"/>
    <m/>
    <m/>
    <d v="2024-08-29T00:00:00"/>
    <x v="0"/>
    <s v="Open Market"/>
    <m/>
    <n v="1.1013698630136985"/>
    <s v="1 to 4"/>
    <s v="Prior approval for change of use from Commercial, Business and Service (Use Class E) to Dwellinghouses (Use Class C3) to form 3 dwellings."/>
    <s v="25 Church Road, Teddington TW11 8PF"/>
    <s v="TW11 8PF"/>
    <m/>
    <m/>
    <m/>
    <m/>
    <m/>
    <m/>
    <m/>
    <m/>
    <m/>
    <n v="0"/>
    <m/>
    <n v="2"/>
    <n v="1"/>
    <m/>
    <m/>
    <m/>
    <m/>
    <m/>
    <m/>
    <n v="3"/>
    <n v="2"/>
    <n v="1"/>
    <n v="0"/>
    <n v="0"/>
    <n v="0"/>
    <n v="0"/>
    <n v="0"/>
    <n v="0"/>
    <n v="3"/>
    <m/>
    <n v="3"/>
    <m/>
    <m/>
    <m/>
    <m/>
    <m/>
    <m/>
    <m/>
    <m/>
    <m/>
    <m/>
    <m/>
    <m/>
    <m/>
    <m/>
    <m/>
    <m/>
    <n v="0"/>
    <n v="0"/>
    <m/>
    <m/>
    <m/>
    <n v="515664"/>
    <n v="171121"/>
    <s v="Teddington"/>
    <s v="Teddington and the Hamptons"/>
    <m/>
    <m/>
    <m/>
    <m/>
    <m/>
    <s v="CA85 Church Road"/>
    <s v="Y"/>
    <s v="Y"/>
    <s v="Teddington &amp; Hampton Wick"/>
    <x v="0"/>
  </r>
  <r>
    <s v="23/1643/PS192"/>
    <s v="CHU"/>
    <s v="S192"/>
    <x v="40"/>
    <d v="2026-10-12T00:00:00"/>
    <d v="2024-02-01T00:00:00"/>
    <m/>
    <m/>
    <d v="2024-05-28T00:00:00"/>
    <x v="0"/>
    <s v="Open Market"/>
    <m/>
    <n v="0.62739726027397258"/>
    <s v="1 to 4"/>
    <s v="Change of use from C3 Dwellinghouse to C4 House in multiple Occupation."/>
    <s v="3 Redfern Avenue, Whitton TW4 5NA"/>
    <s v="TW4 5NA"/>
    <m/>
    <m/>
    <m/>
    <n v="1"/>
    <m/>
    <m/>
    <m/>
    <m/>
    <m/>
    <n v="1"/>
    <m/>
    <m/>
    <m/>
    <n v="1"/>
    <m/>
    <m/>
    <m/>
    <m/>
    <m/>
    <n v="1"/>
    <n v="0"/>
    <n v="0"/>
    <n v="0"/>
    <n v="0"/>
    <n v="0"/>
    <n v="0"/>
    <n v="0"/>
    <n v="0"/>
    <n v="0"/>
    <m/>
    <n v="0"/>
    <m/>
    <m/>
    <m/>
    <m/>
    <m/>
    <m/>
    <m/>
    <m/>
    <m/>
    <m/>
    <m/>
    <m/>
    <m/>
    <m/>
    <m/>
    <m/>
    <n v="0"/>
    <n v="0"/>
    <m/>
    <m/>
    <s v="Y"/>
    <n v="513121"/>
    <n v="173691"/>
    <s v="Heathfield"/>
    <s v="Whitton"/>
    <m/>
    <m/>
    <m/>
    <m/>
    <m/>
    <m/>
    <m/>
    <m/>
    <s v="Whitton and Heathfield"/>
    <x v="0"/>
  </r>
  <r>
    <s v="23/1658/GPD26"/>
    <s v="CHU"/>
    <s v="PA"/>
    <x v="41"/>
    <d v="2026-08-07T00:00:00"/>
    <d v="2024-07-22T00:00:00"/>
    <s v="Y"/>
    <m/>
    <d v="2025-03-01T00:00:00"/>
    <x v="0"/>
    <s v="Open Market"/>
    <m/>
    <n v="1.5671232876712329"/>
    <s v="1 to 4"/>
    <s v="Conversion of ground floor commercial unit (class E use) to a residential dwelling (class C3 use)."/>
    <s v="66 Hampton Road, Twickenham TW2 5QB"/>
    <s v="TW2 5QB"/>
    <m/>
    <m/>
    <m/>
    <m/>
    <m/>
    <m/>
    <m/>
    <m/>
    <m/>
    <n v="0"/>
    <m/>
    <m/>
    <n v="1"/>
    <m/>
    <m/>
    <m/>
    <m/>
    <m/>
    <m/>
    <n v="1"/>
    <n v="0"/>
    <n v="1"/>
    <n v="0"/>
    <n v="0"/>
    <n v="0"/>
    <n v="0"/>
    <n v="0"/>
    <n v="0"/>
    <n v="1"/>
    <m/>
    <n v="1"/>
    <m/>
    <m/>
    <m/>
    <m/>
    <m/>
    <m/>
    <m/>
    <m/>
    <m/>
    <m/>
    <m/>
    <m/>
    <m/>
    <m/>
    <m/>
    <m/>
    <n v="0"/>
    <n v="0"/>
    <m/>
    <m/>
    <m/>
    <n v="515085"/>
    <n v="172681"/>
    <s v="West Twickenham"/>
    <s v="Twickenham"/>
    <m/>
    <m/>
    <s v="Hampton Road, Twickenham"/>
    <s v="Y"/>
    <m/>
    <m/>
    <m/>
    <s v="Y"/>
    <s v="Twickenham, Strawberry Hill &amp; St Margarets"/>
    <x v="0"/>
  </r>
  <r>
    <s v="23/1863/GPD26"/>
    <s v="CHU"/>
    <s v="PA"/>
    <x v="42"/>
    <d v="2026-08-29T00:00:00"/>
    <d v="2024-02-01T00:00:00"/>
    <m/>
    <m/>
    <d v="2024-08-29T00:00:00"/>
    <x v="0"/>
    <s v="Open Market"/>
    <m/>
    <n v="1.0027397260273974"/>
    <s v="1 to 4"/>
    <s v="Prior approval under The Town and Country Planning (General Permitted Development etc.) (England) (Amendment) Order 2021 Under Part 3, Schedule 2, Class MA for a change of use of a building and any land within its curtilage from a use falling within E to form 4 dwellings."/>
    <s v="25 Church Road, Teddington TW11 8PF"/>
    <s v="TW11 8PF"/>
    <m/>
    <m/>
    <m/>
    <m/>
    <m/>
    <m/>
    <m/>
    <m/>
    <m/>
    <n v="0"/>
    <m/>
    <n v="4"/>
    <m/>
    <m/>
    <m/>
    <m/>
    <m/>
    <m/>
    <m/>
    <n v="4"/>
    <n v="4"/>
    <n v="0"/>
    <n v="0"/>
    <n v="0"/>
    <n v="0"/>
    <n v="0"/>
    <n v="0"/>
    <n v="0"/>
    <n v="4"/>
    <m/>
    <n v="4"/>
    <m/>
    <m/>
    <m/>
    <m/>
    <m/>
    <m/>
    <m/>
    <m/>
    <m/>
    <m/>
    <m/>
    <m/>
    <m/>
    <m/>
    <m/>
    <m/>
    <n v="0"/>
    <n v="0"/>
    <m/>
    <m/>
    <m/>
    <n v="515664"/>
    <n v="171121"/>
    <s v="Teddington"/>
    <s v="Teddington and the Hamptons"/>
    <m/>
    <m/>
    <m/>
    <m/>
    <m/>
    <s v="CA85 Church Road"/>
    <s v="Y"/>
    <s v="Y"/>
    <s v="Teddington &amp; Hampton Wick"/>
    <x v="0"/>
  </r>
  <r>
    <s v="23/1865/GPD26"/>
    <s v="CHU"/>
    <s v="PA"/>
    <x v="42"/>
    <d v="2026-08-29T00:00:00"/>
    <d v="2024-02-01T00:00:00"/>
    <m/>
    <m/>
    <d v="2024-08-29T00:00:00"/>
    <x v="0"/>
    <s v="Open Market"/>
    <m/>
    <n v="1.0027397260273974"/>
    <s v="1 to 4"/>
    <s v="Prior approval under The Town and Country Planning (General Permitted Development etc.) (England) (Amendment) Order 2021 Under Part 3, Schedule 2, Class MA for a change of use of a building and any land within its curtilage from a use falling within E to form 1 dwelling."/>
    <s v="25 Church Road, Teddington TW11 8PF"/>
    <s v="TW11 8PF"/>
    <m/>
    <m/>
    <m/>
    <m/>
    <m/>
    <m/>
    <m/>
    <m/>
    <m/>
    <n v="0"/>
    <m/>
    <n v="1"/>
    <m/>
    <m/>
    <m/>
    <m/>
    <m/>
    <m/>
    <m/>
    <n v="1"/>
    <n v="1"/>
    <n v="0"/>
    <n v="0"/>
    <n v="0"/>
    <n v="0"/>
    <n v="0"/>
    <n v="0"/>
    <n v="0"/>
    <n v="1"/>
    <m/>
    <n v="1"/>
    <m/>
    <m/>
    <m/>
    <m/>
    <m/>
    <m/>
    <m/>
    <m/>
    <m/>
    <m/>
    <m/>
    <m/>
    <m/>
    <m/>
    <m/>
    <m/>
    <n v="0"/>
    <n v="0"/>
    <m/>
    <m/>
    <m/>
    <n v="515664"/>
    <n v="171121"/>
    <s v="Teddington"/>
    <s v="Teddington and the Hamptons"/>
    <m/>
    <m/>
    <m/>
    <m/>
    <m/>
    <s v="CA85 Church Road"/>
    <s v="Y"/>
    <s v="Y"/>
    <s v="Teddington &amp; Hampton Wick"/>
    <x v="0"/>
  </r>
  <r>
    <s v="23/2304/FUL"/>
    <s v="CHU"/>
    <s v="FULL"/>
    <x v="43"/>
    <d v="2027-04-23T00:00:00"/>
    <d v="2024-06-03T00:00:00"/>
    <s v="Y"/>
    <s v="Y"/>
    <d v="2025-03-31T00:00:00"/>
    <x v="0"/>
    <s v="Open Market"/>
    <m/>
    <n v="0.93698630136986305"/>
    <s v="1 to 4"/>
    <s v="Change of use to two self-contained units including single storey rear extension with associated landscaping and cycle and refuse stores (resubmission)"/>
    <s v="173 Percy Road, Hampton TW12 2JN"/>
    <s v="TW12 2JN"/>
    <m/>
    <m/>
    <m/>
    <m/>
    <m/>
    <m/>
    <m/>
    <m/>
    <m/>
    <n v="0"/>
    <m/>
    <m/>
    <n v="1"/>
    <m/>
    <m/>
    <m/>
    <m/>
    <m/>
    <m/>
    <n v="1"/>
    <n v="0"/>
    <n v="1"/>
    <n v="0"/>
    <n v="0"/>
    <n v="0"/>
    <n v="0"/>
    <n v="0"/>
    <n v="0"/>
    <n v="1"/>
    <m/>
    <n v="1"/>
    <m/>
    <m/>
    <m/>
    <m/>
    <m/>
    <m/>
    <m/>
    <m/>
    <m/>
    <m/>
    <m/>
    <m/>
    <m/>
    <m/>
    <m/>
    <m/>
    <n v="0"/>
    <n v="0"/>
    <m/>
    <m/>
    <m/>
    <n v="513028"/>
    <n v="170481"/>
    <s v="Hampton"/>
    <s v="Teddington and the Hamptons"/>
    <m/>
    <m/>
    <m/>
    <m/>
    <m/>
    <m/>
    <m/>
    <s v="Y"/>
    <s v="Hampton &amp; Hampton Hill"/>
    <x v="0"/>
  </r>
  <r>
    <s v="23/2729/FUL"/>
    <s v="CON"/>
    <s v="FULL"/>
    <x v="44"/>
    <d v="2027-03-08T00:00:00"/>
    <d v="2024-02-08T00:00:00"/>
    <m/>
    <m/>
    <d v="2024-09-27T00:00:00"/>
    <x v="0"/>
    <s v="Open Market"/>
    <m/>
    <n v="0.55616438356164388"/>
    <s v="1 to 4"/>
    <s v="Proposed amalgamation of the first floor studio flat and second floor x1 bedroom self contained flats to form 1 x 2-bedroom self contained flat."/>
    <s v="53 St Margarets Road, Twickenham TW1 2LL"/>
    <s v="TW1 2LL"/>
    <m/>
    <n v="2"/>
    <m/>
    <m/>
    <m/>
    <m/>
    <m/>
    <m/>
    <m/>
    <n v="2"/>
    <m/>
    <m/>
    <n v="1"/>
    <m/>
    <m/>
    <m/>
    <m/>
    <m/>
    <m/>
    <n v="1"/>
    <n v="-2"/>
    <n v="1"/>
    <n v="0"/>
    <n v="0"/>
    <n v="0"/>
    <n v="0"/>
    <n v="0"/>
    <n v="0"/>
    <n v="-1"/>
    <m/>
    <n v="-1"/>
    <m/>
    <m/>
    <m/>
    <m/>
    <m/>
    <m/>
    <m/>
    <m/>
    <m/>
    <m/>
    <m/>
    <m/>
    <m/>
    <m/>
    <m/>
    <m/>
    <n v="0"/>
    <n v="0"/>
    <m/>
    <m/>
    <m/>
    <n v="517170"/>
    <n v="174144"/>
    <s v="Twickenham Riverside"/>
    <s v="Twickenham"/>
    <m/>
    <m/>
    <m/>
    <m/>
    <m/>
    <m/>
    <m/>
    <s v="Y"/>
    <s v="Twickenham, Strawberry Hill &amp; St Margarets"/>
    <x v="0"/>
  </r>
  <r>
    <s v="24/0247/ES191"/>
    <s v="CON"/>
    <s v="ES191"/>
    <x v="45"/>
    <d v="2027-06-26T00:00:00"/>
    <d v="2024-06-26T00:00:00"/>
    <s v="Y"/>
    <s v="Y"/>
    <d v="2024-06-26T00:00:00"/>
    <x v="0"/>
    <s v="Open Market"/>
    <m/>
    <n v="0"/>
    <s v="1 to 4"/>
    <s v="Existing use of the property at 560 Hanworth Road, Hounslow TW4 5LH as 3 self-contained units to include the Ground Floor Flat known as 560 Hanworth, First Floor Front Flat known as 560B Hanworth and First Floor Rear Flat known as 560A Hanworth. Existing development at 560 Hanworth Road and 560A Hanworth comprising a two-storey rear extension."/>
    <s v="560 Hanworth Road, Whitton"/>
    <s v="TW4 5LH"/>
    <m/>
    <m/>
    <n v="1"/>
    <n v="1"/>
    <m/>
    <m/>
    <m/>
    <m/>
    <m/>
    <n v="2"/>
    <m/>
    <n v="1"/>
    <n v="1"/>
    <n v="1"/>
    <m/>
    <m/>
    <m/>
    <m/>
    <m/>
    <n v="3"/>
    <n v="1"/>
    <n v="0"/>
    <n v="0"/>
    <n v="0"/>
    <n v="0"/>
    <n v="0"/>
    <n v="0"/>
    <n v="0"/>
    <n v="1"/>
    <m/>
    <n v="1"/>
    <m/>
    <m/>
    <m/>
    <m/>
    <m/>
    <m/>
    <m/>
    <m/>
    <m/>
    <m/>
    <m/>
    <m/>
    <m/>
    <m/>
    <m/>
    <m/>
    <n v="0"/>
    <n v="0"/>
    <m/>
    <m/>
    <m/>
    <n v="513041"/>
    <n v="174128"/>
    <s v="Heathfield"/>
    <s v="Whitton"/>
    <m/>
    <m/>
    <m/>
    <m/>
    <m/>
    <m/>
    <m/>
    <m/>
    <s v="Whitton and Heathfield"/>
    <x v="0"/>
  </r>
  <r>
    <s v="24/0504/ES191"/>
    <s v="CON"/>
    <s v="ES191"/>
    <x v="46"/>
    <d v="2027-04-12T00:00:00"/>
    <d v="2024-04-12T00:00:00"/>
    <s v="Y"/>
    <s v="Y"/>
    <d v="2024-04-12T00:00:00"/>
    <x v="0"/>
    <s v="Open Market"/>
    <m/>
    <n v="0"/>
    <s v="1 to 4"/>
    <s v="Use of Property comprising a lower ground floor (formerly no. 65A/Flat 1) and upper ground floor (formerly no. 65B/Flat 2) complete with garden/curtilage areas, as a single dwellinghouse within Use Class C3."/>
    <s v="65A St Margarets Road, Twickenham"/>
    <s v="TW1 2LL"/>
    <m/>
    <m/>
    <n v="2"/>
    <m/>
    <m/>
    <m/>
    <m/>
    <m/>
    <m/>
    <n v="2"/>
    <m/>
    <m/>
    <m/>
    <n v="1"/>
    <m/>
    <m/>
    <m/>
    <m/>
    <m/>
    <n v="1"/>
    <n v="0"/>
    <n v="-2"/>
    <n v="1"/>
    <n v="0"/>
    <n v="0"/>
    <n v="0"/>
    <n v="0"/>
    <n v="0"/>
    <n v="-1"/>
    <m/>
    <n v="-1"/>
    <m/>
    <m/>
    <m/>
    <m/>
    <m/>
    <m/>
    <m/>
    <m/>
    <m/>
    <m/>
    <m/>
    <m/>
    <m/>
    <m/>
    <m/>
    <m/>
    <n v="0"/>
    <n v="0"/>
    <m/>
    <m/>
    <m/>
    <n v="517137"/>
    <n v="174138"/>
    <s v="Twickenham Riverside"/>
    <s v="Twickenham"/>
    <m/>
    <m/>
    <m/>
    <m/>
    <m/>
    <m/>
    <m/>
    <s v="Y"/>
    <s v="Twickenham, Strawberry Hill &amp; St Margarets"/>
    <x v="0"/>
  </r>
  <r>
    <s v="24/0614/ES191"/>
    <s v="CON"/>
    <s v="ES191"/>
    <x v="47"/>
    <d v="2027-04-17T00:00:00"/>
    <d v="2024-04-17T00:00:00"/>
    <s v="Y"/>
    <s v="Y"/>
    <d v="2024-04-17T00:00:00"/>
    <x v="0"/>
    <s v="Open Market"/>
    <m/>
    <n v="0"/>
    <s v="1 to 4"/>
    <s v="Establish lawful use as a single dwellinghouse."/>
    <s v="25 Norman Avenue, Twickenham TW1 2LY"/>
    <s v="TW1 2LY"/>
    <m/>
    <m/>
    <n v="1"/>
    <n v="1"/>
    <m/>
    <m/>
    <m/>
    <m/>
    <m/>
    <n v="2"/>
    <m/>
    <m/>
    <m/>
    <m/>
    <n v="1"/>
    <m/>
    <m/>
    <m/>
    <m/>
    <n v="1"/>
    <n v="0"/>
    <n v="-1"/>
    <n v="-1"/>
    <n v="1"/>
    <n v="0"/>
    <n v="0"/>
    <n v="0"/>
    <n v="0"/>
    <n v="-1"/>
    <m/>
    <n v="-1"/>
    <m/>
    <m/>
    <m/>
    <m/>
    <m/>
    <m/>
    <m/>
    <m/>
    <m/>
    <m/>
    <m/>
    <m/>
    <m/>
    <m/>
    <m/>
    <m/>
    <n v="0"/>
    <n v="0"/>
    <m/>
    <m/>
    <m/>
    <n v="517043"/>
    <n v="173946"/>
    <s v="Twickenham Riverside"/>
    <s v="Twickenham"/>
    <m/>
    <m/>
    <m/>
    <m/>
    <m/>
    <s v="CA21 Cambridge Park East Twickenham"/>
    <s v="Y"/>
    <s v="Y"/>
    <s v="Twickenham, Strawberry Hill &amp; St Margarets"/>
    <x v="0"/>
  </r>
  <r>
    <s v="24/0846/GPD24"/>
    <s v="CHU"/>
    <s v="PA"/>
    <x v="48"/>
    <d v="2027-06-03T00:00:00"/>
    <d v="2024-08-01T00:00:00"/>
    <s v="Y"/>
    <s v="Y"/>
    <d v="2025-03-31T00:00:00"/>
    <x v="0"/>
    <s v="Open Market"/>
    <m/>
    <n v="0.8246575342465754"/>
    <s v="1 to 4"/>
    <s v="Change of use from Class E (commercial, business and service) to Mixed Use Class E (commercial, business and service) and Class C3 (dwellinghouses) to provide 1x self-contained dwelling."/>
    <s v="91 Sheen Road, Richmond TW9 1YJ"/>
    <s v="TW9 1YJ"/>
    <m/>
    <m/>
    <m/>
    <m/>
    <m/>
    <m/>
    <m/>
    <m/>
    <m/>
    <n v="0"/>
    <m/>
    <n v="1"/>
    <m/>
    <m/>
    <m/>
    <m/>
    <m/>
    <m/>
    <m/>
    <n v="1"/>
    <n v="1"/>
    <n v="0"/>
    <n v="0"/>
    <n v="0"/>
    <n v="0"/>
    <n v="0"/>
    <n v="0"/>
    <n v="0"/>
    <n v="1"/>
    <m/>
    <n v="1"/>
    <m/>
    <m/>
    <m/>
    <m/>
    <m/>
    <m/>
    <m/>
    <m/>
    <m/>
    <m/>
    <m/>
    <m/>
    <m/>
    <m/>
    <m/>
    <m/>
    <n v="0"/>
    <n v="0"/>
    <m/>
    <m/>
    <m/>
    <n v="518494"/>
    <n v="175035"/>
    <s v="South Richmond"/>
    <s v="Richmond"/>
    <m/>
    <m/>
    <m/>
    <m/>
    <m/>
    <s v="CA31 Sheen Road Richmond"/>
    <s v="Y"/>
    <s v="Y"/>
    <s v="Richmond and Richmond Hill"/>
    <x v="0"/>
  </r>
  <r>
    <s v="24/0916/GPD26"/>
    <s v="CHU"/>
    <s v="PA"/>
    <x v="49"/>
    <d v="2027-05-24T00:00:00"/>
    <d v="2024-05-24T00:00:00"/>
    <s v="Y"/>
    <s v="Y"/>
    <d v="2025-03-31T00:00:00"/>
    <x v="0"/>
    <s v="Open Market"/>
    <m/>
    <n v="0.852054794520548"/>
    <s v="1 to 4"/>
    <s v="Change of use from B1(a) to C3 comprising 3 flats."/>
    <s v="Units A1 And A2 At 86 To 88 And 92 - 98 Lower Mortlake Road, Richmond"/>
    <s v="TW9 2LG"/>
    <m/>
    <m/>
    <m/>
    <m/>
    <m/>
    <m/>
    <m/>
    <m/>
    <m/>
    <n v="0"/>
    <m/>
    <n v="1"/>
    <n v="2"/>
    <m/>
    <m/>
    <m/>
    <m/>
    <m/>
    <m/>
    <n v="3"/>
    <n v="1"/>
    <n v="2"/>
    <n v="0"/>
    <n v="0"/>
    <n v="0"/>
    <n v="0"/>
    <n v="0"/>
    <n v="0"/>
    <n v="3"/>
    <m/>
    <n v="3"/>
    <m/>
    <m/>
    <m/>
    <m/>
    <m/>
    <m/>
    <m/>
    <m/>
    <m/>
    <m/>
    <m/>
    <m/>
    <m/>
    <m/>
    <m/>
    <m/>
    <n v="0"/>
    <n v="0"/>
    <m/>
    <m/>
    <m/>
    <n v="518633"/>
    <n v="175479"/>
    <s v="North Richmond"/>
    <s v="Richmond"/>
    <m/>
    <m/>
    <m/>
    <m/>
    <m/>
    <m/>
    <m/>
    <s v="Y"/>
    <s v="Richmond and Richmond Hill"/>
    <x v="0"/>
  </r>
  <r>
    <s v="24/0949/ES191"/>
    <s v="CON"/>
    <s v="ES191"/>
    <x v="50"/>
    <d v="2027-05-20T00:00:00"/>
    <d v="2024-05-20T00:00:00"/>
    <s v="Y"/>
    <s v="Y"/>
    <d v="2024-05-20T00:00:00"/>
    <x v="0"/>
    <s v="Open Market"/>
    <m/>
    <n v="0"/>
    <s v="1 to 4"/>
    <s v="Certificate of Lawfulness to establish that the dwelling known as 23 Leinster Avenue has been used for in excess of four years as two separate self-contained flats on the ground-floor and first-floor."/>
    <s v="23 Leinster Avenue, East Sheen SW14 7JW"/>
    <s v="SW14 7JW"/>
    <m/>
    <m/>
    <m/>
    <m/>
    <m/>
    <n v="1"/>
    <m/>
    <m/>
    <m/>
    <n v="1"/>
    <m/>
    <m/>
    <n v="2"/>
    <m/>
    <m/>
    <m/>
    <m/>
    <m/>
    <m/>
    <n v="2"/>
    <n v="0"/>
    <n v="2"/>
    <n v="0"/>
    <n v="0"/>
    <n v="-1"/>
    <n v="0"/>
    <n v="0"/>
    <n v="0"/>
    <n v="1"/>
    <m/>
    <n v="1"/>
    <m/>
    <m/>
    <m/>
    <m/>
    <m/>
    <m/>
    <m/>
    <m/>
    <m/>
    <m/>
    <m/>
    <m/>
    <m/>
    <m/>
    <m/>
    <m/>
    <n v="0"/>
    <n v="0"/>
    <m/>
    <m/>
    <m/>
    <n v="520190"/>
    <n v="175469"/>
    <s v="East Sheen"/>
    <s v="Barnes and East Sheen"/>
    <m/>
    <m/>
    <m/>
    <m/>
    <m/>
    <m/>
    <m/>
    <s v="Y"/>
    <s v="Mortlake and East Sheen"/>
    <x v="0"/>
  </r>
  <r>
    <s v="24/0998/ES191"/>
    <s v="CON"/>
    <s v="ES191"/>
    <x v="51"/>
    <d v="2027-04-22T00:00:00"/>
    <d v="2024-04-22T00:00:00"/>
    <s v="Y"/>
    <s v="Y"/>
    <d v="2024-04-22T00:00:00"/>
    <x v="0"/>
    <s v="Open Market"/>
    <m/>
    <n v="0"/>
    <s v="1 to 4"/>
    <s v="The use of the property (comprising units previously referred to as 69 Castelnau and 69a Castelnau) as one residential dwellinghouse (Use Class C3)."/>
    <s v="69 Castelnau, Barnes SW13 9RT"/>
    <s v="SW13 9RT"/>
    <m/>
    <m/>
    <n v="1"/>
    <m/>
    <n v="1"/>
    <m/>
    <m/>
    <m/>
    <m/>
    <n v="2"/>
    <m/>
    <m/>
    <m/>
    <m/>
    <m/>
    <m/>
    <n v="1"/>
    <m/>
    <m/>
    <n v="1"/>
    <n v="0"/>
    <n v="-1"/>
    <n v="0"/>
    <n v="-1"/>
    <n v="0"/>
    <n v="1"/>
    <n v="0"/>
    <n v="0"/>
    <n v="-1"/>
    <m/>
    <n v="-1"/>
    <m/>
    <m/>
    <m/>
    <m/>
    <m/>
    <m/>
    <m/>
    <m/>
    <m/>
    <m/>
    <m/>
    <m/>
    <m/>
    <m/>
    <m/>
    <m/>
    <n v="0"/>
    <n v="0"/>
    <m/>
    <m/>
    <m/>
    <n v="522464"/>
    <n v="177085"/>
    <s v="Barnes"/>
    <s v="Barnes and East Sheen"/>
    <m/>
    <m/>
    <m/>
    <m/>
    <m/>
    <s v="CA25 Castelnau"/>
    <s v="Y"/>
    <s v="Y"/>
    <s v="Barnes"/>
    <x v="0"/>
  </r>
  <r>
    <s v="24/0999/ES191"/>
    <s v="CON"/>
    <s v="ES191"/>
    <x v="52"/>
    <d v="2027-06-12T00:00:00"/>
    <d v="2024-06-12T00:00:00"/>
    <s v="Y"/>
    <s v="Y"/>
    <d v="2024-06-12T00:00:00"/>
    <x v="0"/>
    <s v="Open Market"/>
    <m/>
    <n v="0"/>
    <s v="1 to 4"/>
    <s v="Use as two separate residential units"/>
    <s v="63 Prospect Crescent, Twickenham TW2 7DZ"/>
    <s v="TW2 7DZ"/>
    <m/>
    <m/>
    <m/>
    <m/>
    <n v="1"/>
    <m/>
    <m/>
    <m/>
    <m/>
    <n v="1"/>
    <m/>
    <m/>
    <m/>
    <n v="2"/>
    <m/>
    <m/>
    <m/>
    <m/>
    <m/>
    <n v="2"/>
    <n v="0"/>
    <n v="0"/>
    <n v="2"/>
    <n v="-1"/>
    <n v="0"/>
    <n v="0"/>
    <n v="0"/>
    <n v="0"/>
    <n v="1"/>
    <m/>
    <n v="1"/>
    <m/>
    <m/>
    <m/>
    <m/>
    <m/>
    <m/>
    <m/>
    <m/>
    <m/>
    <m/>
    <m/>
    <m/>
    <m/>
    <m/>
    <m/>
    <m/>
    <n v="0"/>
    <n v="0"/>
    <m/>
    <m/>
    <m/>
    <n v="514251"/>
    <n v="174226"/>
    <s v="Whitton"/>
    <s v="Whitton"/>
    <m/>
    <m/>
    <m/>
    <m/>
    <m/>
    <m/>
    <m/>
    <s v="Y"/>
    <s v="Whitton and Heathfield"/>
    <x v="0"/>
  </r>
  <r>
    <s v="24/1038/GPD26"/>
    <s v="CHU"/>
    <s v="PA"/>
    <x v="53"/>
    <d v="2027-07-10T00:00:00"/>
    <d v="2024-04-01T00:00:00"/>
    <s v="Y"/>
    <s v="Y"/>
    <d v="2025-03-31T00:00:00"/>
    <x v="0"/>
    <s v="Open Market"/>
    <m/>
    <n v="0.72328767123287674"/>
    <s v="1 to 4"/>
    <s v="Conversion of offices into 3 self-contained flats."/>
    <s v="2A Claremont Road, Teddington TW11 8DG"/>
    <s v="TW11 8DG"/>
    <m/>
    <m/>
    <m/>
    <m/>
    <m/>
    <m/>
    <m/>
    <m/>
    <m/>
    <n v="0"/>
    <m/>
    <n v="1"/>
    <n v="2"/>
    <m/>
    <m/>
    <m/>
    <m/>
    <m/>
    <m/>
    <n v="3"/>
    <n v="1"/>
    <n v="2"/>
    <n v="0"/>
    <n v="0"/>
    <n v="0"/>
    <n v="0"/>
    <n v="0"/>
    <n v="0"/>
    <n v="3"/>
    <m/>
    <n v="3"/>
    <m/>
    <m/>
    <m/>
    <m/>
    <m/>
    <m/>
    <m/>
    <m/>
    <m/>
    <m/>
    <m/>
    <m/>
    <m/>
    <m/>
    <m/>
    <m/>
    <n v="0"/>
    <n v="0"/>
    <m/>
    <m/>
    <m/>
    <n v="515775"/>
    <n v="171430"/>
    <s v="Teddington"/>
    <s v="Teddington and the Hamptons"/>
    <m/>
    <m/>
    <m/>
    <m/>
    <m/>
    <m/>
    <m/>
    <s v="Y"/>
    <s v="Teddington &amp; Hampton Wick"/>
    <x v="0"/>
  </r>
  <r>
    <s v="24/1061/ES191"/>
    <s v="CON"/>
    <s v="ES191"/>
    <x v="54"/>
    <d v="2027-05-23T00:00:00"/>
    <d v="2024-05-23T00:00:00"/>
    <s v="Y"/>
    <s v="Y"/>
    <d v="2024-05-23T00:00:00"/>
    <x v="0"/>
    <s v="Open Market"/>
    <m/>
    <n v="0"/>
    <s v="1 to 4"/>
    <s v="Continued use of a four-storey with a basement property as a single-family dwelling."/>
    <s v="Ardingley. 112 Richmond Hill. Richmond TW10 6RJ"/>
    <s v="TW10 6RJ"/>
    <m/>
    <n v="1"/>
    <m/>
    <m/>
    <n v="1"/>
    <m/>
    <m/>
    <m/>
    <m/>
    <n v="2"/>
    <m/>
    <m/>
    <m/>
    <m/>
    <m/>
    <n v="1"/>
    <m/>
    <m/>
    <m/>
    <n v="1"/>
    <n v="-1"/>
    <n v="0"/>
    <n v="0"/>
    <n v="-1"/>
    <n v="1"/>
    <n v="0"/>
    <n v="0"/>
    <n v="0"/>
    <n v="-1"/>
    <m/>
    <n v="-1"/>
    <m/>
    <m/>
    <m/>
    <m/>
    <m/>
    <m/>
    <m/>
    <m/>
    <m/>
    <m/>
    <m/>
    <m/>
    <m/>
    <m/>
    <m/>
    <m/>
    <n v="0"/>
    <n v="0"/>
    <m/>
    <m/>
    <m/>
    <n v="518294"/>
    <n v="174078"/>
    <s v="Ham, Petersham &amp; Richmond Riverside"/>
    <s v="Ham &amp; Petersham"/>
    <m/>
    <s v="Thames Policy Area"/>
    <m/>
    <m/>
    <m/>
    <s v="CA5 Richmond Hill"/>
    <s v="Y"/>
    <s v="Y"/>
    <s v="Richmond and Richmond Hill"/>
    <x v="0"/>
  </r>
  <r>
    <s v="24/1229/ES191"/>
    <s v="CHU"/>
    <s v="ES191"/>
    <x v="55"/>
    <d v="2027-07-16T00:00:00"/>
    <d v="2024-07-16T00:00:00"/>
    <s v="Y"/>
    <s v="Y"/>
    <d v="2024-07-16T00:00:00"/>
    <x v="0"/>
    <s v="Open Market"/>
    <m/>
    <n v="0"/>
    <s v="1 to 4"/>
    <s v="Lawful use of the property as C3 (dwellinghouse) from previously approved live-work unit."/>
    <s v="3 Lock Road, Ham, Richmond TW10 7LQ"/>
    <s v="TW10 7LQ"/>
    <m/>
    <m/>
    <m/>
    <m/>
    <n v="1"/>
    <m/>
    <m/>
    <m/>
    <m/>
    <n v="1"/>
    <m/>
    <m/>
    <m/>
    <m/>
    <n v="1"/>
    <m/>
    <m/>
    <m/>
    <m/>
    <n v="1"/>
    <n v="0"/>
    <n v="0"/>
    <n v="0"/>
    <n v="0"/>
    <n v="0"/>
    <n v="0"/>
    <n v="0"/>
    <n v="0"/>
    <n v="0"/>
    <m/>
    <n v="0"/>
    <m/>
    <m/>
    <m/>
    <m/>
    <m/>
    <m/>
    <m/>
    <m/>
    <m/>
    <m/>
    <m/>
    <m/>
    <m/>
    <m/>
    <m/>
    <m/>
    <n v="0"/>
    <n v="0"/>
    <m/>
    <m/>
    <m/>
    <n v="517474"/>
    <n v="172076"/>
    <s v="Ham, Petersham &amp; Richmond Riverside"/>
    <s v="Ham &amp; Petersham"/>
    <m/>
    <m/>
    <m/>
    <m/>
    <m/>
    <s v="CA7 Ham Common"/>
    <s v="Y"/>
    <m/>
    <s v="Ham, Petersham &amp; Richmond Park"/>
    <x v="0"/>
  </r>
  <r>
    <s v="24/1493/FUL"/>
    <s v="CHU"/>
    <s v="FULL"/>
    <x v="56"/>
    <d v="2024-12-06T00:00:00"/>
    <d v="2024-12-06T00:00:00"/>
    <s v="Y"/>
    <s v="Y"/>
    <d v="2024-12-06T00:00:00"/>
    <x v="0"/>
    <s v="Open Market"/>
    <m/>
    <n v="0"/>
    <s v="1 to 4"/>
    <s v="Retrospective permission for the retention of ground floor in Sui Generis Use (hot food takeaway) and conversion upper floors from Sui Generis to 1 bed 2 person flat and alterations to rear elevation fenestration. Creation of a roof terrace with screening"/>
    <s v="59 Kew Road, Richmond TW9 2NQ"/>
    <s v="TW9 2NQ"/>
    <m/>
    <m/>
    <m/>
    <m/>
    <m/>
    <m/>
    <m/>
    <m/>
    <m/>
    <n v="0"/>
    <m/>
    <n v="1"/>
    <m/>
    <m/>
    <m/>
    <m/>
    <m/>
    <m/>
    <m/>
    <n v="1"/>
    <n v="1"/>
    <n v="0"/>
    <n v="0"/>
    <n v="0"/>
    <n v="0"/>
    <n v="0"/>
    <n v="0"/>
    <n v="0"/>
    <n v="1"/>
    <m/>
    <n v="1"/>
    <m/>
    <m/>
    <m/>
    <m/>
    <m/>
    <m/>
    <m/>
    <m/>
    <m/>
    <m/>
    <m/>
    <m/>
    <m/>
    <m/>
    <m/>
    <m/>
    <n v="0"/>
    <n v="0"/>
    <m/>
    <m/>
    <m/>
    <n v="518122"/>
    <n v="175310"/>
    <s v="South Richmond"/>
    <s v="Richmond"/>
    <s v="Richmond"/>
    <m/>
    <m/>
    <m/>
    <m/>
    <s v="CA17 Central Richmond"/>
    <s v="Y"/>
    <s v="Y"/>
    <s v="Richmond and Richmond Hill"/>
    <x v="0"/>
  </r>
  <r>
    <s v="24/1740/ES191"/>
    <s v="CHU"/>
    <s v="ES191"/>
    <x v="57"/>
    <d v="2027-09-03T00:00:00"/>
    <d v="2024-09-03T00:00:00"/>
    <s v="Y"/>
    <s v="Y"/>
    <d v="2024-09-03T00:00:00"/>
    <x v="0"/>
    <s v="Open Market"/>
    <m/>
    <n v="0"/>
    <s v="1 to 4"/>
    <s v="Use as a single self-contained dwellinghouse"/>
    <s v="1 Queen Elizabeth Walk, Barnes SW13 9SA"/>
    <s v="SW13 9SA"/>
    <m/>
    <m/>
    <m/>
    <m/>
    <m/>
    <m/>
    <m/>
    <m/>
    <m/>
    <n v="0"/>
    <m/>
    <n v="1"/>
    <m/>
    <m/>
    <m/>
    <m/>
    <m/>
    <m/>
    <m/>
    <n v="1"/>
    <n v="1"/>
    <n v="0"/>
    <n v="0"/>
    <n v="0"/>
    <n v="0"/>
    <n v="0"/>
    <n v="0"/>
    <n v="0"/>
    <n v="1"/>
    <m/>
    <n v="1"/>
    <m/>
    <m/>
    <m/>
    <m/>
    <m/>
    <m/>
    <m/>
    <m/>
    <m/>
    <m/>
    <m/>
    <m/>
    <m/>
    <m/>
    <m/>
    <m/>
    <n v="0"/>
    <n v="0"/>
    <m/>
    <m/>
    <m/>
    <n v="522416"/>
    <n v="176615"/>
    <s v="Barnes"/>
    <s v="Barnes and East Sheen"/>
    <m/>
    <s v="Thames Policy Area"/>
    <m/>
    <m/>
    <s v="Barn Elms Pf"/>
    <s v="CA1 Barnes Green"/>
    <s v="Y"/>
    <s v="Y"/>
    <s v="Barnes"/>
    <x v="0"/>
  </r>
  <r>
    <s v="24/2097/ES191"/>
    <s v="CHU"/>
    <s v="ES191"/>
    <x v="58"/>
    <d v="2027-10-09T00:00:00"/>
    <d v="2024-10-09T00:00:00"/>
    <s v="Y"/>
    <s v="Y"/>
    <d v="2024-10-09T00:00:00"/>
    <x v="0"/>
    <s v="Open Market"/>
    <m/>
    <n v="0"/>
    <s v="1 to 4"/>
    <s v="Use of property as a single family dwelling"/>
    <s v="3 Magna Square, East Sheen SW14 8LH"/>
    <s v="SW14 8LH"/>
    <m/>
    <m/>
    <n v="1"/>
    <m/>
    <m/>
    <m/>
    <m/>
    <m/>
    <m/>
    <n v="1"/>
    <m/>
    <m/>
    <m/>
    <n v="1"/>
    <m/>
    <m/>
    <m/>
    <m/>
    <m/>
    <n v="1"/>
    <n v="0"/>
    <n v="-1"/>
    <n v="1"/>
    <n v="0"/>
    <n v="0"/>
    <n v="0"/>
    <n v="0"/>
    <n v="0"/>
    <n v="0"/>
    <m/>
    <n v="0"/>
    <m/>
    <m/>
    <m/>
    <m/>
    <m/>
    <m/>
    <m/>
    <m/>
    <m/>
    <m/>
    <m/>
    <m/>
    <m/>
    <m/>
    <m/>
    <m/>
    <n v="0"/>
    <n v="0"/>
    <m/>
    <m/>
    <m/>
    <n v="520460"/>
    <n v="175643"/>
    <s v="East Sheen"/>
    <s v="Barnes and East Sheen"/>
    <s v="East Sheen"/>
    <m/>
    <m/>
    <m/>
    <m/>
    <s v="CA70 Sheen Lane Mortlake"/>
    <s v="Y"/>
    <s v="Y"/>
    <s v="Mortlake and East Sheen"/>
    <x v="0"/>
  </r>
  <r>
    <s v="24/2767/ES191"/>
    <s v="CHU"/>
    <s v="ES191"/>
    <x v="59"/>
    <d v="2027-12-30T00:00:00"/>
    <d v="2024-12-30T00:00:00"/>
    <s v="Y"/>
    <s v="Y"/>
    <d v="2024-12-30T00:00:00"/>
    <x v="0"/>
    <s v="Open Market"/>
    <m/>
    <n v="0"/>
    <s v="1 to 4"/>
    <s v="Use as a single self-contained dwellinghouse"/>
    <s v="29A Fourth Cross Road, Twickenham TW2 5EL"/>
    <s v="TW2 5EL"/>
    <m/>
    <m/>
    <m/>
    <m/>
    <m/>
    <m/>
    <m/>
    <m/>
    <m/>
    <n v="0"/>
    <m/>
    <m/>
    <n v="1"/>
    <m/>
    <m/>
    <m/>
    <m/>
    <m/>
    <m/>
    <n v="1"/>
    <n v="0"/>
    <n v="1"/>
    <n v="0"/>
    <n v="0"/>
    <n v="0"/>
    <n v="0"/>
    <n v="0"/>
    <n v="0"/>
    <n v="1"/>
    <m/>
    <n v="1"/>
    <m/>
    <m/>
    <m/>
    <m/>
    <m/>
    <m/>
    <m/>
    <m/>
    <m/>
    <m/>
    <m/>
    <m/>
    <m/>
    <m/>
    <m/>
    <m/>
    <n v="0"/>
    <n v="0"/>
    <m/>
    <m/>
    <m/>
    <n v="514777"/>
    <n v="172631"/>
    <s v="West Twickenham"/>
    <s v="Twickenham"/>
    <m/>
    <m/>
    <m/>
    <m/>
    <m/>
    <m/>
    <m/>
    <s v="Y"/>
    <s v="Twickenham, Strawberry Hill &amp; St Margarets"/>
    <x v="0"/>
  </r>
  <r>
    <s v="25/0058/ES191"/>
    <s v="CON"/>
    <s v="ES191"/>
    <x v="60"/>
    <d v="2025-02-26T00:00:00"/>
    <d v="2025-02-26T00:00:00"/>
    <s v="Y"/>
    <s v="Y"/>
    <d v="2025-02-26T00:00:00"/>
    <x v="0"/>
    <s v="Open Market"/>
    <m/>
    <n v="0"/>
    <s v="1 to 4"/>
    <s v="Amalgamation of 16 Laurel Road and 17 Laurel Road for use a single residential dwelling (Class C3)."/>
    <s v="16 - 17 Laurel Road, Barnes"/>
    <s v="SW13 0EE"/>
    <m/>
    <m/>
    <m/>
    <m/>
    <n v="2"/>
    <m/>
    <m/>
    <m/>
    <m/>
    <n v="2"/>
    <m/>
    <m/>
    <m/>
    <m/>
    <m/>
    <m/>
    <m/>
    <m/>
    <n v="1"/>
    <n v="1"/>
    <n v="0"/>
    <n v="0"/>
    <n v="0"/>
    <n v="-2"/>
    <n v="0"/>
    <n v="0"/>
    <n v="0"/>
    <n v="1"/>
    <n v="-1"/>
    <m/>
    <n v="-1"/>
    <m/>
    <m/>
    <m/>
    <m/>
    <m/>
    <m/>
    <m/>
    <m/>
    <m/>
    <m/>
    <m/>
    <m/>
    <m/>
    <m/>
    <m/>
    <m/>
    <n v="0"/>
    <n v="0"/>
    <m/>
    <m/>
    <m/>
    <n v="522060"/>
    <n v="176205"/>
    <s v="Barnes"/>
    <s v="Barnes and East Sheen"/>
    <m/>
    <m/>
    <m/>
    <m/>
    <m/>
    <s v="CA1 Barnes Green"/>
    <s v="Y"/>
    <s v="Y"/>
    <s v="Barnes"/>
    <x v="0"/>
  </r>
  <r>
    <s v="04/1020/FUL"/>
    <s v="CHU"/>
    <s v="FULL"/>
    <x v="61"/>
    <d v="2009-07-23T00:00:00"/>
    <d v="2009-07-01T00:00:00"/>
    <m/>
    <m/>
    <m/>
    <x v="1"/>
    <s v="Open Market"/>
    <m/>
    <m/>
    <m/>
    <s v="Erection Of One And Half Storey Rear Extension To Create Self Contained Dwelling"/>
    <s v="83 High Street, Hampton Wick"/>
    <s v="KT1 4DG"/>
    <m/>
    <m/>
    <m/>
    <m/>
    <m/>
    <m/>
    <m/>
    <m/>
    <m/>
    <n v="0"/>
    <m/>
    <n v="1"/>
    <m/>
    <m/>
    <m/>
    <m/>
    <m/>
    <m/>
    <m/>
    <n v="1"/>
    <n v="1"/>
    <n v="0"/>
    <n v="0"/>
    <n v="0"/>
    <n v="0"/>
    <n v="0"/>
    <n v="0"/>
    <n v="0"/>
    <n v="1"/>
    <m/>
    <m/>
    <n v="1"/>
    <m/>
    <m/>
    <m/>
    <m/>
    <m/>
    <m/>
    <m/>
    <m/>
    <m/>
    <m/>
    <m/>
    <m/>
    <m/>
    <m/>
    <m/>
    <n v="1"/>
    <n v="1"/>
    <m/>
    <m/>
    <m/>
    <n v="517419"/>
    <n v="169715"/>
    <s v="Hampton Wick &amp; South Teddington"/>
    <s v="Teddington and the Hamptons"/>
    <m/>
    <m/>
    <s v="Hampton Wick"/>
    <s v="Y"/>
    <m/>
    <s v="CA18 Hampton Wick"/>
    <s v="Y"/>
    <s v="Y"/>
    <s v="Teddington &amp; Hampton Wick"/>
    <x v="0"/>
  </r>
  <r>
    <s v="08/2038/FUL"/>
    <s v="NEW"/>
    <s v="FULL"/>
    <x v="62"/>
    <d v="2012-04-03T00:00:00"/>
    <d v="2012-03-12T00:00:00"/>
    <m/>
    <m/>
    <m/>
    <x v="1"/>
    <s v="Open Market"/>
    <m/>
    <m/>
    <m/>
    <s v="Erection of a pair of semi-detached houses."/>
    <s v="Land At  Rear Of 293 Petersham Road, Richmond"/>
    <s v="TW10 7DB"/>
    <m/>
    <m/>
    <m/>
    <m/>
    <m/>
    <m/>
    <m/>
    <m/>
    <m/>
    <n v="0"/>
    <m/>
    <n v="1"/>
    <m/>
    <n v="1"/>
    <m/>
    <m/>
    <m/>
    <m/>
    <m/>
    <n v="2"/>
    <n v="1"/>
    <n v="0"/>
    <n v="1"/>
    <n v="0"/>
    <n v="0"/>
    <n v="0"/>
    <n v="0"/>
    <n v="0"/>
    <n v="2"/>
    <m/>
    <m/>
    <m/>
    <n v="1"/>
    <n v="1"/>
    <m/>
    <m/>
    <m/>
    <m/>
    <m/>
    <m/>
    <m/>
    <m/>
    <m/>
    <m/>
    <m/>
    <m/>
    <m/>
    <n v="2"/>
    <n v="2"/>
    <m/>
    <m/>
    <m/>
    <n v="517877"/>
    <n v="172338"/>
    <s v="Ham, Petersham &amp; Richmond Riverside"/>
    <s v="Ham &amp; Petersham"/>
    <m/>
    <m/>
    <m/>
    <m/>
    <m/>
    <s v="CA7 Ham Common"/>
    <s v="Y"/>
    <m/>
    <s v="Ham, Petersham &amp; Richmond Park"/>
    <x v="0"/>
  </r>
  <r>
    <s v="11/0468/PS192"/>
    <s v="NEW"/>
    <s v="S192"/>
    <x v="63"/>
    <d v="2014-03-07T00:00:00"/>
    <d v="2011-03-07T00:00:00"/>
    <m/>
    <m/>
    <m/>
    <x v="1"/>
    <s v="Open Market"/>
    <s v="N"/>
    <m/>
    <m/>
    <s v="Continuing construction of block of 11 flats on site of Osbourne House under permission 07/2991/FUL after 28/02/2011 (when the permission would otherwise have expired) will be lawful."/>
    <s v="Becketts Wharf And Osbourne House, Becketts Place, Hampton Wick"/>
    <s v="KT1 4EQ"/>
    <m/>
    <m/>
    <m/>
    <m/>
    <m/>
    <m/>
    <m/>
    <m/>
    <m/>
    <n v="0"/>
    <m/>
    <n v="4"/>
    <n v="7"/>
    <m/>
    <m/>
    <m/>
    <m/>
    <m/>
    <m/>
    <n v="11"/>
    <n v="4"/>
    <n v="7"/>
    <n v="0"/>
    <n v="0"/>
    <n v="0"/>
    <n v="0"/>
    <n v="0"/>
    <n v="0"/>
    <n v="11"/>
    <s v="Y"/>
    <m/>
    <m/>
    <n v="2.75"/>
    <n v="2.75"/>
    <n v="2.75"/>
    <n v="2.75"/>
    <m/>
    <m/>
    <m/>
    <m/>
    <m/>
    <m/>
    <m/>
    <m/>
    <m/>
    <m/>
    <m/>
    <n v="11"/>
    <n v="11"/>
    <m/>
    <m/>
    <m/>
    <n v="517650"/>
    <n v="169624"/>
    <s v="Hampton Wick &amp; South Teddington"/>
    <s v="Teddington and the Hamptons"/>
    <m/>
    <s v="Thames Policy Area"/>
    <s v="Hampton Wick"/>
    <s v="Y"/>
    <m/>
    <s v="CA18 Hampton Wick"/>
    <s v="Y"/>
    <s v="Y"/>
    <s v="Teddington &amp; Hampton Wick"/>
    <x v="0"/>
  </r>
  <r>
    <s v="12/1020/FUL"/>
    <s v="CON"/>
    <s v="FULL"/>
    <x v="64"/>
    <d v="2016-07-31T00:00:00"/>
    <d v="2016-07-14T00:00:00"/>
    <m/>
    <m/>
    <m/>
    <x v="1"/>
    <s v="Open Market"/>
    <m/>
    <m/>
    <m/>
    <s v="Conversion of ground and first floors to create of no. 25-27 which are linked internally to create the following: no. 25 convert to single dwellinghouse with loft conversion. no.27 Convert ground floor to 1 x 2 bed flat, first floor convert to 2 x 1 bed flats, 2nd floor existing 1 x 2 bed and 1 x 1 bed flats to remain as existing."/>
    <s v="25 - 27 Thames Street, Hampton TW12 2EW"/>
    <s v="TW12 2EW"/>
    <m/>
    <n v="1"/>
    <n v="1"/>
    <m/>
    <m/>
    <m/>
    <m/>
    <m/>
    <m/>
    <n v="2"/>
    <m/>
    <n v="3"/>
    <n v="2"/>
    <n v="1"/>
    <m/>
    <m/>
    <m/>
    <m/>
    <m/>
    <n v="6"/>
    <n v="2"/>
    <n v="1"/>
    <n v="1"/>
    <n v="0"/>
    <n v="0"/>
    <n v="0"/>
    <n v="0"/>
    <n v="0"/>
    <n v="4"/>
    <m/>
    <m/>
    <m/>
    <n v="1"/>
    <n v="1"/>
    <n v="1"/>
    <n v="1"/>
    <m/>
    <m/>
    <m/>
    <m/>
    <m/>
    <m/>
    <m/>
    <m/>
    <m/>
    <m/>
    <m/>
    <n v="4"/>
    <n v="4"/>
    <m/>
    <m/>
    <m/>
    <n v="513862"/>
    <n v="169500"/>
    <s v="Hampton"/>
    <s v="Teddington and the Hamptons"/>
    <m/>
    <s v="Thames Policy Area"/>
    <s v="Thames Street, Hampton"/>
    <s v="Y"/>
    <m/>
    <s v="CA12 Hampton Village"/>
    <s v="Y"/>
    <s v="Y"/>
    <s v="Hampton &amp; Hampton Hill"/>
    <x v="0"/>
  </r>
  <r>
    <s v="13/1327/FUL"/>
    <s v="CHU"/>
    <s v="FULL"/>
    <x v="65"/>
    <d v="2016-09-03T00:00:00"/>
    <d v="2016-08-19T00:00:00"/>
    <m/>
    <m/>
    <m/>
    <x v="1"/>
    <s v="Open Market"/>
    <s v="N"/>
    <m/>
    <m/>
    <s v="Reversion of Doughty House and Doughty Cottage, change of use from D1 gallery to a single family dwelling. New conservatory with basement below; underground car parking beneath the upper garden and linked to Doughty House; part re-construction of rear elevation to Doughty House; Formation of new lift shaft in Doughty House with minor alterations at roof level above lift shaft; extension to south east elevation to the cottage to form new ensuite bathrooms at three level."/>
    <s v="Doughty House And Doughty Cottage, 142 - 142A Richmond Hill, Richmond"/>
    <s v="TW10 6RN"/>
    <m/>
    <m/>
    <m/>
    <m/>
    <n v="1"/>
    <m/>
    <m/>
    <m/>
    <m/>
    <n v="1"/>
    <m/>
    <m/>
    <m/>
    <m/>
    <n v="1"/>
    <m/>
    <m/>
    <m/>
    <m/>
    <n v="1"/>
    <n v="0"/>
    <n v="0"/>
    <n v="0"/>
    <n v="0"/>
    <n v="0"/>
    <n v="0"/>
    <n v="0"/>
    <n v="0"/>
    <n v="0"/>
    <m/>
    <m/>
    <n v="0"/>
    <m/>
    <m/>
    <m/>
    <m/>
    <m/>
    <m/>
    <m/>
    <m/>
    <m/>
    <m/>
    <m/>
    <m/>
    <m/>
    <m/>
    <m/>
    <n v="0"/>
    <n v="0"/>
    <m/>
    <m/>
    <m/>
    <n v="518397"/>
    <n v="173968"/>
    <s v="Ham, Petersham &amp; Richmond Riverside"/>
    <s v="Ham &amp; Petersham"/>
    <m/>
    <s v="Thames Policy Area"/>
    <m/>
    <m/>
    <m/>
    <s v="CA5 Richmond Hill"/>
    <s v="Y"/>
    <s v="Y"/>
    <s v="Richmond and Richmond Hill"/>
    <x v="0"/>
  </r>
  <r>
    <s v="14/2797/P3JPA"/>
    <s v="CHU"/>
    <s v="PA"/>
    <x v="66"/>
    <d v="2017-11-27T00:00:00"/>
    <d v="2017-06-30T00:00:00"/>
    <m/>
    <m/>
    <m/>
    <x v="1"/>
    <s v="Open Market"/>
    <m/>
    <m/>
    <m/>
    <s v="Proposed change of use of part of an existing two storey office block (B1a Use Class) to Residential (C3 Use Class) creating 6 No.flats (comprising 1 x 1-bed unit and 5 x 2-bed units)."/>
    <s v="Crane Mews, 32 Gould Road, Twickenham"/>
    <s v="TW2 6RS"/>
    <m/>
    <m/>
    <m/>
    <m/>
    <m/>
    <m/>
    <m/>
    <m/>
    <m/>
    <n v="0"/>
    <m/>
    <n v="1"/>
    <n v="5"/>
    <m/>
    <m/>
    <m/>
    <m/>
    <m/>
    <m/>
    <n v="6"/>
    <n v="1"/>
    <n v="5"/>
    <n v="0"/>
    <n v="0"/>
    <n v="0"/>
    <n v="0"/>
    <n v="0"/>
    <n v="0"/>
    <n v="6"/>
    <m/>
    <m/>
    <m/>
    <n v="3"/>
    <n v="3"/>
    <m/>
    <m/>
    <m/>
    <m/>
    <m/>
    <m/>
    <m/>
    <m/>
    <m/>
    <m/>
    <m/>
    <m/>
    <m/>
    <n v="6"/>
    <n v="6"/>
    <m/>
    <m/>
    <m/>
    <n v="515206"/>
    <n v="173341"/>
    <s v="South Twickenham"/>
    <s v="Twickenham"/>
    <m/>
    <m/>
    <m/>
    <m/>
    <m/>
    <m/>
    <m/>
    <s v="Y"/>
    <s v="Twickenham, Strawberry Hill &amp; St Margarets"/>
    <x v="0"/>
  </r>
  <r>
    <s v="16/0058/FUL"/>
    <s v="CHU"/>
    <s v="FULL"/>
    <x v="67"/>
    <d v="2019-07-14T00:00:00"/>
    <d v="2019-07-10T00:00:00"/>
    <m/>
    <m/>
    <m/>
    <x v="1"/>
    <s v="Open Market"/>
    <m/>
    <m/>
    <m/>
    <s v="Change of use of 2nd floor and 3rd floor level from ancillary retail to nine 1 bedroom flats (C3 use) with external alterations and enclosure of walkway at 1st floor, new residential access, bin store, bicycle storage, replacement of plant, new stairs to roof access and  reconfiguration of food store at ground floor level."/>
    <s v="29 George Street, Richmond TW9 1HY"/>
    <s v="TW9 1HY"/>
    <m/>
    <m/>
    <m/>
    <m/>
    <m/>
    <m/>
    <m/>
    <m/>
    <m/>
    <n v="0"/>
    <m/>
    <n v="9"/>
    <m/>
    <m/>
    <m/>
    <m/>
    <m/>
    <m/>
    <m/>
    <n v="9"/>
    <n v="9"/>
    <n v="0"/>
    <n v="0"/>
    <n v="0"/>
    <n v="0"/>
    <n v="0"/>
    <n v="0"/>
    <n v="0"/>
    <n v="9"/>
    <m/>
    <m/>
    <m/>
    <n v="4.5"/>
    <n v="4.5"/>
    <m/>
    <m/>
    <m/>
    <m/>
    <m/>
    <m/>
    <m/>
    <m/>
    <m/>
    <m/>
    <m/>
    <m/>
    <m/>
    <n v="9"/>
    <n v="9"/>
    <m/>
    <m/>
    <m/>
    <n v="517924"/>
    <n v="174891"/>
    <s v="South Richmond"/>
    <s v="Richmond"/>
    <s v="Richmond"/>
    <m/>
    <m/>
    <m/>
    <m/>
    <s v="CA17 Central Richmond"/>
    <s v="Y"/>
    <s v="Y"/>
    <s v="Richmond and Richmond Hill"/>
    <x v="0"/>
  </r>
  <r>
    <s v="16/0510/FUL"/>
    <s v="CHU"/>
    <s v="FULL"/>
    <x v="68"/>
    <d v="2021-07-19T00:00:00"/>
    <d v="2021-07-05T00:00:00"/>
    <m/>
    <m/>
    <m/>
    <x v="1"/>
    <s v="Open Market"/>
    <m/>
    <m/>
    <m/>
    <s v="Alterations including construction of a new rear ground floor extension and change of use to commercial space and two 2-bedroom self-contained flats."/>
    <s v="Shanklin House, 70 Sheen Road, Richmond TW9 1UF"/>
    <s v="TW9 1UF"/>
    <m/>
    <m/>
    <m/>
    <m/>
    <m/>
    <m/>
    <m/>
    <m/>
    <m/>
    <n v="0"/>
    <m/>
    <m/>
    <n v="2"/>
    <m/>
    <m/>
    <m/>
    <m/>
    <m/>
    <m/>
    <n v="2"/>
    <n v="0"/>
    <n v="2"/>
    <n v="0"/>
    <n v="0"/>
    <n v="0"/>
    <n v="0"/>
    <n v="0"/>
    <n v="0"/>
    <n v="2"/>
    <m/>
    <m/>
    <m/>
    <n v="1"/>
    <n v="1"/>
    <m/>
    <m/>
    <m/>
    <m/>
    <m/>
    <m/>
    <m/>
    <m/>
    <m/>
    <m/>
    <m/>
    <m/>
    <m/>
    <n v="2"/>
    <n v="2"/>
    <m/>
    <m/>
    <m/>
    <n v="518392"/>
    <n v="175032"/>
    <s v="South Richmond"/>
    <s v="Richmond"/>
    <m/>
    <m/>
    <s v="Sheen Road"/>
    <s v="Y"/>
    <m/>
    <s v="CA31 Sheen Road Richmond"/>
    <s v="Y"/>
    <s v="Y"/>
    <s v="Richmond and Richmond Hill"/>
    <x v="0"/>
  </r>
  <r>
    <s v="16/2537/FUL"/>
    <s v="NEW"/>
    <s v="FULL"/>
    <x v="69"/>
    <d v="2022-04-03T00:00:00"/>
    <d v="2022-03-16T00:00:00"/>
    <m/>
    <m/>
    <m/>
    <x v="1"/>
    <s v="Open Market"/>
    <m/>
    <m/>
    <m/>
    <s v="Demolition of the existing building, and redevelopment of the site for 8 residential units (1 x 1 bed, 7 x 2 bed units) with associated car and cycle parking, amenity space, refuse and recycling storage."/>
    <s v="1D Becketts Place, Hampton Wick"/>
    <s v="KT1 4EW"/>
    <m/>
    <n v="3"/>
    <m/>
    <m/>
    <m/>
    <m/>
    <m/>
    <m/>
    <m/>
    <n v="3"/>
    <m/>
    <n v="1"/>
    <n v="7"/>
    <m/>
    <m/>
    <m/>
    <m/>
    <m/>
    <m/>
    <n v="8"/>
    <n v="-2"/>
    <n v="7"/>
    <n v="0"/>
    <n v="0"/>
    <n v="0"/>
    <n v="0"/>
    <n v="0"/>
    <n v="0"/>
    <n v="5"/>
    <m/>
    <m/>
    <m/>
    <n v="2.5"/>
    <n v="2.5"/>
    <m/>
    <m/>
    <m/>
    <m/>
    <m/>
    <m/>
    <m/>
    <m/>
    <m/>
    <m/>
    <m/>
    <m/>
    <m/>
    <n v="5"/>
    <n v="5"/>
    <m/>
    <m/>
    <m/>
    <n v="517622"/>
    <n v="169605"/>
    <s v="Hampton Wick &amp; South Teddington"/>
    <s v="Teddington and the Hamptons"/>
    <m/>
    <s v="Thames Policy Area"/>
    <s v="Hampton Wick"/>
    <s v="Y"/>
    <m/>
    <s v="CA18 Hampton Wick"/>
    <s v="Y"/>
    <s v="Y"/>
    <s v="Teddington &amp; Hampton Wick"/>
    <x v="0"/>
  </r>
  <r>
    <s v="17/0323/FUL"/>
    <s v="NEW"/>
    <s v="FULL"/>
    <x v="70"/>
    <d v="2021-03-23T00:00:00"/>
    <d v="2021-01-04T00:00:00"/>
    <m/>
    <m/>
    <m/>
    <x v="1"/>
    <s v="Open Market"/>
    <m/>
    <m/>
    <m/>
    <s v="Erection of a three-storey building to provide  4 two-bedroom residential units (Class C3) separate refuse facilities and altered parking layout."/>
    <s v="Courtyard Apartments, 70B Hampton Road, Teddington"/>
    <s v="TW11 0JX"/>
    <m/>
    <m/>
    <m/>
    <m/>
    <m/>
    <m/>
    <m/>
    <m/>
    <m/>
    <n v="0"/>
    <m/>
    <m/>
    <n v="4"/>
    <m/>
    <m/>
    <m/>
    <m/>
    <m/>
    <m/>
    <n v="4"/>
    <n v="0"/>
    <n v="4"/>
    <n v="0"/>
    <n v="0"/>
    <n v="0"/>
    <n v="0"/>
    <n v="0"/>
    <n v="0"/>
    <n v="4"/>
    <m/>
    <m/>
    <m/>
    <n v="2"/>
    <n v="2"/>
    <m/>
    <m/>
    <m/>
    <m/>
    <m/>
    <m/>
    <m/>
    <m/>
    <m/>
    <m/>
    <m/>
    <m/>
    <m/>
    <n v="4"/>
    <n v="4"/>
    <m/>
    <m/>
    <m/>
    <n v="514687"/>
    <n v="171290"/>
    <s v="Fulwell &amp; Hampton Hill"/>
    <s v="Teddington and the Hamptons"/>
    <m/>
    <m/>
    <m/>
    <m/>
    <m/>
    <m/>
    <m/>
    <s v="Y"/>
    <s v="Teddington &amp; Hampton Wick"/>
    <x v="0"/>
  </r>
  <r>
    <s v="17/0788/FUL"/>
    <s v="NEW"/>
    <s v="FULL"/>
    <x v="71"/>
    <d v="2021-01-08T00:00:00"/>
    <d v="2021-01-07T00:00:00"/>
    <m/>
    <m/>
    <m/>
    <x v="1"/>
    <s v="Open Market"/>
    <m/>
    <m/>
    <m/>
    <s v="Demolition of lock up garages to provide 1 no. detached 4 bedroom dwellinghouse with associated parking, cycle and refuse stores, new boundary fence and hard and soft landscaping."/>
    <s v="High Wigsell, 35 Twickenham Road, Teddington"/>
    <s v="TW11"/>
    <m/>
    <m/>
    <m/>
    <m/>
    <m/>
    <m/>
    <m/>
    <m/>
    <m/>
    <n v="0"/>
    <m/>
    <m/>
    <m/>
    <m/>
    <n v="1"/>
    <m/>
    <m/>
    <m/>
    <m/>
    <n v="1"/>
    <n v="0"/>
    <n v="0"/>
    <n v="0"/>
    <n v="1"/>
    <n v="0"/>
    <n v="0"/>
    <n v="0"/>
    <n v="0"/>
    <n v="1"/>
    <m/>
    <m/>
    <m/>
    <n v="1"/>
    <m/>
    <m/>
    <m/>
    <m/>
    <m/>
    <m/>
    <m/>
    <m/>
    <m/>
    <m/>
    <m/>
    <m/>
    <m/>
    <m/>
    <n v="1"/>
    <n v="1"/>
    <m/>
    <m/>
    <m/>
    <n v="516399"/>
    <n v="171470"/>
    <s v="Teddington"/>
    <s v="Teddington and the Hamptons"/>
    <m/>
    <m/>
    <m/>
    <m/>
    <m/>
    <m/>
    <m/>
    <s v="Y"/>
    <s v="Teddington &amp; Hampton Wick"/>
    <x v="0"/>
  </r>
  <r>
    <s v="17/0925/FUL"/>
    <s v="MIX"/>
    <s v="FULL"/>
    <x v="72"/>
    <d v="2024-08-10T00:00:00"/>
    <d v="2024-02-01T00:00:00"/>
    <m/>
    <m/>
    <m/>
    <x v="1"/>
    <s v="Open Market"/>
    <m/>
    <m/>
    <m/>
    <s v="Two storey side extension, first floor rear extension, rear dormer roof extension and installation of external metal staircase to facilitate the provision of 1 no. 1 bed flat and reconfiguration of existing 2 bed flat to 1 bed flat and associated parking,"/>
    <s v="638 Hanworth Road, Whitton TW4 5NP"/>
    <s v="TW4 5NP"/>
    <m/>
    <m/>
    <n v="1"/>
    <m/>
    <m/>
    <m/>
    <m/>
    <m/>
    <m/>
    <n v="1"/>
    <m/>
    <n v="2"/>
    <m/>
    <m/>
    <m/>
    <m/>
    <m/>
    <m/>
    <m/>
    <n v="2"/>
    <n v="2"/>
    <n v="-1"/>
    <n v="0"/>
    <n v="0"/>
    <n v="0"/>
    <n v="0"/>
    <n v="0"/>
    <n v="0"/>
    <n v="1"/>
    <m/>
    <m/>
    <n v="1"/>
    <m/>
    <m/>
    <m/>
    <m/>
    <m/>
    <m/>
    <m/>
    <m/>
    <m/>
    <m/>
    <m/>
    <m/>
    <m/>
    <m/>
    <m/>
    <n v="1"/>
    <n v="1"/>
    <m/>
    <m/>
    <m/>
    <n v="512771"/>
    <n v="173675"/>
    <s v="Heathfield"/>
    <s v="Whitton"/>
    <m/>
    <m/>
    <s v="Hanworth Road"/>
    <s v="Y"/>
    <m/>
    <m/>
    <m/>
    <m/>
    <s v="Whitton and Heathfield"/>
    <x v="0"/>
  </r>
  <r>
    <s v="17/1390/FUL"/>
    <s v="NEW"/>
    <s v="FULL"/>
    <x v="73"/>
    <d v="2022-05-14T00:00:00"/>
    <d v="2022-03-01T00:00:00"/>
    <m/>
    <m/>
    <m/>
    <x v="1"/>
    <s v="Open Market"/>
    <m/>
    <m/>
    <m/>
    <s v="Demolition of builders storage building and erection of one bedroomed  2 storey detached dwellinghouse with basement."/>
    <s v="Land Adjacent To No 1 South Western Road, Twickenham"/>
    <s v="TW1 1LG"/>
    <m/>
    <m/>
    <m/>
    <m/>
    <m/>
    <m/>
    <m/>
    <m/>
    <m/>
    <n v="0"/>
    <m/>
    <n v="1"/>
    <m/>
    <m/>
    <m/>
    <m/>
    <m/>
    <m/>
    <m/>
    <n v="1"/>
    <n v="1"/>
    <n v="0"/>
    <n v="0"/>
    <n v="0"/>
    <n v="0"/>
    <n v="0"/>
    <n v="0"/>
    <n v="0"/>
    <n v="1"/>
    <m/>
    <m/>
    <m/>
    <n v="0.5"/>
    <n v="0.5"/>
    <m/>
    <m/>
    <m/>
    <m/>
    <m/>
    <m/>
    <m/>
    <m/>
    <m/>
    <m/>
    <m/>
    <m/>
    <m/>
    <n v="1"/>
    <n v="1"/>
    <m/>
    <m/>
    <m/>
    <n v="516598"/>
    <n v="174330"/>
    <s v="St. Margarets &amp; North Twickenham"/>
    <s v="Twickenham"/>
    <m/>
    <m/>
    <m/>
    <m/>
    <m/>
    <m/>
    <m/>
    <s v="Y"/>
    <s v="Twickenham, Strawberry Hill &amp; St Margarets"/>
    <x v="0"/>
  </r>
  <r>
    <s v="17/3590/FUL"/>
    <s v="NEW"/>
    <s v="FULL"/>
    <x v="74"/>
    <d v="2021-07-26T00:00:00"/>
    <d v="2021-07-23T00:00:00"/>
    <m/>
    <m/>
    <m/>
    <x v="1"/>
    <s v="Open Market"/>
    <m/>
    <m/>
    <m/>
    <s v="Demolition of the existing garages. Erection of 1 x 2 bed single storey house and 1 x 3 bed single storey house with basement with associated hard and soft landscaping, refuse and cycle stores."/>
    <s v="Garages Rear Of 48-52 Anlaby Road, Teddington"/>
    <s v="TW11 0PP"/>
    <m/>
    <m/>
    <m/>
    <m/>
    <m/>
    <m/>
    <m/>
    <m/>
    <m/>
    <n v="0"/>
    <m/>
    <m/>
    <n v="1"/>
    <n v="1"/>
    <m/>
    <m/>
    <m/>
    <m/>
    <m/>
    <n v="2"/>
    <n v="0"/>
    <n v="1"/>
    <n v="1"/>
    <n v="0"/>
    <n v="0"/>
    <n v="0"/>
    <n v="0"/>
    <n v="0"/>
    <n v="2"/>
    <m/>
    <m/>
    <m/>
    <n v="1"/>
    <n v="1"/>
    <m/>
    <m/>
    <m/>
    <m/>
    <m/>
    <m/>
    <m/>
    <m/>
    <m/>
    <m/>
    <m/>
    <m/>
    <m/>
    <n v="2"/>
    <n v="2"/>
    <m/>
    <m/>
    <m/>
    <n v="514975"/>
    <n v="171285"/>
    <s v="Fulwell &amp; Hampton Hill"/>
    <s v="Teddington and the Hamptons"/>
    <m/>
    <m/>
    <m/>
    <m/>
    <m/>
    <m/>
    <m/>
    <s v="Y"/>
    <s v="Teddington &amp; Hampton Wick"/>
    <x v="0"/>
  </r>
  <r>
    <s v="17/3667/FUL"/>
    <s v="NEW"/>
    <s v="FULL"/>
    <x v="75"/>
    <d v="2021-04-25T00:00:00"/>
    <d v="2021-03-15T00:00:00"/>
    <m/>
    <m/>
    <m/>
    <x v="1"/>
    <s v="Open Market"/>
    <m/>
    <m/>
    <m/>
    <s v="Demolition of existing staff accommodation caravans and storage barn and erection of replacement grooms accommodation."/>
    <s v="Manor Farm Riding School, Petersham Road, Petersham, Richmond TW10 7AH"/>
    <s v="TW10 7AH"/>
    <m/>
    <m/>
    <m/>
    <m/>
    <m/>
    <m/>
    <m/>
    <m/>
    <m/>
    <n v="0"/>
    <m/>
    <m/>
    <m/>
    <n v="1"/>
    <m/>
    <m/>
    <m/>
    <m/>
    <m/>
    <n v="1"/>
    <n v="0"/>
    <n v="0"/>
    <n v="1"/>
    <n v="0"/>
    <n v="0"/>
    <n v="0"/>
    <n v="0"/>
    <n v="0"/>
    <n v="1"/>
    <m/>
    <m/>
    <n v="1"/>
    <m/>
    <m/>
    <m/>
    <m/>
    <m/>
    <m/>
    <m/>
    <m/>
    <m/>
    <m/>
    <m/>
    <m/>
    <m/>
    <m/>
    <m/>
    <n v="1"/>
    <n v="1"/>
    <m/>
    <m/>
    <m/>
    <n v="517808"/>
    <n v="173353"/>
    <s v="Ham, Petersham &amp; Richmond Riverside"/>
    <s v="Ham &amp; Petersham"/>
    <m/>
    <s v="Thames Policy Area"/>
    <m/>
    <m/>
    <s v="Petersham Lodge"/>
    <s v="CA6 Petersham"/>
    <s v="Y"/>
    <m/>
    <s v="Ham, Petersham &amp; Richmond Park"/>
    <x v="0"/>
  </r>
  <r>
    <s v="18/0216/FUL"/>
    <s v="CON"/>
    <s v="FULL"/>
    <x v="76"/>
    <d v="2021-12-05T00:00:00"/>
    <d v="2019-11-11T00:00:00"/>
    <m/>
    <m/>
    <m/>
    <x v="1"/>
    <s v="Open Market"/>
    <m/>
    <m/>
    <m/>
    <s v="The division of the existing single dwelling on the upper floors into two dwellings. Rear dormer and roof lights to the front roofslope."/>
    <s v="34 Colston Road, East Sheen SW14 7PG"/>
    <s v="SW14 7PG"/>
    <m/>
    <m/>
    <m/>
    <m/>
    <n v="1"/>
    <m/>
    <m/>
    <m/>
    <m/>
    <n v="1"/>
    <m/>
    <n v="1"/>
    <m/>
    <n v="1"/>
    <m/>
    <m/>
    <m/>
    <m/>
    <m/>
    <n v="2"/>
    <n v="1"/>
    <n v="0"/>
    <n v="1"/>
    <n v="-1"/>
    <n v="0"/>
    <n v="0"/>
    <n v="0"/>
    <n v="0"/>
    <n v="1"/>
    <m/>
    <m/>
    <m/>
    <n v="0.5"/>
    <n v="0.5"/>
    <m/>
    <m/>
    <m/>
    <m/>
    <m/>
    <m/>
    <m/>
    <m/>
    <m/>
    <m/>
    <m/>
    <m/>
    <m/>
    <n v="1"/>
    <n v="1"/>
    <m/>
    <m/>
    <m/>
    <n v="520283"/>
    <n v="175305"/>
    <s v="East Sheen"/>
    <s v="Barnes and East Sheen"/>
    <s v="East Sheen"/>
    <m/>
    <m/>
    <m/>
    <m/>
    <m/>
    <m/>
    <s v="Y"/>
    <s v="Mortlake and East Sheen"/>
    <x v="0"/>
  </r>
  <r>
    <s v="18/1248/FUL"/>
    <s v="CHU"/>
    <s v="FULL"/>
    <x v="77"/>
    <d v="2021-12-21T00:00:00"/>
    <d v="2020-09-01T00:00:00"/>
    <m/>
    <m/>
    <m/>
    <x v="1"/>
    <s v="Open Market"/>
    <m/>
    <m/>
    <m/>
    <s v="Conversion, refurbishment and extension of existing tyre shop with maisonette above (C3) into two self-contained one bedroom flats (C3)."/>
    <s v="1 Trinity Road, Richmond TW9 2LD"/>
    <s v="TW9 2LD"/>
    <m/>
    <n v="1"/>
    <m/>
    <m/>
    <m/>
    <m/>
    <m/>
    <m/>
    <m/>
    <n v="1"/>
    <m/>
    <n v="2"/>
    <m/>
    <m/>
    <m/>
    <m/>
    <m/>
    <m/>
    <m/>
    <n v="2"/>
    <n v="1"/>
    <n v="0"/>
    <n v="0"/>
    <n v="0"/>
    <n v="0"/>
    <n v="0"/>
    <n v="0"/>
    <n v="0"/>
    <n v="1"/>
    <m/>
    <m/>
    <n v="1"/>
    <m/>
    <m/>
    <m/>
    <m/>
    <m/>
    <m/>
    <m/>
    <m/>
    <m/>
    <m/>
    <m/>
    <m/>
    <m/>
    <m/>
    <m/>
    <n v="1"/>
    <n v="1"/>
    <m/>
    <m/>
    <m/>
    <n v="518862"/>
    <n v="175562"/>
    <s v="North Richmond"/>
    <s v="Richmond"/>
    <m/>
    <m/>
    <m/>
    <m/>
    <m/>
    <m/>
    <m/>
    <s v="Y"/>
    <s v="Richmond and Richmond Hill"/>
    <x v="0"/>
  </r>
  <r>
    <s v="18/1442/FUL"/>
    <s v="NEW"/>
    <s v="FULL"/>
    <x v="78"/>
    <d v="2022-01-07T00:00:00"/>
    <d v="2021-09-16T00:00:00"/>
    <m/>
    <m/>
    <m/>
    <x v="1"/>
    <s v="Open Market"/>
    <m/>
    <m/>
    <m/>
    <s v="Demolition of the existing outbuilding to the rear of no.48 Fourth Cross Road accessed via Rutland Road and construction of 1x2 bedroom dwelling including basement, with associated car parking, cycle parking and recycle/refuse storage."/>
    <s v="Land Rear Of 48 Fourth Cross Road, Twickenham"/>
    <s v="TW2 5ER"/>
    <m/>
    <m/>
    <m/>
    <m/>
    <m/>
    <m/>
    <m/>
    <m/>
    <m/>
    <n v="0"/>
    <m/>
    <m/>
    <n v="1"/>
    <m/>
    <m/>
    <m/>
    <m/>
    <m/>
    <m/>
    <n v="1"/>
    <n v="0"/>
    <n v="1"/>
    <n v="0"/>
    <n v="0"/>
    <n v="0"/>
    <n v="0"/>
    <n v="0"/>
    <n v="0"/>
    <n v="1"/>
    <m/>
    <m/>
    <m/>
    <n v="0.5"/>
    <n v="0.5"/>
    <m/>
    <m/>
    <m/>
    <m/>
    <m/>
    <m/>
    <m/>
    <m/>
    <m/>
    <m/>
    <m/>
    <m/>
    <m/>
    <n v="1"/>
    <n v="1"/>
    <m/>
    <m/>
    <m/>
    <n v="514703"/>
    <n v="172701"/>
    <s v="West Twickenham"/>
    <s v="Twickenham"/>
    <m/>
    <m/>
    <m/>
    <m/>
    <m/>
    <m/>
    <m/>
    <m/>
    <s v="Twickenham, Strawberry Hill &amp; St Margarets"/>
    <x v="0"/>
  </r>
  <r>
    <s v="18/3310/FUL"/>
    <s v="NEW"/>
    <s v="FULL"/>
    <x v="79"/>
    <d v="2023-09-16T00:00:00"/>
    <d v="2023-09-12T00:00:00"/>
    <m/>
    <m/>
    <m/>
    <x v="1"/>
    <s v="Open Market"/>
    <m/>
    <m/>
    <m/>
    <s v="Demolition of existing buildings and structures, and redevelopment of the site to provide a 4-6 storey specialist extra care facility for the elderly with existing health conditions, comprising of 88 units, communal healthcare, therapy, leisure and social facilities (including a Restaurant/bar/cafe and swimming pool). Provision of car and cycle parking, associated landscaping and publicly accessible amenity space including a childrens play area."/>
    <s v="Kew Biothane Plant, Melliss Avenue, Kew"/>
    <s v="TW9"/>
    <m/>
    <m/>
    <m/>
    <m/>
    <m/>
    <m/>
    <m/>
    <m/>
    <m/>
    <n v="0"/>
    <m/>
    <n v="13"/>
    <n v="75"/>
    <m/>
    <m/>
    <m/>
    <m/>
    <m/>
    <m/>
    <n v="88"/>
    <n v="13"/>
    <n v="75"/>
    <n v="0"/>
    <n v="0"/>
    <n v="0"/>
    <n v="0"/>
    <n v="0"/>
    <n v="0"/>
    <n v="88"/>
    <s v="Y"/>
    <m/>
    <m/>
    <m/>
    <n v="88"/>
    <m/>
    <m/>
    <m/>
    <m/>
    <m/>
    <m/>
    <m/>
    <m/>
    <m/>
    <m/>
    <m/>
    <m/>
    <m/>
    <n v="88"/>
    <n v="88"/>
    <s v="Y"/>
    <m/>
    <m/>
    <n v="519778"/>
    <n v="176914"/>
    <s v="Kew"/>
    <s v="Richmond"/>
    <m/>
    <s v="Thames Policy Area"/>
    <m/>
    <m/>
    <s v="Townmead Kew"/>
    <m/>
    <m/>
    <s v="Y"/>
    <s v="Kew"/>
    <x v="0"/>
  </r>
  <r>
    <s v="18/3930/FUL"/>
    <s v="NEW"/>
    <s v="FULL"/>
    <x v="80"/>
    <d v="2022-10-17T00:00:00"/>
    <d v="2022-09-07T00:00:00"/>
    <m/>
    <m/>
    <d v="2025-08-11T00:00:00"/>
    <x v="1"/>
    <s v="Open Market"/>
    <m/>
    <m/>
    <m/>
    <s v="Demolition of existing garage and erection of 1No. 2 storey with habitable roofspace 4 bed dwelling with associated hard and soft landscaping. Alterations to existing crossover and creation of a new crossover in front of No.38 Langham Road to facilitate p"/>
    <s v="38 Langham Road, Teddington TW11 9HQ"/>
    <s v="TW11 9HQ"/>
    <m/>
    <m/>
    <m/>
    <m/>
    <m/>
    <m/>
    <m/>
    <m/>
    <m/>
    <n v="0"/>
    <m/>
    <m/>
    <m/>
    <m/>
    <n v="1"/>
    <m/>
    <m/>
    <m/>
    <m/>
    <n v="1"/>
    <n v="0"/>
    <n v="0"/>
    <n v="0"/>
    <n v="1"/>
    <n v="0"/>
    <n v="0"/>
    <n v="0"/>
    <n v="0"/>
    <n v="1"/>
    <m/>
    <m/>
    <n v="1"/>
    <m/>
    <m/>
    <m/>
    <m/>
    <m/>
    <m/>
    <m/>
    <m/>
    <m/>
    <m/>
    <m/>
    <m/>
    <m/>
    <m/>
    <m/>
    <n v="1"/>
    <n v="1"/>
    <m/>
    <m/>
    <m/>
    <n v="516550"/>
    <n v="171027"/>
    <s v="Hampton Wick &amp; South Teddington"/>
    <s v="Teddington and the Hamptons"/>
    <m/>
    <m/>
    <m/>
    <m/>
    <m/>
    <m/>
    <m/>
    <s v="Y"/>
    <s v="Teddington &amp; Hampton Wick"/>
    <x v="1"/>
  </r>
  <r>
    <s v="18/3950/FUL"/>
    <s v="CHU"/>
    <s v="FULL"/>
    <x v="81"/>
    <d v="2022-07-15T00:00:00"/>
    <d v="2021-02-22T00:00:00"/>
    <m/>
    <m/>
    <d v="2026-01-23T00:00:00"/>
    <x v="1"/>
    <s v="Affordable Rent"/>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7"/>
    <n v="3"/>
    <n v="1"/>
    <m/>
    <m/>
    <m/>
    <m/>
    <m/>
    <n v="11"/>
    <n v="7"/>
    <n v="3"/>
    <n v="1"/>
    <n v="0"/>
    <n v="0"/>
    <n v="0"/>
    <n v="0"/>
    <n v="0"/>
    <n v="11"/>
    <s v="Y"/>
    <m/>
    <n v="11"/>
    <m/>
    <m/>
    <m/>
    <m/>
    <m/>
    <m/>
    <m/>
    <m/>
    <m/>
    <m/>
    <m/>
    <m/>
    <m/>
    <m/>
    <m/>
    <n v="11"/>
    <n v="11"/>
    <m/>
    <m/>
    <m/>
    <n v="518144"/>
    <n v="175553"/>
    <s v="North Richmond"/>
    <s v="Richmond"/>
    <m/>
    <m/>
    <m/>
    <m/>
    <m/>
    <s v="CA36 Kew Foot Road"/>
    <s v="Y"/>
    <s v="Y"/>
    <s v="Richmond and Richmond Hill"/>
    <x v="0"/>
  </r>
  <r>
    <s v="18/3950/FUL"/>
    <s v="CHU"/>
    <s v="FULL"/>
    <x v="81"/>
    <d v="2022-07-15T00:00:00"/>
    <d v="2021-02-22T00:00:00"/>
    <m/>
    <m/>
    <d v="2026-01-23T00:00:00"/>
    <x v="1"/>
    <s v="Intermediate"/>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4"/>
    <m/>
    <m/>
    <m/>
    <m/>
    <m/>
    <m/>
    <m/>
    <n v="4"/>
    <n v="4"/>
    <n v="0"/>
    <n v="0"/>
    <n v="0"/>
    <n v="0"/>
    <n v="0"/>
    <n v="0"/>
    <n v="0"/>
    <n v="4"/>
    <s v="Y"/>
    <m/>
    <n v="4"/>
    <m/>
    <m/>
    <m/>
    <m/>
    <m/>
    <m/>
    <m/>
    <m/>
    <m/>
    <m/>
    <m/>
    <m/>
    <m/>
    <m/>
    <m/>
    <n v="4"/>
    <n v="4"/>
    <m/>
    <m/>
    <m/>
    <n v="518144"/>
    <n v="175553"/>
    <s v="North Richmond"/>
    <s v="Richmond"/>
    <m/>
    <m/>
    <m/>
    <m/>
    <m/>
    <s v="CA36 Kew Foot Road"/>
    <s v="Y"/>
    <s v="Y"/>
    <s v="Richmond and Richmond Hill"/>
    <x v="0"/>
  </r>
  <r>
    <s v="18/3950/FUL"/>
    <s v="CHU"/>
    <s v="FULL"/>
    <x v="81"/>
    <d v="2022-07-15T00:00:00"/>
    <d v="2021-02-22T00:00:00"/>
    <m/>
    <m/>
    <m/>
    <x v="1"/>
    <s v="Open Market"/>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m/>
    <n v="22"/>
    <n v="30"/>
    <n v="2"/>
    <n v="2"/>
    <m/>
    <m/>
    <m/>
    <m/>
    <n v="56"/>
    <n v="22"/>
    <n v="30"/>
    <n v="2"/>
    <n v="2"/>
    <n v="0"/>
    <n v="0"/>
    <n v="0"/>
    <n v="0"/>
    <n v="56"/>
    <s v="Y"/>
    <m/>
    <n v="56"/>
    <m/>
    <m/>
    <m/>
    <m/>
    <m/>
    <m/>
    <m/>
    <m/>
    <m/>
    <m/>
    <m/>
    <m/>
    <m/>
    <m/>
    <m/>
    <n v="56"/>
    <n v="56"/>
    <m/>
    <m/>
    <m/>
    <n v="518144"/>
    <n v="175553"/>
    <s v="North Richmond"/>
    <s v="Richmond"/>
    <m/>
    <m/>
    <m/>
    <m/>
    <m/>
    <s v="CA36 Kew Foot Road"/>
    <s v="Y"/>
    <s v="Y"/>
    <s v="Richmond and Richmond Hill"/>
    <x v="0"/>
  </r>
  <r>
    <s v="19/0111/FUL"/>
    <s v="MIX"/>
    <s v="FULL"/>
    <x v="82"/>
    <d v="2022-12-12T00:00:00"/>
    <d v="2020-03-30T00:00:00"/>
    <m/>
    <m/>
    <m/>
    <x v="1"/>
    <s v="London Affordable Rent"/>
    <m/>
    <m/>
    <m/>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m/>
    <m/>
    <m/>
    <m/>
    <m/>
    <m/>
    <m/>
    <m/>
    <n v="0"/>
    <s v="Y"/>
    <n v="3"/>
    <n v="3"/>
    <m/>
    <m/>
    <m/>
    <m/>
    <m/>
    <m/>
    <n v="6"/>
    <n v="3"/>
    <n v="3"/>
    <n v="0"/>
    <n v="0"/>
    <n v="0"/>
    <n v="0"/>
    <n v="0"/>
    <n v="0"/>
    <n v="6"/>
    <s v="Y"/>
    <m/>
    <m/>
    <n v="3"/>
    <n v="3"/>
    <m/>
    <m/>
    <m/>
    <m/>
    <m/>
    <m/>
    <m/>
    <m/>
    <m/>
    <m/>
    <m/>
    <m/>
    <m/>
    <n v="6"/>
    <n v="6"/>
    <m/>
    <m/>
    <m/>
    <n v="517598"/>
    <n v="169722"/>
    <s v="Hampton Wick &amp; South Teddington"/>
    <s v="Teddington and the Hamptons"/>
    <m/>
    <m/>
    <m/>
    <m/>
    <m/>
    <s v="CA18 Hampton Wick"/>
    <s v="Y"/>
    <s v="Y"/>
    <s v="Teddington &amp; Hampton Wick"/>
    <x v="0"/>
  </r>
  <r>
    <s v="19/0111/FUL"/>
    <s v="MIX"/>
    <s v="FULL"/>
    <x v="82"/>
    <d v="2022-12-12T00:00:00"/>
    <d v="2020-03-30T00:00:00"/>
    <m/>
    <m/>
    <m/>
    <x v="1"/>
    <s v="Open Market"/>
    <m/>
    <m/>
    <m/>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n v="7"/>
    <m/>
    <m/>
    <m/>
    <m/>
    <m/>
    <m/>
    <m/>
    <n v="7"/>
    <m/>
    <n v="2"/>
    <n v="4"/>
    <m/>
    <m/>
    <m/>
    <m/>
    <m/>
    <m/>
    <n v="6"/>
    <n v="-5"/>
    <n v="4"/>
    <n v="0"/>
    <n v="0"/>
    <n v="0"/>
    <n v="0"/>
    <n v="0"/>
    <n v="0"/>
    <n v="-1"/>
    <m/>
    <m/>
    <m/>
    <n v="-0.5"/>
    <n v="-0.5"/>
    <m/>
    <m/>
    <m/>
    <m/>
    <m/>
    <m/>
    <m/>
    <m/>
    <m/>
    <m/>
    <m/>
    <m/>
    <m/>
    <n v="-1"/>
    <n v="-1"/>
    <m/>
    <m/>
    <m/>
    <n v="517598"/>
    <n v="169722"/>
    <s v="Hampton Wick &amp; South Teddington"/>
    <s v="Teddington and the Hamptons"/>
    <m/>
    <m/>
    <m/>
    <m/>
    <m/>
    <s v="CA18 Hampton Wick"/>
    <s v="Y"/>
    <s v="Y"/>
    <s v="Teddington &amp; Hampton Wick"/>
    <x v="0"/>
  </r>
  <r>
    <s v="19/0175/FUL"/>
    <s v="NEW"/>
    <s v="FULL"/>
    <x v="83"/>
    <d v="2022-05-09T00:00:00"/>
    <d v="2020-11-20T00:00:00"/>
    <m/>
    <m/>
    <m/>
    <x v="1"/>
    <s v="Open Market"/>
    <m/>
    <m/>
    <m/>
    <s v="Demolition of existing one-bedroom, two-storey dwelling and construction of one-bedroom, one-person single-storey dwelling."/>
    <s v="The Haven, Eel Pie Island, Twickenham TW1 3DY"/>
    <s v="TW1 3DY"/>
    <m/>
    <n v="1"/>
    <m/>
    <m/>
    <m/>
    <m/>
    <m/>
    <m/>
    <m/>
    <n v="1"/>
    <m/>
    <n v="1"/>
    <m/>
    <m/>
    <m/>
    <m/>
    <m/>
    <m/>
    <m/>
    <n v="1"/>
    <n v="0"/>
    <n v="0"/>
    <n v="0"/>
    <n v="0"/>
    <n v="0"/>
    <n v="0"/>
    <n v="0"/>
    <n v="0"/>
    <n v="0"/>
    <m/>
    <m/>
    <n v="0"/>
    <m/>
    <m/>
    <m/>
    <m/>
    <m/>
    <m/>
    <m/>
    <m/>
    <m/>
    <m/>
    <m/>
    <m/>
    <m/>
    <m/>
    <m/>
    <n v="0"/>
    <n v="0"/>
    <m/>
    <m/>
    <m/>
    <n v="516414"/>
    <n v="173065"/>
    <s v="Twickenham Riverside"/>
    <s v="Twickenham"/>
    <m/>
    <s v="Thames Policy Area"/>
    <m/>
    <m/>
    <m/>
    <s v="CA8 Twickenham Riverside"/>
    <s v="Y"/>
    <s v="Y"/>
    <s v="Twickenham, Strawberry Hill &amp; St Margarets"/>
    <x v="0"/>
  </r>
  <r>
    <s v="19/0691/FUL"/>
    <s v="NEW"/>
    <s v="FULL"/>
    <x v="84"/>
    <d v="2024-07-28T00:00:00"/>
    <d v="2024-02-01T00:00:00"/>
    <m/>
    <m/>
    <m/>
    <x v="1"/>
    <s v="Open Market"/>
    <m/>
    <m/>
    <m/>
    <s v="Demolition of 38 garages including vehicle repair garage and the erection of six residential units (2x 3 bed and 4 x 2 bed), incorporating two commercial (B1a offices) units (totalling 152 sq.m), with amenity space, 14 off-street car parking spaces and associated works."/>
    <s v="Land Rear Of 127 - 147 Kingsway, Mortlake SW14 7HN"/>
    <s v="SW14 7HN"/>
    <m/>
    <m/>
    <m/>
    <m/>
    <m/>
    <m/>
    <m/>
    <m/>
    <m/>
    <n v="0"/>
    <m/>
    <m/>
    <n v="4"/>
    <n v="2"/>
    <m/>
    <m/>
    <m/>
    <m/>
    <m/>
    <n v="6"/>
    <n v="0"/>
    <n v="4"/>
    <n v="2"/>
    <n v="0"/>
    <n v="0"/>
    <n v="0"/>
    <n v="0"/>
    <n v="0"/>
    <n v="6"/>
    <m/>
    <m/>
    <m/>
    <n v="3"/>
    <n v="3"/>
    <m/>
    <m/>
    <m/>
    <m/>
    <m/>
    <m/>
    <m/>
    <m/>
    <m/>
    <m/>
    <m/>
    <m/>
    <m/>
    <n v="6"/>
    <n v="6"/>
    <m/>
    <m/>
    <m/>
    <n v="519806"/>
    <n v="175640"/>
    <s v="North Richmond"/>
    <s v="Barnes and East Sheen"/>
    <m/>
    <m/>
    <m/>
    <m/>
    <m/>
    <m/>
    <m/>
    <s v="Y"/>
    <s v="Mortlake and East Sheen"/>
    <x v="0"/>
  </r>
  <r>
    <s v="19/0911/FUL"/>
    <s v="EXT"/>
    <s v="FULL"/>
    <x v="85"/>
    <d v="2023-02-05T00:00:00"/>
    <d v="2023-02-03T00:00:00"/>
    <m/>
    <m/>
    <m/>
    <x v="1"/>
    <s v="Open Market"/>
    <m/>
    <m/>
    <m/>
    <s v="Proposed construction of additional floor level to create 2 no. additional two bed flats, together with a three storey side extension in the form of a bay window, change to existing fenestration and addition of 8 no. balconies at first and second floor level and associated hard and soft landscaping, 2 no. parking, refuse and cycle stores."/>
    <s v="Wick House, 10 Station Road, Hampton Wick KT1 4HF"/>
    <s v="KT2 4HF"/>
    <m/>
    <m/>
    <m/>
    <m/>
    <m/>
    <m/>
    <m/>
    <m/>
    <m/>
    <n v="0"/>
    <m/>
    <m/>
    <n v="2"/>
    <m/>
    <m/>
    <m/>
    <m/>
    <m/>
    <m/>
    <n v="2"/>
    <n v="0"/>
    <n v="2"/>
    <n v="0"/>
    <n v="0"/>
    <n v="0"/>
    <n v="0"/>
    <n v="0"/>
    <n v="0"/>
    <n v="2"/>
    <m/>
    <m/>
    <m/>
    <n v="1"/>
    <n v="1"/>
    <m/>
    <m/>
    <m/>
    <m/>
    <m/>
    <m/>
    <m/>
    <m/>
    <m/>
    <m/>
    <m/>
    <m/>
    <m/>
    <n v="2"/>
    <n v="2"/>
    <m/>
    <m/>
    <m/>
    <n v="517543"/>
    <n v="169767"/>
    <s v="Hampton Wick &amp; South Teddington"/>
    <s v="Teddington and the Hamptons"/>
    <m/>
    <m/>
    <m/>
    <m/>
    <m/>
    <m/>
    <m/>
    <s v="Y"/>
    <s v="Teddington &amp; Hampton Wick"/>
    <x v="0"/>
  </r>
  <r>
    <s v="19/0954/VRC"/>
    <s v="NEW"/>
    <s v="VRC"/>
    <x v="86"/>
    <d v="2022-10-16T00:00:00"/>
    <d v="2021-07-06T00:00:00"/>
    <m/>
    <m/>
    <m/>
    <x v="1"/>
    <s v="Open Market"/>
    <m/>
    <m/>
    <m/>
    <s v="Minor material amendment to application ref 16/3290/FUL (Partial demolition of an existing building and the creation of 3 new dwelling houses and associated works) by variation of appeal decision condition 2 (approved drawing numbers) to allow for external and internal changes"/>
    <s v="45 The Vineyard, Richmond TW10 6AS"/>
    <s v="TW10 6AS"/>
    <m/>
    <m/>
    <n v="2"/>
    <n v="1"/>
    <m/>
    <m/>
    <m/>
    <m/>
    <m/>
    <n v="3"/>
    <m/>
    <m/>
    <m/>
    <m/>
    <n v="3"/>
    <m/>
    <m/>
    <m/>
    <m/>
    <n v="3"/>
    <n v="0"/>
    <n v="-2"/>
    <n v="-1"/>
    <n v="3"/>
    <n v="0"/>
    <n v="0"/>
    <n v="0"/>
    <n v="0"/>
    <n v="0"/>
    <m/>
    <m/>
    <n v="0"/>
    <m/>
    <m/>
    <m/>
    <m/>
    <m/>
    <m/>
    <m/>
    <m/>
    <m/>
    <m/>
    <m/>
    <m/>
    <m/>
    <m/>
    <m/>
    <n v="0"/>
    <n v="0"/>
    <m/>
    <m/>
    <m/>
    <n v="518209"/>
    <n v="174625"/>
    <s v="South Richmond"/>
    <s v="Richmond"/>
    <m/>
    <m/>
    <m/>
    <m/>
    <m/>
    <s v="CA30 St Matthias Richmond"/>
    <s v="Y"/>
    <s v="Y"/>
    <s v="Richmond and Richmond Hill"/>
    <x v="0"/>
  </r>
  <r>
    <s v="19/1065/VRC"/>
    <s v="NEW"/>
    <s v="VRC"/>
    <x v="87"/>
    <d v="2022-07-10T00:00:00"/>
    <d v="2020-05-21T00:00:00"/>
    <m/>
    <m/>
    <m/>
    <x v="1"/>
    <s v="Open Market"/>
    <m/>
    <m/>
    <m/>
    <s v="Minor material amendment to planning permission 17/4358/VRC (which varied/removed approved conditions attached to planning permission ref: 08/1760/EXT dated 30.06.2017) and as further amended by 17/4358/NMA to enable minor changes to Block A of the staff accommodation as originally approved U53177 - Approved Plans and amendments to the wording of conditions U50070 NS51 (formerly 21909) - Finished ground floor level, U50083 NS08 - CHP Energy efficiency blocks A, B, C, U50119 NS46 (formerly U21903) - Boundary treatment, U50120 NS48 (formerly U21905) - Hard/soft landscaping and for partial discharge of U50114 NS42 (formerly U21898)  - Site investigation strategy in relation to the site investigation works undertaken for Phase A."/>
    <s v="St Pauls School, Lonsdale Road, Barnes SW13 9JT_x000a_"/>
    <s v="SW13 9JT"/>
    <m/>
    <n v="8"/>
    <n v="2"/>
    <n v="4"/>
    <n v="2"/>
    <m/>
    <m/>
    <m/>
    <m/>
    <n v="16"/>
    <m/>
    <n v="7"/>
    <n v="5"/>
    <n v="6"/>
    <m/>
    <m/>
    <m/>
    <m/>
    <m/>
    <n v="18"/>
    <n v="-1"/>
    <n v="3"/>
    <n v="2"/>
    <n v="-2"/>
    <n v="0"/>
    <n v="0"/>
    <n v="0"/>
    <n v="0"/>
    <n v="2"/>
    <s v="Y"/>
    <m/>
    <m/>
    <n v="1"/>
    <n v="1"/>
    <m/>
    <m/>
    <m/>
    <m/>
    <m/>
    <m/>
    <m/>
    <m/>
    <m/>
    <m/>
    <m/>
    <m/>
    <m/>
    <n v="2"/>
    <n v="2"/>
    <m/>
    <m/>
    <m/>
    <n v="522472"/>
    <n v="177999"/>
    <s v="Barnes"/>
    <s v="Barnes and East Sheen"/>
    <m/>
    <s v="Thames Policy Area"/>
    <m/>
    <m/>
    <m/>
    <m/>
    <m/>
    <s v="Y"/>
    <s v="Barnes"/>
    <x v="0"/>
  </r>
  <r>
    <s v="19/1162/FUL"/>
    <s v="MIX"/>
    <s v="FULL"/>
    <x v="88"/>
    <d v="2023-03-20T00:00:00"/>
    <d v="2020-10-01T00:00:00"/>
    <m/>
    <m/>
    <m/>
    <x v="1"/>
    <s v="Open Market"/>
    <m/>
    <m/>
    <m/>
    <s v="Part change of use of ground floor and rear garden from A1 to C3 (residential use) and replacement window on ground floor rear elevation to facilitate the conversion of existing 1 x 3 bed flat into 2 x 2 bed flats and associated cycle and refuse stores"/>
    <s v="82 - 84 Hill Rise, Richmond"/>
    <s v="TW10 6UB"/>
    <m/>
    <m/>
    <m/>
    <n v="1"/>
    <m/>
    <m/>
    <m/>
    <m/>
    <m/>
    <n v="1"/>
    <m/>
    <m/>
    <n v="2"/>
    <m/>
    <m/>
    <m/>
    <m/>
    <m/>
    <m/>
    <n v="2"/>
    <n v="0"/>
    <n v="2"/>
    <n v="-1"/>
    <n v="0"/>
    <n v="0"/>
    <n v="0"/>
    <n v="0"/>
    <n v="0"/>
    <n v="1"/>
    <m/>
    <m/>
    <n v="1"/>
    <m/>
    <m/>
    <m/>
    <m/>
    <m/>
    <m/>
    <m/>
    <m/>
    <m/>
    <m/>
    <m/>
    <m/>
    <m/>
    <m/>
    <m/>
    <n v="1"/>
    <n v="1"/>
    <m/>
    <m/>
    <m/>
    <n v="517949"/>
    <n v="174506"/>
    <s v="South Richmond"/>
    <s v="Richmond"/>
    <s v="Richmond"/>
    <m/>
    <m/>
    <m/>
    <m/>
    <s v="CA5 Richmond Hill"/>
    <s v="Y"/>
    <s v="Y"/>
    <s v="Richmond and Richmond Hill"/>
    <x v="0"/>
  </r>
  <r>
    <s v="19/1182/FUL"/>
    <s v="NEW"/>
    <s v="FULL"/>
    <x v="89"/>
    <d v="2023-06-19T00:00:00"/>
    <d v="2023-04-03T00:00:00"/>
    <m/>
    <m/>
    <d v="2025-07-01T00:00:00"/>
    <x v="1"/>
    <s v="Open Market"/>
    <m/>
    <m/>
    <m/>
    <s v="Erection of a three-bedroom single-storey dwellinghouse (with basement level), with associated access, parking, hard and soft landscaping and cycle and refuse stores."/>
    <s v="Land Rear Of 3 - 7 Third Cross Road, Twickenham"/>
    <s v="TW2"/>
    <m/>
    <m/>
    <m/>
    <m/>
    <m/>
    <m/>
    <m/>
    <m/>
    <m/>
    <n v="0"/>
    <m/>
    <m/>
    <m/>
    <n v="1"/>
    <m/>
    <m/>
    <m/>
    <m/>
    <m/>
    <n v="1"/>
    <n v="0"/>
    <n v="0"/>
    <n v="1"/>
    <n v="0"/>
    <n v="0"/>
    <n v="0"/>
    <n v="0"/>
    <n v="0"/>
    <n v="1"/>
    <m/>
    <m/>
    <n v="1"/>
    <m/>
    <m/>
    <m/>
    <m/>
    <m/>
    <m/>
    <m/>
    <m/>
    <m/>
    <m/>
    <m/>
    <m/>
    <m/>
    <m/>
    <m/>
    <n v="1"/>
    <n v="1"/>
    <m/>
    <m/>
    <m/>
    <n v="515054"/>
    <n v="172751"/>
    <s v="West Twickenham"/>
    <s v="Twickenham"/>
    <m/>
    <m/>
    <m/>
    <m/>
    <m/>
    <m/>
    <m/>
    <s v="Y"/>
    <s v="Twickenham, Strawberry Hill &amp; St Margarets"/>
    <x v="0"/>
  </r>
  <r>
    <s v="19/1890/FUL"/>
    <s v="NEW"/>
    <s v="FULL"/>
    <x v="90"/>
    <d v="2023-06-08T00:00:00"/>
    <d v="2022-04-16T00:00:00"/>
    <m/>
    <m/>
    <m/>
    <x v="1"/>
    <s v="Open Market"/>
    <m/>
    <m/>
    <m/>
    <s v="Erection of two pairs of semi-detached 4 bedroom dwellings and associated parking and landscaping following the demolition of the existing property."/>
    <s v="224 Hospital Bridge Road, Twickenham TW2 6LF"/>
    <s v="TW2 6LF"/>
    <m/>
    <m/>
    <m/>
    <n v="1"/>
    <m/>
    <m/>
    <m/>
    <m/>
    <m/>
    <n v="1"/>
    <m/>
    <m/>
    <m/>
    <m/>
    <n v="4"/>
    <m/>
    <m/>
    <m/>
    <m/>
    <n v="4"/>
    <n v="0"/>
    <n v="0"/>
    <n v="-1"/>
    <n v="4"/>
    <n v="0"/>
    <n v="0"/>
    <n v="0"/>
    <n v="0"/>
    <n v="3"/>
    <m/>
    <m/>
    <n v="3"/>
    <m/>
    <m/>
    <m/>
    <m/>
    <m/>
    <m/>
    <m/>
    <m/>
    <m/>
    <m/>
    <m/>
    <m/>
    <m/>
    <m/>
    <m/>
    <n v="3"/>
    <n v="3"/>
    <m/>
    <m/>
    <m/>
    <n v="513614"/>
    <n v="173545"/>
    <s v="Heathfield"/>
    <s v="Whitton"/>
    <m/>
    <m/>
    <m/>
    <m/>
    <m/>
    <m/>
    <m/>
    <s v="Y"/>
    <s v="Whitton and Heathfield"/>
    <x v="0"/>
  </r>
  <r>
    <s v="19/2199/FUL"/>
    <s v="NEW"/>
    <s v="FULL"/>
    <x v="91"/>
    <d v="2024-01-13T00:00:00"/>
    <d v="2023-06-12T00:00:00"/>
    <m/>
    <m/>
    <d v="2025-07-14T00:00:00"/>
    <x v="1"/>
    <s v="Open Market"/>
    <m/>
    <m/>
    <m/>
    <s v="Erection of a two-storey building with a basement level providing a commercial unit (Flexible Use Class B1 or D1) on part ground floor and basement levels and two flats (2 x 2-beds) on ground and upper floors.  Associated cycle and refuse stores."/>
    <s v="14 St Leonards Road, East Sheen SW14 7LY"/>
    <s v="SW14 7LY"/>
    <m/>
    <m/>
    <m/>
    <m/>
    <m/>
    <m/>
    <m/>
    <m/>
    <m/>
    <n v="0"/>
    <m/>
    <m/>
    <n v="2"/>
    <m/>
    <m/>
    <m/>
    <m/>
    <m/>
    <m/>
    <n v="2"/>
    <n v="0"/>
    <n v="2"/>
    <n v="0"/>
    <n v="0"/>
    <n v="0"/>
    <n v="0"/>
    <n v="0"/>
    <n v="0"/>
    <n v="2"/>
    <m/>
    <m/>
    <n v="2"/>
    <m/>
    <m/>
    <m/>
    <m/>
    <m/>
    <m/>
    <m/>
    <m/>
    <m/>
    <m/>
    <m/>
    <m/>
    <m/>
    <m/>
    <m/>
    <n v="2"/>
    <n v="2"/>
    <m/>
    <m/>
    <m/>
    <n v="520451"/>
    <n v="175621"/>
    <s v="East Sheen"/>
    <s v="Barnes and East Sheen"/>
    <m/>
    <m/>
    <m/>
    <m/>
    <m/>
    <s v="CA70 Sheen Lane Mortlake"/>
    <s v="Y"/>
    <s v="Y"/>
    <s v="Mortlake and East Sheen"/>
    <x v="0"/>
  </r>
  <r>
    <s v="19/2404/FUL"/>
    <s v="NEW"/>
    <s v="FULL"/>
    <x v="92"/>
    <d v="2024-06-30T00:00:00"/>
    <d v="2023-12-02T00:00:00"/>
    <m/>
    <m/>
    <d v="2025-11-21T00:00:00"/>
    <x v="1"/>
    <s v="London Affordable Rent"/>
    <m/>
    <m/>
    <m/>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4"/>
    <m/>
    <m/>
    <m/>
    <m/>
    <m/>
    <m/>
    <m/>
    <n v="4"/>
    <n v="4"/>
    <n v="0"/>
    <n v="0"/>
    <n v="0"/>
    <n v="0"/>
    <n v="0"/>
    <n v="0"/>
    <n v="0"/>
    <n v="4"/>
    <s v="Y"/>
    <m/>
    <n v="4"/>
    <m/>
    <m/>
    <m/>
    <m/>
    <m/>
    <m/>
    <m/>
    <m/>
    <m/>
    <m/>
    <m/>
    <m/>
    <m/>
    <m/>
    <m/>
    <n v="4"/>
    <n v="4"/>
    <m/>
    <m/>
    <m/>
    <n v="518792"/>
    <n v="174254"/>
    <s v="South Richmond"/>
    <s v="Richmond"/>
    <m/>
    <m/>
    <m/>
    <m/>
    <m/>
    <m/>
    <m/>
    <m/>
    <s v="Richmond and Richmond Hill"/>
    <x v="0"/>
  </r>
  <r>
    <s v="19/2404/FUL"/>
    <s v="NEW"/>
    <s v="FULL"/>
    <x v="92"/>
    <d v="2024-06-30T00:00:00"/>
    <d v="2023-12-02T00:00:00"/>
    <m/>
    <m/>
    <d v="2025-11-21T00:00:00"/>
    <x v="1"/>
    <s v="Affordable Rent"/>
    <m/>
    <m/>
    <m/>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7"/>
    <n v="1"/>
    <m/>
    <m/>
    <m/>
    <m/>
    <m/>
    <m/>
    <n v="8"/>
    <n v="7"/>
    <n v="1"/>
    <n v="0"/>
    <n v="0"/>
    <n v="0"/>
    <n v="0"/>
    <n v="0"/>
    <n v="0"/>
    <n v="8"/>
    <s v="Y"/>
    <m/>
    <n v="8"/>
    <m/>
    <m/>
    <m/>
    <m/>
    <m/>
    <m/>
    <m/>
    <m/>
    <m/>
    <m/>
    <m/>
    <m/>
    <m/>
    <m/>
    <m/>
    <n v="8"/>
    <n v="8"/>
    <m/>
    <m/>
    <m/>
    <n v="518792"/>
    <n v="174254"/>
    <s v="South Richmond"/>
    <s v="Richmond"/>
    <m/>
    <m/>
    <m/>
    <m/>
    <m/>
    <m/>
    <m/>
    <m/>
    <s v="Richmond and Richmond Hill"/>
    <x v="0"/>
  </r>
  <r>
    <s v="19/2414/FUL"/>
    <s v="NEW"/>
    <s v="FULL"/>
    <x v="6"/>
    <d v="2023-07-08T00:00:00"/>
    <d v="2023-07-06T00:00:00"/>
    <m/>
    <m/>
    <m/>
    <x v="1"/>
    <s v="Open Market"/>
    <m/>
    <m/>
    <m/>
    <s v="Erection of a single storey one-bed dwelling, associated parking provision, cycle and refuse stores and landscaping."/>
    <s v="Rear Of 54 Heathside, Whitton"/>
    <s v="TW4 5NN"/>
    <m/>
    <m/>
    <m/>
    <m/>
    <m/>
    <m/>
    <m/>
    <m/>
    <m/>
    <n v="0"/>
    <m/>
    <n v="1"/>
    <m/>
    <m/>
    <m/>
    <m/>
    <m/>
    <m/>
    <m/>
    <n v="1"/>
    <n v="1"/>
    <n v="0"/>
    <n v="0"/>
    <n v="0"/>
    <n v="0"/>
    <n v="0"/>
    <n v="0"/>
    <n v="0"/>
    <n v="1"/>
    <m/>
    <m/>
    <m/>
    <n v="1"/>
    <m/>
    <m/>
    <m/>
    <m/>
    <m/>
    <m/>
    <m/>
    <m/>
    <m/>
    <m/>
    <m/>
    <m/>
    <m/>
    <m/>
    <n v="1"/>
    <n v="1"/>
    <m/>
    <m/>
    <m/>
    <n v="512957"/>
    <n v="173546"/>
    <s v="Heathfield"/>
    <s v="Whitton"/>
    <m/>
    <m/>
    <m/>
    <m/>
    <m/>
    <m/>
    <m/>
    <m/>
    <s v="Whitton and Heathfield"/>
    <x v="1"/>
  </r>
  <r>
    <s v="19/2789/FUL"/>
    <s v="NEW"/>
    <s v="FULL"/>
    <x v="93"/>
    <d v="2023-06-19T00:00:00"/>
    <d v="2023-06-09T00:00:00"/>
    <m/>
    <m/>
    <m/>
    <x v="1"/>
    <s v="Shared Ownership"/>
    <m/>
    <m/>
    <m/>
    <s v="Demolition of existing commercial building and erection of building to provide 15 affordable residential units, together with 12 parking spaces and communal amenity space."/>
    <s v="Lockcorp House, 75 Norcutt Road, Twickenham TW2 6SR"/>
    <s v="TW2 6SR"/>
    <m/>
    <m/>
    <m/>
    <m/>
    <m/>
    <m/>
    <m/>
    <m/>
    <m/>
    <n v="0"/>
    <s v="Y"/>
    <n v="6"/>
    <n v="6"/>
    <n v="3"/>
    <m/>
    <m/>
    <m/>
    <m/>
    <m/>
    <n v="15"/>
    <n v="6"/>
    <n v="6"/>
    <n v="3"/>
    <n v="0"/>
    <n v="0"/>
    <n v="0"/>
    <n v="0"/>
    <n v="0"/>
    <n v="15"/>
    <s v="Y"/>
    <m/>
    <m/>
    <n v="7.5"/>
    <n v="7.5"/>
    <m/>
    <m/>
    <m/>
    <m/>
    <m/>
    <m/>
    <m/>
    <m/>
    <m/>
    <m/>
    <m/>
    <m/>
    <m/>
    <n v="15"/>
    <n v="15"/>
    <m/>
    <m/>
    <m/>
    <n v="515296"/>
    <n v="173304"/>
    <s v="South Twickenham"/>
    <s v="Twickenham"/>
    <m/>
    <m/>
    <m/>
    <m/>
    <m/>
    <m/>
    <m/>
    <s v="Y"/>
    <s v="Twickenham, Strawberry Hill &amp; St Margarets"/>
    <x v="0"/>
  </r>
  <r>
    <s v="19/3490/FUL"/>
    <s v="EXT"/>
    <s v="FULL"/>
    <x v="94"/>
    <d v="2023-09-18T00:00:00"/>
    <d v="2023-03-31T00:00:00"/>
    <m/>
    <m/>
    <m/>
    <x v="1"/>
    <s v="Open Market"/>
    <m/>
    <m/>
    <m/>
    <s v="Part two-storey/part single-storey rear extension to provide 1no. additional dwelling, including associated alterations to fenestration, following demolition of existing single-storey rear extension."/>
    <s v="81 High Street, Hampton Wick KT1 4DG"/>
    <s v="KT1 4DG"/>
    <m/>
    <m/>
    <m/>
    <m/>
    <m/>
    <m/>
    <m/>
    <m/>
    <m/>
    <n v="0"/>
    <m/>
    <n v="1"/>
    <m/>
    <m/>
    <m/>
    <m/>
    <m/>
    <m/>
    <m/>
    <n v="1"/>
    <n v="1"/>
    <n v="0"/>
    <n v="0"/>
    <n v="0"/>
    <n v="0"/>
    <n v="0"/>
    <n v="0"/>
    <n v="0"/>
    <n v="1"/>
    <m/>
    <m/>
    <n v="1"/>
    <m/>
    <m/>
    <m/>
    <m/>
    <m/>
    <m/>
    <m/>
    <m/>
    <m/>
    <m/>
    <m/>
    <m/>
    <m/>
    <m/>
    <m/>
    <n v="1"/>
    <n v="1"/>
    <m/>
    <m/>
    <m/>
    <n v="517423"/>
    <n v="169711"/>
    <s v="Hampton Wick &amp; South Teddington"/>
    <s v="Teddington and the Hamptons"/>
    <m/>
    <m/>
    <s v="Hampton Wick"/>
    <s v="Y"/>
    <m/>
    <s v="CA18 Hampton Wick"/>
    <s v="Y"/>
    <s v="Y"/>
    <s v="Teddington &amp; Hampton Wick"/>
    <x v="0"/>
  </r>
  <r>
    <s v="19/3616/FUL"/>
    <s v="NEW"/>
    <s v="FULL"/>
    <x v="95"/>
    <d v="2024-03-03T00:00:00"/>
    <d v="2024-01-10T00:00:00"/>
    <m/>
    <m/>
    <m/>
    <x v="1"/>
    <s v="London Living rent"/>
    <m/>
    <m/>
    <m/>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s v="Y"/>
    <n v="10"/>
    <m/>
    <m/>
    <m/>
    <m/>
    <m/>
    <m/>
    <m/>
    <n v="10"/>
    <n v="10"/>
    <n v="0"/>
    <n v="0"/>
    <n v="0"/>
    <n v="0"/>
    <n v="0"/>
    <n v="0"/>
    <n v="0"/>
    <n v="10"/>
    <s v="Y"/>
    <m/>
    <m/>
    <m/>
    <m/>
    <n v="5"/>
    <n v="5"/>
    <m/>
    <m/>
    <m/>
    <m/>
    <m/>
    <m/>
    <m/>
    <m/>
    <m/>
    <m/>
    <m/>
    <n v="10"/>
    <n v="10"/>
    <m/>
    <m/>
    <m/>
    <n v="516060"/>
    <n v="173599"/>
    <s v="Twickenham Riverside"/>
    <s v="Twickenham"/>
    <s v="Twickenham"/>
    <m/>
    <m/>
    <m/>
    <m/>
    <m/>
    <m/>
    <s v="Y"/>
    <s v="Twickenham, Strawberry Hill &amp; St Margarets"/>
    <x v="0"/>
  </r>
  <r>
    <s v="19/3616/FUL"/>
    <s v="NEW"/>
    <s v="FULL"/>
    <x v="95"/>
    <d v="2024-03-03T00:00:00"/>
    <d v="2024-01-10T00:00:00"/>
    <m/>
    <m/>
    <m/>
    <x v="1"/>
    <s v="Open Market"/>
    <m/>
    <m/>
    <m/>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m/>
    <n v="28"/>
    <n v="8"/>
    <m/>
    <m/>
    <m/>
    <m/>
    <m/>
    <m/>
    <n v="36"/>
    <n v="28"/>
    <n v="8"/>
    <n v="0"/>
    <n v="0"/>
    <n v="0"/>
    <n v="0"/>
    <n v="0"/>
    <n v="0"/>
    <n v="36"/>
    <s v="Y"/>
    <m/>
    <m/>
    <m/>
    <m/>
    <n v="18"/>
    <n v="18"/>
    <m/>
    <m/>
    <m/>
    <m/>
    <m/>
    <m/>
    <m/>
    <m/>
    <m/>
    <m/>
    <m/>
    <n v="36"/>
    <n v="36"/>
    <m/>
    <m/>
    <m/>
    <n v="516060"/>
    <n v="173599"/>
    <s v="Twickenham Riverside"/>
    <s v="Twickenham"/>
    <s v="Twickenham"/>
    <m/>
    <m/>
    <m/>
    <m/>
    <m/>
    <m/>
    <s v="Y"/>
    <s v="Twickenham, Strawberry Hill &amp; St Margarets"/>
    <x v="0"/>
  </r>
  <r>
    <s v="19/3632/FUL"/>
    <s v="EXT"/>
    <s v="FULL"/>
    <x v="96"/>
    <d v="2023-11-02T00:00:00"/>
    <d v="2023-11-01T00:00:00"/>
    <m/>
    <m/>
    <m/>
    <x v="1"/>
    <s v="Open Market"/>
    <m/>
    <m/>
    <m/>
    <s v="Loft conversion to no. 1 and no. 3 Cromwell Road to provide 2 x 1 person studios with external extensions (side dormer roof extensions) and alterations with internal remodeling and ancillary cycle and refuse storage."/>
    <s v="1 - 3 Cromwell Road, Teddington"/>
    <s v="TW11 9EQ"/>
    <m/>
    <m/>
    <m/>
    <m/>
    <m/>
    <m/>
    <m/>
    <m/>
    <m/>
    <n v="0"/>
    <m/>
    <n v="2"/>
    <m/>
    <m/>
    <m/>
    <m/>
    <m/>
    <m/>
    <m/>
    <n v="2"/>
    <n v="2"/>
    <n v="0"/>
    <n v="0"/>
    <n v="0"/>
    <n v="0"/>
    <n v="0"/>
    <n v="0"/>
    <n v="0"/>
    <n v="2"/>
    <m/>
    <m/>
    <n v="1"/>
    <n v="1"/>
    <m/>
    <m/>
    <m/>
    <m/>
    <m/>
    <m/>
    <m/>
    <m/>
    <m/>
    <m/>
    <m/>
    <m/>
    <m/>
    <m/>
    <n v="2"/>
    <n v="2"/>
    <m/>
    <m/>
    <m/>
    <n v="516132"/>
    <n v="170736"/>
    <s v="Teddington"/>
    <s v="Teddington and the Hamptons"/>
    <m/>
    <m/>
    <m/>
    <m/>
    <m/>
    <m/>
    <m/>
    <s v="Y"/>
    <s v="Teddington &amp; Hampton Wick"/>
    <x v="0"/>
  </r>
  <r>
    <s v="19/3905/FUL"/>
    <s v="EXT"/>
    <s v="FULL"/>
    <x v="97"/>
    <d v="2023-10-22T00:00:00"/>
    <d v="2022-02-01T00:00:00"/>
    <m/>
    <m/>
    <d v="2026-01-07T00:00:00"/>
    <x v="1"/>
    <s v="Open Market"/>
    <m/>
    <m/>
    <m/>
    <s v="Replacement shopfront, replacement windows, 2 no. rooflights on front roof slope, new basement level with lightwells and rear staircase ground floor side/rear extension and 3 rear dormer roof extension to facilitate the provision of 1 no. retail unit and 7 no. flats (5 x studio flats and 2 x 1 bed flats) with associated hard and soft landscaping, cycle and refuse stores."/>
    <s v="422 Upper Richmond Road West, East Sheen"/>
    <s v="TW10 5DY"/>
    <m/>
    <m/>
    <m/>
    <m/>
    <m/>
    <m/>
    <m/>
    <m/>
    <m/>
    <n v="0"/>
    <m/>
    <n v="4"/>
    <m/>
    <m/>
    <m/>
    <m/>
    <m/>
    <m/>
    <m/>
    <n v="4"/>
    <n v="4"/>
    <n v="0"/>
    <n v="0"/>
    <n v="0"/>
    <n v="0"/>
    <n v="0"/>
    <n v="0"/>
    <n v="0"/>
    <n v="4"/>
    <m/>
    <m/>
    <n v="4"/>
    <m/>
    <m/>
    <m/>
    <m/>
    <m/>
    <m/>
    <m/>
    <m/>
    <m/>
    <m/>
    <m/>
    <m/>
    <m/>
    <m/>
    <m/>
    <n v="4"/>
    <n v="4"/>
    <m/>
    <m/>
    <m/>
    <n v="519849"/>
    <n v="175357"/>
    <s v="North Richmond"/>
    <s v="Richmond"/>
    <m/>
    <m/>
    <m/>
    <m/>
    <m/>
    <m/>
    <m/>
    <s v="Y"/>
    <s v="Mortlake and East Sheen"/>
    <x v="0"/>
  </r>
  <r>
    <s v="20/0145/FUL"/>
    <s v="CON"/>
    <s v="FULL"/>
    <x v="98"/>
    <d v="2023-10-05T00:00:00"/>
    <d v="2023-10-05T00:00:00"/>
    <m/>
    <m/>
    <m/>
    <x v="1"/>
    <s v="Open Market"/>
    <m/>
    <m/>
    <m/>
    <s v="3,2m rear extension and division of a single flat into 2 flats."/>
    <s v="133A Percy Road, Twickenham TW2 6HT"/>
    <s v="TW2 6HT"/>
    <m/>
    <m/>
    <m/>
    <m/>
    <n v="1"/>
    <m/>
    <m/>
    <m/>
    <m/>
    <n v="1"/>
    <m/>
    <n v="1"/>
    <n v="1"/>
    <m/>
    <m/>
    <m/>
    <m/>
    <m/>
    <m/>
    <n v="2"/>
    <n v="1"/>
    <n v="1"/>
    <n v="0"/>
    <n v="-1"/>
    <n v="0"/>
    <n v="0"/>
    <n v="0"/>
    <n v="0"/>
    <n v="1"/>
    <m/>
    <m/>
    <n v="1"/>
    <m/>
    <m/>
    <m/>
    <m/>
    <m/>
    <m/>
    <m/>
    <m/>
    <m/>
    <m/>
    <m/>
    <m/>
    <m/>
    <m/>
    <m/>
    <n v="1"/>
    <n v="1"/>
    <m/>
    <m/>
    <m/>
    <n v="514206"/>
    <n v="173520"/>
    <s v="Heathfield"/>
    <s v="Whitton"/>
    <s v="Whitton"/>
    <m/>
    <m/>
    <m/>
    <m/>
    <m/>
    <m/>
    <s v="Y"/>
    <s v="Whitton and Heathfield"/>
    <x v="0"/>
  </r>
  <r>
    <s v="20/0539/FUL"/>
    <s v="NEW"/>
    <s v="FULL"/>
    <x v="99"/>
    <d v="2025-04-04T00:00:00"/>
    <d v="2023-03-10T00:00:00"/>
    <m/>
    <m/>
    <m/>
    <x v="1"/>
    <s v="Intermediate"/>
    <m/>
    <m/>
    <m/>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A"/>
    <m/>
    <m/>
    <m/>
    <m/>
    <m/>
    <m/>
    <m/>
    <m/>
    <n v="0"/>
    <s v="Y"/>
    <n v="2"/>
    <n v="4"/>
    <m/>
    <m/>
    <m/>
    <m/>
    <m/>
    <m/>
    <n v="6"/>
    <n v="2"/>
    <n v="4"/>
    <n v="0"/>
    <n v="0"/>
    <n v="0"/>
    <n v="0"/>
    <n v="0"/>
    <n v="0"/>
    <n v="6"/>
    <s v="Y"/>
    <m/>
    <m/>
    <m/>
    <m/>
    <n v="3"/>
    <n v="3"/>
    <m/>
    <m/>
    <m/>
    <m/>
    <m/>
    <m/>
    <m/>
    <m/>
    <m/>
    <m/>
    <m/>
    <n v="6"/>
    <n v="6"/>
    <m/>
    <m/>
    <m/>
    <n v="515141"/>
    <n v="171791"/>
    <s v="Fulwell &amp; Hampton Hill"/>
    <s v="Teddington and the Hamptons"/>
    <m/>
    <m/>
    <m/>
    <m/>
    <m/>
    <m/>
    <m/>
    <s v="Y"/>
    <s v="Teddington &amp; Hampton Wick"/>
    <x v="0"/>
  </r>
  <r>
    <s v="20/0539/FUL"/>
    <s v="NEW"/>
    <s v="FULL"/>
    <x v="99"/>
    <d v="2025-04-04T00:00:00"/>
    <d v="2023-03-10T00:00:00"/>
    <m/>
    <m/>
    <m/>
    <x v="1"/>
    <s v="London Affordable Rent"/>
    <m/>
    <m/>
    <m/>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B"/>
    <m/>
    <m/>
    <m/>
    <m/>
    <m/>
    <m/>
    <m/>
    <m/>
    <n v="0"/>
    <s v="Y"/>
    <n v="4"/>
    <n v="13"/>
    <n v="7"/>
    <m/>
    <m/>
    <m/>
    <m/>
    <m/>
    <n v="24"/>
    <n v="4"/>
    <n v="13"/>
    <n v="7"/>
    <n v="0"/>
    <n v="0"/>
    <n v="0"/>
    <n v="0"/>
    <n v="0"/>
    <n v="24"/>
    <s v="Y"/>
    <m/>
    <m/>
    <m/>
    <m/>
    <n v="12"/>
    <n v="12"/>
    <m/>
    <m/>
    <m/>
    <m/>
    <m/>
    <m/>
    <m/>
    <m/>
    <m/>
    <m/>
    <m/>
    <n v="24"/>
    <n v="24"/>
    <m/>
    <m/>
    <m/>
    <n v="515141"/>
    <n v="171791"/>
    <s v="Fulwell &amp; Hampton Hill"/>
    <s v="Teddington and the Hamptons"/>
    <m/>
    <m/>
    <m/>
    <m/>
    <m/>
    <m/>
    <m/>
    <s v="Y"/>
    <s v="Teddington &amp; Hampton Wick"/>
    <x v="0"/>
  </r>
  <r>
    <s v="20/0595/FUL"/>
    <s v="MIX"/>
    <s v="FULL"/>
    <x v="100"/>
    <d v="2023-09-24T00:00:00"/>
    <d v="2023-09-01T00:00:00"/>
    <m/>
    <m/>
    <m/>
    <x v="1"/>
    <s v="Open Market"/>
    <m/>
    <m/>
    <m/>
    <s v="Demolition of existing outbuilding.  Single storey side/rear extension to facilitate change of use of rear part of ground floor (A1 (Retail)) to residential use (Class C3) to create 1 x 1 bed flat with associated cycle and refuse store."/>
    <s v="64 White Hart Lane, Barnes SW13 0PZ"/>
    <s v="SW13 0PZ"/>
    <m/>
    <m/>
    <m/>
    <m/>
    <m/>
    <m/>
    <m/>
    <m/>
    <m/>
    <n v="0"/>
    <m/>
    <n v="1"/>
    <m/>
    <m/>
    <m/>
    <m/>
    <m/>
    <m/>
    <m/>
    <n v="1"/>
    <n v="1"/>
    <n v="0"/>
    <n v="0"/>
    <n v="0"/>
    <n v="0"/>
    <n v="0"/>
    <n v="0"/>
    <n v="0"/>
    <n v="1"/>
    <m/>
    <m/>
    <n v="1"/>
    <m/>
    <m/>
    <m/>
    <m/>
    <m/>
    <m/>
    <m/>
    <m/>
    <m/>
    <m/>
    <m/>
    <m/>
    <m/>
    <m/>
    <m/>
    <n v="1"/>
    <n v="1"/>
    <m/>
    <m/>
    <m/>
    <n v="521318"/>
    <n v="175834"/>
    <s v="Mortlake &amp; Barnes Common"/>
    <s v="Barnes and East Sheen"/>
    <m/>
    <m/>
    <s v="White Hart lane, Barnes"/>
    <s v="Y"/>
    <m/>
    <s v="CA33 Mortlake"/>
    <s v="Y"/>
    <s v="Y"/>
    <s v="Mortlake and East Sheen"/>
    <x v="0"/>
  </r>
  <r>
    <s v="20/1846/FUL"/>
    <s v="MIX"/>
    <s v="FULL"/>
    <x v="9"/>
    <d v="2024-02-12T00:00:00"/>
    <d v="2023-09-04T00:00:00"/>
    <m/>
    <m/>
    <m/>
    <x v="1"/>
    <s v="Open Market"/>
    <m/>
    <m/>
    <m/>
    <s v="Ground and basement extensions to facilitate change of use of basement and part change of use of ground floor from A1 to C3 to provide a one- bedroom residential unit"/>
    <s v="4 The Broadway, Barnes SW13 0NY"/>
    <s v="SW13 0NY"/>
    <m/>
    <m/>
    <m/>
    <m/>
    <m/>
    <m/>
    <m/>
    <m/>
    <m/>
    <n v="0"/>
    <m/>
    <n v="1"/>
    <m/>
    <m/>
    <m/>
    <m/>
    <m/>
    <m/>
    <m/>
    <n v="1"/>
    <n v="1"/>
    <n v="0"/>
    <n v="0"/>
    <n v="0"/>
    <n v="0"/>
    <n v="0"/>
    <n v="0"/>
    <n v="0"/>
    <n v="1"/>
    <m/>
    <m/>
    <n v="1"/>
    <m/>
    <m/>
    <m/>
    <m/>
    <m/>
    <m/>
    <m/>
    <m/>
    <m/>
    <m/>
    <m/>
    <m/>
    <m/>
    <m/>
    <m/>
    <n v="1"/>
    <n v="1"/>
    <m/>
    <m/>
    <m/>
    <n v="521239"/>
    <n v="176042"/>
    <s v="Mortlake &amp; Barnes Common"/>
    <s v="Barnes and East Sheen"/>
    <m/>
    <m/>
    <s v="White Hart Lane/Mortlake H"/>
    <s v="Y"/>
    <m/>
    <s v="CA33 Mortlake"/>
    <s v="Y"/>
    <s v="Y"/>
    <s v="Mortlake and East Sheen"/>
    <x v="0"/>
  </r>
  <r>
    <s v="20/2345/FUL"/>
    <s v="NEW"/>
    <s v="FULL"/>
    <x v="101"/>
    <d v="2024-08-02T00:00:00"/>
    <d v="2022-08-31T00:00:00"/>
    <m/>
    <m/>
    <m/>
    <x v="1"/>
    <s v="Open Market"/>
    <m/>
    <m/>
    <m/>
    <s v="Erection of a new 3 bedroom disabled dwelling with mezzanine, dormer room and carers' accommodation and retrospective permission for the demolition of fire destroyed bungalow."/>
    <s v="31A Whitton Waye, Whitton TW3 2LT_x000a_"/>
    <s v="TW3 2LT"/>
    <m/>
    <m/>
    <m/>
    <n v="1"/>
    <m/>
    <m/>
    <m/>
    <m/>
    <m/>
    <n v="1"/>
    <m/>
    <m/>
    <m/>
    <m/>
    <m/>
    <n v="1"/>
    <m/>
    <m/>
    <m/>
    <n v="1"/>
    <n v="0"/>
    <n v="0"/>
    <n v="-1"/>
    <n v="0"/>
    <n v="1"/>
    <n v="0"/>
    <n v="0"/>
    <n v="0"/>
    <n v="0"/>
    <m/>
    <m/>
    <n v="0"/>
    <m/>
    <m/>
    <m/>
    <m/>
    <m/>
    <m/>
    <m/>
    <m/>
    <m/>
    <m/>
    <m/>
    <m/>
    <m/>
    <m/>
    <m/>
    <n v="0"/>
    <n v="0"/>
    <m/>
    <m/>
    <m/>
    <n v="513403"/>
    <n v="174165"/>
    <s v="Heathfield"/>
    <s v="Whitton"/>
    <m/>
    <m/>
    <m/>
    <m/>
    <m/>
    <m/>
    <m/>
    <s v="Y"/>
    <s v="Whitton and Heathfield"/>
    <x v="0"/>
  </r>
  <r>
    <s v="20/2358/FUL"/>
    <s v="CHU"/>
    <s v="FULL"/>
    <x v="102"/>
    <d v="2024-09-23T00:00:00"/>
    <d v="2022-05-01T00:00:00"/>
    <m/>
    <m/>
    <d v="2025-11-19T00:00:00"/>
    <x v="1"/>
    <s v="Open Market"/>
    <m/>
    <m/>
    <m/>
    <s v="Change of use for conversion of an office designed as a live work one-bedroom residential property to a two-bedroom residential property, with associated landscaping."/>
    <s v="19 Thames Street, Hampton TW12 2EW_x000a_"/>
    <s v="TW12 2EW"/>
    <m/>
    <n v="1"/>
    <m/>
    <m/>
    <m/>
    <m/>
    <m/>
    <m/>
    <m/>
    <n v="1"/>
    <m/>
    <m/>
    <n v="1"/>
    <m/>
    <m/>
    <m/>
    <m/>
    <m/>
    <m/>
    <n v="1"/>
    <n v="-1"/>
    <n v="1"/>
    <n v="0"/>
    <n v="0"/>
    <n v="0"/>
    <n v="0"/>
    <n v="0"/>
    <n v="0"/>
    <n v="0"/>
    <m/>
    <m/>
    <n v="0"/>
    <m/>
    <m/>
    <m/>
    <m/>
    <m/>
    <m/>
    <m/>
    <m/>
    <m/>
    <m/>
    <m/>
    <m/>
    <m/>
    <m/>
    <m/>
    <n v="0"/>
    <n v="0"/>
    <m/>
    <m/>
    <m/>
    <n v="513893"/>
    <n v="169502"/>
    <s v="Hampton"/>
    <s v="Teddington and the Hamptons"/>
    <m/>
    <s v="Thames Policy Area"/>
    <s v="Thames Street, Hampton"/>
    <s v="Y"/>
    <m/>
    <s v="CA12 Hampton Village"/>
    <s v="Y"/>
    <s v="Y"/>
    <s v="Hampton &amp; Hampton Hill"/>
    <x v="0"/>
  </r>
  <r>
    <s v="20/3489/FUL"/>
    <s v="MIX"/>
    <s v="FULL"/>
    <x v="103"/>
    <d v="2025-03-04T00:00:00"/>
    <d v="2025-02-17T00:00:00"/>
    <s v="Y"/>
    <m/>
    <m/>
    <x v="1"/>
    <s v="Open Market"/>
    <m/>
    <m/>
    <m/>
    <s v="Erection of hip to gable roof extension to No. 7. Subdivision of garden plot, first floor side and rear extension, rear dormer, front ground and first floor bay windows to facilitate the provision of 1 x 3 bed house adjoining 7 Dorset Way with associated hard and soft landscaping."/>
    <s v="7 Dorset Way, Twickenham TW2 6NB"/>
    <s v="TW2 6NB"/>
    <m/>
    <m/>
    <m/>
    <m/>
    <m/>
    <m/>
    <m/>
    <m/>
    <m/>
    <n v="0"/>
    <m/>
    <m/>
    <m/>
    <n v="1"/>
    <m/>
    <m/>
    <m/>
    <m/>
    <m/>
    <n v="1"/>
    <n v="0"/>
    <n v="0"/>
    <n v="1"/>
    <n v="0"/>
    <n v="0"/>
    <n v="0"/>
    <n v="0"/>
    <n v="0"/>
    <n v="1"/>
    <m/>
    <m/>
    <n v="0.5"/>
    <n v="0.5"/>
    <m/>
    <m/>
    <m/>
    <m/>
    <m/>
    <m/>
    <m/>
    <m/>
    <m/>
    <m/>
    <m/>
    <m/>
    <m/>
    <m/>
    <n v="1"/>
    <n v="1"/>
    <m/>
    <m/>
    <m/>
    <n v="514523"/>
    <n v="173247"/>
    <s v="West Twickenham"/>
    <s v="Twickenham"/>
    <m/>
    <m/>
    <m/>
    <m/>
    <m/>
    <m/>
    <m/>
    <s v="Y"/>
    <s v="Twickenham, Strawberry Hill &amp; St Margarets"/>
    <x v="0"/>
  </r>
  <r>
    <s v="20/3495/FUL"/>
    <s v="CHU"/>
    <s v="FULL"/>
    <x v="104"/>
    <d v="2024-03-08T00:00:00"/>
    <d v="2024-01-24T00:00:00"/>
    <m/>
    <m/>
    <m/>
    <x v="1"/>
    <s v="Open Market"/>
    <m/>
    <m/>
    <m/>
    <s v="Conversion of existing ancillary residential accommodation to a single-family dwelling house with minor external alterations, associated parking, refuse and cycle enclosures."/>
    <s v="Land To Rear Of 24 Marchmont Road, Richmond TW10 6HQ"/>
    <s v="TW10 6HQ"/>
    <m/>
    <m/>
    <m/>
    <m/>
    <m/>
    <m/>
    <m/>
    <m/>
    <m/>
    <n v="0"/>
    <m/>
    <n v="1"/>
    <m/>
    <m/>
    <m/>
    <m/>
    <m/>
    <m/>
    <m/>
    <n v="1"/>
    <n v="1"/>
    <n v="0"/>
    <n v="0"/>
    <n v="0"/>
    <n v="0"/>
    <n v="0"/>
    <n v="0"/>
    <n v="0"/>
    <n v="1"/>
    <m/>
    <m/>
    <n v="1"/>
    <m/>
    <m/>
    <m/>
    <m/>
    <m/>
    <m/>
    <m/>
    <m/>
    <m/>
    <m/>
    <m/>
    <m/>
    <m/>
    <m/>
    <m/>
    <n v="1"/>
    <n v="1"/>
    <m/>
    <m/>
    <m/>
    <n v="518831"/>
    <n v="174557"/>
    <s v="South Richmond"/>
    <s v="Richmond"/>
    <m/>
    <m/>
    <m/>
    <m/>
    <m/>
    <m/>
    <m/>
    <s v="Y"/>
    <s v="Richmond and Richmond Hill"/>
    <x v="0"/>
  </r>
  <r>
    <s v="21/0129/PS192"/>
    <s v="CHU"/>
    <s v="S192"/>
    <x v="105"/>
    <d v="2024-02-16T00:00:00"/>
    <d v="2021-12-01T00:00:00"/>
    <m/>
    <m/>
    <d v="2025-07-02T00:00:00"/>
    <x v="1"/>
    <s v="Open Market"/>
    <m/>
    <m/>
    <m/>
    <s v="Conversion of the existing 4-storey Use Class A2 unit to mixed-use, comprising an A2 unit at ground floor and two residential flats above on the second, third, and fourth floors."/>
    <s v="1 London Road, Twickenham TW1 3SX"/>
    <s v="TW1 3SX"/>
    <m/>
    <m/>
    <m/>
    <m/>
    <m/>
    <m/>
    <m/>
    <m/>
    <m/>
    <n v="0"/>
    <m/>
    <n v="1"/>
    <n v="1"/>
    <m/>
    <m/>
    <m/>
    <m/>
    <m/>
    <m/>
    <n v="2"/>
    <n v="1"/>
    <n v="1"/>
    <n v="0"/>
    <n v="0"/>
    <n v="0"/>
    <n v="0"/>
    <n v="0"/>
    <n v="0"/>
    <n v="2"/>
    <m/>
    <m/>
    <n v="2"/>
    <m/>
    <m/>
    <m/>
    <m/>
    <m/>
    <m/>
    <m/>
    <m/>
    <m/>
    <m/>
    <m/>
    <m/>
    <m/>
    <m/>
    <m/>
    <n v="2"/>
    <n v="2"/>
    <m/>
    <m/>
    <m/>
    <n v="516260"/>
    <n v="173296"/>
    <s v="Twickenham Riverside"/>
    <s v="Twickenham"/>
    <s v="Twickenham"/>
    <m/>
    <m/>
    <m/>
    <m/>
    <s v="CA8 Twickenham Riverside"/>
    <s v="Y"/>
    <s v="Y"/>
    <s v="Twickenham, Strawberry Hill &amp; St Margarets"/>
    <x v="0"/>
  </r>
  <r>
    <s v="21/0699/FUL"/>
    <s v="EXT"/>
    <s v="FULL"/>
    <x v="106"/>
    <d v="2024-08-03T00:00:00"/>
    <d v="2024-06-03T00:00:00"/>
    <s v="Y"/>
    <m/>
    <d v="2025-10-15T00:00:00"/>
    <x v="1"/>
    <s v="Open Market"/>
    <m/>
    <m/>
    <m/>
    <s v="Upward roof extension to provide for one flat, and alter elevations, and associated works"/>
    <s v="47 Crown Road, Twickenham TW1 3EJ"/>
    <s v="TW1 3EJ"/>
    <m/>
    <m/>
    <m/>
    <m/>
    <m/>
    <m/>
    <m/>
    <m/>
    <m/>
    <n v="0"/>
    <m/>
    <m/>
    <n v="1"/>
    <m/>
    <m/>
    <m/>
    <m/>
    <m/>
    <m/>
    <n v="1"/>
    <n v="0"/>
    <n v="1"/>
    <n v="0"/>
    <n v="0"/>
    <n v="0"/>
    <n v="0"/>
    <n v="0"/>
    <n v="0"/>
    <n v="1"/>
    <m/>
    <m/>
    <n v="1"/>
    <m/>
    <m/>
    <m/>
    <m/>
    <m/>
    <m/>
    <m/>
    <m/>
    <m/>
    <m/>
    <m/>
    <m/>
    <m/>
    <m/>
    <m/>
    <n v="1"/>
    <n v="1"/>
    <m/>
    <m/>
    <m/>
    <n v="516925"/>
    <n v="174069"/>
    <s v="St. Margarets &amp; North Twickenham"/>
    <s v="Twickenham"/>
    <m/>
    <m/>
    <s v="St Margarets"/>
    <s v="Y"/>
    <m/>
    <m/>
    <m/>
    <s v="Y"/>
    <s v="Twickenham, Strawberry Hill &amp; St Margarets"/>
    <x v="0"/>
  </r>
  <r>
    <s v="21/0754/GPD15"/>
    <s v="CHU"/>
    <s v="PA"/>
    <x v="107"/>
    <d v="2024-04-12T00:00:00"/>
    <d v="2022-01-17T00:00:00"/>
    <m/>
    <m/>
    <m/>
    <x v="1"/>
    <s v="Open Market"/>
    <m/>
    <m/>
    <m/>
    <s v="Change of use from existing offices in building of 63-65 High Street to 12 residential flats (including retention of 3 existing self-contained flats on second floor)."/>
    <s v="63 - 65 High Street, Hampton Hill"/>
    <s v="TW12 1NH"/>
    <m/>
    <m/>
    <m/>
    <m/>
    <m/>
    <m/>
    <m/>
    <m/>
    <m/>
    <n v="0"/>
    <m/>
    <n v="4"/>
    <n v="8"/>
    <m/>
    <m/>
    <m/>
    <m/>
    <m/>
    <m/>
    <n v="12"/>
    <n v="4"/>
    <n v="8"/>
    <n v="0"/>
    <n v="0"/>
    <n v="0"/>
    <n v="0"/>
    <n v="0"/>
    <n v="0"/>
    <n v="12"/>
    <s v="Y"/>
    <m/>
    <n v="12"/>
    <m/>
    <m/>
    <m/>
    <m/>
    <m/>
    <m/>
    <m/>
    <m/>
    <m/>
    <m/>
    <m/>
    <m/>
    <m/>
    <m/>
    <m/>
    <n v="12"/>
    <n v="12"/>
    <m/>
    <m/>
    <m/>
    <n v="514247"/>
    <n v="170821"/>
    <s v="Fulwell &amp; Hampton Hill"/>
    <s v="Teddington and the Hamptons"/>
    <m/>
    <m/>
    <s v="High Street, Hampton Hill"/>
    <s v="Y"/>
    <m/>
    <s v="CA38 High Street Hampton Hill"/>
    <s v="Y"/>
    <m/>
    <s v="Hampton &amp; Hampton Hill"/>
    <x v="0"/>
  </r>
  <r>
    <s v="21/1174/FUL"/>
    <s v="NEW"/>
    <s v="FULL"/>
    <x v="108"/>
    <d v="2026-12-21T00:00:00"/>
    <d v="2024-01-15T00:00:00"/>
    <m/>
    <m/>
    <m/>
    <x v="1"/>
    <s v="Open Market"/>
    <m/>
    <m/>
    <m/>
    <s v="Single storey rear extension to existing dwelling. New attached two-storey dwelling with habitable roof space, 2No. parking spaces, associated landscaping and re-located crossover."/>
    <s v="21 River Way, Twickenham TW2 5JP"/>
    <s v="TW2 5JP"/>
    <m/>
    <m/>
    <m/>
    <m/>
    <m/>
    <m/>
    <m/>
    <m/>
    <m/>
    <n v="0"/>
    <m/>
    <m/>
    <m/>
    <n v="1"/>
    <m/>
    <m/>
    <m/>
    <m/>
    <m/>
    <n v="1"/>
    <n v="0"/>
    <n v="0"/>
    <n v="1"/>
    <n v="0"/>
    <n v="0"/>
    <n v="0"/>
    <n v="0"/>
    <n v="0"/>
    <n v="1"/>
    <m/>
    <m/>
    <n v="1"/>
    <m/>
    <m/>
    <m/>
    <m/>
    <m/>
    <m/>
    <m/>
    <m/>
    <m/>
    <m/>
    <m/>
    <m/>
    <m/>
    <m/>
    <m/>
    <n v="1"/>
    <n v="1"/>
    <m/>
    <m/>
    <m/>
    <n v="513620"/>
    <n v="172514"/>
    <s v="West Twickenham"/>
    <s v="Twickenham"/>
    <m/>
    <m/>
    <m/>
    <m/>
    <m/>
    <m/>
    <m/>
    <m/>
    <s v="Twickenham, Strawberry Hill &amp; St Margarets"/>
    <x v="0"/>
  </r>
  <r>
    <s v="21/1328/FUL"/>
    <s v="NEW"/>
    <s v="FULL"/>
    <x v="109"/>
    <d v="2025-04-21T00:00:00"/>
    <d v="2024-01-26T00:00:00"/>
    <m/>
    <m/>
    <m/>
    <x v="1"/>
    <s v="Open Market"/>
    <m/>
    <m/>
    <m/>
    <s v="Part three storey part single storey extension to provide an additional retail unit (Class E) at ground floor and 1 x residential dwelling on upper floors.  Alterations to bay windows at 171 Ashburnham Road.  Associated hard and soft landscaping works inc"/>
    <s v="Land South Of 171 And 171 Ashburnham Road, Ham"/>
    <s v="TW10 7NR"/>
    <m/>
    <m/>
    <m/>
    <m/>
    <m/>
    <m/>
    <m/>
    <m/>
    <m/>
    <n v="0"/>
    <m/>
    <m/>
    <n v="1"/>
    <m/>
    <m/>
    <m/>
    <m/>
    <m/>
    <m/>
    <n v="1"/>
    <n v="0"/>
    <n v="1"/>
    <n v="0"/>
    <n v="0"/>
    <n v="0"/>
    <n v="0"/>
    <n v="0"/>
    <n v="0"/>
    <n v="1"/>
    <m/>
    <m/>
    <n v="0.5"/>
    <n v="0.5"/>
    <m/>
    <m/>
    <m/>
    <m/>
    <m/>
    <m/>
    <m/>
    <m/>
    <m/>
    <m/>
    <m/>
    <m/>
    <m/>
    <m/>
    <n v="1"/>
    <n v="1"/>
    <m/>
    <m/>
    <m/>
    <n v="516850"/>
    <n v="172139"/>
    <s v="Ham, Petersham &amp; Richmond Riverside"/>
    <s v="Ham &amp; Petersham"/>
    <m/>
    <m/>
    <m/>
    <m/>
    <m/>
    <m/>
    <m/>
    <m/>
    <s v="Ham, Petersham &amp; Richmond Park"/>
    <x v="0"/>
  </r>
  <r>
    <s v="21/1841/FUL"/>
    <s v="MIX"/>
    <s v="FULL"/>
    <x v="13"/>
    <d v="2026-02-16T00:00:00"/>
    <d v="2023-06-01T00:00:00"/>
    <m/>
    <m/>
    <d v="2025-09-18T00:00:00"/>
    <x v="1"/>
    <s v="Open Market"/>
    <m/>
    <m/>
    <m/>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m/>
    <m/>
    <n v="2"/>
    <m/>
    <m/>
    <m/>
    <m/>
    <m/>
    <m/>
    <m/>
    <m/>
    <m/>
    <m/>
    <m/>
    <m/>
    <m/>
    <m/>
    <m/>
    <n v="2"/>
    <n v="2"/>
    <m/>
    <m/>
    <m/>
    <n v="513825"/>
    <n v="169567"/>
    <s v="Hampton"/>
    <s v="Teddington and the Hamptons"/>
    <m/>
    <m/>
    <m/>
    <m/>
    <m/>
    <s v="CA12 Hampton Village"/>
    <s v="Y"/>
    <s v="Y"/>
    <s v="Hampton &amp; Hampton Hill"/>
    <x v="0"/>
  </r>
  <r>
    <s v="21/1864/FUL"/>
    <s v="CON"/>
    <s v="FULL"/>
    <x v="110"/>
    <d v="2025-03-31T00:00:00"/>
    <d v="2025-03-01T00:00:00"/>
    <s v="Y"/>
    <m/>
    <m/>
    <x v="1"/>
    <s v="Open Market"/>
    <m/>
    <m/>
    <m/>
    <s v="Extension of existing house and reversion of two (33 and 35) plots into one and associated hard and soft landscaping"/>
    <s v="33 Ham Farm Road, Ham, Richmond TW10 5NA"/>
    <s v="TW10 5NA"/>
    <m/>
    <n v="1"/>
    <n v="1"/>
    <m/>
    <m/>
    <m/>
    <m/>
    <m/>
    <m/>
    <n v="2"/>
    <m/>
    <m/>
    <m/>
    <m/>
    <n v="1"/>
    <m/>
    <m/>
    <m/>
    <m/>
    <n v="1"/>
    <n v="-1"/>
    <n v="-1"/>
    <n v="0"/>
    <n v="1"/>
    <n v="0"/>
    <n v="0"/>
    <n v="0"/>
    <n v="0"/>
    <n v="-1"/>
    <m/>
    <m/>
    <n v="-1"/>
    <m/>
    <m/>
    <m/>
    <m/>
    <m/>
    <m/>
    <m/>
    <m/>
    <m/>
    <m/>
    <m/>
    <m/>
    <m/>
    <m/>
    <m/>
    <n v="-1"/>
    <n v="-1"/>
    <m/>
    <m/>
    <m/>
    <n v="518104"/>
    <n v="171628"/>
    <s v="Ham, Petersham &amp; Richmond Riverside"/>
    <s v="Ham &amp; Petersham"/>
    <m/>
    <m/>
    <m/>
    <m/>
    <m/>
    <s v="CA67 Parkleys Estate Ham"/>
    <s v="Y"/>
    <m/>
    <s v="Ham, Petersham &amp; Richmond Park"/>
    <x v="0"/>
  </r>
  <r>
    <s v="21/2208/FUL"/>
    <s v="NEW"/>
    <s v="FULL"/>
    <x v="111"/>
    <d v="2026-04-05T00:00:00"/>
    <d v="2024-01-07T00:00:00"/>
    <m/>
    <m/>
    <d v="2025-07-31T00:00:00"/>
    <x v="1"/>
    <s v="London Living rent"/>
    <m/>
    <m/>
    <m/>
    <s v="Erection of three-storey building comprising six residential apartments (3 x 1 bed/1 person, 2 x 1 bed/2 person, 1 x 1 person M(4)3);  landscaping including private amenity space and ecological enhancement; secure cycle and refuse storage structures."/>
    <s v="Potterill Court, Harlequin Road, Teddington"/>
    <s v="TW11 9BY"/>
    <m/>
    <m/>
    <m/>
    <m/>
    <m/>
    <m/>
    <m/>
    <m/>
    <m/>
    <n v="0"/>
    <s v="Y"/>
    <n v="6"/>
    <m/>
    <m/>
    <m/>
    <m/>
    <m/>
    <m/>
    <m/>
    <n v="6"/>
    <n v="6"/>
    <n v="0"/>
    <n v="0"/>
    <n v="0"/>
    <n v="0"/>
    <n v="0"/>
    <n v="0"/>
    <n v="0"/>
    <n v="6"/>
    <m/>
    <m/>
    <n v="6"/>
    <m/>
    <m/>
    <m/>
    <m/>
    <m/>
    <m/>
    <m/>
    <m/>
    <m/>
    <m/>
    <m/>
    <m/>
    <m/>
    <m/>
    <m/>
    <n v="6"/>
    <n v="6"/>
    <m/>
    <m/>
    <m/>
    <n v="516721"/>
    <n v="170449"/>
    <s v="Hampton Wick &amp; South Teddington"/>
    <s v="Teddington and the Hamptons"/>
    <m/>
    <m/>
    <m/>
    <m/>
    <m/>
    <m/>
    <m/>
    <s v="Y"/>
    <s v="Teddington &amp; Hampton Wick"/>
    <x v="0"/>
  </r>
  <r>
    <s v="21/2282/FUL"/>
    <s v="NEW"/>
    <s v="FULL"/>
    <x v="112"/>
    <d v="2026-01-30T00:00:00"/>
    <d v="2023-12-15T00:00:00"/>
    <m/>
    <m/>
    <d v="2025-10-01T00:00:00"/>
    <x v="1"/>
    <s v="London Living rent"/>
    <m/>
    <m/>
    <m/>
    <s v="Erection of a two-storey building comprising 4 residential apartments ( 3 x 1 bed/1 person units and 1 x 1 bed/1 person M(4)3 unit); landscaping including private amenity space and ecological enhancement; secure cycle and refuse storage structures."/>
    <s v="Land Adjacent 12 Willow Avenue, Barnes"/>
    <s v="SW13 0LT"/>
    <m/>
    <m/>
    <m/>
    <m/>
    <m/>
    <m/>
    <m/>
    <m/>
    <m/>
    <n v="0"/>
    <s v="Y"/>
    <n v="4"/>
    <m/>
    <m/>
    <m/>
    <m/>
    <m/>
    <m/>
    <m/>
    <n v="4"/>
    <n v="4"/>
    <n v="0"/>
    <n v="0"/>
    <n v="0"/>
    <n v="0"/>
    <n v="0"/>
    <n v="0"/>
    <n v="0"/>
    <n v="4"/>
    <m/>
    <m/>
    <n v="4"/>
    <m/>
    <m/>
    <m/>
    <m/>
    <m/>
    <m/>
    <m/>
    <m/>
    <m/>
    <m/>
    <m/>
    <m/>
    <m/>
    <m/>
    <m/>
    <n v="4"/>
    <n v="4"/>
    <m/>
    <m/>
    <m/>
    <n v="521874"/>
    <n v="176054"/>
    <s v="Mortlake &amp; Barnes Common"/>
    <s v="Barnes and East Sheen"/>
    <m/>
    <m/>
    <m/>
    <m/>
    <m/>
    <m/>
    <m/>
    <s v="Y"/>
    <s v="Barnes"/>
    <x v="0"/>
  </r>
  <r>
    <s v="21/2441/FUL"/>
    <s v="CHU"/>
    <s v="FULL"/>
    <x v="113"/>
    <d v="2025-08-23T00:00:00"/>
    <d v="2022-09-01T00:00:00"/>
    <m/>
    <m/>
    <d v="2025-10-01T00:00:00"/>
    <x v="1"/>
    <s v="Open Market"/>
    <m/>
    <m/>
    <m/>
    <s v="Change of use (to C3) of former Royal Oak Public House. Alterations and extension to ground floor, and alterations to existing facades to create 1 x 3 bedroom dwellinghouse with 2 x off-street parking spaces and associated cycle parking."/>
    <s v="The Royal Oak, Ham Street, Ham, Richmond TW10 7HN"/>
    <s v="TW10 7HN"/>
    <m/>
    <m/>
    <m/>
    <m/>
    <m/>
    <m/>
    <m/>
    <m/>
    <m/>
    <n v="0"/>
    <m/>
    <m/>
    <m/>
    <n v="1"/>
    <m/>
    <m/>
    <m/>
    <m/>
    <m/>
    <n v="1"/>
    <n v="0"/>
    <n v="0"/>
    <n v="1"/>
    <n v="0"/>
    <n v="0"/>
    <n v="0"/>
    <n v="0"/>
    <n v="0"/>
    <n v="1"/>
    <m/>
    <m/>
    <n v="0.5"/>
    <n v="0.5"/>
    <m/>
    <m/>
    <m/>
    <m/>
    <m/>
    <m/>
    <m/>
    <m/>
    <m/>
    <m/>
    <m/>
    <m/>
    <m/>
    <m/>
    <n v="1"/>
    <n v="1"/>
    <m/>
    <m/>
    <m/>
    <n v="517302"/>
    <n v="172516"/>
    <s v="Ham, Petersham &amp; Richmond Riverside"/>
    <s v="Ham &amp; Petersham"/>
    <m/>
    <m/>
    <m/>
    <m/>
    <s v="The Manor House Ham"/>
    <s v="CA23 Ham House"/>
    <s v="Y"/>
    <m/>
    <s v="Ham, Petersham &amp; Richmond Park"/>
    <x v="0"/>
  </r>
  <r>
    <s v="21/2533/FUL"/>
    <s v="NEW"/>
    <s v="FULL"/>
    <x v="114"/>
    <d v="2025-06-23T00:00:00"/>
    <d v="2024-06-03T00:00:00"/>
    <s v="Y"/>
    <m/>
    <m/>
    <x v="1"/>
    <s v="Intermediate"/>
    <m/>
    <m/>
    <m/>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
    <n v="2"/>
    <m/>
    <m/>
    <m/>
    <m/>
    <m/>
    <m/>
    <n v="3"/>
    <n v="1"/>
    <n v="2"/>
    <n v="0"/>
    <n v="0"/>
    <n v="0"/>
    <n v="0"/>
    <n v="0"/>
    <n v="0"/>
    <n v="3"/>
    <s v="Y"/>
    <m/>
    <m/>
    <m/>
    <n v="1.5"/>
    <n v="1.5"/>
    <m/>
    <m/>
    <m/>
    <m/>
    <m/>
    <m/>
    <m/>
    <m/>
    <m/>
    <m/>
    <m/>
    <m/>
    <n v="3"/>
    <n v="3"/>
    <m/>
    <m/>
    <m/>
    <n v="515712"/>
    <n v="170847"/>
    <s v="Teddington"/>
    <s v="Teddington and the Hamptons"/>
    <m/>
    <m/>
    <m/>
    <m/>
    <m/>
    <m/>
    <m/>
    <s v="Y"/>
    <s v="Teddington &amp; Hampton Wick"/>
    <x v="0"/>
  </r>
  <r>
    <s v="21/2533/FUL"/>
    <s v="NEW"/>
    <s v="FULL"/>
    <x v="114"/>
    <d v="2025-06-23T00:00:00"/>
    <d v="2024-06-03T00:00:00"/>
    <s v="Y"/>
    <m/>
    <m/>
    <x v="1"/>
    <s v="Social Rent"/>
    <m/>
    <m/>
    <m/>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3"/>
    <m/>
    <m/>
    <m/>
    <m/>
    <m/>
    <m/>
    <m/>
    <n v="13"/>
    <n v="13"/>
    <n v="0"/>
    <n v="0"/>
    <n v="0"/>
    <n v="0"/>
    <n v="0"/>
    <n v="0"/>
    <n v="0"/>
    <n v="13"/>
    <s v="Y"/>
    <m/>
    <m/>
    <m/>
    <n v="6.5"/>
    <n v="6.5"/>
    <m/>
    <m/>
    <m/>
    <m/>
    <m/>
    <m/>
    <m/>
    <m/>
    <m/>
    <m/>
    <m/>
    <m/>
    <n v="13"/>
    <n v="13"/>
    <m/>
    <m/>
    <m/>
    <n v="515712"/>
    <n v="170847"/>
    <s v="Teddington"/>
    <s v="Teddington and the Hamptons"/>
    <m/>
    <m/>
    <m/>
    <m/>
    <m/>
    <m/>
    <m/>
    <s v="Y"/>
    <s v="Teddington &amp; Hampton Wick"/>
    <x v="0"/>
  </r>
  <r>
    <s v="21/2729/FUL"/>
    <s v="CON"/>
    <s v="FULL"/>
    <x v="115"/>
    <d v="2025-04-29T00:00:00"/>
    <d v="2025-03-17T00:00:00"/>
    <m/>
    <m/>
    <m/>
    <x v="1"/>
    <s v="Open Market"/>
    <m/>
    <m/>
    <m/>
    <s v="Renovation, rear single storey extension, new gable roof extension and rear basement to existing building to form six apartments."/>
    <s v="85 Connaught Road, Teddington"/>
    <s v="TW11 0QQ"/>
    <m/>
    <m/>
    <n v="1"/>
    <n v="1"/>
    <m/>
    <m/>
    <m/>
    <m/>
    <m/>
    <n v="2"/>
    <m/>
    <n v="4"/>
    <n v="2"/>
    <m/>
    <m/>
    <m/>
    <m/>
    <m/>
    <m/>
    <n v="6"/>
    <n v="4"/>
    <n v="1"/>
    <n v="-1"/>
    <n v="0"/>
    <n v="0"/>
    <n v="0"/>
    <n v="0"/>
    <n v="0"/>
    <n v="4"/>
    <m/>
    <m/>
    <m/>
    <n v="2"/>
    <n v="2"/>
    <m/>
    <m/>
    <m/>
    <m/>
    <m/>
    <m/>
    <m/>
    <m/>
    <m/>
    <m/>
    <m/>
    <m/>
    <m/>
    <n v="4"/>
    <n v="4"/>
    <m/>
    <m/>
    <m/>
    <n v="514630"/>
    <n v="171361"/>
    <s v="Fulwell &amp; Hampton Hill"/>
    <s v="Teddington and the Hamptons"/>
    <m/>
    <m/>
    <m/>
    <m/>
    <m/>
    <m/>
    <m/>
    <s v="Y"/>
    <s v="Teddington &amp; Hampton Wick"/>
    <x v="0"/>
  </r>
  <r>
    <s v="21/2965/FUL"/>
    <s v="CHU"/>
    <s v="FULL"/>
    <x v="116"/>
    <d v="2025-03-02T00:00:00"/>
    <d v="2025-03-01T00:00:00"/>
    <s v="Y"/>
    <m/>
    <m/>
    <x v="1"/>
    <s v="Open Market"/>
    <m/>
    <m/>
    <m/>
    <s v="Change of use of basement from mixed storage to self-contained 2 bed dwelling,  single storey extension, extension to existing basement, creation  new side entrance on the eastern elevation, extension of rear terrace,  new pitched roof on the front elevation, side extension . Alterations  to the existing boundary fence."/>
    <s v="2 Montrose Avenue, Twickenham TW2 6HB"/>
    <s v="TW2 6HB"/>
    <m/>
    <m/>
    <m/>
    <m/>
    <m/>
    <m/>
    <m/>
    <m/>
    <m/>
    <n v="0"/>
    <m/>
    <m/>
    <n v="1"/>
    <m/>
    <m/>
    <m/>
    <m/>
    <m/>
    <m/>
    <n v="1"/>
    <n v="0"/>
    <n v="1"/>
    <n v="0"/>
    <n v="0"/>
    <n v="0"/>
    <n v="0"/>
    <n v="0"/>
    <n v="0"/>
    <n v="1"/>
    <m/>
    <m/>
    <n v="1"/>
    <m/>
    <m/>
    <m/>
    <m/>
    <m/>
    <m/>
    <m/>
    <m/>
    <m/>
    <m/>
    <m/>
    <m/>
    <m/>
    <m/>
    <m/>
    <n v="1"/>
    <n v="1"/>
    <m/>
    <m/>
    <m/>
    <n v="514165"/>
    <n v="173531"/>
    <s v="Heathfield"/>
    <s v="Whitton"/>
    <m/>
    <m/>
    <m/>
    <m/>
    <m/>
    <m/>
    <m/>
    <s v="Y"/>
    <s v="Whitton and Heathfield"/>
    <x v="0"/>
  </r>
  <r>
    <s v="21/3136/FUL"/>
    <s v="NEW"/>
    <s v="FULL"/>
    <x v="117"/>
    <d v="2026-02-28T00:00:00"/>
    <d v="2024-03-03T00:00:00"/>
    <m/>
    <m/>
    <m/>
    <x v="1"/>
    <s v="Affordable Rent"/>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8"/>
    <n v="13"/>
    <n v="7"/>
    <m/>
    <m/>
    <m/>
    <m/>
    <m/>
    <n v="28"/>
    <n v="8"/>
    <n v="13"/>
    <n v="7"/>
    <n v="0"/>
    <n v="0"/>
    <n v="0"/>
    <n v="0"/>
    <n v="0"/>
    <n v="28"/>
    <s v="Y"/>
    <m/>
    <m/>
    <n v="14"/>
    <n v="14"/>
    <m/>
    <m/>
    <m/>
    <m/>
    <m/>
    <m/>
    <m/>
    <m/>
    <m/>
    <m/>
    <m/>
    <m/>
    <m/>
    <n v="28"/>
    <n v="28"/>
    <m/>
    <m/>
    <m/>
    <n v="515278"/>
    <n v="173797"/>
    <s v="St. Margarets &amp; North Twickenham"/>
    <s v="Twickenham"/>
    <m/>
    <m/>
    <m/>
    <m/>
    <m/>
    <m/>
    <m/>
    <s v="Y"/>
    <s v="Twickenham, Strawberry Hill &amp; St Margarets"/>
    <x v="0"/>
  </r>
  <r>
    <s v="21/3136/FUL"/>
    <s v="NEW"/>
    <s v="FULL"/>
    <x v="117"/>
    <d v="2026-02-28T00:00:00"/>
    <d v="2024-03-03T00:00:00"/>
    <m/>
    <m/>
    <m/>
    <x v="1"/>
    <s v="Intermediate"/>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29"/>
    <n v="41"/>
    <n v="10"/>
    <m/>
    <m/>
    <m/>
    <m/>
    <m/>
    <n v="80"/>
    <n v="29"/>
    <n v="41"/>
    <n v="10"/>
    <n v="0"/>
    <n v="0"/>
    <n v="0"/>
    <n v="0"/>
    <n v="0"/>
    <n v="80"/>
    <s v="Y"/>
    <m/>
    <m/>
    <n v="40"/>
    <n v="40"/>
    <m/>
    <m/>
    <m/>
    <m/>
    <m/>
    <m/>
    <m/>
    <m/>
    <m/>
    <m/>
    <m/>
    <m/>
    <m/>
    <n v="80"/>
    <n v="80"/>
    <m/>
    <m/>
    <m/>
    <n v="515278"/>
    <n v="173797"/>
    <s v="St. Margarets &amp; North Twickenham"/>
    <s v="Twickenham"/>
    <m/>
    <m/>
    <m/>
    <m/>
    <m/>
    <m/>
    <m/>
    <s v="Y"/>
    <s v="Twickenham, Strawberry Hill &amp; St Margarets"/>
    <x v="0"/>
  </r>
  <r>
    <s v="21/3136/FUL"/>
    <s v="NEW"/>
    <s v="FULL"/>
    <x v="117"/>
    <d v="2026-02-28T00:00:00"/>
    <d v="2024-03-03T00:00:00"/>
    <m/>
    <m/>
    <m/>
    <x v="1"/>
    <s v="Open Market"/>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m/>
    <n v="39"/>
    <n v="31"/>
    <n v="26"/>
    <n v="8"/>
    <m/>
    <m/>
    <m/>
    <m/>
    <n v="104"/>
    <n v="39"/>
    <n v="31"/>
    <n v="26"/>
    <n v="8"/>
    <n v="0"/>
    <n v="0"/>
    <n v="0"/>
    <n v="0"/>
    <n v="104"/>
    <s v="Y"/>
    <m/>
    <m/>
    <n v="52"/>
    <n v="52"/>
    <m/>
    <m/>
    <m/>
    <m/>
    <m/>
    <m/>
    <m/>
    <m/>
    <m/>
    <m/>
    <m/>
    <m/>
    <m/>
    <n v="104"/>
    <n v="104"/>
    <m/>
    <m/>
    <m/>
    <n v="515278"/>
    <n v="173797"/>
    <s v="St. Margarets &amp; North Twickenham"/>
    <s v="Twickenham"/>
    <m/>
    <m/>
    <m/>
    <m/>
    <m/>
    <m/>
    <m/>
    <s v="Y"/>
    <s v="Twickenham, Strawberry Hill &amp; St Margarets"/>
    <x v="0"/>
  </r>
  <r>
    <s v="21/3188/FUL"/>
    <s v="NEW"/>
    <s v="FULL"/>
    <x v="118"/>
    <d v="2025-08-26T00:00:00"/>
    <d v="2023-09-04T00:00:00"/>
    <m/>
    <m/>
    <m/>
    <x v="1"/>
    <s v="Open Market"/>
    <m/>
    <m/>
    <m/>
    <s v="Erection of 7 residential units (4 x 1 and 2 bed flats and 3 x 3 bed houses) with ground floor Class E commercial business and service space (73.3m2) including associated works."/>
    <s v="Adjacent To 118 Kneller Road, Twickenham TW2 7DX"/>
    <s v="TW10 6UB"/>
    <m/>
    <m/>
    <m/>
    <m/>
    <m/>
    <m/>
    <m/>
    <m/>
    <m/>
    <n v="0"/>
    <m/>
    <n v="2"/>
    <n v="2"/>
    <n v="3"/>
    <m/>
    <m/>
    <m/>
    <m/>
    <m/>
    <n v="7"/>
    <n v="2"/>
    <n v="2"/>
    <n v="3"/>
    <n v="0"/>
    <n v="0"/>
    <n v="0"/>
    <n v="0"/>
    <n v="0"/>
    <n v="7"/>
    <m/>
    <m/>
    <m/>
    <n v="3.5"/>
    <n v="3.5"/>
    <m/>
    <m/>
    <m/>
    <m/>
    <m/>
    <m/>
    <m/>
    <m/>
    <m/>
    <m/>
    <m/>
    <m/>
    <m/>
    <n v="7"/>
    <n v="7"/>
    <m/>
    <m/>
    <m/>
    <n v="514497"/>
    <n v="174249"/>
    <s v="Whitton"/>
    <s v="Whitton"/>
    <m/>
    <m/>
    <m/>
    <m/>
    <m/>
    <m/>
    <m/>
    <s v="Y"/>
    <s v="Whitton and Heathfield"/>
    <x v="0"/>
  </r>
  <r>
    <s v="21/3820/FUL"/>
    <s v="CHU"/>
    <s v="FULL"/>
    <x v="119"/>
    <d v="2025-05-20T00:00:00"/>
    <d v="2024-08-30T00:00:00"/>
    <s v="Y"/>
    <m/>
    <m/>
    <x v="1"/>
    <s v="Open Market"/>
    <m/>
    <m/>
    <m/>
    <s v="Single storey rear extension, with a change of use of part of a derelict retail unit and residential unit to a one bedroom flat and the erection of an overhead shutter door to the rear yard."/>
    <s v="95 Stanley Road, Teddington TW11 8UB"/>
    <s v="TW11 8UB"/>
    <m/>
    <m/>
    <m/>
    <m/>
    <m/>
    <m/>
    <m/>
    <m/>
    <m/>
    <n v="0"/>
    <m/>
    <n v="1"/>
    <m/>
    <m/>
    <m/>
    <m/>
    <m/>
    <m/>
    <m/>
    <n v="1"/>
    <n v="1"/>
    <n v="0"/>
    <n v="0"/>
    <n v="0"/>
    <n v="0"/>
    <n v="0"/>
    <n v="0"/>
    <n v="0"/>
    <n v="1"/>
    <m/>
    <m/>
    <n v="1"/>
    <m/>
    <m/>
    <m/>
    <m/>
    <m/>
    <m/>
    <m/>
    <m/>
    <m/>
    <m/>
    <m/>
    <m/>
    <m/>
    <m/>
    <m/>
    <n v="1"/>
    <n v="1"/>
    <m/>
    <m/>
    <m/>
    <n v="515093"/>
    <n v="171528"/>
    <s v="Fulwell &amp; Hampton Hill"/>
    <s v="Teddington and the Hamptons"/>
    <m/>
    <m/>
    <s v="Stanley Road, Teddington"/>
    <s v="Y"/>
    <m/>
    <m/>
    <m/>
    <s v="Y"/>
    <s v="Teddington &amp; Hampton Wick"/>
    <x v="0"/>
  </r>
  <r>
    <s v="21/4038/FUL"/>
    <s v="CHU"/>
    <s v="FULL"/>
    <x v="120"/>
    <d v="2025-07-12T00:00:00"/>
    <d v="2023-05-01T00:00:00"/>
    <m/>
    <m/>
    <d v="2025-08-29T00:00:00"/>
    <x v="1"/>
    <s v="Open Market"/>
    <m/>
    <m/>
    <m/>
    <s v="Change of use of ground floor and basement of the former Old Kings Head public house to a Mixed Use Community Cycle Hub comprising Cafe (Use Class E(b)), Training Area (Use Class F2(b)) and Treatment Room/Medical (Use Class E(e)) and 1No. 1-bedroom  apartment.   Alterations and conversion of the first and second floors to replace existing staff accommodation with 3No. 2-bedroom apartments.  External Alterations to include the replacement of French doors with balconies and a roof terrace on the first floor western and southern elevations, the installation of 2 no. conservation-style rooflights on the southern and western roof slopes and a bike enclosure to the rear at ground floor."/>
    <s v="The Old Kings Head, Hampton Court Road, Hampton Wick KT1 4AE"/>
    <s v="KT1 4AE"/>
    <m/>
    <m/>
    <m/>
    <m/>
    <m/>
    <m/>
    <m/>
    <m/>
    <m/>
    <n v="0"/>
    <m/>
    <n v="1"/>
    <n v="3"/>
    <m/>
    <m/>
    <m/>
    <m/>
    <m/>
    <m/>
    <n v="4"/>
    <n v="1"/>
    <n v="3"/>
    <n v="0"/>
    <n v="0"/>
    <n v="0"/>
    <n v="0"/>
    <n v="0"/>
    <n v="0"/>
    <n v="4"/>
    <m/>
    <m/>
    <n v="4"/>
    <m/>
    <m/>
    <m/>
    <m/>
    <m/>
    <m/>
    <m/>
    <m/>
    <m/>
    <m/>
    <m/>
    <m/>
    <m/>
    <m/>
    <m/>
    <n v="4"/>
    <n v="4"/>
    <m/>
    <m/>
    <m/>
    <n v="517498"/>
    <n v="169337"/>
    <s v="Hampton Wick &amp; South Teddington"/>
    <s v="Teddington and the Hamptons"/>
    <m/>
    <s v="Thames Policy Area"/>
    <s v="Hampton Wick"/>
    <s v="Y"/>
    <s v="Hampton Court"/>
    <s v="CA18 Hampton Wick"/>
    <s v="Y"/>
    <s v="Y"/>
    <s v="Hampton &amp; Hampton Hill"/>
    <x v="0"/>
  </r>
  <r>
    <s v="21/4119/FUL"/>
    <s v="NEW"/>
    <s v="FULL"/>
    <x v="121"/>
    <d v="2025-08-05T00:00:00"/>
    <d v="2023-03-01T00:00:00"/>
    <m/>
    <m/>
    <d v="2025-07-22T00:00:00"/>
    <x v="1"/>
    <s v="Open Market"/>
    <m/>
    <m/>
    <m/>
    <s v="Construction of new detached family home following demolition of existing detached bungalow."/>
    <s v="92 Sandy Lane, Teddington TW11 0DF"/>
    <s v="TW11 0DF"/>
    <m/>
    <m/>
    <m/>
    <n v="1"/>
    <m/>
    <m/>
    <m/>
    <m/>
    <m/>
    <n v="1"/>
    <m/>
    <m/>
    <m/>
    <m/>
    <n v="1"/>
    <m/>
    <m/>
    <m/>
    <m/>
    <n v="1"/>
    <n v="0"/>
    <n v="0"/>
    <n v="-1"/>
    <n v="1"/>
    <n v="0"/>
    <n v="0"/>
    <n v="0"/>
    <n v="0"/>
    <n v="0"/>
    <m/>
    <m/>
    <n v="0"/>
    <m/>
    <m/>
    <m/>
    <m/>
    <m/>
    <m/>
    <m/>
    <m/>
    <m/>
    <m/>
    <m/>
    <m/>
    <m/>
    <m/>
    <m/>
    <n v="0"/>
    <n v="0"/>
    <m/>
    <m/>
    <m/>
    <n v="516237"/>
    <n v="170397"/>
    <s v="Teddington"/>
    <s v="Teddington and the Hamptons"/>
    <m/>
    <m/>
    <m/>
    <m/>
    <m/>
    <m/>
    <m/>
    <s v="Y"/>
    <s v="Teddington &amp; Hampton Wick"/>
    <x v="0"/>
  </r>
  <r>
    <s v="22/0153/GPD26"/>
    <s v="CHU"/>
    <s v="PA"/>
    <x v="122"/>
    <d v="2025-03-22T00:00:00"/>
    <d v="2024-09-01T00:00:00"/>
    <s v="Y"/>
    <m/>
    <d v="2025-06-26T00:00:00"/>
    <x v="1"/>
    <s v="Open Market"/>
    <m/>
    <m/>
    <m/>
    <s v="Change of use of part of ground floor and first floor from restaurant to C3 residential use to provide 1 additional first floor flat"/>
    <s v="29 Kew Road, Richmond TW9 2NQ"/>
    <s v="TW9 2NQ"/>
    <m/>
    <m/>
    <m/>
    <m/>
    <m/>
    <m/>
    <m/>
    <m/>
    <m/>
    <n v="0"/>
    <m/>
    <n v="1"/>
    <m/>
    <m/>
    <m/>
    <m/>
    <m/>
    <m/>
    <m/>
    <n v="1"/>
    <n v="1"/>
    <n v="0"/>
    <n v="0"/>
    <n v="0"/>
    <n v="0"/>
    <n v="0"/>
    <n v="0"/>
    <n v="0"/>
    <n v="1"/>
    <m/>
    <m/>
    <n v="1"/>
    <m/>
    <m/>
    <m/>
    <m/>
    <m/>
    <m/>
    <m/>
    <m/>
    <m/>
    <m/>
    <m/>
    <m/>
    <m/>
    <m/>
    <m/>
    <n v="1"/>
    <n v="1"/>
    <m/>
    <m/>
    <m/>
    <n v="518059"/>
    <n v="175250"/>
    <s v="South Richmond"/>
    <s v="Richmond"/>
    <s v="Richmond"/>
    <m/>
    <m/>
    <m/>
    <m/>
    <s v="CA17 Central Richmond"/>
    <s v="Y"/>
    <s v="Y"/>
    <s v="Richmond and Richmond Hill"/>
    <x v="0"/>
  </r>
  <r>
    <s v="22/0399/FUL"/>
    <s v="NEW"/>
    <m/>
    <x v="123"/>
    <d v="2025-11-07T00:00:00"/>
    <d v="2024-03-01T00:00:00"/>
    <m/>
    <m/>
    <m/>
    <x v="1"/>
    <s v="Open Market"/>
    <m/>
    <m/>
    <m/>
    <s v="Construction of a part 1/2/3 storey building including basement level to provide 14 co-living units (sui generis) and associated hard and soft landscaping, cycle and refuse stores"/>
    <s v="47A 47 And 49 Lower Mortlake Road, Richmond"/>
    <s v="TW9 2LW"/>
    <m/>
    <m/>
    <m/>
    <m/>
    <m/>
    <m/>
    <m/>
    <m/>
    <m/>
    <n v="0"/>
    <m/>
    <n v="14"/>
    <m/>
    <m/>
    <m/>
    <m/>
    <m/>
    <m/>
    <m/>
    <n v="14"/>
    <n v="14"/>
    <n v="0"/>
    <n v="0"/>
    <n v="0"/>
    <n v="0"/>
    <n v="0"/>
    <n v="0"/>
    <n v="0"/>
    <n v="14"/>
    <m/>
    <m/>
    <m/>
    <n v="7"/>
    <n v="7"/>
    <m/>
    <m/>
    <m/>
    <m/>
    <m/>
    <m/>
    <m/>
    <m/>
    <m/>
    <m/>
    <m/>
    <m/>
    <m/>
    <m/>
    <m/>
    <m/>
    <m/>
    <m/>
    <n v="518345"/>
    <n v="175429"/>
    <s v="North Richmond"/>
    <s v="Richmond"/>
    <m/>
    <m/>
    <m/>
    <m/>
    <m/>
    <m/>
    <m/>
    <s v="Y"/>
    <s v="Richmond and Richmond Hill"/>
    <x v="0"/>
  </r>
  <r>
    <s v="22/0754/FUL"/>
    <s v="NEW"/>
    <s v="FULL"/>
    <x v="124"/>
    <d v="2025-08-26T00:00:00"/>
    <d v="2023-02-24T00:00:00"/>
    <m/>
    <m/>
    <d v="2025-11-10T00:00:00"/>
    <x v="1"/>
    <s v="Open Market"/>
    <m/>
    <m/>
    <m/>
    <s v="Demolition and reconstruction of a terraced property with basement, ground and loft extensions."/>
    <s v="28 Westfields Avenue, Barnes SW13 0AU"/>
    <s v="SW13 0AU"/>
    <m/>
    <m/>
    <m/>
    <n v="1"/>
    <m/>
    <m/>
    <m/>
    <m/>
    <m/>
    <n v="1"/>
    <m/>
    <m/>
    <m/>
    <n v="1"/>
    <m/>
    <m/>
    <m/>
    <m/>
    <m/>
    <n v="1"/>
    <n v="0"/>
    <n v="0"/>
    <n v="0"/>
    <n v="0"/>
    <n v="0"/>
    <n v="0"/>
    <n v="0"/>
    <n v="0"/>
    <n v="0"/>
    <m/>
    <m/>
    <n v="0"/>
    <m/>
    <m/>
    <m/>
    <m/>
    <m/>
    <m/>
    <m/>
    <m/>
    <m/>
    <m/>
    <m/>
    <m/>
    <m/>
    <m/>
    <m/>
    <n v="0"/>
    <n v="0"/>
    <m/>
    <m/>
    <m/>
    <n v="521430"/>
    <n v="175853"/>
    <s v="Mortlake &amp; Barnes Common"/>
    <s v="Barnes and East Sheen"/>
    <m/>
    <m/>
    <m/>
    <m/>
    <m/>
    <s v="CA16 Thorne Passage Mortlake"/>
    <s v="Y"/>
    <s v="Y"/>
    <s v="Barnes"/>
    <x v="0"/>
  </r>
  <r>
    <s v="22/0901/FUL"/>
    <s v="NEW"/>
    <s v="FULL"/>
    <x v="125"/>
    <d v="2026-05-02T00:00:00"/>
    <d v="2024-06-01T00:00:00"/>
    <s v="Y"/>
    <m/>
    <m/>
    <x v="1"/>
    <s v="Open Market"/>
    <m/>
    <m/>
    <m/>
    <s v="Demolition of existing garages and greenhouses and redevelopment to provide a single detached residential property with basement"/>
    <s v="Land Rear Of 130 Castelnau, Barnes"/>
    <s v="SW13 9ET"/>
    <m/>
    <m/>
    <m/>
    <m/>
    <m/>
    <m/>
    <m/>
    <m/>
    <m/>
    <n v="0"/>
    <m/>
    <m/>
    <m/>
    <m/>
    <n v="1"/>
    <m/>
    <m/>
    <m/>
    <m/>
    <n v="1"/>
    <n v="0"/>
    <n v="0"/>
    <n v="0"/>
    <n v="1"/>
    <n v="0"/>
    <n v="0"/>
    <n v="0"/>
    <n v="0"/>
    <n v="1"/>
    <m/>
    <m/>
    <n v="1"/>
    <m/>
    <m/>
    <m/>
    <m/>
    <m/>
    <m/>
    <m/>
    <m/>
    <m/>
    <m/>
    <m/>
    <m/>
    <m/>
    <m/>
    <m/>
    <n v="1"/>
    <n v="1"/>
    <m/>
    <m/>
    <m/>
    <n v="522676"/>
    <n v="177493"/>
    <s v="Barnes"/>
    <s v="Barnes and East Sheen"/>
    <m/>
    <m/>
    <m/>
    <m/>
    <m/>
    <s v="CA25 Castelnau"/>
    <s v="Y"/>
    <s v="Y"/>
    <s v="Barnes"/>
    <x v="1"/>
  </r>
  <r>
    <s v="22/0934/FUL"/>
    <s v="NEW"/>
    <s v="FULL"/>
    <x v="126"/>
    <d v="2026-04-28T00:00:00"/>
    <d v="2024-03-01T00:00:00"/>
    <m/>
    <m/>
    <d v="2025-10-21T00:00:00"/>
    <x v="1"/>
    <s v="Open Market"/>
    <m/>
    <m/>
    <m/>
    <s v="Demolition of existing dwelling house and construction of replacement single storey dwellinghouse and associated hard and soft landscaping"/>
    <s v="25 Ham Farm Road, Ham, Richmond TW10 5NA"/>
    <s v="TW10 5NA"/>
    <m/>
    <m/>
    <m/>
    <n v="1"/>
    <m/>
    <m/>
    <m/>
    <m/>
    <m/>
    <n v="1"/>
    <m/>
    <m/>
    <m/>
    <n v="1"/>
    <m/>
    <m/>
    <m/>
    <m/>
    <m/>
    <n v="1"/>
    <n v="0"/>
    <n v="0"/>
    <n v="0"/>
    <n v="0"/>
    <n v="0"/>
    <n v="0"/>
    <n v="0"/>
    <n v="0"/>
    <n v="0"/>
    <m/>
    <m/>
    <n v="0"/>
    <m/>
    <m/>
    <m/>
    <m/>
    <m/>
    <m/>
    <m/>
    <m/>
    <m/>
    <m/>
    <m/>
    <m/>
    <m/>
    <m/>
    <m/>
    <n v="0"/>
    <n v="0"/>
    <m/>
    <m/>
    <m/>
    <n v="518051"/>
    <n v="171688"/>
    <s v="Ham, Petersham &amp; Richmond Riverside"/>
    <s v="Ham &amp; Petersham"/>
    <m/>
    <m/>
    <m/>
    <m/>
    <m/>
    <s v="CA67 Parkleys Estate Ham"/>
    <s v="Y"/>
    <m/>
    <s v="Ham, Petersham &amp; Richmond Park"/>
    <x v="0"/>
  </r>
  <r>
    <s v="22/1214/GPD26"/>
    <s v="CHU"/>
    <s v="PA"/>
    <x v="127"/>
    <d v="2025-06-14T00:00:00"/>
    <d v="2024-08-01T00:00:00"/>
    <s v="Y"/>
    <m/>
    <d v="2025-06-13T00:00:00"/>
    <x v="1"/>
    <s v="Open Market"/>
    <m/>
    <m/>
    <m/>
    <s v="Change of use of first and second floors to C3 (residential) use to facilitate the creation of 2x 2-bed 3-person flats."/>
    <s v="First And Second Floors, 41 Broad Street, Teddington TW11 8QZ"/>
    <s v="TW11 8QZ"/>
    <m/>
    <m/>
    <m/>
    <m/>
    <m/>
    <m/>
    <m/>
    <m/>
    <m/>
    <n v="0"/>
    <m/>
    <m/>
    <n v="2"/>
    <m/>
    <m/>
    <m/>
    <m/>
    <m/>
    <m/>
    <n v="2"/>
    <n v="0"/>
    <n v="2"/>
    <n v="0"/>
    <n v="0"/>
    <n v="0"/>
    <n v="0"/>
    <n v="0"/>
    <n v="0"/>
    <n v="2"/>
    <m/>
    <m/>
    <n v="2"/>
    <m/>
    <m/>
    <m/>
    <m/>
    <m/>
    <m/>
    <m/>
    <m/>
    <m/>
    <m/>
    <m/>
    <m/>
    <m/>
    <m/>
    <m/>
    <n v="2"/>
    <n v="2"/>
    <m/>
    <m/>
    <m/>
    <n v="515645"/>
    <n v="170997"/>
    <s v="Teddington"/>
    <s v="Teddington and the Hamptons"/>
    <s v="Teddington"/>
    <m/>
    <m/>
    <m/>
    <m/>
    <m/>
    <m/>
    <s v="Y"/>
    <s v="Teddington &amp; Hampton Wick"/>
    <x v="0"/>
  </r>
  <r>
    <s v="22/1278/GPD26"/>
    <s v="CHU"/>
    <s v="PA"/>
    <x v="128"/>
    <d v="2025-06-20T00:00:00"/>
    <d v="2024-09-02T00:00:00"/>
    <s v="Y"/>
    <m/>
    <m/>
    <x v="1"/>
    <s v="Open Market"/>
    <m/>
    <m/>
    <m/>
    <s v="Change of use from offices in building of 67-71 High Street to seven residential flats (three 1-bed, three 2-bed, one 3-bed)"/>
    <s v="67 - 71 High Street, Hampton Hill, Hampton TW12 1NH"/>
    <s v="TW12 1NH"/>
    <m/>
    <m/>
    <m/>
    <m/>
    <m/>
    <m/>
    <m/>
    <m/>
    <m/>
    <n v="0"/>
    <m/>
    <n v="3"/>
    <n v="3"/>
    <n v="1"/>
    <m/>
    <m/>
    <m/>
    <m/>
    <m/>
    <n v="7"/>
    <n v="3"/>
    <n v="3"/>
    <n v="1"/>
    <n v="0"/>
    <n v="0"/>
    <n v="0"/>
    <n v="0"/>
    <n v="0"/>
    <n v="7"/>
    <m/>
    <m/>
    <n v="7"/>
    <m/>
    <m/>
    <m/>
    <m/>
    <m/>
    <m/>
    <m/>
    <m/>
    <m/>
    <m/>
    <m/>
    <m/>
    <m/>
    <m/>
    <m/>
    <n v="7"/>
    <n v="7"/>
    <m/>
    <m/>
    <m/>
    <n v="514266"/>
    <n v="170834"/>
    <s v="Fulwell &amp; Hampton Hill"/>
    <s v="Teddington and the Hamptons"/>
    <m/>
    <m/>
    <s v="High Street, Hampton Hill"/>
    <s v="Y"/>
    <m/>
    <s v="CA38 High Street Hampton Hill"/>
    <s v="Y"/>
    <m/>
    <s v="Hampton &amp; Hampton Hill"/>
    <x v="0"/>
  </r>
  <r>
    <s v="22/1442/FUL"/>
    <s v="NEW"/>
    <s v="FULL"/>
    <x v="129"/>
    <d v="2026-03-22T00:00:00"/>
    <d v="2024-04-03T00:00:00"/>
    <s v="Y"/>
    <m/>
    <m/>
    <x v="1"/>
    <s v="Affordable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n v="6"/>
    <m/>
    <n v="5"/>
    <m/>
    <m/>
    <m/>
    <m/>
    <m/>
    <n v="11"/>
    <s v="Y"/>
    <m/>
    <m/>
    <m/>
    <m/>
    <m/>
    <m/>
    <m/>
    <m/>
    <n v="0"/>
    <n v="-6"/>
    <n v="0"/>
    <n v="-5"/>
    <n v="0"/>
    <n v="0"/>
    <n v="0"/>
    <n v="0"/>
    <n v="0"/>
    <n v="-11"/>
    <s v="Y"/>
    <m/>
    <n v="-11"/>
    <m/>
    <m/>
    <m/>
    <m/>
    <m/>
    <m/>
    <m/>
    <m/>
    <m/>
    <m/>
    <m/>
    <m/>
    <m/>
    <m/>
    <m/>
    <n v="-11"/>
    <n v="-11"/>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m/>
    <m/>
    <n v="1"/>
    <m/>
    <m/>
    <m/>
    <m/>
    <m/>
    <n v="1"/>
    <m/>
    <m/>
    <m/>
    <m/>
    <m/>
    <m/>
    <m/>
    <m/>
    <m/>
    <n v="0"/>
    <n v="0"/>
    <n v="0"/>
    <n v="-1"/>
    <n v="0"/>
    <n v="0"/>
    <n v="0"/>
    <n v="0"/>
    <n v="0"/>
    <n v="-1"/>
    <s v="Y"/>
    <m/>
    <n v="-1"/>
    <m/>
    <m/>
    <m/>
    <m/>
    <m/>
    <m/>
    <m/>
    <m/>
    <m/>
    <m/>
    <m/>
    <m/>
    <m/>
    <m/>
    <m/>
    <n v="-1"/>
    <n v="-1"/>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m/>
    <n v="2"/>
    <n v="3"/>
    <n v="2"/>
    <m/>
    <m/>
    <m/>
    <m/>
    <m/>
    <n v="7"/>
    <n v="2"/>
    <n v="3"/>
    <n v="2"/>
    <n v="0"/>
    <n v="0"/>
    <n v="0"/>
    <n v="0"/>
    <n v="0"/>
    <n v="7"/>
    <s v="Y"/>
    <m/>
    <m/>
    <n v="7"/>
    <m/>
    <m/>
    <m/>
    <m/>
    <m/>
    <m/>
    <m/>
    <m/>
    <m/>
    <m/>
    <m/>
    <m/>
    <m/>
    <m/>
    <n v="7"/>
    <n v="7"/>
    <m/>
    <m/>
    <m/>
    <n v="517121"/>
    <n v="172297"/>
    <s v="Ham, Petersham &amp; Richmond Riverside"/>
    <s v="Ham &amp; Petersham"/>
    <m/>
    <m/>
    <m/>
    <m/>
    <m/>
    <m/>
    <m/>
    <m/>
    <s v="Ham, Petersham &amp; Richmond Park"/>
    <x v="0"/>
  </r>
  <r>
    <s v="22/1442/FUL"/>
    <s v="NEW"/>
    <s v="FULL"/>
    <x v="129"/>
    <d v="2026-03-22T00:00:00"/>
    <d v="2024-04-03T00:00:00"/>
    <s v="Y"/>
    <m/>
    <m/>
    <x v="1"/>
    <s v="Social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s v="Y"/>
    <n v="35"/>
    <n v="18"/>
    <n v="10"/>
    <m/>
    <m/>
    <m/>
    <m/>
    <m/>
    <n v="63"/>
    <n v="35"/>
    <n v="18"/>
    <n v="10"/>
    <n v="0"/>
    <n v="0"/>
    <n v="0"/>
    <n v="0"/>
    <n v="0"/>
    <n v="63"/>
    <s v="Y"/>
    <m/>
    <m/>
    <n v="63"/>
    <m/>
    <m/>
    <m/>
    <m/>
    <m/>
    <m/>
    <m/>
    <m/>
    <m/>
    <m/>
    <m/>
    <m/>
    <m/>
    <m/>
    <n v="63"/>
    <n v="63"/>
    <m/>
    <m/>
    <m/>
    <n v="517121"/>
    <n v="172297"/>
    <s v="Ham, Petersham &amp; Richmond Riverside"/>
    <s v="Ham &amp; Petersham"/>
    <m/>
    <m/>
    <m/>
    <m/>
    <m/>
    <m/>
    <m/>
    <m/>
    <s v="Ham, Petersham &amp; Richmond Park"/>
    <x v="0"/>
  </r>
  <r>
    <s v="22/1442/FUL"/>
    <s v="NEW"/>
    <s v="FULL"/>
    <x v="129"/>
    <d v="2026-03-22T00:00:00"/>
    <d v="2024-04-03T00:00:00"/>
    <s v="Y"/>
    <m/>
    <m/>
    <x v="1"/>
    <s v="Affordable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14"/>
    <n v="20"/>
    <n v="3"/>
    <m/>
    <m/>
    <m/>
    <m/>
    <m/>
    <n v="37"/>
    <s v="Y"/>
    <m/>
    <m/>
    <m/>
    <m/>
    <m/>
    <m/>
    <m/>
    <m/>
    <n v="0"/>
    <n v="-14"/>
    <n v="-20"/>
    <n v="-3"/>
    <n v="0"/>
    <n v="0"/>
    <n v="0"/>
    <n v="0"/>
    <n v="0"/>
    <n v="-37"/>
    <s v="Y"/>
    <m/>
    <m/>
    <m/>
    <n v="-37"/>
    <m/>
    <m/>
    <m/>
    <m/>
    <m/>
    <m/>
    <m/>
    <m/>
    <m/>
    <m/>
    <m/>
    <m/>
    <m/>
    <n v="-37"/>
    <n v="-37"/>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2"/>
    <n v="8"/>
    <n v="1"/>
    <m/>
    <m/>
    <m/>
    <m/>
    <m/>
    <n v="11"/>
    <m/>
    <m/>
    <m/>
    <m/>
    <m/>
    <m/>
    <m/>
    <m/>
    <m/>
    <n v="0"/>
    <n v="-2"/>
    <n v="-8"/>
    <n v="-1"/>
    <n v="0"/>
    <n v="0"/>
    <n v="0"/>
    <n v="0"/>
    <n v="0"/>
    <n v="-11"/>
    <s v="Y"/>
    <m/>
    <m/>
    <m/>
    <n v="-11"/>
    <m/>
    <m/>
    <m/>
    <m/>
    <m/>
    <m/>
    <m/>
    <m/>
    <m/>
    <m/>
    <m/>
    <m/>
    <m/>
    <n v="-11"/>
    <n v="-11"/>
    <m/>
    <m/>
    <m/>
    <n v="517121"/>
    <n v="172297"/>
    <s v="Ham, Petersham &amp; Richmond Riverside"/>
    <s v="Ham &amp; Petersham"/>
    <m/>
    <m/>
    <m/>
    <m/>
    <m/>
    <m/>
    <m/>
    <m/>
    <s v="Ham, Petersham &amp; Richmond Park"/>
    <x v="0"/>
  </r>
  <r>
    <s v="22/1442/FUL"/>
    <s v="NEW"/>
    <s v="FULL"/>
    <x v="129"/>
    <d v="2026-03-22T00:00:00"/>
    <d v="2024-04-03T00:00:00"/>
    <s v="Y"/>
    <m/>
    <m/>
    <x v="1"/>
    <s v="London Affordable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2"/>
    <m/>
    <m/>
    <m/>
    <m/>
    <m/>
    <m/>
    <m/>
    <n v="2"/>
    <n v="2"/>
    <n v="0"/>
    <n v="0"/>
    <n v="0"/>
    <n v="0"/>
    <n v="0"/>
    <n v="0"/>
    <n v="0"/>
    <n v="2"/>
    <s v="Y"/>
    <m/>
    <m/>
    <m/>
    <m/>
    <m/>
    <n v="2"/>
    <m/>
    <m/>
    <m/>
    <m/>
    <m/>
    <m/>
    <m/>
    <m/>
    <m/>
    <m/>
    <m/>
    <n v="2"/>
    <n v="2"/>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m/>
    <n v="50"/>
    <n v="26"/>
    <n v="2"/>
    <m/>
    <m/>
    <m/>
    <m/>
    <m/>
    <n v="78"/>
    <n v="50"/>
    <n v="26"/>
    <n v="2"/>
    <n v="0"/>
    <n v="0"/>
    <n v="0"/>
    <n v="0"/>
    <n v="0"/>
    <n v="78"/>
    <s v="Y"/>
    <m/>
    <m/>
    <m/>
    <m/>
    <m/>
    <n v="78"/>
    <m/>
    <m/>
    <m/>
    <m/>
    <m/>
    <m/>
    <m/>
    <m/>
    <m/>
    <m/>
    <m/>
    <n v="78"/>
    <n v="78"/>
    <m/>
    <m/>
    <m/>
    <n v="517121"/>
    <n v="172297"/>
    <s v="Ham, Petersham &amp; Richmond Riverside"/>
    <s v="Ham &amp; Petersham"/>
    <m/>
    <m/>
    <m/>
    <m/>
    <m/>
    <m/>
    <m/>
    <m/>
    <s v="Ham, Petersham &amp; Richmond Park"/>
    <x v="0"/>
  </r>
  <r>
    <s v="22/1442/FUL"/>
    <s v="NEW"/>
    <s v="FULL"/>
    <x v="129"/>
    <d v="2026-03-22T00:00:00"/>
    <d v="2024-04-03T00:00:00"/>
    <s v="Y"/>
    <m/>
    <m/>
    <x v="1"/>
    <s v="Social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58"/>
    <n v="19"/>
    <n v="3"/>
    <m/>
    <m/>
    <m/>
    <m/>
    <m/>
    <n v="80"/>
    <n v="58"/>
    <n v="19"/>
    <n v="3"/>
    <n v="0"/>
    <n v="0"/>
    <n v="0"/>
    <n v="0"/>
    <n v="0"/>
    <n v="80"/>
    <s v="Y"/>
    <m/>
    <m/>
    <m/>
    <m/>
    <m/>
    <n v="80"/>
    <m/>
    <m/>
    <m/>
    <m/>
    <m/>
    <m/>
    <m/>
    <m/>
    <m/>
    <m/>
    <m/>
    <n v="80"/>
    <n v="80"/>
    <m/>
    <m/>
    <m/>
    <n v="517121"/>
    <n v="172297"/>
    <s v="Ham, Petersham &amp; Richmond Riverside"/>
    <s v="Ham &amp; Petersham"/>
    <m/>
    <m/>
    <m/>
    <m/>
    <m/>
    <m/>
    <m/>
    <m/>
    <s v="Ham, Petersham &amp; Richmond Park"/>
    <x v="0"/>
  </r>
  <r>
    <s v="22/1442/FUL"/>
    <s v="NEW"/>
    <s v="FULL"/>
    <x v="129"/>
    <d v="2026-03-22T00:00:00"/>
    <d v="2024-04-03T00:00:00"/>
    <s v="Y"/>
    <m/>
    <m/>
    <x v="1"/>
    <s v="Affordable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70"/>
    <n v="19"/>
    <n v="6"/>
    <m/>
    <m/>
    <m/>
    <m/>
    <m/>
    <n v="95"/>
    <s v="Y"/>
    <m/>
    <m/>
    <m/>
    <m/>
    <m/>
    <m/>
    <m/>
    <m/>
    <n v="0"/>
    <n v="-70"/>
    <n v="-19"/>
    <n v="-6"/>
    <n v="0"/>
    <n v="0"/>
    <n v="0"/>
    <n v="0"/>
    <n v="0"/>
    <n v="-95"/>
    <s v="Y"/>
    <m/>
    <m/>
    <m/>
    <m/>
    <m/>
    <m/>
    <n v="-95"/>
    <m/>
    <m/>
    <m/>
    <m/>
    <m/>
    <m/>
    <m/>
    <m/>
    <m/>
    <m/>
    <n v="0"/>
    <n v="-95"/>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16"/>
    <n v="16"/>
    <n v="5"/>
    <m/>
    <m/>
    <m/>
    <m/>
    <m/>
    <n v="37"/>
    <m/>
    <m/>
    <m/>
    <m/>
    <m/>
    <m/>
    <m/>
    <m/>
    <m/>
    <n v="0"/>
    <n v="-16"/>
    <n v="-16"/>
    <n v="-5"/>
    <n v="0"/>
    <n v="0"/>
    <n v="0"/>
    <n v="0"/>
    <n v="0"/>
    <n v="-37"/>
    <s v="Y"/>
    <m/>
    <m/>
    <m/>
    <m/>
    <m/>
    <m/>
    <n v="-37"/>
    <m/>
    <m/>
    <m/>
    <m/>
    <m/>
    <m/>
    <m/>
    <m/>
    <m/>
    <m/>
    <n v="0"/>
    <n v="-37"/>
    <m/>
    <m/>
    <m/>
    <n v="517121"/>
    <n v="172297"/>
    <s v="Ham, Petersham &amp; Richmond Riverside"/>
    <s v="Ham &amp; Petersham"/>
    <m/>
    <m/>
    <m/>
    <m/>
    <m/>
    <m/>
    <m/>
    <m/>
    <s v="Ham, Petersham &amp; Richmond Park"/>
    <x v="0"/>
  </r>
  <r>
    <s v="22/1442/FUL"/>
    <s v="NEW"/>
    <s v="FULL"/>
    <x v="129"/>
    <d v="2026-03-22T00:00:00"/>
    <d v="2024-04-03T00:00:00"/>
    <s v="Y"/>
    <m/>
    <m/>
    <x v="1"/>
    <s v="London Affordable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6"/>
    <n v="10"/>
    <n v="3"/>
    <m/>
    <m/>
    <m/>
    <m/>
    <m/>
    <n v="19"/>
    <n v="6"/>
    <n v="10"/>
    <n v="3"/>
    <n v="0"/>
    <n v="0"/>
    <n v="0"/>
    <n v="0"/>
    <n v="0"/>
    <n v="19"/>
    <s v="Y"/>
    <m/>
    <m/>
    <m/>
    <m/>
    <m/>
    <m/>
    <m/>
    <m/>
    <n v="19"/>
    <m/>
    <m/>
    <m/>
    <m/>
    <m/>
    <m/>
    <m/>
    <m/>
    <n v="0"/>
    <n v="19"/>
    <m/>
    <m/>
    <m/>
    <n v="517121"/>
    <n v="172297"/>
    <s v="Ham, Petersham &amp; Richmond Riverside"/>
    <s v="Ham &amp; Petersham"/>
    <m/>
    <m/>
    <m/>
    <m/>
    <m/>
    <m/>
    <m/>
    <m/>
    <s v="Ham, Petersham &amp; Richmond Park"/>
    <x v="0"/>
  </r>
  <r>
    <s v="22/1442/FUL"/>
    <s v="NEW"/>
    <s v="FULL"/>
    <x v="129"/>
    <d v="2026-03-22T00:00:00"/>
    <d v="2024-04-03T00:00:00"/>
    <s v="Y"/>
    <m/>
    <m/>
    <x v="1"/>
    <s v="London Living ren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7"/>
    <n v="3"/>
    <m/>
    <m/>
    <m/>
    <m/>
    <m/>
    <m/>
    <n v="10"/>
    <n v="7"/>
    <n v="3"/>
    <n v="0"/>
    <n v="0"/>
    <n v="0"/>
    <n v="0"/>
    <n v="0"/>
    <n v="0"/>
    <n v="10"/>
    <s v="Y"/>
    <m/>
    <m/>
    <m/>
    <m/>
    <m/>
    <m/>
    <m/>
    <m/>
    <n v="10"/>
    <m/>
    <m/>
    <m/>
    <m/>
    <m/>
    <m/>
    <m/>
    <m/>
    <n v="0"/>
    <n v="10"/>
    <m/>
    <m/>
    <m/>
    <n v="517121"/>
    <n v="172297"/>
    <s v="Ham, Petersham &amp; Richmond Riverside"/>
    <s v="Ham &amp; Petersham"/>
    <m/>
    <m/>
    <m/>
    <m/>
    <m/>
    <m/>
    <m/>
    <m/>
    <s v="Ham, Petersham &amp; Richmond Park"/>
    <x v="0"/>
  </r>
  <r>
    <s v="22/1442/FUL"/>
    <s v="NEW"/>
    <s v="FULL"/>
    <x v="129"/>
    <d v="2026-03-22T00:00:00"/>
    <d v="2024-04-03T00:00:00"/>
    <s v="Y"/>
    <m/>
    <m/>
    <x v="1"/>
    <s v="Open Market"/>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m/>
    <n v="42"/>
    <n v="62"/>
    <m/>
    <n v="34"/>
    <n v="8"/>
    <m/>
    <m/>
    <m/>
    <n v="146"/>
    <n v="42"/>
    <n v="62"/>
    <n v="0"/>
    <n v="34"/>
    <n v="8"/>
    <n v="0"/>
    <n v="0"/>
    <n v="0"/>
    <n v="146"/>
    <s v="Y"/>
    <m/>
    <m/>
    <m/>
    <m/>
    <m/>
    <m/>
    <m/>
    <n v="35"/>
    <n v="73"/>
    <n v="38"/>
    <m/>
    <m/>
    <m/>
    <m/>
    <m/>
    <m/>
    <m/>
    <n v="0"/>
    <n v="146"/>
    <m/>
    <m/>
    <m/>
    <n v="517121"/>
    <n v="172297"/>
    <s v="Ham, Petersham &amp; Richmond Riverside"/>
    <s v="Ham &amp; Petersham"/>
    <m/>
    <m/>
    <m/>
    <m/>
    <m/>
    <m/>
    <m/>
    <m/>
    <s v="Ham, Petersham &amp; Richmond Park"/>
    <x v="0"/>
  </r>
  <r>
    <s v="22/1442/FUL"/>
    <s v="NEW"/>
    <s v="FULL"/>
    <x v="129"/>
    <d v="2026-03-22T00:00:00"/>
    <d v="2024-04-03T00:00:00"/>
    <s v="Y"/>
    <m/>
    <m/>
    <x v="1"/>
    <s v="Shared Ownership"/>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22"/>
    <n v="24"/>
    <n v="1"/>
    <m/>
    <m/>
    <m/>
    <m/>
    <m/>
    <n v="47"/>
    <n v="22"/>
    <n v="24"/>
    <n v="1"/>
    <n v="0"/>
    <n v="0"/>
    <n v="0"/>
    <n v="0"/>
    <n v="0"/>
    <n v="47"/>
    <s v="Y"/>
    <m/>
    <m/>
    <m/>
    <m/>
    <m/>
    <m/>
    <m/>
    <m/>
    <n v="47"/>
    <m/>
    <m/>
    <m/>
    <m/>
    <m/>
    <m/>
    <m/>
    <m/>
    <n v="0"/>
    <n v="47"/>
    <m/>
    <m/>
    <m/>
    <n v="517121"/>
    <n v="172297"/>
    <s v="Ham, Petersham &amp; Richmond Riverside"/>
    <s v="Ham &amp; Petersham"/>
    <m/>
    <m/>
    <m/>
    <m/>
    <m/>
    <m/>
    <m/>
    <m/>
    <s v="Ham, Petersham &amp; Richmond Park"/>
    <x v="0"/>
  </r>
  <r>
    <s v="22/1497/FUL"/>
    <s v="NEW"/>
    <s v="FULL"/>
    <x v="130"/>
    <d v="2026-02-10T00:00:00"/>
    <d v="2024-05-14T00:00:00"/>
    <s v="Y"/>
    <m/>
    <m/>
    <x v="1"/>
    <s v="Open Market"/>
    <m/>
    <m/>
    <m/>
    <s v="The demolition of the existing dwelling house and 22 garages and the construction of 5 x new residential dwellings (Class C3) with associated hard and soft landscaping, parking and associated infrastructure."/>
    <s v="32 Haverfield Gardens, Kew, Richmond TW9 3DD"/>
    <s v="TW9 3DD"/>
    <m/>
    <m/>
    <m/>
    <m/>
    <n v="1"/>
    <m/>
    <m/>
    <m/>
    <m/>
    <n v="1"/>
    <m/>
    <m/>
    <m/>
    <n v="5"/>
    <m/>
    <m/>
    <m/>
    <m/>
    <m/>
    <n v="5"/>
    <n v="0"/>
    <n v="0"/>
    <n v="5"/>
    <n v="-1"/>
    <n v="0"/>
    <n v="0"/>
    <n v="0"/>
    <n v="0"/>
    <n v="4"/>
    <m/>
    <m/>
    <m/>
    <n v="4"/>
    <m/>
    <m/>
    <m/>
    <m/>
    <m/>
    <m/>
    <m/>
    <m/>
    <m/>
    <m/>
    <m/>
    <m/>
    <m/>
    <m/>
    <n v="4"/>
    <n v="4"/>
    <m/>
    <m/>
    <m/>
    <n v="519166"/>
    <n v="177465"/>
    <s v="Kew"/>
    <s v="Richmond"/>
    <m/>
    <m/>
    <m/>
    <m/>
    <m/>
    <s v="CA2 Kew Green"/>
    <s v="Y"/>
    <s v="Y"/>
    <s v="Kew"/>
    <x v="0"/>
  </r>
  <r>
    <s v="22/1513/FUL"/>
    <s v="NEW"/>
    <s v="FULL"/>
    <x v="28"/>
    <d v="2025-09-16T00:00:00"/>
    <d v="2024-12-02T00:00:00"/>
    <s v="Y"/>
    <m/>
    <d v="2025-10-01T00:00:00"/>
    <x v="1"/>
    <s v="Open Market"/>
    <m/>
    <m/>
    <m/>
    <s v="Erection of a new dwelling with associated parking and landscaping."/>
    <s v="2A Courtlands Avenue, Hampton TW12 3NT"/>
    <s v="TW12 3NT"/>
    <m/>
    <m/>
    <m/>
    <m/>
    <m/>
    <m/>
    <m/>
    <m/>
    <m/>
    <n v="0"/>
    <m/>
    <m/>
    <m/>
    <m/>
    <n v="1"/>
    <m/>
    <m/>
    <m/>
    <m/>
    <n v="1"/>
    <n v="0"/>
    <n v="0"/>
    <n v="0"/>
    <n v="1"/>
    <n v="0"/>
    <n v="0"/>
    <n v="0"/>
    <n v="0"/>
    <n v="1"/>
    <m/>
    <m/>
    <n v="1"/>
    <m/>
    <m/>
    <m/>
    <m/>
    <m/>
    <m/>
    <m/>
    <m/>
    <m/>
    <m/>
    <m/>
    <m/>
    <m/>
    <m/>
    <m/>
    <n v="1"/>
    <n v="1"/>
    <m/>
    <m/>
    <m/>
    <n v="512954"/>
    <n v="170628"/>
    <s v="Hampton North"/>
    <s v="Teddington and the Hamptons"/>
    <m/>
    <m/>
    <m/>
    <m/>
    <m/>
    <m/>
    <m/>
    <m/>
    <s v="Hampton &amp; Hampton Hill"/>
    <x v="0"/>
  </r>
  <r>
    <s v="22/2360/FUL"/>
    <s v="NEW"/>
    <s v="FULL"/>
    <x v="131"/>
    <d v="2026-08-08T00:00:00"/>
    <d v="2023-08-08T00:00:00"/>
    <m/>
    <m/>
    <d v="2026-02-03T00:00:00"/>
    <x v="1"/>
    <s v="Open Market"/>
    <m/>
    <m/>
    <m/>
    <s v="Demolition of the existing buildings. Erection of a three storey mixed-use building on Priests Bridge (comprising Use Class E and 7 x residential units on first and second floor (three 1-bedroom flats, four 2-bedrooms flats)).  Erection of a part-one, part-two storey mixed-use building to rear (comprising Use Class E and 2 x residential units (two-bedrooms flats) with associated parking, cycle and refuse stores, hard and soft landscaping."/>
    <s v="26-28 Priests Bridge, East Sheen SW14 8TA"/>
    <s v="SW14 8TA"/>
    <m/>
    <m/>
    <m/>
    <m/>
    <m/>
    <m/>
    <m/>
    <m/>
    <m/>
    <n v="0"/>
    <m/>
    <n v="3"/>
    <n v="6"/>
    <m/>
    <m/>
    <m/>
    <m/>
    <m/>
    <m/>
    <n v="9"/>
    <n v="3"/>
    <n v="6"/>
    <n v="0"/>
    <n v="0"/>
    <n v="0"/>
    <n v="0"/>
    <n v="0"/>
    <n v="0"/>
    <n v="9"/>
    <m/>
    <m/>
    <n v="9"/>
    <m/>
    <m/>
    <m/>
    <m/>
    <m/>
    <m/>
    <m/>
    <m/>
    <m/>
    <m/>
    <m/>
    <m/>
    <m/>
    <m/>
    <m/>
    <n v="9"/>
    <n v="9"/>
    <m/>
    <m/>
    <m/>
    <n v="521492"/>
    <n v="175545"/>
    <s v="Mortlake &amp; Barnes Common"/>
    <s v="Barnes and East Sheen"/>
    <m/>
    <m/>
    <s v="Priests Bridge, Barnes"/>
    <s v="Y"/>
    <m/>
    <m/>
    <m/>
    <s v="Y"/>
    <s v="Barnes"/>
    <x v="0"/>
  </r>
  <r>
    <s v="22/2556/FUL"/>
    <s v="NEW"/>
    <s v="FULL"/>
    <x v="132"/>
    <d v="2027-06-14T00:00:00"/>
    <d v="2024-11-04T00:00:00"/>
    <s v="Y"/>
    <s v="Y"/>
    <m/>
    <x v="1"/>
    <s v="Open Market"/>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n v="1"/>
    <m/>
    <m/>
    <m/>
    <m/>
    <m/>
    <m/>
    <n v="1"/>
    <m/>
    <n v="4"/>
    <n v="11"/>
    <n v="39"/>
    <n v="4"/>
    <m/>
    <m/>
    <m/>
    <m/>
    <n v="58"/>
    <n v="4"/>
    <n v="10"/>
    <n v="39"/>
    <n v="4"/>
    <n v="0"/>
    <n v="0"/>
    <n v="0"/>
    <n v="0"/>
    <n v="57"/>
    <s v="Y"/>
    <m/>
    <m/>
    <n v="57"/>
    <m/>
    <m/>
    <m/>
    <m/>
    <m/>
    <m/>
    <m/>
    <m/>
    <m/>
    <m/>
    <m/>
    <m/>
    <m/>
    <m/>
    <n v="57"/>
    <n v="57"/>
    <m/>
    <m/>
    <m/>
    <n v="515321"/>
    <n v="173342"/>
    <s v="South Twickenham"/>
    <s v="Twickenham"/>
    <m/>
    <m/>
    <m/>
    <m/>
    <m/>
    <m/>
    <m/>
    <s v="Y"/>
    <s v="Twickenham, Strawberry Hill &amp; St Margarets"/>
    <x v="0"/>
  </r>
  <r>
    <s v="22/2556/FUL"/>
    <s v="NEW"/>
    <s v="FULL"/>
    <x v="132"/>
    <d v="2027-06-14T00:00:00"/>
    <d v="2024-11-04T00:00:00"/>
    <s v="Y"/>
    <s v="Y"/>
    <m/>
    <x v="1"/>
    <s v="Shared Ownership"/>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6"/>
    <n v="5"/>
    <m/>
    <m/>
    <m/>
    <m/>
    <m/>
    <m/>
    <n v="11"/>
    <n v="6"/>
    <n v="5"/>
    <n v="0"/>
    <n v="0"/>
    <n v="0"/>
    <n v="0"/>
    <n v="0"/>
    <n v="0"/>
    <n v="11"/>
    <s v="Y"/>
    <m/>
    <m/>
    <n v="11"/>
    <m/>
    <m/>
    <m/>
    <m/>
    <m/>
    <m/>
    <m/>
    <m/>
    <m/>
    <m/>
    <m/>
    <m/>
    <m/>
    <m/>
    <n v="11"/>
    <n v="11"/>
    <m/>
    <m/>
    <m/>
    <n v="515321"/>
    <n v="173342"/>
    <s v="South Twickenham"/>
    <s v="Twickenham"/>
    <m/>
    <m/>
    <m/>
    <m/>
    <m/>
    <m/>
    <m/>
    <s v="Y"/>
    <s v="Twickenham, Strawberry Hill &amp; St Margarets"/>
    <x v="0"/>
  </r>
  <r>
    <s v="22/2556/FUL"/>
    <s v="NEW"/>
    <s v="FULL"/>
    <x v="132"/>
    <d v="2027-06-14T00:00:00"/>
    <d v="2024-11-04T00:00:00"/>
    <s v="Y"/>
    <s v="Y"/>
    <m/>
    <x v="1"/>
    <s v="Social Rent"/>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23"/>
    <n v="17"/>
    <n v="7"/>
    <m/>
    <m/>
    <m/>
    <m/>
    <m/>
    <n v="47"/>
    <n v="23"/>
    <n v="17"/>
    <n v="7"/>
    <n v="0"/>
    <n v="0"/>
    <n v="0"/>
    <n v="0"/>
    <n v="0"/>
    <n v="47"/>
    <s v="Y"/>
    <m/>
    <m/>
    <n v="47"/>
    <m/>
    <m/>
    <m/>
    <m/>
    <m/>
    <m/>
    <m/>
    <m/>
    <m/>
    <m/>
    <m/>
    <m/>
    <m/>
    <m/>
    <n v="47"/>
    <n v="47"/>
    <m/>
    <m/>
    <m/>
    <n v="515321"/>
    <n v="173342"/>
    <s v="South Twickenham"/>
    <s v="Twickenham"/>
    <m/>
    <m/>
    <m/>
    <m/>
    <m/>
    <m/>
    <m/>
    <s v="Y"/>
    <s v="Twickenham, Strawberry Hill &amp; St Margarets"/>
    <x v="0"/>
  </r>
  <r>
    <s v="22/3193/FUL"/>
    <s v="CHU"/>
    <s v="FULL"/>
    <x v="133"/>
    <d v="2026-07-14T00:00:00"/>
    <d v="2024-10-30T00:00:00"/>
    <s v="Y"/>
    <m/>
    <m/>
    <x v="1"/>
    <s v="Open Market"/>
    <m/>
    <m/>
    <m/>
    <s v="Conversion of Ground Floor Commercial unit (Use Class E) to 3 No. Self Contained 1-bed units (Use Class C3), a single storey rear extension and alterations to fenestrations. Demolition of existing rear garage and provision of 2 rear car parking spaces, re"/>
    <s v="1 - 5  Bridge Parade, Wensleydale Road, Hampton"/>
    <s v="TW12 2LP"/>
    <m/>
    <m/>
    <m/>
    <m/>
    <m/>
    <m/>
    <m/>
    <m/>
    <m/>
    <n v="0"/>
    <m/>
    <n v="3"/>
    <m/>
    <m/>
    <m/>
    <m/>
    <m/>
    <m/>
    <m/>
    <n v="3"/>
    <n v="3"/>
    <n v="0"/>
    <n v="0"/>
    <n v="0"/>
    <n v="0"/>
    <n v="0"/>
    <n v="0"/>
    <n v="0"/>
    <n v="3"/>
    <m/>
    <m/>
    <n v="1.5"/>
    <n v="1.5"/>
    <m/>
    <m/>
    <m/>
    <m/>
    <m/>
    <m/>
    <m/>
    <m/>
    <m/>
    <m/>
    <m/>
    <m/>
    <m/>
    <m/>
    <n v="3"/>
    <n v="3"/>
    <m/>
    <m/>
    <m/>
    <n v="513452"/>
    <n v="169954"/>
    <s v="Hampton"/>
    <s v="Teddington and the Hamptons"/>
    <m/>
    <m/>
    <s v="Wensleydale Road, Hampton"/>
    <s v="Y"/>
    <m/>
    <m/>
    <m/>
    <s v="Y"/>
    <s v="Hampton &amp; Hampton Hill"/>
    <x v="0"/>
  </r>
  <r>
    <s v="22/3397/GPD26"/>
    <s v="CHU"/>
    <s v="PA"/>
    <x v="134"/>
    <d v="2025-12-15T00:00:00"/>
    <d v="2025-01-13T00:00:00"/>
    <s v="Y"/>
    <m/>
    <d v="2025-10-16T00:00:00"/>
    <x v="1"/>
    <s v="Open Market"/>
    <m/>
    <m/>
    <m/>
    <s v="Change of use of the building from Use Class E (Office) to C3 (Residential) single dwelling."/>
    <s v="33A Milton Road, Hampton TW12 2LL"/>
    <s v="TW12 2LL"/>
    <m/>
    <m/>
    <m/>
    <m/>
    <m/>
    <m/>
    <m/>
    <m/>
    <m/>
    <n v="0"/>
    <m/>
    <m/>
    <n v="1"/>
    <m/>
    <m/>
    <m/>
    <m/>
    <m/>
    <m/>
    <n v="1"/>
    <n v="0"/>
    <n v="1"/>
    <n v="0"/>
    <n v="0"/>
    <n v="0"/>
    <n v="0"/>
    <n v="0"/>
    <n v="0"/>
    <n v="1"/>
    <m/>
    <m/>
    <n v="1"/>
    <m/>
    <m/>
    <m/>
    <m/>
    <m/>
    <m/>
    <m/>
    <m/>
    <m/>
    <m/>
    <m/>
    <m/>
    <m/>
    <m/>
    <m/>
    <n v="1"/>
    <n v="1"/>
    <m/>
    <m/>
    <m/>
    <n v="513402"/>
    <n v="169963"/>
    <s v="Hampton"/>
    <s v="Teddington and the Hamptons"/>
    <m/>
    <m/>
    <m/>
    <m/>
    <m/>
    <m/>
    <m/>
    <s v="Y"/>
    <s v="Hampton &amp; Hampton Hill"/>
    <x v="0"/>
  </r>
  <r>
    <s v="22/3810/FUL"/>
    <s v="NEW"/>
    <s v="FULL"/>
    <x v="108"/>
    <d v="2026-12-21T00:00:00"/>
    <d v="2024-03-01T00:00:00"/>
    <m/>
    <m/>
    <m/>
    <x v="1"/>
    <s v="Open Market"/>
    <m/>
    <m/>
    <m/>
    <s v="Erection of a single storey, detached, two-bedroom dwelling finished with green roof and associated cycle parking, refuse storage and landscaping."/>
    <s v="Land Rear Of 185 Waldegrave Road, Teddington"/>
    <s v="TW11 8LU"/>
    <m/>
    <m/>
    <m/>
    <m/>
    <m/>
    <m/>
    <m/>
    <m/>
    <m/>
    <n v="0"/>
    <m/>
    <m/>
    <n v="1"/>
    <m/>
    <m/>
    <m/>
    <m/>
    <m/>
    <m/>
    <n v="1"/>
    <n v="0"/>
    <n v="1"/>
    <n v="0"/>
    <n v="0"/>
    <n v="0"/>
    <n v="0"/>
    <n v="0"/>
    <n v="0"/>
    <n v="1"/>
    <m/>
    <m/>
    <n v="1"/>
    <m/>
    <m/>
    <m/>
    <m/>
    <m/>
    <m/>
    <m/>
    <m/>
    <m/>
    <m/>
    <m/>
    <m/>
    <m/>
    <m/>
    <m/>
    <n v="1"/>
    <n v="1"/>
    <m/>
    <m/>
    <m/>
    <n v="515563"/>
    <n v="171630"/>
    <s v="Teddington"/>
    <s v="Teddington and the Hamptons"/>
    <m/>
    <m/>
    <m/>
    <m/>
    <m/>
    <m/>
    <m/>
    <s v="Y"/>
    <s v="Teddington &amp; Hampton Wick"/>
    <x v="0"/>
  </r>
  <r>
    <s v="23/0197/FUL"/>
    <s v="NEW"/>
    <s v="FULL"/>
    <x v="135"/>
    <d v="2026-06-14T00:00:00"/>
    <d v="2024-10-11T00:00:00"/>
    <s v="Y"/>
    <m/>
    <m/>
    <x v="1"/>
    <s v="Open Market"/>
    <m/>
    <m/>
    <m/>
    <s v="Demolition of existing detached house and erection of new detached house containing 5 bedrooms"/>
    <s v="64 Ormond Avenue, Hampton TW12 2RX"/>
    <s v="TW12 2RX"/>
    <m/>
    <m/>
    <m/>
    <n v="1"/>
    <m/>
    <m/>
    <m/>
    <m/>
    <m/>
    <n v="1"/>
    <m/>
    <m/>
    <m/>
    <m/>
    <m/>
    <n v="1"/>
    <m/>
    <m/>
    <m/>
    <n v="1"/>
    <n v="0"/>
    <n v="0"/>
    <n v="-1"/>
    <n v="0"/>
    <n v="1"/>
    <n v="0"/>
    <n v="0"/>
    <n v="0"/>
    <n v="0"/>
    <m/>
    <m/>
    <n v="0"/>
    <m/>
    <m/>
    <m/>
    <m/>
    <m/>
    <m/>
    <m/>
    <m/>
    <m/>
    <m/>
    <m/>
    <m/>
    <m/>
    <m/>
    <m/>
    <n v="0"/>
    <n v="0"/>
    <m/>
    <m/>
    <m/>
    <n v="513712"/>
    <n v="169851"/>
    <s v="Hampton"/>
    <s v="Teddington and the Hamptons"/>
    <m/>
    <m/>
    <m/>
    <m/>
    <m/>
    <m/>
    <m/>
    <s v="Y"/>
    <s v="Hampton &amp; Hampton Hill"/>
    <x v="0"/>
  </r>
  <r>
    <s v="23/0291/FUL"/>
    <s v="NEW"/>
    <s v="FULL"/>
    <x v="136"/>
    <d v="2026-08-03T00:00:00"/>
    <d v="2024-06-17T00:00:00"/>
    <s v="Y"/>
    <m/>
    <d v="2025-11-21T00:00:00"/>
    <x v="1"/>
    <s v="Open Market"/>
    <m/>
    <m/>
    <m/>
    <s v="Demolition of existing Boot House and erection of new two-storey dwelling with porch and rear dormer. Bin store to front garden and front boundary wall. Cycle storage to rear garden. Instillation of air source heat pump and photovoltaic panels."/>
    <s v="25 Kentwode Green, Barnes SW13 9AD"/>
    <s v="SW13 9AD"/>
    <m/>
    <m/>
    <n v="1"/>
    <m/>
    <m/>
    <m/>
    <m/>
    <m/>
    <m/>
    <n v="1"/>
    <m/>
    <m/>
    <m/>
    <n v="1"/>
    <m/>
    <m/>
    <m/>
    <m/>
    <m/>
    <n v="1"/>
    <n v="0"/>
    <n v="-1"/>
    <n v="1"/>
    <n v="0"/>
    <n v="0"/>
    <n v="0"/>
    <n v="0"/>
    <n v="0"/>
    <n v="0"/>
    <m/>
    <m/>
    <n v="0"/>
    <m/>
    <m/>
    <m/>
    <m/>
    <m/>
    <m/>
    <m/>
    <m/>
    <m/>
    <m/>
    <m/>
    <m/>
    <m/>
    <m/>
    <m/>
    <n v="0"/>
    <n v="0"/>
    <m/>
    <m/>
    <m/>
    <n v="522197"/>
    <n v="177398"/>
    <s v="Barnes"/>
    <s v="Barnes and East Sheen"/>
    <m/>
    <m/>
    <m/>
    <m/>
    <m/>
    <m/>
    <m/>
    <m/>
    <s v="Barnes"/>
    <x v="0"/>
  </r>
  <r>
    <s v="23/0970/FUL"/>
    <s v="CHU"/>
    <s v="FULL"/>
    <x v="137"/>
    <d v="2026-07-04T00:00:00"/>
    <d v="2025-04-01T00:00:00"/>
    <m/>
    <m/>
    <d v="2025-05-01T00:00:00"/>
    <x v="1"/>
    <s v="Open Market"/>
    <m/>
    <m/>
    <m/>
    <s v="Change of use of second floor staff flat to ancillary office space and staff rest space to the use class F1(a) education use."/>
    <s v="30 Cumberland Road, Kew"/>
    <s v="TW9 3HQ"/>
    <m/>
    <n v="1"/>
    <m/>
    <m/>
    <m/>
    <m/>
    <m/>
    <m/>
    <m/>
    <n v="1"/>
    <m/>
    <m/>
    <m/>
    <m/>
    <m/>
    <m/>
    <m/>
    <m/>
    <m/>
    <n v="0"/>
    <n v="-1"/>
    <n v="0"/>
    <n v="0"/>
    <n v="0"/>
    <n v="0"/>
    <n v="0"/>
    <n v="0"/>
    <n v="0"/>
    <n v="-1"/>
    <m/>
    <m/>
    <n v="-1"/>
    <m/>
    <m/>
    <m/>
    <m/>
    <m/>
    <m/>
    <m/>
    <m/>
    <m/>
    <m/>
    <m/>
    <m/>
    <m/>
    <m/>
    <m/>
    <n v="-1"/>
    <n v="-1"/>
    <m/>
    <m/>
    <m/>
    <n v="519234"/>
    <n v="177167"/>
    <s v="Kew"/>
    <s v="Richmond"/>
    <m/>
    <m/>
    <m/>
    <m/>
    <m/>
    <s v="CA15 Kew Gardens"/>
    <s v="Y"/>
    <s v="Y"/>
    <s v="Kew"/>
    <x v="0"/>
  </r>
  <r>
    <s v="23/1060/FUL"/>
    <s v="CHU"/>
    <s v="FULL"/>
    <x v="138"/>
    <d v="2026-07-05T00:00:00"/>
    <d v="2025-04-01T00:00:00"/>
    <m/>
    <m/>
    <d v="2025-05-01T00:00:00"/>
    <x v="1"/>
    <s v="Open Market"/>
    <m/>
    <m/>
    <m/>
    <s v="Use of Second Floor of 24-26 Cumberland Road (staff flat) for education purposes Class F1[a]."/>
    <s v="Kew College, 24 Cumberland Road, Kew, Richmond TW9 3HQ"/>
    <s v="TW9 3HQ"/>
    <m/>
    <n v="1"/>
    <m/>
    <m/>
    <m/>
    <m/>
    <m/>
    <m/>
    <m/>
    <n v="1"/>
    <m/>
    <m/>
    <m/>
    <m/>
    <m/>
    <m/>
    <m/>
    <m/>
    <m/>
    <n v="0"/>
    <n v="-1"/>
    <n v="0"/>
    <n v="0"/>
    <n v="0"/>
    <n v="0"/>
    <n v="0"/>
    <n v="0"/>
    <n v="0"/>
    <n v="-1"/>
    <m/>
    <m/>
    <n v="-1"/>
    <m/>
    <m/>
    <m/>
    <m/>
    <m/>
    <m/>
    <m/>
    <m/>
    <m/>
    <m/>
    <m/>
    <m/>
    <m/>
    <m/>
    <m/>
    <n v="-1"/>
    <n v="-1"/>
    <m/>
    <m/>
    <m/>
    <n v="519219"/>
    <n v="177132"/>
    <s v="Kew"/>
    <s v="Richmond"/>
    <m/>
    <m/>
    <m/>
    <m/>
    <m/>
    <s v="CA15 Kew Gardens"/>
    <s v="Y"/>
    <s v="Y"/>
    <s v="Kew"/>
    <x v="0"/>
  </r>
  <r>
    <s v="23/1154/FUL"/>
    <s v="MIX"/>
    <s v="FULL"/>
    <x v="139"/>
    <d v="2027-01-30T00:00:00"/>
    <d v="2024-01-30T00:00:00"/>
    <m/>
    <m/>
    <m/>
    <x v="1"/>
    <s v="Open Market"/>
    <m/>
    <m/>
    <m/>
    <s v="Proposed single storey extensions, single storey roof canopy &amp; roof space conversion to existing workshop to rear (part-retrospective); 3 No. residential unit infill over access road to front; adjustment to access point with dropped kerb; plus cycle parking, waste and recycling storage and hard &amp; soft landscaping"/>
    <s v="31 Stanley Road, Teddington TW11 8TP"/>
    <s v="TW11 8TP"/>
    <m/>
    <m/>
    <m/>
    <m/>
    <m/>
    <m/>
    <m/>
    <m/>
    <m/>
    <n v="0"/>
    <m/>
    <n v="2"/>
    <m/>
    <n v="1"/>
    <m/>
    <m/>
    <m/>
    <m/>
    <m/>
    <n v="3"/>
    <n v="2"/>
    <n v="0"/>
    <n v="1"/>
    <n v="0"/>
    <n v="0"/>
    <n v="0"/>
    <n v="0"/>
    <n v="0"/>
    <n v="3"/>
    <m/>
    <m/>
    <m/>
    <n v="1.5"/>
    <n v="1.5"/>
    <m/>
    <m/>
    <m/>
    <m/>
    <m/>
    <m/>
    <m/>
    <m/>
    <m/>
    <m/>
    <m/>
    <m/>
    <m/>
    <n v="3"/>
    <n v="3"/>
    <m/>
    <m/>
    <m/>
    <n v="515296"/>
    <n v="171228"/>
    <s v="Fulwell &amp; Hampton Hill"/>
    <s v="Teddington and the Hamptons"/>
    <m/>
    <m/>
    <m/>
    <m/>
    <m/>
    <m/>
    <m/>
    <s v="Y"/>
    <s v="Teddington &amp; Hampton Wick"/>
    <x v="0"/>
  </r>
  <r>
    <s v="23/1485/FUL"/>
    <s v="CHU"/>
    <s v="FULL"/>
    <x v="140"/>
    <d v="2027-05-29T00:00:00"/>
    <d v="2025-02-14T00:00:00"/>
    <s v="Y"/>
    <s v="Y"/>
    <d v="2025-11-14T00:00:00"/>
    <x v="1"/>
    <s v="Open Market"/>
    <m/>
    <m/>
    <m/>
    <s v="Change of use from Use Class E (office) to Use Class C3 (residential) to provide 1 x 3 bedroom maisonette and provision of one Air-source heat pump at first-floor level on the rear elevation and replacement windows and rooflight at the rear."/>
    <s v="12 - 14 Hill Street, Richmond TW9 1TN"/>
    <s v="TW9 1TN"/>
    <m/>
    <m/>
    <m/>
    <m/>
    <m/>
    <m/>
    <m/>
    <m/>
    <m/>
    <n v="0"/>
    <m/>
    <m/>
    <m/>
    <n v="1"/>
    <m/>
    <m/>
    <m/>
    <m/>
    <m/>
    <n v="1"/>
    <n v="0"/>
    <n v="0"/>
    <n v="1"/>
    <n v="0"/>
    <n v="0"/>
    <n v="0"/>
    <n v="0"/>
    <n v="0"/>
    <n v="1"/>
    <m/>
    <m/>
    <n v="1"/>
    <m/>
    <m/>
    <m/>
    <m/>
    <m/>
    <m/>
    <m/>
    <m/>
    <m/>
    <m/>
    <m/>
    <m/>
    <m/>
    <m/>
    <m/>
    <n v="1"/>
    <n v="1"/>
    <m/>
    <m/>
    <m/>
    <n v="517790"/>
    <n v="174728"/>
    <s v="South Richmond"/>
    <s v="Richmond"/>
    <s v="Richmond"/>
    <m/>
    <m/>
    <m/>
    <m/>
    <s v="CA17 Central Richmond"/>
    <s v="Y"/>
    <s v="Y"/>
    <s v="Richmond and Richmond Hill"/>
    <x v="0"/>
  </r>
  <r>
    <s v="23/1869/FUL"/>
    <s v="CON"/>
    <s v="FULL"/>
    <x v="141"/>
    <d v="2027-01-16T00:00:00"/>
    <d v="2024-10-01T00:00:00"/>
    <s v="Y"/>
    <m/>
    <d v="2025-07-31T00:00:00"/>
    <x v="1"/>
    <s v="Open Market"/>
    <m/>
    <m/>
    <m/>
    <s v="The subdivision of a two-storey maisonette flat into two separate flats and loft extension to the third flat including a flat roof dormer to the rear."/>
    <s v="391 Upper Richmond Road West, East Sheen SW14 7NX"/>
    <s v="SW14 7NX"/>
    <m/>
    <m/>
    <m/>
    <n v="1"/>
    <m/>
    <m/>
    <m/>
    <m/>
    <m/>
    <n v="1"/>
    <m/>
    <n v="3"/>
    <m/>
    <m/>
    <m/>
    <m/>
    <m/>
    <m/>
    <m/>
    <n v="3"/>
    <n v="3"/>
    <n v="0"/>
    <n v="-1"/>
    <n v="0"/>
    <n v="0"/>
    <n v="0"/>
    <n v="0"/>
    <n v="0"/>
    <n v="2"/>
    <m/>
    <m/>
    <n v="2"/>
    <m/>
    <m/>
    <m/>
    <m/>
    <m/>
    <m/>
    <m/>
    <m/>
    <m/>
    <m/>
    <m/>
    <m/>
    <m/>
    <m/>
    <m/>
    <n v="2"/>
    <n v="2"/>
    <m/>
    <m/>
    <m/>
    <n v="520411"/>
    <n v="175345"/>
    <s v="East Sheen"/>
    <s v="Barnes and East Sheen"/>
    <s v="East Sheen"/>
    <m/>
    <m/>
    <m/>
    <m/>
    <m/>
    <m/>
    <s v="Y"/>
    <s v="Mortlake and East Sheen"/>
    <x v="0"/>
  </r>
  <r>
    <s v="23/2146/FUL"/>
    <s v="NEW"/>
    <s v="FULL"/>
    <x v="142"/>
    <d v="2027-03-26T00:00:00"/>
    <d v="2024-11-30T00:00:00"/>
    <s v="Y"/>
    <m/>
    <m/>
    <x v="1"/>
    <s v="Open Market"/>
    <m/>
    <m/>
    <m/>
    <s v="Demolition of the existing dwelling at Little Orchard and the erection of a new dwelling maintaining the existing access off Bute Avenue and associated refuse/cycle storage and amendments to boundary treatment"/>
    <s v="Little Orchard, Sudbrook Lane, Petersham TW10 7AT"/>
    <s v="TW10 7AT"/>
    <m/>
    <m/>
    <m/>
    <m/>
    <n v="1"/>
    <m/>
    <m/>
    <m/>
    <m/>
    <n v="1"/>
    <m/>
    <m/>
    <m/>
    <m/>
    <n v="1"/>
    <m/>
    <m/>
    <m/>
    <m/>
    <n v="1"/>
    <n v="0"/>
    <n v="0"/>
    <n v="0"/>
    <n v="0"/>
    <n v="0"/>
    <n v="0"/>
    <n v="0"/>
    <n v="0"/>
    <n v="0"/>
    <m/>
    <m/>
    <n v="0"/>
    <m/>
    <m/>
    <m/>
    <m/>
    <m/>
    <m/>
    <m/>
    <m/>
    <m/>
    <m/>
    <m/>
    <m/>
    <m/>
    <m/>
    <m/>
    <n v="0"/>
    <n v="0"/>
    <m/>
    <m/>
    <m/>
    <n v="518142"/>
    <n v="172937"/>
    <s v="Ham, Petersham &amp; Richmond Riverside"/>
    <s v="Ham &amp; Petersham"/>
    <m/>
    <m/>
    <m/>
    <m/>
    <m/>
    <s v="CA6 Petersham"/>
    <s v="Y"/>
    <m/>
    <s v="Ham, Petersham &amp; Richmond Park"/>
    <x v="0"/>
  </r>
  <r>
    <s v="23/2944/GPD26"/>
    <s v="CHU"/>
    <s v="PA"/>
    <x v="143"/>
    <d v="2026-12-22T00:00:00"/>
    <d v="2024-02-01T00:00:00"/>
    <m/>
    <m/>
    <d v="2025-12-04T00:00:00"/>
    <x v="1"/>
    <s v="Open Market"/>
    <m/>
    <m/>
    <m/>
    <s v="Change of Use of Existing Ground Floor Class Use E (Office) to Class Use C3 (Dwelling)."/>
    <s v="44 Church Road, Teddington TW11 8PB"/>
    <s v="TW11 8PB"/>
    <m/>
    <m/>
    <m/>
    <m/>
    <m/>
    <m/>
    <m/>
    <m/>
    <m/>
    <n v="0"/>
    <m/>
    <m/>
    <n v="1"/>
    <m/>
    <m/>
    <m/>
    <m/>
    <m/>
    <m/>
    <n v="1"/>
    <n v="0"/>
    <n v="1"/>
    <n v="0"/>
    <n v="0"/>
    <n v="0"/>
    <n v="0"/>
    <n v="0"/>
    <n v="0"/>
    <n v="1"/>
    <m/>
    <m/>
    <n v="1"/>
    <m/>
    <m/>
    <m/>
    <m/>
    <m/>
    <m/>
    <m/>
    <m/>
    <m/>
    <m/>
    <m/>
    <m/>
    <m/>
    <m/>
    <m/>
    <n v="1"/>
    <n v="1"/>
    <m/>
    <m/>
    <m/>
    <n v="515687"/>
    <n v="171148"/>
    <s v="Teddington"/>
    <s v="Teddington and the Hamptons"/>
    <m/>
    <m/>
    <m/>
    <m/>
    <m/>
    <s v="CA85 Church Road"/>
    <s v="Y"/>
    <s v="Y"/>
    <s v="Teddington &amp; Hampton Wick"/>
    <x v="0"/>
  </r>
  <r>
    <s v="23/3457/FUL"/>
    <s v="NEW"/>
    <s v="FULL"/>
    <x v="144"/>
    <d v="2027-07-26T00:00:00"/>
    <d v="2025-03-18T00:00:00"/>
    <s v="Y"/>
    <s v="Y"/>
    <m/>
    <x v="1"/>
    <s v="Open Market"/>
    <m/>
    <m/>
    <m/>
    <s v="New three-bedroom house to the side of 16 Tayben Avenue; alterations to No.16 Tayben Avenue including new driveway and landscaping and roof extensions as per Lawful Development Certificate ref. 23/2302/PS192"/>
    <s v="16 Tayben Avenue, Twickenham TW2 7RA"/>
    <s v="TW2 7RA"/>
    <m/>
    <m/>
    <m/>
    <m/>
    <m/>
    <m/>
    <m/>
    <m/>
    <m/>
    <n v="0"/>
    <m/>
    <m/>
    <m/>
    <n v="1"/>
    <m/>
    <m/>
    <m/>
    <m/>
    <m/>
    <n v="1"/>
    <n v="0"/>
    <n v="0"/>
    <n v="1"/>
    <n v="0"/>
    <n v="0"/>
    <n v="0"/>
    <n v="0"/>
    <n v="0"/>
    <n v="1"/>
    <m/>
    <m/>
    <n v="1"/>
    <m/>
    <m/>
    <m/>
    <m/>
    <m/>
    <m/>
    <m/>
    <m/>
    <m/>
    <m/>
    <m/>
    <m/>
    <m/>
    <m/>
    <m/>
    <n v="1"/>
    <n v="1"/>
    <m/>
    <m/>
    <m/>
    <n v="515338"/>
    <n v="174026"/>
    <s v="St. Margarets &amp; North Twickenham"/>
    <s v="Twickenham"/>
    <m/>
    <m/>
    <m/>
    <m/>
    <m/>
    <m/>
    <m/>
    <s v="Y"/>
    <s v="Twickenham, Strawberry Hill &amp; St Margarets"/>
    <x v="1"/>
  </r>
  <r>
    <s v="24/0811/FUL"/>
    <s v="NEW"/>
    <s v="FULL"/>
    <x v="145"/>
    <d v="2027-11-06T00:00:00"/>
    <d v="2024-11-06T00:00:00"/>
    <s v="Y"/>
    <s v="Y"/>
    <d v="2025-06-09T00:00:00"/>
    <x v="1"/>
    <s v="Open Market"/>
    <m/>
    <m/>
    <m/>
    <s v="Demolition of existing dwelling, construction of single dwelling with associated refuse and cycle store. ASHP and EV charging point."/>
    <s v="2 West Temple Sheen, East Sheen SW14 7RT"/>
    <s v="SW14 7RT"/>
    <m/>
    <m/>
    <n v="1"/>
    <m/>
    <m/>
    <m/>
    <m/>
    <m/>
    <m/>
    <n v="1"/>
    <m/>
    <m/>
    <m/>
    <m/>
    <n v="1"/>
    <m/>
    <m/>
    <m/>
    <m/>
    <n v="1"/>
    <n v="0"/>
    <n v="-1"/>
    <n v="0"/>
    <n v="1"/>
    <n v="0"/>
    <n v="0"/>
    <n v="0"/>
    <n v="0"/>
    <n v="0"/>
    <m/>
    <m/>
    <n v="0"/>
    <m/>
    <m/>
    <m/>
    <m/>
    <m/>
    <m/>
    <m/>
    <m/>
    <m/>
    <m/>
    <m/>
    <m/>
    <m/>
    <m/>
    <m/>
    <n v="0"/>
    <n v="0"/>
    <m/>
    <m/>
    <m/>
    <n v="519882"/>
    <n v="175037"/>
    <s v="East Sheen"/>
    <s v="Barnes and East Sheen"/>
    <m/>
    <m/>
    <m/>
    <m/>
    <m/>
    <m/>
    <m/>
    <s v="Y"/>
    <s v="Mortlake and East Sheen"/>
    <x v="0"/>
  </r>
  <r>
    <s v="24/1631/GPD26"/>
    <s v="CHU"/>
    <s v="PA"/>
    <x v="146"/>
    <d v="2027-08-15T00:00:00"/>
    <d v="2025-03-03T00:00:00"/>
    <s v="Y"/>
    <s v="Y"/>
    <m/>
    <x v="1"/>
    <s v="Open Market"/>
    <m/>
    <m/>
    <m/>
    <s v="Conversion of part of ground floor from Class E to a 1 bed flat."/>
    <s v="398 Richmond Road, Twickenham TW1 2DY"/>
    <s v="TW1 2DY"/>
    <m/>
    <m/>
    <m/>
    <m/>
    <m/>
    <m/>
    <m/>
    <m/>
    <m/>
    <n v="0"/>
    <m/>
    <n v="1"/>
    <m/>
    <m/>
    <m/>
    <m/>
    <m/>
    <m/>
    <m/>
    <n v="1"/>
    <n v="1"/>
    <n v="0"/>
    <n v="0"/>
    <n v="0"/>
    <n v="0"/>
    <n v="0"/>
    <n v="0"/>
    <n v="0"/>
    <n v="1"/>
    <m/>
    <m/>
    <n v="1"/>
    <m/>
    <m/>
    <m/>
    <m/>
    <m/>
    <m/>
    <m/>
    <m/>
    <m/>
    <m/>
    <m/>
    <m/>
    <m/>
    <m/>
    <m/>
    <n v="1"/>
    <n v="1"/>
    <m/>
    <m/>
    <m/>
    <n v="517552"/>
    <n v="174330"/>
    <s v="Twickenham Riverside"/>
    <s v="Twickenham"/>
    <m/>
    <m/>
    <s v="East Twickenham"/>
    <s v="Y"/>
    <m/>
    <s v="CA66 Richmond Road East Twickenham"/>
    <s v="Y"/>
    <s v="Y"/>
    <s v="Twickenham, Strawberry Hill &amp; St Margarets"/>
    <x v="0"/>
  </r>
  <r>
    <s v="24/1784/FUL"/>
    <s v="CON"/>
    <s v="FULL"/>
    <x v="147"/>
    <d v="2027-11-14T00:00:00"/>
    <d v="2025-03-03T00:00:00"/>
    <s v="Y"/>
    <s v="Y"/>
    <m/>
    <x v="1"/>
    <s v="Open Market"/>
    <m/>
    <m/>
    <m/>
    <s v="Reduction in depth of existing rear extension and rebuilding rear wall. Insertion of new windows, door and rooflights and removal of existing extension into internal lightwell. Subdivision of 2no. existing flats at 1st and 2nd floor level to create 4no. flats."/>
    <s v="398 Richmond Road, Twickenham TW1 2DY"/>
    <s v="TW1 2DY"/>
    <m/>
    <m/>
    <n v="2"/>
    <m/>
    <m/>
    <m/>
    <m/>
    <m/>
    <m/>
    <n v="2"/>
    <m/>
    <n v="4"/>
    <m/>
    <m/>
    <m/>
    <m/>
    <m/>
    <m/>
    <m/>
    <n v="4"/>
    <n v="4"/>
    <n v="-2"/>
    <n v="0"/>
    <n v="0"/>
    <n v="0"/>
    <n v="0"/>
    <n v="0"/>
    <n v="0"/>
    <n v="2"/>
    <m/>
    <m/>
    <n v="2"/>
    <m/>
    <m/>
    <m/>
    <m/>
    <m/>
    <m/>
    <m/>
    <m/>
    <m/>
    <m/>
    <m/>
    <m/>
    <m/>
    <m/>
    <m/>
    <n v="2"/>
    <n v="2"/>
    <m/>
    <m/>
    <m/>
    <n v="517552"/>
    <n v="174330"/>
    <s v="Twickenham Riverside"/>
    <s v="Twickenham"/>
    <m/>
    <m/>
    <s v="East Twickenham"/>
    <s v="Y"/>
    <m/>
    <s v="CA66 Richmond Road East Twickenham"/>
    <s v="Y"/>
    <s v="Y"/>
    <s v="Twickenham, Strawberry Hill &amp; St Margarets"/>
    <x v="0"/>
  </r>
  <r>
    <s v="24/1812/GPD26"/>
    <s v="CHU"/>
    <s v="PA"/>
    <x v="148"/>
    <d v="2027-09-04T00:00:00"/>
    <d v="2025-02-01T00:00:00"/>
    <s v="Y"/>
    <s v="Y"/>
    <d v="2025-08-12T00:00:00"/>
    <x v="1"/>
    <s v="Open Market"/>
    <m/>
    <m/>
    <m/>
    <s v="Conversion of property from use Class E(g)(i) to Use Class C3 to provide one dwelling."/>
    <s v="The Old Fire Station, 123 Mortlake High Street, Mortlake SW14 8SN"/>
    <s v="SW14 8SN"/>
    <m/>
    <m/>
    <m/>
    <m/>
    <m/>
    <m/>
    <m/>
    <m/>
    <m/>
    <n v="0"/>
    <m/>
    <m/>
    <m/>
    <n v="1"/>
    <m/>
    <m/>
    <m/>
    <m/>
    <m/>
    <n v="1"/>
    <n v="0"/>
    <n v="0"/>
    <n v="1"/>
    <n v="0"/>
    <n v="0"/>
    <n v="0"/>
    <n v="0"/>
    <n v="0"/>
    <n v="1"/>
    <m/>
    <m/>
    <n v="1"/>
    <m/>
    <m/>
    <m/>
    <m/>
    <m/>
    <m/>
    <m/>
    <m/>
    <m/>
    <m/>
    <m/>
    <m/>
    <m/>
    <m/>
    <m/>
    <n v="1"/>
    <n v="1"/>
    <m/>
    <m/>
    <m/>
    <n v="521146"/>
    <n v="176059"/>
    <s v="Mortlake &amp; Barnes Common"/>
    <s v="Barnes and East Sheen"/>
    <m/>
    <s v="Thames Policy Area"/>
    <m/>
    <m/>
    <m/>
    <s v="CA33 Mortlake"/>
    <s v="Y"/>
    <s v="Y"/>
    <s v="Mortlake and East Sheen"/>
    <x v="0"/>
  </r>
  <r>
    <s v="24/2018/PS192"/>
    <s v="CHU"/>
    <s v="S192"/>
    <x v="149"/>
    <d v="2027-09-26T00:00:00"/>
    <d v="2024-11-01T00:00:00"/>
    <s v="Y"/>
    <s v="Y"/>
    <d v="2025-07-02T00:00:00"/>
    <x v="1"/>
    <s v="Open Market"/>
    <m/>
    <m/>
    <m/>
    <s v="Change of use from HMO C4 to Single Dwelling C3."/>
    <s v="63 Priory Road, Kew TW9 3DH"/>
    <s v="TW9 3DH"/>
    <m/>
    <m/>
    <m/>
    <m/>
    <m/>
    <m/>
    <n v="1"/>
    <m/>
    <m/>
    <n v="1"/>
    <m/>
    <m/>
    <m/>
    <m/>
    <m/>
    <n v="1"/>
    <m/>
    <m/>
    <m/>
    <n v="1"/>
    <n v="0"/>
    <n v="0"/>
    <n v="0"/>
    <n v="0"/>
    <n v="1"/>
    <n v="-1"/>
    <n v="0"/>
    <n v="0"/>
    <n v="0"/>
    <m/>
    <m/>
    <n v="0"/>
    <m/>
    <m/>
    <m/>
    <m/>
    <m/>
    <m/>
    <m/>
    <m/>
    <m/>
    <m/>
    <m/>
    <m/>
    <m/>
    <m/>
    <m/>
    <n v="0"/>
    <n v="0"/>
    <m/>
    <m/>
    <s v="Y"/>
    <n v="519351"/>
    <n v="177424"/>
    <s v="Kew"/>
    <s v="Richmond"/>
    <m/>
    <m/>
    <m/>
    <m/>
    <m/>
    <s v="CA2 Kew Green"/>
    <s v="Y"/>
    <s v="Y"/>
    <s v="Kew"/>
    <x v="0"/>
  </r>
  <r>
    <s v="24/2209/FUL"/>
    <s v="NEW"/>
    <s v="FULL"/>
    <x v="145"/>
    <d v="2027-11-06T00:00:00"/>
    <d v="2024-07-01T00:00:00"/>
    <s v="Y"/>
    <s v="Y"/>
    <m/>
    <x v="1"/>
    <s v="Open Market"/>
    <m/>
    <m/>
    <m/>
    <s v="Demolition of existing and construction of 2 storey, 3 bed replacement dwelling with rear and side extensions and front porch. Associated works including solar panels, air source heat pump, bike shed in rear garden."/>
    <s v="26 Washington Road, Barnes SW13 9BH"/>
    <s v="SW13 9BH"/>
    <m/>
    <m/>
    <m/>
    <n v="1"/>
    <m/>
    <m/>
    <m/>
    <m/>
    <m/>
    <n v="1"/>
    <m/>
    <m/>
    <m/>
    <n v="1"/>
    <m/>
    <m/>
    <m/>
    <m/>
    <m/>
    <n v="1"/>
    <n v="0"/>
    <n v="0"/>
    <n v="0"/>
    <n v="0"/>
    <n v="0"/>
    <n v="0"/>
    <n v="0"/>
    <n v="0"/>
    <n v="0"/>
    <m/>
    <m/>
    <n v="0"/>
    <m/>
    <m/>
    <m/>
    <m/>
    <m/>
    <m/>
    <m/>
    <m/>
    <m/>
    <m/>
    <m/>
    <m/>
    <m/>
    <m/>
    <m/>
    <n v="0"/>
    <n v="0"/>
    <m/>
    <m/>
    <m/>
    <n v="522350"/>
    <n v="177310"/>
    <s v="Barnes"/>
    <s v="Barnes and East Sheen"/>
    <m/>
    <m/>
    <m/>
    <m/>
    <m/>
    <m/>
    <m/>
    <s v="Y"/>
    <s v="Barnes"/>
    <x v="0"/>
  </r>
  <r>
    <s v="24/2431/GPD26"/>
    <s v="CHU"/>
    <s v="PA"/>
    <x v="150"/>
    <d v="2027-12-19T00:00:00"/>
    <d v="2024-12-19T00:00:00"/>
    <s v="Y"/>
    <s v="Y"/>
    <m/>
    <x v="1"/>
    <s v="Open Market"/>
    <m/>
    <m/>
    <m/>
    <s v="Change of use from premises in light industrial use (Class B1(c)) to C3, including internal alterations."/>
    <s v="Unit 1, Sheen Stables Rear Of 119 Sheen Lane, East Sheen"/>
    <s v="SW14 8AE"/>
    <m/>
    <m/>
    <m/>
    <m/>
    <m/>
    <m/>
    <m/>
    <m/>
    <m/>
    <n v="0"/>
    <m/>
    <m/>
    <n v="1"/>
    <m/>
    <m/>
    <m/>
    <m/>
    <m/>
    <m/>
    <n v="1"/>
    <n v="0"/>
    <n v="1"/>
    <n v="0"/>
    <n v="0"/>
    <n v="0"/>
    <n v="0"/>
    <n v="0"/>
    <n v="0"/>
    <n v="1"/>
    <m/>
    <m/>
    <n v="0.5"/>
    <n v="0.5"/>
    <m/>
    <m/>
    <m/>
    <m/>
    <m/>
    <m/>
    <m/>
    <m/>
    <m/>
    <m/>
    <m/>
    <m/>
    <m/>
    <m/>
    <n v="1"/>
    <n v="1"/>
    <m/>
    <m/>
    <m/>
    <n v="520517"/>
    <n v="175511"/>
    <s v="East Sheen"/>
    <s v="Barnes and East Sheen"/>
    <s v="East Sheen"/>
    <m/>
    <m/>
    <m/>
    <m/>
    <s v="CA70 Sheen Lane Mortlake"/>
    <s v="Y"/>
    <s v="Y"/>
    <s v="Mortlake and East Sheen"/>
    <x v="0"/>
  </r>
  <r>
    <s v="24/2655/GPD26"/>
    <s v="CHU"/>
    <s v="PA"/>
    <x v="151"/>
    <d v="2027-12-20T00:00:00"/>
    <d v="2025-03-01T00:00:00"/>
    <s v="Y"/>
    <s v="Y"/>
    <m/>
    <x v="1"/>
    <s v="Open Market"/>
    <m/>
    <m/>
    <m/>
    <s v="Change of Use of an office (Use Class E(g)(i)) to form 3no. dwellinghouses (Use Class C3)"/>
    <s v="1 Rocks Lane, Barnes"/>
    <s v="SW9 0DB"/>
    <m/>
    <m/>
    <m/>
    <m/>
    <m/>
    <m/>
    <m/>
    <m/>
    <m/>
    <n v="0"/>
    <m/>
    <n v="1"/>
    <n v="2"/>
    <m/>
    <m/>
    <m/>
    <m/>
    <m/>
    <m/>
    <n v="3"/>
    <n v="1"/>
    <n v="2"/>
    <n v="0"/>
    <n v="0"/>
    <n v="0"/>
    <n v="0"/>
    <n v="0"/>
    <n v="0"/>
    <n v="3"/>
    <m/>
    <m/>
    <n v="3"/>
    <m/>
    <m/>
    <m/>
    <m/>
    <m/>
    <m/>
    <m/>
    <m/>
    <m/>
    <m/>
    <m/>
    <m/>
    <m/>
    <m/>
    <m/>
    <n v="3"/>
    <n v="3"/>
    <m/>
    <m/>
    <m/>
    <n v="522378"/>
    <n v="176584"/>
    <s v="Barnes"/>
    <s v="Barnes and East Sheen"/>
    <m/>
    <m/>
    <s v="Church Road/Castelnau, Bar"/>
    <s v="Y"/>
    <m/>
    <s v="CA1 Barnes Green"/>
    <s v="Y"/>
    <s v="Y"/>
    <s v="Barnes"/>
    <x v="0"/>
  </r>
  <r>
    <s v="24/2720/FUL"/>
    <s v="EXT"/>
    <s v="FULL"/>
    <x v="152"/>
    <d v="2028-02-11T00:00:00"/>
    <d v="2025-03-03T00:00:00"/>
    <s v="Y"/>
    <s v="Y"/>
    <m/>
    <x v="1"/>
    <s v="Open Market"/>
    <m/>
    <m/>
    <m/>
    <s v="Mansard roof extension to create 1no. flat with associated bin and cycle storage.  New shop front and external alterations to include replacement windows and doors together with a reduction in the depth of the single storey rear extension and associated external alterations"/>
    <s v="398 Richmond Road, Twickenham TW1 2DY"/>
    <s v="TW1 2DY"/>
    <m/>
    <m/>
    <m/>
    <m/>
    <m/>
    <m/>
    <m/>
    <m/>
    <m/>
    <n v="0"/>
    <m/>
    <m/>
    <n v="1"/>
    <m/>
    <m/>
    <m/>
    <m/>
    <m/>
    <m/>
    <n v="1"/>
    <n v="0"/>
    <n v="1"/>
    <n v="0"/>
    <n v="0"/>
    <n v="0"/>
    <n v="0"/>
    <n v="0"/>
    <n v="0"/>
    <n v="1"/>
    <m/>
    <m/>
    <n v="1"/>
    <m/>
    <m/>
    <m/>
    <m/>
    <m/>
    <m/>
    <m/>
    <m/>
    <m/>
    <m/>
    <m/>
    <m/>
    <m/>
    <m/>
    <m/>
    <n v="1"/>
    <n v="1"/>
    <m/>
    <m/>
    <m/>
    <n v="517552"/>
    <n v="174330"/>
    <s v="Twickenham Riverside"/>
    <s v="Twickenham"/>
    <m/>
    <m/>
    <s v="East Twickenham"/>
    <s v="Y"/>
    <m/>
    <s v="CA66 Richmond Road East Twickenham"/>
    <s v="Y"/>
    <s v="Y"/>
    <s v="Twickenham, Strawberry Hill &amp; St Margarets"/>
    <x v="0"/>
  </r>
  <r>
    <s v="24/3195/GPD26"/>
    <s v="CHU"/>
    <s v="PA"/>
    <x v="152"/>
    <d v="2028-02-11T00:00:00"/>
    <d v="2025-03-31T00:00:00"/>
    <s v="Y"/>
    <s v="Y"/>
    <m/>
    <x v="1"/>
    <s v="Open Market"/>
    <m/>
    <m/>
    <m/>
    <s v="Change of use from offices (Class E) to a four bedroom dwelling (Class C3)."/>
    <s v="21 Park Lane, Richmond TW9 2RA"/>
    <s v="TW9 2RA"/>
    <m/>
    <m/>
    <m/>
    <m/>
    <m/>
    <m/>
    <m/>
    <m/>
    <m/>
    <n v="0"/>
    <m/>
    <m/>
    <m/>
    <m/>
    <n v="1"/>
    <m/>
    <m/>
    <m/>
    <m/>
    <n v="1"/>
    <n v="0"/>
    <n v="0"/>
    <n v="0"/>
    <n v="1"/>
    <n v="0"/>
    <n v="0"/>
    <n v="0"/>
    <n v="0"/>
    <n v="1"/>
    <m/>
    <m/>
    <n v="0.5"/>
    <n v="0.5"/>
    <m/>
    <m/>
    <m/>
    <m/>
    <m/>
    <m/>
    <m/>
    <m/>
    <m/>
    <m/>
    <m/>
    <m/>
    <m/>
    <m/>
    <n v="1"/>
    <n v="1"/>
    <m/>
    <m/>
    <m/>
    <n v="517913"/>
    <n v="175202"/>
    <s v="South Richmond"/>
    <s v="Richmond"/>
    <s v="Richmond"/>
    <m/>
    <m/>
    <m/>
    <m/>
    <s v="CA17 Central Richmond"/>
    <s v="Y"/>
    <s v="Y"/>
    <s v="Richmond and Richmond Hill"/>
    <x v="0"/>
  </r>
  <r>
    <s v="18/0693/FUL"/>
    <s v="NEW"/>
    <s v="FULL"/>
    <x v="153"/>
    <d v="2026-10-27T00:00:00"/>
    <m/>
    <m/>
    <m/>
    <m/>
    <x v="2"/>
    <s v="Open Market"/>
    <m/>
    <m/>
    <m/>
    <s v="Erection of a two storey house with additional rooms in the roof at the corner of St James's Road and Park Road (currently part of the plot of 59 Park Road). Alterations to boundary wall to facilitate the creation of new access from St James Road together with associated hard and soft landscaping, cycle and refuse stores and 2 x off-street parking."/>
    <s v="59 Park Road, Hampton Hill TW12 1HX"/>
    <s v="TW12 1HX"/>
    <m/>
    <m/>
    <m/>
    <m/>
    <m/>
    <m/>
    <m/>
    <m/>
    <m/>
    <n v="0"/>
    <m/>
    <m/>
    <m/>
    <m/>
    <m/>
    <n v="1"/>
    <m/>
    <m/>
    <m/>
    <n v="1"/>
    <n v="0"/>
    <n v="0"/>
    <n v="0"/>
    <n v="0"/>
    <n v="1"/>
    <n v="0"/>
    <n v="0"/>
    <n v="0"/>
    <n v="1"/>
    <m/>
    <m/>
    <n v="0.25"/>
    <n v="0.25"/>
    <n v="0.25"/>
    <n v="0.25"/>
    <m/>
    <m/>
    <m/>
    <m/>
    <m/>
    <m/>
    <m/>
    <m/>
    <m/>
    <m/>
    <m/>
    <m/>
    <n v="1"/>
    <n v="1"/>
    <m/>
    <m/>
    <m/>
    <n v="513964"/>
    <n v="171432"/>
    <s v="Fulwell &amp; Hampton Hill"/>
    <s v="Teddington and the Hamptons"/>
    <m/>
    <m/>
    <m/>
    <m/>
    <m/>
    <m/>
    <m/>
    <m/>
    <s v="Hampton &amp; Hampton Hill"/>
    <x v="1"/>
  </r>
  <r>
    <s v="18/3575/FUL"/>
    <s v="NEW"/>
    <s v="FULL"/>
    <x v="154"/>
    <d v="2026-08-31T00:00:00"/>
    <m/>
    <m/>
    <m/>
    <m/>
    <x v="2"/>
    <s v="Open Market"/>
    <m/>
    <m/>
    <m/>
    <s v="Demolition of existing garage. Erection of two x 2 storey five bed single-family dwellings with basement and associated hard and soft landscaping, new boundary treatment and refuse and cycle provision. Creation of dropped kerbs to facilitate provision of off-street parking."/>
    <s v="Land Rear Of 272-278 St Margarets Road, Twickenham"/>
    <s v="TW1"/>
    <m/>
    <m/>
    <m/>
    <m/>
    <m/>
    <m/>
    <m/>
    <m/>
    <m/>
    <n v="0"/>
    <m/>
    <m/>
    <m/>
    <m/>
    <m/>
    <n v="2"/>
    <m/>
    <m/>
    <m/>
    <n v="2"/>
    <n v="0"/>
    <n v="0"/>
    <n v="0"/>
    <n v="0"/>
    <n v="2"/>
    <n v="0"/>
    <n v="0"/>
    <n v="0"/>
    <n v="2"/>
    <m/>
    <m/>
    <n v="0.5"/>
    <n v="0.5"/>
    <n v="0.5"/>
    <n v="0.5"/>
    <m/>
    <m/>
    <m/>
    <m/>
    <m/>
    <m/>
    <m/>
    <m/>
    <m/>
    <m/>
    <m/>
    <m/>
    <n v="2"/>
    <n v="2"/>
    <m/>
    <m/>
    <m/>
    <n v="516610"/>
    <n v="174980"/>
    <s v="St. Margarets &amp; North Twickenham"/>
    <s v="Twickenham"/>
    <m/>
    <m/>
    <m/>
    <m/>
    <m/>
    <s v="CA19 St Margarets"/>
    <s v="Y"/>
    <s v="Y"/>
    <s v="Twickenham, Strawberry Hill &amp; St Margarets"/>
    <x v="1"/>
  </r>
  <r>
    <s v="19/0404/FUL"/>
    <s v="NEW"/>
    <s v="FULL"/>
    <x v="155"/>
    <d v="2025-06-30T00:00:00"/>
    <d v="2025-04-28T00:00:00"/>
    <m/>
    <m/>
    <m/>
    <x v="2"/>
    <s v="Open Market"/>
    <m/>
    <m/>
    <m/>
    <s v="Proposed construction of 2 bedroom dwellinghouse with 1No car parking space; secure storage for 2No cycles; refuse &amp; recycling storage; replacement of part of existing boundary wall with gates, piers &amp; railings to provide new pedestrian &amp; vehicular access"/>
    <s v="Land Adjacent To 53 Old Deer Park Gardens, Richmond"/>
    <s v="TW9 2T"/>
    <m/>
    <m/>
    <m/>
    <m/>
    <m/>
    <m/>
    <m/>
    <m/>
    <m/>
    <n v="0"/>
    <m/>
    <m/>
    <n v="1"/>
    <m/>
    <m/>
    <m/>
    <m/>
    <m/>
    <m/>
    <n v="1"/>
    <n v="0"/>
    <n v="1"/>
    <n v="0"/>
    <n v="0"/>
    <n v="0"/>
    <n v="0"/>
    <n v="0"/>
    <n v="0"/>
    <n v="1"/>
    <m/>
    <m/>
    <n v="0.5"/>
    <n v="0.5"/>
    <m/>
    <m/>
    <m/>
    <m/>
    <m/>
    <m/>
    <m/>
    <m/>
    <m/>
    <m/>
    <m/>
    <m/>
    <m/>
    <m/>
    <n v="1"/>
    <n v="1"/>
    <m/>
    <m/>
    <m/>
    <n v="518193"/>
    <n v="175740"/>
    <s v="North Richmond"/>
    <s v="Richmond"/>
    <m/>
    <m/>
    <m/>
    <m/>
    <m/>
    <m/>
    <m/>
    <s v="Y"/>
    <s v="Richmond and Richmond Hill"/>
    <x v="0"/>
  </r>
  <r>
    <s v="19/0510/FUL"/>
    <s v="NEW"/>
    <s v="FULL"/>
    <x v="54"/>
    <d v="2027-05-23T00:00:00"/>
    <m/>
    <m/>
    <s v="Y"/>
    <m/>
    <x v="2"/>
    <s v="London Affordable Rent"/>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31"/>
    <n v="57"/>
    <n v="15"/>
    <m/>
    <m/>
    <m/>
    <m/>
    <m/>
    <n v="103"/>
    <n v="31"/>
    <n v="57"/>
    <n v="15"/>
    <n v="0"/>
    <n v="0"/>
    <n v="0"/>
    <n v="0"/>
    <n v="0"/>
    <n v="103"/>
    <s v="Y"/>
    <m/>
    <m/>
    <m/>
    <m/>
    <n v="51.5"/>
    <n v="51.5"/>
    <m/>
    <m/>
    <m/>
    <m/>
    <m/>
    <m/>
    <m/>
    <m/>
    <m/>
    <m/>
    <m/>
    <n v="103"/>
    <n v="103"/>
    <m/>
    <m/>
    <m/>
    <n v="518903"/>
    <n v="175424"/>
    <s v="North Richmond"/>
    <s v="Richmond"/>
    <m/>
    <m/>
    <m/>
    <m/>
    <m/>
    <m/>
    <m/>
    <s v="Y"/>
    <s v="Richmond and Richmond Hill"/>
    <x v="0"/>
  </r>
  <r>
    <s v="19/0510/FUL"/>
    <s v="NEW"/>
    <s v="FULL"/>
    <x v="54"/>
    <d v="2027-05-23T00:00:00"/>
    <m/>
    <m/>
    <s v="Y"/>
    <m/>
    <x v="2"/>
    <s v="London Living rent"/>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25"/>
    <n v="11"/>
    <m/>
    <m/>
    <m/>
    <m/>
    <m/>
    <m/>
    <n v="36"/>
    <n v="25"/>
    <n v="11"/>
    <n v="0"/>
    <n v="0"/>
    <n v="0"/>
    <n v="0"/>
    <n v="0"/>
    <n v="0"/>
    <n v="36"/>
    <s v="Y"/>
    <m/>
    <m/>
    <m/>
    <m/>
    <n v="18"/>
    <n v="18"/>
    <m/>
    <m/>
    <m/>
    <m/>
    <m/>
    <m/>
    <m/>
    <m/>
    <m/>
    <m/>
    <m/>
    <n v="36"/>
    <n v="36"/>
    <m/>
    <m/>
    <m/>
    <n v="518903"/>
    <n v="175424"/>
    <s v="North Richmond"/>
    <s v="Richmond"/>
    <m/>
    <m/>
    <m/>
    <m/>
    <m/>
    <m/>
    <m/>
    <s v="Y"/>
    <s v="Richmond and Richmond Hill"/>
    <x v="0"/>
  </r>
  <r>
    <s v="19/0510/FUL"/>
    <s v="NEW"/>
    <s v="FULL"/>
    <x v="54"/>
    <d v="2027-05-23T00:00:00"/>
    <m/>
    <m/>
    <s v="Y"/>
    <m/>
    <x v="2"/>
    <s v="Open Market"/>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m/>
    <n v="116"/>
    <n v="145"/>
    <n v="19"/>
    <m/>
    <m/>
    <m/>
    <m/>
    <m/>
    <n v="280"/>
    <n v="116"/>
    <n v="145"/>
    <n v="19"/>
    <n v="0"/>
    <n v="0"/>
    <n v="0"/>
    <n v="0"/>
    <n v="0"/>
    <n v="280"/>
    <s v="Y"/>
    <m/>
    <m/>
    <m/>
    <m/>
    <n v="140"/>
    <n v="140"/>
    <m/>
    <m/>
    <m/>
    <m/>
    <m/>
    <m/>
    <m/>
    <m/>
    <m/>
    <m/>
    <m/>
    <n v="280"/>
    <n v="280"/>
    <m/>
    <m/>
    <m/>
    <n v="518903"/>
    <n v="175424"/>
    <s v="North Richmond"/>
    <s v="Richmond"/>
    <m/>
    <m/>
    <m/>
    <m/>
    <m/>
    <m/>
    <m/>
    <s v="Y"/>
    <s v="Richmond and Richmond Hill"/>
    <x v="0"/>
  </r>
  <r>
    <s v="19/0510/FUL"/>
    <s v="NEW"/>
    <s v="FULL"/>
    <x v="54"/>
    <d v="2027-05-23T00:00:00"/>
    <m/>
    <m/>
    <s v="Y"/>
    <m/>
    <x v="2"/>
    <s v="Shared Ownership"/>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1"/>
    <n v="33"/>
    <m/>
    <m/>
    <m/>
    <m/>
    <m/>
    <m/>
    <n v="34"/>
    <n v="1"/>
    <n v="33"/>
    <n v="0"/>
    <n v="0"/>
    <n v="0"/>
    <n v="0"/>
    <n v="0"/>
    <n v="0"/>
    <n v="34"/>
    <s v="Y"/>
    <m/>
    <m/>
    <m/>
    <m/>
    <n v="17"/>
    <n v="17"/>
    <m/>
    <m/>
    <m/>
    <m/>
    <m/>
    <m/>
    <m/>
    <m/>
    <m/>
    <m/>
    <m/>
    <n v="34"/>
    <n v="34"/>
    <m/>
    <m/>
    <m/>
    <n v="518903"/>
    <n v="175424"/>
    <s v="North Richmond"/>
    <s v="Richmond"/>
    <m/>
    <m/>
    <m/>
    <m/>
    <m/>
    <m/>
    <m/>
    <s v="Y"/>
    <s v="Richmond and Richmond Hill"/>
    <x v="0"/>
  </r>
  <r>
    <s v="19/3053/FUL"/>
    <s v="NEW"/>
    <s v="FULL"/>
    <x v="156"/>
    <d v="2026-07-10T00:00:00"/>
    <m/>
    <m/>
    <m/>
    <m/>
    <x v="2"/>
    <s v="Open Market"/>
    <m/>
    <m/>
    <m/>
    <s v="Erection of a detached building comprising 7 self contained flats and a single family dwelling with associated access, parking and landscaping."/>
    <s v="217 Kingston Road, Teddington TW11 9JN"/>
    <s v="TW11 9JN"/>
    <m/>
    <m/>
    <m/>
    <m/>
    <m/>
    <m/>
    <m/>
    <m/>
    <m/>
    <n v="0"/>
    <m/>
    <n v="3"/>
    <n v="5"/>
    <m/>
    <m/>
    <m/>
    <m/>
    <m/>
    <m/>
    <n v="8"/>
    <n v="3"/>
    <n v="5"/>
    <n v="0"/>
    <n v="0"/>
    <n v="0"/>
    <n v="0"/>
    <n v="0"/>
    <n v="0"/>
    <n v="8"/>
    <m/>
    <m/>
    <m/>
    <n v="2"/>
    <n v="2"/>
    <n v="2"/>
    <n v="2"/>
    <m/>
    <m/>
    <m/>
    <m/>
    <m/>
    <m/>
    <m/>
    <m/>
    <m/>
    <m/>
    <m/>
    <n v="8"/>
    <n v="8"/>
    <m/>
    <m/>
    <m/>
    <n v="516986"/>
    <n v="170503"/>
    <s v="Hampton Wick &amp; South Teddington"/>
    <s v="Teddington and the Hamptons"/>
    <m/>
    <m/>
    <m/>
    <m/>
    <m/>
    <m/>
    <m/>
    <s v="Y"/>
    <s v="Teddington &amp; Hampton Wick"/>
    <x v="1"/>
  </r>
  <r>
    <s v="20/0969/FUL"/>
    <s v="NEW"/>
    <s v="FULL"/>
    <x v="157"/>
    <d v="2025-11-10T00:00:00"/>
    <m/>
    <m/>
    <m/>
    <m/>
    <x v="2"/>
    <s v="Open Market"/>
    <m/>
    <m/>
    <m/>
    <s v="The demolition of an existing garage and ancillary outbuildings on garden land and the construction of 2 new detached houses."/>
    <s v="Land Rear Of 256 To 258, Kingston Road, Teddington"/>
    <s v="TW11"/>
    <m/>
    <m/>
    <m/>
    <m/>
    <m/>
    <m/>
    <m/>
    <m/>
    <m/>
    <n v="0"/>
    <m/>
    <m/>
    <n v="2"/>
    <m/>
    <m/>
    <m/>
    <m/>
    <m/>
    <m/>
    <n v="2"/>
    <n v="0"/>
    <n v="2"/>
    <n v="0"/>
    <n v="0"/>
    <n v="0"/>
    <n v="0"/>
    <n v="0"/>
    <n v="0"/>
    <n v="2"/>
    <m/>
    <m/>
    <m/>
    <n v="0.5"/>
    <n v="0.5"/>
    <n v="0.5"/>
    <n v="0.5"/>
    <m/>
    <m/>
    <m/>
    <m/>
    <m/>
    <m/>
    <m/>
    <m/>
    <m/>
    <m/>
    <m/>
    <n v="2"/>
    <n v="2"/>
    <m/>
    <m/>
    <m/>
    <n v="517060"/>
    <n v="170217"/>
    <s v="Hampton Wick &amp; South Teddington"/>
    <s v="Teddington and the Hamptons"/>
    <m/>
    <m/>
    <m/>
    <m/>
    <m/>
    <s v="CA83 Wick Road"/>
    <s v="Y"/>
    <s v="Y"/>
    <s v="Teddington &amp; Hampton Wick"/>
    <x v="1"/>
  </r>
  <r>
    <s v="20/1871/FUL"/>
    <s v="NEW"/>
    <s v="FULL"/>
    <x v="158"/>
    <d v="2025-10-20T00:00:00"/>
    <m/>
    <m/>
    <m/>
    <m/>
    <x v="2"/>
    <s v="Open Market"/>
    <m/>
    <m/>
    <m/>
    <s v="Demolition of two blocks of lock-up garages and construction of 3 x 2 bed dwellings with associated structures and landscaping works."/>
    <s v="Land R/O 8 To 18 Atbara Road, Teddington"/>
    <s v="TW11"/>
    <m/>
    <m/>
    <m/>
    <m/>
    <m/>
    <m/>
    <m/>
    <m/>
    <m/>
    <n v="0"/>
    <m/>
    <m/>
    <n v="3"/>
    <m/>
    <m/>
    <m/>
    <m/>
    <m/>
    <m/>
    <n v="3"/>
    <n v="0"/>
    <n v="3"/>
    <n v="0"/>
    <n v="0"/>
    <n v="0"/>
    <n v="0"/>
    <n v="0"/>
    <n v="0"/>
    <n v="3"/>
    <m/>
    <m/>
    <n v="0.75"/>
    <n v="0.75"/>
    <n v="0.75"/>
    <n v="0.75"/>
    <m/>
    <m/>
    <m/>
    <m/>
    <m/>
    <m/>
    <m/>
    <m/>
    <m/>
    <m/>
    <m/>
    <m/>
    <n v="3"/>
    <n v="3"/>
    <m/>
    <m/>
    <m/>
    <n v="516900"/>
    <n v="170739"/>
    <s v="Hampton Wick &amp; South Teddington"/>
    <s v="Teddington and the Hamptons"/>
    <m/>
    <m/>
    <m/>
    <m/>
    <m/>
    <m/>
    <m/>
    <s v="Y"/>
    <s v="Teddington &amp; Hampton Wick"/>
    <x v="0"/>
  </r>
  <r>
    <s v="20/3061/FUL"/>
    <s v="MIX"/>
    <s v="FULL"/>
    <x v="159"/>
    <d v="2027-08-22T00:00:00"/>
    <m/>
    <m/>
    <s v="Y"/>
    <m/>
    <x v="2"/>
    <s v="Open Market"/>
    <m/>
    <m/>
    <m/>
    <s v="Proposed rear ground floor and first floor extension with addition of a rear dormer and external alterations, creation of 2 x 2 bedroom units and 2 x studio units"/>
    <s v="58 Wellington Road, Hampton TW12 1JT"/>
    <s v="TW12 1JT"/>
    <m/>
    <n v="1"/>
    <m/>
    <n v="1"/>
    <m/>
    <m/>
    <m/>
    <m/>
    <m/>
    <n v="2"/>
    <m/>
    <n v="2"/>
    <n v="2"/>
    <m/>
    <m/>
    <m/>
    <m/>
    <m/>
    <m/>
    <n v="4"/>
    <n v="1"/>
    <n v="2"/>
    <n v="-1"/>
    <n v="0"/>
    <n v="0"/>
    <n v="0"/>
    <n v="0"/>
    <n v="0"/>
    <n v="2"/>
    <m/>
    <m/>
    <n v="0.5"/>
    <n v="0.5"/>
    <n v="0.5"/>
    <n v="0.5"/>
    <m/>
    <m/>
    <m/>
    <m/>
    <m/>
    <m/>
    <m/>
    <m/>
    <m/>
    <m/>
    <m/>
    <m/>
    <n v="2"/>
    <n v="2"/>
    <m/>
    <m/>
    <m/>
    <n v="514662"/>
    <n v="171708"/>
    <s v="Fulwell &amp; Hampton Hill"/>
    <s v="Teddington and the Hamptons"/>
    <m/>
    <m/>
    <m/>
    <m/>
    <m/>
    <m/>
    <m/>
    <s v="Y"/>
    <s v="Teddington &amp; Hampton Wick"/>
    <x v="0"/>
  </r>
  <r>
    <s v="21/0586/FUL"/>
    <s v="MIX"/>
    <s v="FULL"/>
    <x v="160"/>
    <d v="2026-11-09T00:00:00"/>
    <m/>
    <m/>
    <m/>
    <m/>
    <x v="2"/>
    <s v="Open Market"/>
    <m/>
    <m/>
    <m/>
    <s v="Demolition of Nos. 29 and 29b High Street and associated outbuildings, and erection of 8no. dwellings and 536.5sqm of Class E floorspace with associated works including the provision of 24 cycle spaces and 5 car parking spaces."/>
    <s v="29 To 31 High Street And Land To Rear Of High Street, Hampton Wick"/>
    <s v="KT1 4DA"/>
    <m/>
    <n v="1"/>
    <m/>
    <m/>
    <m/>
    <m/>
    <m/>
    <m/>
    <m/>
    <n v="1"/>
    <m/>
    <n v="7"/>
    <m/>
    <n v="1"/>
    <m/>
    <m/>
    <m/>
    <m/>
    <m/>
    <n v="8"/>
    <n v="6"/>
    <n v="0"/>
    <n v="1"/>
    <n v="0"/>
    <n v="0"/>
    <n v="0"/>
    <n v="0"/>
    <n v="0"/>
    <n v="7"/>
    <m/>
    <m/>
    <m/>
    <n v="3.5"/>
    <n v="3.5"/>
    <m/>
    <m/>
    <m/>
    <m/>
    <m/>
    <m/>
    <m/>
    <m/>
    <m/>
    <m/>
    <m/>
    <m/>
    <m/>
    <n v="7"/>
    <n v="7"/>
    <m/>
    <m/>
    <m/>
    <n v="517534"/>
    <n v="169493"/>
    <s v="Hampton Wick &amp; South Teddington"/>
    <s v="Teddington and the Hamptons"/>
    <m/>
    <m/>
    <s v="Hampton Wick"/>
    <s v="Y"/>
    <m/>
    <s v="CA18 Hampton Wick"/>
    <s v="Y"/>
    <s v="Y"/>
    <s v="Teddington &amp; Hampton Wick"/>
    <x v="0"/>
  </r>
  <r>
    <s v="21/1528/FUL"/>
    <s v="EXT"/>
    <s v="FULL"/>
    <x v="161"/>
    <d v="2026-01-13T00:00:00"/>
    <m/>
    <m/>
    <m/>
    <m/>
    <x v="2"/>
    <s v="Open Market"/>
    <m/>
    <m/>
    <m/>
    <s v="Second floor extension to create one additional one bed dwelling, together with car parking, cycle parking and associated landscaping works"/>
    <s v="Junction Court, 127 Station Road, Hampton"/>
    <s v="TW12 2AL"/>
    <m/>
    <m/>
    <m/>
    <m/>
    <m/>
    <m/>
    <m/>
    <m/>
    <m/>
    <n v="0"/>
    <m/>
    <n v="1"/>
    <m/>
    <m/>
    <m/>
    <m/>
    <m/>
    <m/>
    <m/>
    <n v="1"/>
    <n v="1"/>
    <n v="0"/>
    <n v="0"/>
    <n v="0"/>
    <n v="0"/>
    <n v="0"/>
    <n v="0"/>
    <n v="0"/>
    <n v="1"/>
    <m/>
    <m/>
    <n v="0.25"/>
    <n v="0.25"/>
    <n v="0.25"/>
    <n v="0.25"/>
    <m/>
    <m/>
    <m/>
    <m/>
    <m/>
    <m/>
    <m/>
    <m/>
    <m/>
    <m/>
    <m/>
    <m/>
    <n v="1"/>
    <n v="1"/>
    <m/>
    <m/>
    <m/>
    <n v="513359"/>
    <n v="169765"/>
    <s v="Hampton"/>
    <s v="Teddington and the Hamptons"/>
    <m/>
    <m/>
    <m/>
    <m/>
    <m/>
    <m/>
    <m/>
    <s v="Y"/>
    <s v="Hampton &amp; Hampton Hill"/>
    <x v="0"/>
  </r>
  <r>
    <s v="21/1616/FUL"/>
    <s v="EXT"/>
    <s v="FULL"/>
    <x v="162"/>
    <d v="2027-01-11T00:00:00"/>
    <m/>
    <m/>
    <m/>
    <m/>
    <x v="2"/>
    <s v="Open Market"/>
    <m/>
    <m/>
    <m/>
    <s v="Erection of 2nd floor roof extension to provide 4 flats (3 x one bedroom and 1 x two bedroom)"/>
    <s v="52 - 64 Heath Road, Twickenham"/>
    <s v="TW1 4BX"/>
    <m/>
    <m/>
    <m/>
    <m/>
    <m/>
    <m/>
    <m/>
    <m/>
    <m/>
    <n v="0"/>
    <m/>
    <n v="3"/>
    <n v="1"/>
    <m/>
    <m/>
    <m/>
    <m/>
    <m/>
    <m/>
    <n v="4"/>
    <n v="3"/>
    <n v="1"/>
    <n v="0"/>
    <n v="0"/>
    <n v="0"/>
    <n v="0"/>
    <n v="0"/>
    <n v="0"/>
    <n v="4"/>
    <m/>
    <m/>
    <m/>
    <n v="1"/>
    <n v="1"/>
    <n v="1"/>
    <n v="1"/>
    <m/>
    <m/>
    <m/>
    <m/>
    <m/>
    <m/>
    <m/>
    <m/>
    <m/>
    <m/>
    <m/>
    <n v="4"/>
    <n v="4"/>
    <m/>
    <m/>
    <m/>
    <n v="515974"/>
    <n v="173142"/>
    <s v="Twickenham Riverside"/>
    <s v="Twickenham"/>
    <s v="Twickenham"/>
    <m/>
    <m/>
    <m/>
    <m/>
    <m/>
    <m/>
    <s v="Y"/>
    <s v="Twickenham, Strawberry Hill &amp; St Margarets"/>
    <x v="0"/>
  </r>
  <r>
    <s v="21/1907/FUL"/>
    <s v="NEW"/>
    <s v="FULL"/>
    <x v="163"/>
    <d v="2025-09-13T00:00:00"/>
    <d v="2025-04-01T00:00:00"/>
    <m/>
    <m/>
    <m/>
    <x v="2"/>
    <s v="Open Market"/>
    <m/>
    <m/>
    <m/>
    <s v="Demolition of Existing Two (2) Storey Detached Dwelling and Construction of New Two (2) Storey Detached Dwelling with Habitable Roof Space."/>
    <s v="42 Ormond Crescent, Hampton TW12 2TH"/>
    <s v="TW12 2TH"/>
    <m/>
    <m/>
    <m/>
    <n v="1"/>
    <m/>
    <m/>
    <m/>
    <m/>
    <m/>
    <n v="1"/>
    <m/>
    <m/>
    <m/>
    <m/>
    <m/>
    <n v="1"/>
    <m/>
    <m/>
    <m/>
    <n v="1"/>
    <n v="0"/>
    <n v="0"/>
    <n v="-1"/>
    <n v="0"/>
    <n v="1"/>
    <n v="0"/>
    <n v="0"/>
    <n v="0"/>
    <n v="0"/>
    <m/>
    <m/>
    <n v="0"/>
    <m/>
    <m/>
    <m/>
    <m/>
    <m/>
    <m/>
    <m/>
    <m/>
    <m/>
    <m/>
    <m/>
    <m/>
    <m/>
    <m/>
    <m/>
    <n v="0"/>
    <n v="0"/>
    <m/>
    <m/>
    <m/>
    <n v="513868"/>
    <n v="169976"/>
    <s v="Hampton"/>
    <s v="Teddington and the Hamptons"/>
    <m/>
    <m/>
    <m/>
    <m/>
    <m/>
    <m/>
    <m/>
    <s v="Y"/>
    <s v="Hampton &amp; Hampton Hill"/>
    <x v="0"/>
  </r>
  <r>
    <s v="21/2209/FUL"/>
    <s v="MIX"/>
    <s v="FULL"/>
    <x v="164"/>
    <d v="2025-09-12T00:00:00"/>
    <d v="2025-09-11T00:00:00"/>
    <m/>
    <m/>
    <m/>
    <x v="2"/>
    <s v="Open Market"/>
    <m/>
    <m/>
    <m/>
    <s v="Extension and subdivision of existing end of terrace house to form two maisonette flats."/>
    <s v="155 Priory Road, Hampton TW12 2PT"/>
    <s v="TW12 2PT"/>
    <m/>
    <m/>
    <m/>
    <n v="1"/>
    <m/>
    <m/>
    <m/>
    <m/>
    <m/>
    <n v="1"/>
    <m/>
    <m/>
    <n v="1"/>
    <n v="1"/>
    <m/>
    <m/>
    <m/>
    <m/>
    <m/>
    <n v="2"/>
    <n v="0"/>
    <n v="1"/>
    <n v="0"/>
    <n v="0"/>
    <n v="0"/>
    <n v="0"/>
    <n v="0"/>
    <n v="0"/>
    <n v="1"/>
    <m/>
    <m/>
    <n v="0.5"/>
    <n v="0.5"/>
    <m/>
    <m/>
    <m/>
    <m/>
    <m/>
    <m/>
    <m/>
    <m/>
    <m/>
    <m/>
    <m/>
    <m/>
    <m/>
    <m/>
    <n v="1"/>
    <n v="1"/>
    <m/>
    <m/>
    <m/>
    <n v="512620"/>
    <n v="170020"/>
    <s v="Hampton"/>
    <s v="Teddington and the Hamptons"/>
    <m/>
    <m/>
    <m/>
    <m/>
    <m/>
    <m/>
    <m/>
    <s v="Y"/>
    <s v="Hampton &amp; Hampton Hill"/>
    <x v="1"/>
  </r>
  <r>
    <s v="21/2225/FUL"/>
    <s v="NEW"/>
    <s v="FULL"/>
    <x v="109"/>
    <d v="2025-04-21T00:00:00"/>
    <m/>
    <m/>
    <m/>
    <m/>
    <x v="2"/>
    <s v="Open Market"/>
    <m/>
    <m/>
    <m/>
    <s v="Demolition of existing building and erection of replacement 5 bedroom dwelling including associated hard and soft landscaping, cycle store and outbuilding"/>
    <s v="22 Parke Road, Barnes SW13 9NG"/>
    <s v="SW13 9NG"/>
    <m/>
    <m/>
    <m/>
    <m/>
    <n v="1"/>
    <m/>
    <m/>
    <m/>
    <m/>
    <n v="1"/>
    <m/>
    <m/>
    <m/>
    <m/>
    <m/>
    <n v="1"/>
    <m/>
    <m/>
    <m/>
    <n v="1"/>
    <n v="0"/>
    <n v="0"/>
    <n v="0"/>
    <n v="-1"/>
    <n v="1"/>
    <n v="0"/>
    <n v="0"/>
    <n v="0"/>
    <n v="0"/>
    <m/>
    <m/>
    <n v="0"/>
    <m/>
    <m/>
    <m/>
    <m/>
    <m/>
    <m/>
    <m/>
    <m/>
    <m/>
    <m/>
    <m/>
    <m/>
    <m/>
    <m/>
    <m/>
    <n v="0"/>
    <n v="0"/>
    <m/>
    <m/>
    <m/>
    <n v="522088"/>
    <n v="177109"/>
    <s v="Barnes"/>
    <s v="Barnes and East Sheen"/>
    <m/>
    <m/>
    <m/>
    <m/>
    <m/>
    <m/>
    <m/>
    <m/>
    <s v="Barnes"/>
    <x v="0"/>
  </r>
  <r>
    <s v="21/2758/FUL"/>
    <s v="NEW"/>
    <s v="FULL"/>
    <x v="165"/>
    <d v="2025-12-21T00:00:00"/>
    <d v="2025-09-30T00:00:00"/>
    <m/>
    <m/>
    <m/>
    <x v="2"/>
    <s v="Affordable Rent"/>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9"/>
    <n v="7"/>
    <n v="1"/>
    <m/>
    <m/>
    <m/>
    <m/>
    <m/>
    <n v="17"/>
    <n v="9"/>
    <n v="7"/>
    <n v="1"/>
    <n v="0"/>
    <n v="0"/>
    <n v="0"/>
    <n v="0"/>
    <n v="0"/>
    <n v="17"/>
    <s v="Y"/>
    <m/>
    <m/>
    <m/>
    <n v="17"/>
    <m/>
    <m/>
    <m/>
    <m/>
    <m/>
    <m/>
    <m/>
    <m/>
    <m/>
    <m/>
    <m/>
    <m/>
    <m/>
    <n v="17"/>
    <n v="17"/>
    <m/>
    <m/>
    <m/>
    <n v="516311"/>
    <n v="173216"/>
    <s v="Twickenham Riverside"/>
    <s v="Twickenham"/>
    <s v="Twickenham"/>
    <m/>
    <m/>
    <m/>
    <m/>
    <s v="CA8 Twickenham Riverside"/>
    <s v="Y"/>
    <s v="Y"/>
    <s v="Twickenham, Strawberry Hill &amp; St Margarets"/>
    <x v="0"/>
  </r>
  <r>
    <s v="21/2758/FUL"/>
    <s v="NEW"/>
    <s v="FULL"/>
    <x v="165"/>
    <d v="2025-12-21T00:00:00"/>
    <d v="2025-09-30T00:00:00"/>
    <m/>
    <m/>
    <m/>
    <x v="2"/>
    <s v="Intermediate"/>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2"/>
    <n v="2"/>
    <m/>
    <m/>
    <m/>
    <m/>
    <m/>
    <m/>
    <n v="4"/>
    <n v="2"/>
    <n v="2"/>
    <n v="0"/>
    <n v="0"/>
    <n v="0"/>
    <n v="0"/>
    <n v="0"/>
    <n v="0"/>
    <n v="4"/>
    <s v="Y"/>
    <m/>
    <m/>
    <m/>
    <n v="4"/>
    <m/>
    <m/>
    <m/>
    <m/>
    <m/>
    <m/>
    <m/>
    <m/>
    <m/>
    <m/>
    <m/>
    <m/>
    <m/>
    <n v="4"/>
    <n v="4"/>
    <m/>
    <m/>
    <m/>
    <n v="516311"/>
    <n v="173216"/>
    <s v="Twickenham Riverside"/>
    <s v="Twickenham"/>
    <s v="Twickenham"/>
    <m/>
    <m/>
    <m/>
    <m/>
    <s v="CA8 Twickenham Riverside"/>
    <s v="Y"/>
    <s v="Y"/>
    <s v="Twickenham, Strawberry Hill &amp; St Margarets"/>
    <x v="0"/>
  </r>
  <r>
    <s v="21/2758/FUL"/>
    <s v="NEW"/>
    <s v="FULL"/>
    <x v="165"/>
    <d v="2025-12-21T00:00:00"/>
    <d v="2025-09-30T00:00:00"/>
    <m/>
    <m/>
    <m/>
    <x v="2"/>
    <s v="Open Market"/>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harf Lane"/>
    <m/>
    <m/>
    <m/>
    <m/>
    <m/>
    <m/>
    <m/>
    <m/>
    <n v="0"/>
    <m/>
    <n v="14"/>
    <n v="10"/>
    <m/>
    <m/>
    <m/>
    <m/>
    <m/>
    <m/>
    <n v="24"/>
    <n v="14"/>
    <n v="10"/>
    <n v="0"/>
    <n v="0"/>
    <n v="0"/>
    <n v="0"/>
    <n v="0"/>
    <n v="0"/>
    <n v="24"/>
    <s v="Y"/>
    <m/>
    <m/>
    <m/>
    <n v="24"/>
    <m/>
    <m/>
    <m/>
    <m/>
    <m/>
    <m/>
    <m/>
    <m/>
    <m/>
    <m/>
    <m/>
    <m/>
    <m/>
    <n v="24"/>
    <n v="24"/>
    <m/>
    <m/>
    <m/>
    <n v="516311"/>
    <n v="173216"/>
    <s v="Twickenham Riverside"/>
    <s v="Twickenham"/>
    <s v="Twickenham"/>
    <m/>
    <m/>
    <m/>
    <m/>
    <s v="CA8 Twickenham Riverside"/>
    <s v="Y"/>
    <s v="Y"/>
    <s v="Twickenham, Strawberry Hill &amp; St Margarets"/>
    <x v="0"/>
  </r>
  <r>
    <s v="21/2764/FUL"/>
    <s v="CHU"/>
    <s v="FULL"/>
    <x v="166"/>
    <d v="2025-06-28T00:00:00"/>
    <m/>
    <m/>
    <m/>
    <m/>
    <x v="2"/>
    <s v="Open Market"/>
    <m/>
    <m/>
    <m/>
    <s v="Change of use of ground floor to create mixed Class E and C3 uses to provide a retail unit at ground floor, a separately accessed office in the basement and the replacement of the former tyre fitting bay and parking area with a building comprising two residential units"/>
    <s v="311 Upper Richmond Road West, East Sheen SW14 8QR"/>
    <s v="SW14 8QR"/>
    <m/>
    <m/>
    <m/>
    <m/>
    <m/>
    <m/>
    <m/>
    <m/>
    <m/>
    <n v="0"/>
    <m/>
    <n v="1"/>
    <n v="1"/>
    <m/>
    <m/>
    <m/>
    <m/>
    <m/>
    <m/>
    <n v="2"/>
    <n v="1"/>
    <n v="1"/>
    <n v="0"/>
    <n v="0"/>
    <n v="0"/>
    <n v="0"/>
    <n v="0"/>
    <n v="0"/>
    <n v="2"/>
    <m/>
    <m/>
    <n v="0.5"/>
    <n v="0.5"/>
    <n v="0.5"/>
    <n v="0.5"/>
    <m/>
    <m/>
    <m/>
    <m/>
    <m/>
    <m/>
    <m/>
    <m/>
    <m/>
    <m/>
    <m/>
    <m/>
    <n v="2"/>
    <n v="2"/>
    <m/>
    <m/>
    <m/>
    <n v="520700"/>
    <n v="175411"/>
    <s v="East Sheen"/>
    <s v="Barnes and East Sheen"/>
    <s v="East Sheen"/>
    <m/>
    <m/>
    <m/>
    <m/>
    <m/>
    <m/>
    <s v="Y"/>
    <s v="Mortlake and East Sheen"/>
    <x v="0"/>
  </r>
  <r>
    <s v="21/2788/FUL"/>
    <s v="CON"/>
    <s v="FULL"/>
    <x v="167"/>
    <d v="2025-12-16T00:00:00"/>
    <m/>
    <m/>
    <m/>
    <m/>
    <x v="2"/>
    <s v="Open Market"/>
    <m/>
    <m/>
    <m/>
    <s v="Convert the building containing 9no. flats to 4no flats (Use Class C3) , car parking, extension to existing basement, two storey rear extension, replacement fenestrations at front of the property, replacement and new fenestrations  to rear and rear patio."/>
    <s v="13 Manor Road, Twickenham"/>
    <s v="TW2 5DF"/>
    <m/>
    <n v="9"/>
    <m/>
    <m/>
    <m/>
    <m/>
    <m/>
    <m/>
    <m/>
    <n v="9"/>
    <m/>
    <n v="1"/>
    <n v="3"/>
    <m/>
    <m/>
    <m/>
    <m/>
    <m/>
    <m/>
    <n v="4"/>
    <n v="-8"/>
    <n v="3"/>
    <n v="0"/>
    <n v="0"/>
    <n v="0"/>
    <n v="0"/>
    <n v="0"/>
    <n v="0"/>
    <n v="-5"/>
    <m/>
    <m/>
    <m/>
    <n v="-1.25"/>
    <n v="-1.25"/>
    <n v="-1.25"/>
    <n v="-1.25"/>
    <m/>
    <m/>
    <m/>
    <m/>
    <m/>
    <m/>
    <m/>
    <m/>
    <m/>
    <m/>
    <m/>
    <n v="-5"/>
    <n v="-5"/>
    <m/>
    <m/>
    <m/>
    <n v="514541"/>
    <n v="172794"/>
    <s v="West Twickenham"/>
    <s v="Twickenham"/>
    <m/>
    <m/>
    <m/>
    <m/>
    <m/>
    <m/>
    <m/>
    <s v="Y"/>
    <s v="Twickenham, Strawberry Hill &amp; St Margarets"/>
    <x v="0"/>
  </r>
  <r>
    <s v="21/2970/FUL"/>
    <s v="MIX"/>
    <s v="FULL"/>
    <x v="168"/>
    <d v="2025-04-20T00:00:00"/>
    <m/>
    <m/>
    <m/>
    <m/>
    <x v="2"/>
    <s v="Open Market"/>
    <m/>
    <m/>
    <m/>
    <s v="Change of use from retail (Use Class E) on first and second floors at no 19 to create a new, three bed maisonette; First floor side/rear extension and PV panels to existing roof of No.19; change of use and extension of roof space (Use Class E) at no. 19a, including rooflights, raising the roof eaves/ridge and a dormer extension to create a new Studio flat; New shop frontage, including separate residential access to No.19a."/>
    <s v="19 - 19A King Street, Richmond"/>
    <s v="TW9 1ND"/>
    <m/>
    <m/>
    <m/>
    <m/>
    <m/>
    <m/>
    <m/>
    <m/>
    <m/>
    <n v="0"/>
    <m/>
    <n v="1"/>
    <m/>
    <n v="1"/>
    <m/>
    <m/>
    <m/>
    <m/>
    <m/>
    <n v="2"/>
    <n v="1"/>
    <n v="0"/>
    <n v="1"/>
    <n v="0"/>
    <n v="0"/>
    <n v="0"/>
    <n v="0"/>
    <n v="0"/>
    <n v="2"/>
    <m/>
    <m/>
    <n v="0.5"/>
    <n v="0.5"/>
    <n v="0.5"/>
    <n v="0.5"/>
    <m/>
    <m/>
    <m/>
    <m/>
    <m/>
    <m/>
    <m/>
    <m/>
    <m/>
    <m/>
    <m/>
    <m/>
    <n v="2"/>
    <n v="2"/>
    <m/>
    <m/>
    <m/>
    <n v="517711"/>
    <n v="174824"/>
    <s v="South Richmond"/>
    <s v="Richmond"/>
    <s v="Richmond"/>
    <m/>
    <m/>
    <m/>
    <m/>
    <s v="CA3 Richmond Green"/>
    <s v="Y"/>
    <s v="Y"/>
    <s v="Richmond and Richmond Hill"/>
    <x v="0"/>
  </r>
  <r>
    <s v="21/4201/FUL"/>
    <s v="NEW"/>
    <s v="FULL"/>
    <x v="169"/>
    <d v="2025-10-21T00:00:00"/>
    <m/>
    <m/>
    <m/>
    <m/>
    <x v="2"/>
    <s v="Open Market"/>
    <m/>
    <m/>
    <m/>
    <s v="Erection of a new dwellinghouse with associated parking and landscaping following the demolition of the existing house."/>
    <s v="5 Monmouth Avenue, Hampton Wick KT1 4HR"/>
    <s v="KT1 4HR"/>
    <m/>
    <m/>
    <m/>
    <n v="1"/>
    <m/>
    <m/>
    <m/>
    <m/>
    <m/>
    <n v="1"/>
    <m/>
    <m/>
    <m/>
    <m/>
    <n v="1"/>
    <m/>
    <m/>
    <m/>
    <m/>
    <n v="1"/>
    <n v="0"/>
    <n v="0"/>
    <n v="-1"/>
    <n v="1"/>
    <n v="0"/>
    <n v="0"/>
    <n v="0"/>
    <n v="0"/>
    <n v="0"/>
    <m/>
    <m/>
    <n v="0"/>
    <m/>
    <m/>
    <m/>
    <m/>
    <m/>
    <m/>
    <m/>
    <m/>
    <m/>
    <m/>
    <m/>
    <m/>
    <m/>
    <m/>
    <m/>
    <n v="0"/>
    <n v="0"/>
    <m/>
    <m/>
    <m/>
    <n v="517494"/>
    <n v="170095"/>
    <s v="Hampton Wick &amp; South Teddington"/>
    <s v="Teddington and the Hamptons"/>
    <m/>
    <m/>
    <m/>
    <m/>
    <m/>
    <m/>
    <m/>
    <s v="Y"/>
    <s v="Teddington &amp; Hampton Wick"/>
    <x v="0"/>
  </r>
  <r>
    <s v="21/4257/FUL"/>
    <s v="NEW"/>
    <s v="FULL"/>
    <x v="170"/>
    <d v="2025-09-05T00:00:00"/>
    <d v="2025-08-25T00:00:00"/>
    <m/>
    <m/>
    <m/>
    <x v="2"/>
    <s v="Open Market"/>
    <m/>
    <m/>
    <m/>
    <s v="Demolition of Existing House and Garaging and Erection of New Replacement Two Storey House with Part Basement, Additional Accommodation within the Roof Space, Attached Garages and External Works."/>
    <s v="Denbigh, 34 Lower Teddington Road, Hampton Wick KT1 4HJ"/>
    <s v="KT1 4HJ"/>
    <m/>
    <m/>
    <m/>
    <m/>
    <m/>
    <n v="1"/>
    <m/>
    <m/>
    <m/>
    <n v="1"/>
    <m/>
    <m/>
    <m/>
    <m/>
    <m/>
    <n v="1"/>
    <m/>
    <m/>
    <m/>
    <n v="1"/>
    <n v="0"/>
    <n v="0"/>
    <n v="0"/>
    <n v="0"/>
    <n v="0"/>
    <n v="0"/>
    <n v="0"/>
    <n v="0"/>
    <n v="0"/>
    <m/>
    <m/>
    <n v="0"/>
    <m/>
    <m/>
    <m/>
    <m/>
    <m/>
    <m/>
    <m/>
    <m/>
    <m/>
    <m/>
    <m/>
    <m/>
    <m/>
    <m/>
    <m/>
    <n v="0"/>
    <n v="0"/>
    <m/>
    <m/>
    <m/>
    <n v="517694"/>
    <n v="170046"/>
    <s v="Hampton Wick &amp; South Teddington"/>
    <s v="Teddington and the Hamptons"/>
    <m/>
    <s v="Thames Policy Area"/>
    <m/>
    <m/>
    <s v="Thames Hampton Wick"/>
    <s v="CA18 Hampton Wick"/>
    <s v="Y"/>
    <s v="Y"/>
    <s v="Teddington &amp; Hampton Wick"/>
    <x v="0"/>
  </r>
  <r>
    <s v="21/4262/FUL"/>
    <s v="CHU"/>
    <s v="FULL"/>
    <x v="33"/>
    <d v="2026-03-13T00:00:00"/>
    <m/>
    <m/>
    <m/>
    <m/>
    <x v="2"/>
    <s v="Open Market"/>
    <m/>
    <m/>
    <m/>
    <s v="A new window opening to the rear and change of use of existing office to C3 (residential) use to provide one bedroom flat"/>
    <s v="41 Barnes High Street, Barnes SW13 9LN"/>
    <s v="SW13 9LN"/>
    <m/>
    <m/>
    <m/>
    <m/>
    <m/>
    <m/>
    <m/>
    <m/>
    <m/>
    <n v="0"/>
    <m/>
    <n v="1"/>
    <m/>
    <m/>
    <m/>
    <m/>
    <m/>
    <m/>
    <m/>
    <n v="1"/>
    <n v="1"/>
    <n v="0"/>
    <n v="0"/>
    <n v="0"/>
    <n v="0"/>
    <n v="0"/>
    <n v="0"/>
    <n v="0"/>
    <n v="1"/>
    <m/>
    <m/>
    <n v="0.25"/>
    <n v="0.25"/>
    <n v="0.25"/>
    <n v="0.25"/>
    <m/>
    <m/>
    <m/>
    <m/>
    <m/>
    <m/>
    <m/>
    <m/>
    <m/>
    <m/>
    <m/>
    <m/>
    <n v="1"/>
    <n v="1"/>
    <m/>
    <m/>
    <m/>
    <n v="521585"/>
    <n v="176415"/>
    <s v="Barnes"/>
    <s v="Barnes and East Sheen"/>
    <m/>
    <s v="Thames Policy Area"/>
    <s v="High Street, Barnes"/>
    <s v="Y"/>
    <m/>
    <s v="CA1 Barnes Green"/>
    <s v="Y"/>
    <s v="Y"/>
    <s v="Barnes"/>
    <x v="0"/>
  </r>
  <r>
    <s v="21/4417/FUL"/>
    <s v="EXT"/>
    <s v="FULL"/>
    <x v="149"/>
    <d v="2027-09-26T00:00:00"/>
    <m/>
    <m/>
    <s v="Y"/>
    <m/>
    <x v="2"/>
    <s v="Open Market"/>
    <m/>
    <m/>
    <m/>
    <s v="Part extension to rear at first floor level and additional floor to facilitate the creation of 6 new residential flats including alterations/extensions to existing first floor flats and addition of external terraces."/>
    <s v="36 And 38 And 40 York Street, Twickenham"/>
    <s v="TW1 3LJ"/>
    <m/>
    <m/>
    <m/>
    <m/>
    <m/>
    <m/>
    <m/>
    <m/>
    <m/>
    <n v="0"/>
    <m/>
    <n v="5"/>
    <n v="1"/>
    <m/>
    <m/>
    <m/>
    <m/>
    <m/>
    <m/>
    <n v="6"/>
    <n v="5"/>
    <n v="1"/>
    <n v="0"/>
    <n v="0"/>
    <n v="0"/>
    <n v="0"/>
    <n v="0"/>
    <n v="0"/>
    <n v="6"/>
    <m/>
    <m/>
    <m/>
    <n v="1.5"/>
    <n v="1.5"/>
    <n v="1.5"/>
    <n v="1.5"/>
    <m/>
    <m/>
    <m/>
    <m/>
    <m/>
    <m/>
    <m/>
    <m/>
    <m/>
    <m/>
    <m/>
    <n v="6"/>
    <n v="6"/>
    <m/>
    <m/>
    <m/>
    <n v="516375"/>
    <n v="173378"/>
    <s v="Twickenham Riverside"/>
    <s v="Twickenham"/>
    <s v="Twickenham"/>
    <m/>
    <m/>
    <m/>
    <m/>
    <s v="CA8 Twickenham Riverside"/>
    <s v="Y"/>
    <s v="Y"/>
    <s v="Twickenham, Strawberry Hill &amp; St Margarets"/>
    <x v="0"/>
  </r>
  <r>
    <s v="22/0208/FUL"/>
    <s v="NEW"/>
    <s v="FULL"/>
    <x v="171"/>
    <d v="2025-09-02T00:00:00"/>
    <m/>
    <m/>
    <m/>
    <m/>
    <x v="2"/>
    <s v="Open Market"/>
    <m/>
    <m/>
    <m/>
    <s v="Construction of two-storey house with basement."/>
    <s v="3 Bridle Lane, Twickenham TW1 3EG"/>
    <s v="TW1 3EG"/>
    <m/>
    <m/>
    <m/>
    <m/>
    <m/>
    <m/>
    <m/>
    <m/>
    <m/>
    <n v="0"/>
    <m/>
    <m/>
    <n v="1"/>
    <m/>
    <m/>
    <m/>
    <m/>
    <m/>
    <m/>
    <n v="1"/>
    <n v="0"/>
    <n v="1"/>
    <n v="0"/>
    <n v="0"/>
    <n v="0"/>
    <n v="0"/>
    <n v="0"/>
    <n v="0"/>
    <n v="1"/>
    <m/>
    <m/>
    <n v="0.25"/>
    <n v="0.25"/>
    <n v="0.25"/>
    <n v="0.25"/>
    <m/>
    <m/>
    <m/>
    <m/>
    <m/>
    <m/>
    <m/>
    <m/>
    <m/>
    <m/>
    <m/>
    <m/>
    <n v="1"/>
    <n v="1"/>
    <m/>
    <m/>
    <m/>
    <n v="516814"/>
    <n v="174183"/>
    <s v="St. Margarets &amp; North Twickenham"/>
    <s v="Twickenham"/>
    <m/>
    <m/>
    <m/>
    <m/>
    <m/>
    <m/>
    <m/>
    <s v="Y"/>
    <s v="Twickenham, Strawberry Hill &amp; St Margarets"/>
    <x v="0"/>
  </r>
  <r>
    <s v="22/0252/HOT"/>
    <s v="NEW"/>
    <m/>
    <x v="172"/>
    <d v="2026-09-28T00:00:00"/>
    <m/>
    <m/>
    <m/>
    <m/>
    <x v="2"/>
    <s v="Open Market"/>
    <m/>
    <m/>
    <m/>
    <s v="Construction of new 2 storey house in garden."/>
    <s v="39 Second Cross Road, Twickenham TW2 5QY"/>
    <s v="TW2 5QY"/>
    <m/>
    <m/>
    <m/>
    <m/>
    <m/>
    <m/>
    <m/>
    <m/>
    <m/>
    <n v="0"/>
    <m/>
    <m/>
    <n v="1"/>
    <m/>
    <m/>
    <m/>
    <m/>
    <m/>
    <m/>
    <n v="1"/>
    <n v="0"/>
    <n v="1"/>
    <n v="0"/>
    <n v="0"/>
    <n v="0"/>
    <n v="0"/>
    <n v="0"/>
    <n v="0"/>
    <n v="1"/>
    <m/>
    <m/>
    <n v="0.25"/>
    <n v="0.25"/>
    <n v="0.25"/>
    <n v="0.25"/>
    <m/>
    <m/>
    <m/>
    <m/>
    <m/>
    <m/>
    <m/>
    <m/>
    <m/>
    <m/>
    <m/>
    <m/>
    <n v="1"/>
    <n v="1"/>
    <m/>
    <m/>
    <m/>
    <n v="515083"/>
    <n v="172833"/>
    <s v="West Twickenham"/>
    <s v="Twickenham"/>
    <m/>
    <m/>
    <m/>
    <m/>
    <m/>
    <s v="CA9 Twickenham Green"/>
    <s v="Y"/>
    <s v="Y"/>
    <s v="Twickenham, Strawberry Hill &amp; St Margarets"/>
    <x v="1"/>
  </r>
  <r>
    <s v="22/1001/FUL"/>
    <s v="NEW"/>
    <s v="FULL"/>
    <x v="131"/>
    <d v="2026-08-08T00:00:00"/>
    <m/>
    <m/>
    <m/>
    <m/>
    <x v="2"/>
    <s v="Open Market"/>
    <m/>
    <m/>
    <m/>
    <s v="Erection of a one and a half storey, three-bedroom house in the rear garden of No. 33 (including land to the rear of No. 35-35a) Wensleydale Road, with accommodation at basement level, associated hard and soft landscaping, 4 no. parking, refuse/recycling"/>
    <s v="33 Wensleydale Road, Hampton TW12 2LP"/>
    <s v="TW12 2LP"/>
    <m/>
    <m/>
    <m/>
    <m/>
    <m/>
    <m/>
    <m/>
    <m/>
    <m/>
    <n v="0"/>
    <m/>
    <m/>
    <m/>
    <n v="1"/>
    <m/>
    <m/>
    <m/>
    <m/>
    <m/>
    <n v="1"/>
    <n v="0"/>
    <n v="0"/>
    <n v="1"/>
    <n v="0"/>
    <n v="0"/>
    <n v="0"/>
    <n v="0"/>
    <n v="0"/>
    <n v="1"/>
    <m/>
    <m/>
    <n v="0.25"/>
    <n v="0.25"/>
    <n v="0.25"/>
    <n v="0.25"/>
    <m/>
    <m/>
    <m/>
    <m/>
    <m/>
    <m/>
    <m/>
    <m/>
    <m/>
    <m/>
    <m/>
    <m/>
    <n v="1"/>
    <n v="1"/>
    <m/>
    <m/>
    <m/>
    <n v="513515"/>
    <n v="170047"/>
    <s v="Hampton"/>
    <s v="Teddington and the Hamptons"/>
    <m/>
    <m/>
    <m/>
    <m/>
    <m/>
    <m/>
    <m/>
    <s v="Y"/>
    <s v="Hampton &amp; Hampton Hill"/>
    <x v="1"/>
  </r>
  <r>
    <s v="22/1029/FUL"/>
    <s v="CHU"/>
    <s v="FULL"/>
    <x v="173"/>
    <d v="2027-04-26T00:00:00"/>
    <m/>
    <m/>
    <s v="Y"/>
    <m/>
    <x v="2"/>
    <s v="Open Market"/>
    <m/>
    <m/>
    <m/>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m/>
    <n v="46"/>
    <n v="14"/>
    <n v="6"/>
    <m/>
    <m/>
    <m/>
    <m/>
    <m/>
    <n v="66"/>
    <n v="46"/>
    <n v="14"/>
    <n v="6"/>
    <n v="0"/>
    <n v="0"/>
    <n v="0"/>
    <n v="0"/>
    <n v="0"/>
    <n v="66"/>
    <s v="Y"/>
    <m/>
    <m/>
    <n v="33"/>
    <n v="33"/>
    <m/>
    <m/>
    <m/>
    <m/>
    <m/>
    <m/>
    <m/>
    <m/>
    <m/>
    <m/>
    <m/>
    <m/>
    <m/>
    <n v="66"/>
    <n v="66"/>
    <m/>
    <m/>
    <m/>
    <n v="517487"/>
    <n v="169400"/>
    <s v="Hampton Wick &amp; South Teddington"/>
    <s v="Teddington and the Hamptons"/>
    <m/>
    <m/>
    <s v="Hampton Wick"/>
    <s v="Y"/>
    <m/>
    <s v="CA18 Hampton Wick"/>
    <s v="Y"/>
    <s v="Y"/>
    <s v="Teddington &amp; Hampton Wick"/>
    <x v="0"/>
  </r>
  <r>
    <s v="22/1029/FUL"/>
    <s v="CHU"/>
    <s v="FULL"/>
    <x v="173"/>
    <d v="2027-04-26T00:00:00"/>
    <m/>
    <m/>
    <s v="Y"/>
    <m/>
    <x v="2"/>
    <s v="Social Rent"/>
    <m/>
    <m/>
    <m/>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s v="Y"/>
    <n v="2"/>
    <n v="1"/>
    <n v="1"/>
    <m/>
    <m/>
    <m/>
    <m/>
    <m/>
    <n v="4"/>
    <n v="2"/>
    <n v="1"/>
    <n v="1"/>
    <n v="0"/>
    <n v="0"/>
    <n v="0"/>
    <n v="0"/>
    <n v="0"/>
    <n v="4"/>
    <s v="Y"/>
    <m/>
    <m/>
    <n v="2"/>
    <n v="2"/>
    <m/>
    <m/>
    <m/>
    <m/>
    <m/>
    <m/>
    <m/>
    <m/>
    <m/>
    <m/>
    <m/>
    <m/>
    <m/>
    <n v="4"/>
    <n v="4"/>
    <m/>
    <m/>
    <m/>
    <n v="517487"/>
    <n v="169400"/>
    <s v="Hampton Wick &amp; South Teddington"/>
    <s v="Teddington and the Hamptons"/>
    <m/>
    <m/>
    <s v="Hampton Wick"/>
    <s v="Y"/>
    <m/>
    <s v="CA18 Hampton Wick"/>
    <s v="Y"/>
    <s v="Y"/>
    <s v="Teddington &amp; Hampton Wick"/>
    <x v="0"/>
  </r>
  <r>
    <s v="22/1075/FUL"/>
    <s v="CHU"/>
    <s v="FULL"/>
    <x v="22"/>
    <d v="2026-02-07T00:00:00"/>
    <d v="2024-07-25T00:00:00"/>
    <m/>
    <m/>
    <d v="2025-05-14T00:00:00"/>
    <x v="2"/>
    <s v="Open Market"/>
    <m/>
    <m/>
    <m/>
    <s v="Change of use of first floor from self-contained residential flat to office. Internal alterations including, upgrading the fire escape route, refurbishment of the kitchen to a tea room and WC facilities . Painting and decorating all rooms and corridors throughout the new offices and stair well to the private entrance."/>
    <s v="First Floor Flat, Teddington District Library, Waldegrave Road, Teddington TW11 8NY"/>
    <s v="TW11 8NY"/>
    <m/>
    <m/>
    <n v="1"/>
    <m/>
    <m/>
    <m/>
    <m/>
    <m/>
    <m/>
    <n v="1"/>
    <m/>
    <m/>
    <m/>
    <m/>
    <m/>
    <m/>
    <m/>
    <m/>
    <m/>
    <n v="0"/>
    <n v="0"/>
    <n v="-1"/>
    <n v="0"/>
    <n v="0"/>
    <n v="0"/>
    <n v="0"/>
    <n v="0"/>
    <n v="0"/>
    <n v="-1"/>
    <m/>
    <m/>
    <n v="-1"/>
    <m/>
    <m/>
    <m/>
    <m/>
    <m/>
    <m/>
    <m/>
    <m/>
    <m/>
    <m/>
    <m/>
    <m/>
    <m/>
    <m/>
    <m/>
    <n v="-1"/>
    <n v="-1"/>
    <m/>
    <m/>
    <m/>
    <n v="515895"/>
    <n v="171171"/>
    <s v="Teddington"/>
    <s v="Teddington and the Hamptons"/>
    <s v="Teddington"/>
    <m/>
    <m/>
    <m/>
    <m/>
    <s v="CA37 High Street Teddington"/>
    <s v="Y"/>
    <s v="Y"/>
    <s v="Teddington &amp; Hampton Wick"/>
    <x v="0"/>
  </r>
  <r>
    <s v="22/1082/FUL"/>
    <s v="NEW"/>
    <s v="FULL"/>
    <x v="174"/>
    <d v="2026-06-20T00:00:00"/>
    <m/>
    <m/>
    <m/>
    <m/>
    <x v="2"/>
    <s v="Open Market"/>
    <m/>
    <m/>
    <m/>
    <s v="Redevelopment of existing vacant car parking site to provide a two-storey one-bedroom detached dwellinghouse."/>
    <s v="Land Off Taylor Close, Hampton Hill"/>
    <s v="TW12 1HL"/>
    <m/>
    <m/>
    <m/>
    <m/>
    <m/>
    <m/>
    <m/>
    <m/>
    <m/>
    <n v="0"/>
    <m/>
    <n v="1"/>
    <m/>
    <m/>
    <m/>
    <m/>
    <m/>
    <m/>
    <m/>
    <n v="1"/>
    <n v="1"/>
    <n v="0"/>
    <n v="0"/>
    <n v="0"/>
    <n v="0"/>
    <n v="0"/>
    <n v="0"/>
    <n v="0"/>
    <n v="1"/>
    <m/>
    <m/>
    <n v="0.25"/>
    <n v="0.25"/>
    <n v="0.25"/>
    <n v="0.25"/>
    <m/>
    <m/>
    <m/>
    <m/>
    <m/>
    <m/>
    <m/>
    <m/>
    <m/>
    <m/>
    <m/>
    <m/>
    <n v="1"/>
    <n v="1"/>
    <m/>
    <m/>
    <m/>
    <n v="514372"/>
    <n v="171120"/>
    <s v="Fulwell &amp; Hampton Hill"/>
    <s v="Teddington and the Hamptons"/>
    <m/>
    <m/>
    <s v="High Street, Hampton Hill"/>
    <s v="Y"/>
    <m/>
    <m/>
    <m/>
    <m/>
    <s v="Hampton &amp; Hampton Hill"/>
    <x v="0"/>
  </r>
  <r>
    <s v="22/1106/GPD26"/>
    <s v="CHU"/>
    <s v="PA"/>
    <x v="175"/>
    <d v="2025-05-30T00:00:00"/>
    <m/>
    <m/>
    <m/>
    <m/>
    <x v="2"/>
    <s v="Open Market"/>
    <m/>
    <m/>
    <m/>
    <s v="Conversion of a shop to single family dwelling house."/>
    <s v="1 Station Road, Teddington TW11 9AA"/>
    <s v="TW11 9AA"/>
    <m/>
    <m/>
    <m/>
    <m/>
    <m/>
    <m/>
    <m/>
    <m/>
    <m/>
    <n v="0"/>
    <m/>
    <m/>
    <n v="1"/>
    <m/>
    <m/>
    <m/>
    <m/>
    <m/>
    <m/>
    <n v="1"/>
    <n v="0"/>
    <n v="1"/>
    <n v="0"/>
    <n v="0"/>
    <n v="0"/>
    <n v="0"/>
    <n v="0"/>
    <n v="0"/>
    <n v="1"/>
    <m/>
    <m/>
    <n v="0.25"/>
    <n v="0.25"/>
    <n v="0.25"/>
    <n v="0.25"/>
    <m/>
    <m/>
    <m/>
    <m/>
    <m/>
    <m/>
    <m/>
    <m/>
    <m/>
    <m/>
    <m/>
    <m/>
    <n v="1"/>
    <n v="1"/>
    <m/>
    <m/>
    <m/>
    <n v="515985"/>
    <n v="171070"/>
    <s v="Teddington"/>
    <s v="Teddington and the Hamptons"/>
    <s v="Teddington"/>
    <m/>
    <m/>
    <m/>
    <m/>
    <s v="CA37 High Street Teddington"/>
    <s v="Y"/>
    <s v="Y"/>
    <s v="Teddington &amp; Hampton Wick"/>
    <x v="0"/>
  </r>
  <r>
    <s v="22/1219/FUL"/>
    <s v="CON"/>
    <s v="FULL"/>
    <x v="176"/>
    <d v="2026-09-28T00:00:00"/>
    <m/>
    <m/>
    <m/>
    <m/>
    <x v="2"/>
    <s v="Open Market"/>
    <m/>
    <m/>
    <m/>
    <s v="Subdivision of the existing dwelling into 2no. self-contained flats along with the construction of a rear extension, single storey infill extensions and 2x dormer windows with associated parking and amenity space."/>
    <s v="602 Hanworth Road, Whitton TW4 5LJ"/>
    <s v="TW4 5LJ"/>
    <m/>
    <m/>
    <m/>
    <n v="1"/>
    <m/>
    <m/>
    <m/>
    <m/>
    <m/>
    <n v="1"/>
    <m/>
    <m/>
    <n v="2"/>
    <m/>
    <m/>
    <m/>
    <m/>
    <m/>
    <m/>
    <n v="2"/>
    <n v="0"/>
    <n v="2"/>
    <n v="-1"/>
    <n v="0"/>
    <n v="0"/>
    <n v="0"/>
    <n v="0"/>
    <n v="0"/>
    <n v="1"/>
    <m/>
    <m/>
    <n v="0.25"/>
    <n v="0.25"/>
    <n v="0.25"/>
    <n v="0.25"/>
    <m/>
    <m/>
    <m/>
    <m/>
    <m/>
    <m/>
    <m/>
    <m/>
    <m/>
    <m/>
    <m/>
    <m/>
    <n v="1"/>
    <n v="1"/>
    <m/>
    <m/>
    <m/>
    <n v="512958"/>
    <n v="173983"/>
    <s v="Heathfield"/>
    <s v="Whitton"/>
    <m/>
    <m/>
    <m/>
    <m/>
    <m/>
    <m/>
    <m/>
    <m/>
    <s v="Whitton and Heathfield"/>
    <x v="0"/>
  </r>
  <r>
    <s v="22/1285/GPD26"/>
    <s v="CHU"/>
    <s v="PA"/>
    <x v="177"/>
    <d v="2025-05-31T00:00:00"/>
    <d v="2025-04-01T00:00:00"/>
    <m/>
    <m/>
    <m/>
    <x v="2"/>
    <s v="Open Market"/>
    <m/>
    <m/>
    <m/>
    <s v="Change of Use to Single Dwelling House"/>
    <s v="5 Bridle Lane, Twickenham TW1 3EG"/>
    <s v="TW1 3EG"/>
    <m/>
    <m/>
    <m/>
    <m/>
    <m/>
    <m/>
    <m/>
    <m/>
    <m/>
    <n v="0"/>
    <m/>
    <m/>
    <n v="1"/>
    <m/>
    <m/>
    <m/>
    <m/>
    <m/>
    <m/>
    <n v="1"/>
    <n v="0"/>
    <n v="1"/>
    <n v="0"/>
    <n v="0"/>
    <n v="0"/>
    <n v="0"/>
    <n v="0"/>
    <n v="0"/>
    <n v="1"/>
    <m/>
    <m/>
    <n v="1"/>
    <m/>
    <m/>
    <m/>
    <m/>
    <m/>
    <m/>
    <m/>
    <m/>
    <m/>
    <m/>
    <m/>
    <m/>
    <m/>
    <m/>
    <m/>
    <n v="1"/>
    <n v="1"/>
    <m/>
    <m/>
    <m/>
    <n v="516837"/>
    <n v="174180"/>
    <s v="St. Margarets &amp; North Twickenham"/>
    <s v="Twickenham"/>
    <m/>
    <m/>
    <s v="St Margarets"/>
    <s v="Y"/>
    <m/>
    <s v="CA49 Crown Road St Margarets"/>
    <s v="Y"/>
    <s v="Y"/>
    <s v="Twickenham, Strawberry Hill &amp; St Margarets"/>
    <x v="0"/>
  </r>
  <r>
    <s v="22/1486/FUL"/>
    <s v="NEW"/>
    <s v="FULL"/>
    <x v="178"/>
    <d v="2026-09-20T00:00:00"/>
    <m/>
    <m/>
    <m/>
    <m/>
    <x v="2"/>
    <s v="Open Market"/>
    <m/>
    <m/>
    <m/>
    <s v="Demolition of garage block and redevelopment of the site for two three storey four bed townhouses (Class C3) with associated amenity space, car and cycle parking and refuse stores"/>
    <s v="Garages Adjacent 11 Ferrymoor, Ham"/>
    <s v="TW10 7SD"/>
    <m/>
    <m/>
    <m/>
    <m/>
    <m/>
    <m/>
    <m/>
    <m/>
    <m/>
    <n v="0"/>
    <m/>
    <m/>
    <m/>
    <m/>
    <n v="2"/>
    <m/>
    <m/>
    <m/>
    <m/>
    <n v="2"/>
    <n v="0"/>
    <n v="0"/>
    <n v="0"/>
    <n v="2"/>
    <n v="0"/>
    <n v="0"/>
    <n v="0"/>
    <n v="0"/>
    <n v="2"/>
    <m/>
    <m/>
    <n v="0.5"/>
    <n v="0.5"/>
    <n v="0.5"/>
    <n v="0.5"/>
    <m/>
    <m/>
    <m/>
    <m/>
    <m/>
    <m/>
    <m/>
    <m/>
    <m/>
    <m/>
    <m/>
    <m/>
    <n v="2"/>
    <n v="2"/>
    <m/>
    <m/>
    <m/>
    <n v="516805"/>
    <n v="172149"/>
    <s v="Ham, Petersham &amp; Richmond Riverside"/>
    <s v="Ham &amp; Petersham"/>
    <m/>
    <m/>
    <m/>
    <m/>
    <m/>
    <m/>
    <m/>
    <m/>
    <s v="Ham, Petersham &amp; Richmond Park"/>
    <x v="0"/>
  </r>
  <r>
    <s v="22/1575/FUL"/>
    <s v="NEW"/>
    <s v="FULL"/>
    <x v="179"/>
    <d v="2026-01-09T00:00:00"/>
    <m/>
    <m/>
    <m/>
    <m/>
    <x v="2"/>
    <s v="Open Market"/>
    <m/>
    <m/>
    <m/>
    <s v="Proposed two-storey 2-bedroom mews house with accommodation in the roof including parking, bicycle and bin storage and private amenity space"/>
    <s v="Land To Rear Of 177 High Street, Hampton Hill"/>
    <s v="TW12 1NL"/>
    <m/>
    <m/>
    <m/>
    <m/>
    <m/>
    <m/>
    <m/>
    <m/>
    <m/>
    <n v="0"/>
    <m/>
    <m/>
    <n v="1"/>
    <m/>
    <m/>
    <m/>
    <m/>
    <m/>
    <m/>
    <n v="1"/>
    <n v="0"/>
    <n v="1"/>
    <n v="0"/>
    <n v="0"/>
    <n v="0"/>
    <n v="0"/>
    <n v="0"/>
    <n v="0"/>
    <n v="1"/>
    <m/>
    <m/>
    <n v="0.25"/>
    <n v="0.25"/>
    <n v="0.25"/>
    <n v="0.25"/>
    <m/>
    <m/>
    <m/>
    <m/>
    <m/>
    <m/>
    <m/>
    <m/>
    <m/>
    <m/>
    <m/>
    <m/>
    <n v="1"/>
    <n v="1"/>
    <m/>
    <m/>
    <m/>
    <n v="514428"/>
    <n v="171230"/>
    <s v="Fulwell &amp; Hampton Hill"/>
    <s v="Teddington and the Hamptons"/>
    <m/>
    <m/>
    <m/>
    <m/>
    <m/>
    <m/>
    <m/>
    <s v="Y"/>
    <s v="Hampton &amp; Hampton Hill"/>
    <x v="0"/>
  </r>
  <r>
    <s v="22/1769/GPD26"/>
    <s v="CHU"/>
    <s v="PA"/>
    <x v="180"/>
    <d v="2025-09-18T00:00:00"/>
    <m/>
    <m/>
    <m/>
    <m/>
    <x v="2"/>
    <s v="Open Market"/>
    <m/>
    <m/>
    <m/>
    <s v="Part change of use of the ground floor of the building from commercial premises (Use Class E) to 2 residential apartments (Use Class C3)."/>
    <s v="112 - 114 High Street, Whitton"/>
    <s v="TW2 7LD"/>
    <m/>
    <m/>
    <m/>
    <m/>
    <m/>
    <m/>
    <m/>
    <m/>
    <m/>
    <n v="0"/>
    <m/>
    <n v="2"/>
    <m/>
    <m/>
    <m/>
    <m/>
    <m/>
    <m/>
    <m/>
    <n v="2"/>
    <n v="2"/>
    <n v="0"/>
    <n v="0"/>
    <n v="0"/>
    <n v="0"/>
    <n v="0"/>
    <n v="0"/>
    <n v="0"/>
    <n v="2"/>
    <m/>
    <m/>
    <n v="0.5"/>
    <n v="0.5"/>
    <n v="0.5"/>
    <n v="0.5"/>
    <m/>
    <m/>
    <m/>
    <m/>
    <m/>
    <m/>
    <m/>
    <m/>
    <m/>
    <m/>
    <m/>
    <m/>
    <n v="2"/>
    <n v="2"/>
    <m/>
    <m/>
    <m/>
    <n v="514180"/>
    <n v="173646"/>
    <s v="Whitton"/>
    <s v="Whitton"/>
    <s v="Whitton"/>
    <m/>
    <m/>
    <m/>
    <m/>
    <m/>
    <m/>
    <s v="Y"/>
    <s v="Whitton and Heathfield"/>
    <x v="0"/>
  </r>
  <r>
    <s v="22/1825/FUL"/>
    <s v="NEW"/>
    <s v="FULL"/>
    <x v="123"/>
    <d v="2025-11-07T00:00:00"/>
    <m/>
    <m/>
    <m/>
    <m/>
    <x v="2"/>
    <s v="Social Rent"/>
    <m/>
    <m/>
    <m/>
    <s v="Demolition of existing dwelling and associated outbuildings, and erection of 4no. new 1bed and 2bed affordable flats, with associated landscaping, cycle and refuse stores"/>
    <s v="88 Richmond Road, Twickenham TW1 3BB"/>
    <s v="TW1 3BB"/>
    <m/>
    <m/>
    <m/>
    <n v="1"/>
    <m/>
    <m/>
    <m/>
    <m/>
    <m/>
    <n v="1"/>
    <s v="Y"/>
    <n v="3"/>
    <n v="1"/>
    <m/>
    <m/>
    <m/>
    <m/>
    <m/>
    <m/>
    <n v="4"/>
    <n v="3"/>
    <n v="1"/>
    <n v="-1"/>
    <n v="0"/>
    <n v="0"/>
    <n v="0"/>
    <n v="0"/>
    <n v="0"/>
    <n v="3"/>
    <m/>
    <m/>
    <n v="0.75"/>
    <n v="0.75"/>
    <n v="0.75"/>
    <n v="0.75"/>
    <m/>
    <m/>
    <m/>
    <m/>
    <m/>
    <m/>
    <m/>
    <m/>
    <m/>
    <m/>
    <m/>
    <m/>
    <n v="3"/>
    <n v="3"/>
    <m/>
    <m/>
    <m/>
    <n v="516734"/>
    <n v="173647"/>
    <s v="Twickenham Riverside"/>
    <s v="Twickenham"/>
    <m/>
    <m/>
    <m/>
    <m/>
    <s v="Orleans School"/>
    <s v="CA8 Twickenham Riverside"/>
    <s v="Y"/>
    <s v="Y"/>
    <s v="Twickenham, Strawberry Hill &amp; St Margarets"/>
    <x v="0"/>
  </r>
  <r>
    <s v="22/1831/FUL"/>
    <s v="NEW"/>
    <s v="FULL"/>
    <x v="181"/>
    <d v="2026-04-28T00:00:00"/>
    <d v="2025-04-01T00:00:00"/>
    <m/>
    <m/>
    <m/>
    <x v="2"/>
    <s v="Open Market"/>
    <m/>
    <m/>
    <m/>
    <s v="Erection of 2 detached dwellings with associated off street parking &amp; private amenity space which accommodates refuse and cycle storage."/>
    <s v="Willowdene, Millfield Road, Whitton TW4 5PN"/>
    <s v="TW4 5PN"/>
    <m/>
    <m/>
    <m/>
    <m/>
    <m/>
    <m/>
    <m/>
    <m/>
    <m/>
    <n v="0"/>
    <m/>
    <m/>
    <n v="1"/>
    <m/>
    <n v="1"/>
    <m/>
    <m/>
    <m/>
    <m/>
    <n v="2"/>
    <n v="0"/>
    <n v="1"/>
    <n v="0"/>
    <n v="1"/>
    <n v="0"/>
    <n v="0"/>
    <n v="0"/>
    <n v="0"/>
    <n v="2"/>
    <m/>
    <m/>
    <m/>
    <n v="1"/>
    <n v="1"/>
    <m/>
    <m/>
    <m/>
    <m/>
    <m/>
    <m/>
    <m/>
    <m/>
    <m/>
    <m/>
    <m/>
    <m/>
    <m/>
    <n v="2"/>
    <n v="2"/>
    <m/>
    <m/>
    <m/>
    <n v="512514"/>
    <n v="173445"/>
    <s v="Heathfield"/>
    <s v="Whitton"/>
    <m/>
    <m/>
    <m/>
    <m/>
    <m/>
    <m/>
    <m/>
    <m/>
    <s v="Whitton and Heathfield"/>
    <x v="1"/>
  </r>
  <r>
    <s v="22/1916/FUL"/>
    <s v="NEW"/>
    <s v="FULL"/>
    <x v="182"/>
    <d v="2025-10-12T00:00:00"/>
    <m/>
    <m/>
    <m/>
    <m/>
    <x v="2"/>
    <s v="Open Market"/>
    <m/>
    <m/>
    <m/>
    <s v="Demolition of an existing detached residence and construction of a replacement 2 storey 5 bedroom house and associated hard and soft landscaping, refuse and cycle parking facilities"/>
    <s v="32 Sandy Lane, Petersham, Richmond TW10 7EL"/>
    <s v="TW10 7EL"/>
    <m/>
    <m/>
    <m/>
    <n v="1"/>
    <m/>
    <m/>
    <m/>
    <m/>
    <m/>
    <n v="1"/>
    <m/>
    <m/>
    <m/>
    <m/>
    <m/>
    <n v="1"/>
    <m/>
    <m/>
    <m/>
    <n v="1"/>
    <n v="0"/>
    <n v="0"/>
    <n v="-1"/>
    <n v="0"/>
    <n v="1"/>
    <n v="0"/>
    <n v="0"/>
    <n v="0"/>
    <n v="0"/>
    <m/>
    <m/>
    <n v="0"/>
    <m/>
    <m/>
    <m/>
    <m/>
    <m/>
    <m/>
    <m/>
    <m/>
    <m/>
    <m/>
    <m/>
    <m/>
    <m/>
    <m/>
    <m/>
    <n v="0"/>
    <n v="0"/>
    <m/>
    <m/>
    <m/>
    <n v="517777"/>
    <n v="172645"/>
    <s v="Ham, Petersham &amp; Richmond Riverside"/>
    <s v="Ham &amp; Petersham"/>
    <m/>
    <m/>
    <m/>
    <m/>
    <m/>
    <m/>
    <m/>
    <m/>
    <s v="Ham, Petersham &amp; Richmond Park"/>
    <x v="0"/>
  </r>
  <r>
    <s v="22/2399/FUL"/>
    <s v="CON"/>
    <s v="FULL"/>
    <x v="183"/>
    <d v="2025-12-13T00:00:00"/>
    <d v="2025-11-25T00:00:00"/>
    <m/>
    <m/>
    <m/>
    <x v="2"/>
    <s v="Open Market"/>
    <m/>
    <m/>
    <m/>
    <s v="Single storey rear extension, side dormer roof extension with solar panels, rooflights on front and side roof slopes, replacement fenestration and associated bin store to facilitate the conversion of two flats into a single dwellinghouse."/>
    <s v="92 Palewell Park, East Sheen SW14 8JH"/>
    <s v="SW14 8JH"/>
    <m/>
    <n v="1"/>
    <n v="1"/>
    <m/>
    <m/>
    <m/>
    <m/>
    <m/>
    <m/>
    <n v="2"/>
    <m/>
    <m/>
    <m/>
    <m/>
    <n v="1"/>
    <m/>
    <m/>
    <m/>
    <m/>
    <n v="1"/>
    <n v="-1"/>
    <n v="-1"/>
    <n v="0"/>
    <n v="1"/>
    <n v="0"/>
    <n v="0"/>
    <n v="0"/>
    <n v="0"/>
    <n v="-1"/>
    <m/>
    <m/>
    <m/>
    <n v="-0.5"/>
    <n v="-0.5"/>
    <m/>
    <m/>
    <m/>
    <m/>
    <m/>
    <m/>
    <m/>
    <m/>
    <m/>
    <m/>
    <m/>
    <m/>
    <m/>
    <n v="-1"/>
    <n v="-1"/>
    <m/>
    <m/>
    <m/>
    <n v="520649"/>
    <n v="175098"/>
    <s v="East Sheen"/>
    <s v="Barnes and East Sheen"/>
    <m/>
    <m/>
    <m/>
    <m/>
    <m/>
    <m/>
    <m/>
    <s v="Y"/>
    <s v="Mortlake and East Sheen"/>
    <x v="0"/>
  </r>
  <r>
    <s v="22/2416/FUL"/>
    <s v="NEW"/>
    <s v="FULL"/>
    <x v="184"/>
    <d v="2026-07-11T00:00:00"/>
    <m/>
    <m/>
    <m/>
    <m/>
    <x v="2"/>
    <s v="Open Market"/>
    <m/>
    <m/>
    <m/>
    <s v="Demolition of an existing single storey bungalow on the site, followed by the construction of a new single family residential dwelling."/>
    <s v="40 Twickenham Road, Teddington TW11 8AW"/>
    <s v="TW11 8AW"/>
    <m/>
    <m/>
    <m/>
    <n v="1"/>
    <m/>
    <m/>
    <m/>
    <m/>
    <m/>
    <n v="1"/>
    <m/>
    <m/>
    <m/>
    <m/>
    <m/>
    <m/>
    <n v="1"/>
    <m/>
    <m/>
    <n v="1"/>
    <n v="0"/>
    <n v="0"/>
    <n v="-1"/>
    <n v="0"/>
    <n v="0"/>
    <n v="1"/>
    <n v="0"/>
    <n v="0"/>
    <n v="0"/>
    <m/>
    <m/>
    <n v="0"/>
    <m/>
    <m/>
    <m/>
    <m/>
    <m/>
    <m/>
    <m/>
    <m/>
    <m/>
    <m/>
    <m/>
    <m/>
    <m/>
    <m/>
    <m/>
    <n v="0"/>
    <n v="0"/>
    <m/>
    <m/>
    <m/>
    <n v="516358"/>
    <n v="171680"/>
    <s v="Teddington"/>
    <s v="Teddington and the Hamptons"/>
    <m/>
    <s v="Thames Policy Area"/>
    <m/>
    <m/>
    <m/>
    <m/>
    <m/>
    <s v="Y"/>
    <s v="Teddington &amp; Hampton Wick"/>
    <x v="0"/>
  </r>
  <r>
    <s v="22/2662/FUL"/>
    <s v="NEW"/>
    <s v="FULL"/>
    <x v="185"/>
    <d v="2027-10-04T00:00:00"/>
    <m/>
    <m/>
    <s v="Y"/>
    <m/>
    <x v="2"/>
    <s v="Open Market"/>
    <m/>
    <m/>
    <m/>
    <s v="Erection of a 1 bedroom chalet/bungalow with the provision of amenity space and parking at rear of property."/>
    <s v="214 Hampton Road, Twickenham TW2 5NJ"/>
    <s v="TW2 5NJ"/>
    <m/>
    <m/>
    <m/>
    <m/>
    <m/>
    <m/>
    <m/>
    <m/>
    <m/>
    <n v="0"/>
    <m/>
    <n v="1"/>
    <m/>
    <m/>
    <m/>
    <m/>
    <m/>
    <m/>
    <m/>
    <n v="1"/>
    <n v="1"/>
    <n v="0"/>
    <n v="0"/>
    <n v="0"/>
    <n v="0"/>
    <n v="0"/>
    <n v="0"/>
    <n v="0"/>
    <n v="1"/>
    <m/>
    <m/>
    <n v="0.25"/>
    <n v="0.25"/>
    <n v="0.25"/>
    <n v="0.25"/>
    <m/>
    <m/>
    <m/>
    <m/>
    <m/>
    <m/>
    <m/>
    <m/>
    <m/>
    <m/>
    <m/>
    <m/>
    <n v="1"/>
    <n v="1"/>
    <m/>
    <m/>
    <m/>
    <n v="514736"/>
    <n v="172131"/>
    <s v="West Twickenham"/>
    <s v="Twickenham"/>
    <m/>
    <m/>
    <m/>
    <m/>
    <m/>
    <m/>
    <m/>
    <s v="Y"/>
    <s v="Twickenham, Strawberry Hill &amp; St Margarets"/>
    <x v="0"/>
  </r>
  <r>
    <s v="22/2843/FUL"/>
    <s v="NEW"/>
    <s v="FULL"/>
    <x v="186"/>
    <d v="2026-02-08T00:00:00"/>
    <m/>
    <m/>
    <m/>
    <m/>
    <x v="2"/>
    <s v="Open Market"/>
    <m/>
    <m/>
    <m/>
    <s v="Demolition of existing dwelling and replacement with a pair of two storey with basement semi-detached dwellings.  Alterations to boundary wall and assoicated hard and soft landscaping, cycle and refuse stores."/>
    <s v="62 Derby Road, East Sheen SW14 7DP"/>
    <s v="SW14 7DP"/>
    <m/>
    <m/>
    <m/>
    <m/>
    <n v="1"/>
    <m/>
    <m/>
    <m/>
    <m/>
    <n v="1"/>
    <m/>
    <m/>
    <m/>
    <n v="2"/>
    <m/>
    <m/>
    <m/>
    <m/>
    <m/>
    <n v="2"/>
    <n v="0"/>
    <n v="0"/>
    <n v="2"/>
    <n v="-1"/>
    <n v="0"/>
    <n v="0"/>
    <n v="0"/>
    <n v="0"/>
    <n v="1"/>
    <m/>
    <m/>
    <n v="0.25"/>
    <n v="0.25"/>
    <n v="0.25"/>
    <n v="0.25"/>
    <m/>
    <m/>
    <m/>
    <m/>
    <m/>
    <m/>
    <m/>
    <m/>
    <m/>
    <m/>
    <m/>
    <m/>
    <n v="1"/>
    <n v="1"/>
    <m/>
    <m/>
    <m/>
    <n v="519780"/>
    <n v="175098"/>
    <s v="East Sheen"/>
    <s v="Barnes and East Sheen"/>
    <m/>
    <m/>
    <m/>
    <m/>
    <m/>
    <m/>
    <m/>
    <s v="Y"/>
    <s v="Mortlake and East Sheen"/>
    <x v="1"/>
  </r>
  <r>
    <s v="22/2876/GPD26"/>
    <s v="CHU"/>
    <s v="PA"/>
    <x v="187"/>
    <d v="2025-12-12T00:00:00"/>
    <m/>
    <m/>
    <m/>
    <m/>
    <x v="2"/>
    <s v="Open Market"/>
    <m/>
    <m/>
    <m/>
    <s v="Change of use of vacant office building to two flats"/>
    <s v="Mega House, 159A High Street, Hampton Hill, Hampton TW12 1NL"/>
    <s v="TW12 1NL"/>
    <m/>
    <m/>
    <m/>
    <m/>
    <m/>
    <m/>
    <m/>
    <m/>
    <m/>
    <n v="0"/>
    <m/>
    <m/>
    <n v="2"/>
    <m/>
    <m/>
    <m/>
    <m/>
    <m/>
    <m/>
    <n v="2"/>
    <n v="0"/>
    <n v="2"/>
    <n v="0"/>
    <n v="0"/>
    <n v="0"/>
    <n v="0"/>
    <n v="0"/>
    <n v="0"/>
    <n v="2"/>
    <m/>
    <m/>
    <n v="0.5"/>
    <n v="0.5"/>
    <n v="0.5"/>
    <n v="0.5"/>
    <m/>
    <m/>
    <m/>
    <m/>
    <m/>
    <m/>
    <m/>
    <m/>
    <m/>
    <m/>
    <m/>
    <m/>
    <n v="2"/>
    <n v="2"/>
    <m/>
    <m/>
    <m/>
    <n v="514405"/>
    <n v="171101"/>
    <s v="Fulwell &amp; Hampton Hill"/>
    <s v="Teddington and the Hamptons"/>
    <m/>
    <m/>
    <s v="High Street, Hampton Hill"/>
    <s v="Y"/>
    <m/>
    <s v="CA38 High Street Hampton Hill"/>
    <s v="Y"/>
    <m/>
    <s v="Hampton &amp; Hampton Hill"/>
    <x v="0"/>
  </r>
  <r>
    <s v="22/3043/GPD24"/>
    <s v="CHU"/>
    <s v="PA"/>
    <x v="188"/>
    <d v="2025-11-30T00:00:00"/>
    <m/>
    <m/>
    <m/>
    <m/>
    <x v="2"/>
    <s v="Open Market"/>
    <m/>
    <m/>
    <m/>
    <s v="Change of use from Class E (commercial, business and service) to Mixed Use Class E (commercial, business and service) and Class C3 (dwellinghouses) to provide 1x self-contained dwelling."/>
    <s v="357 Upper Richmond Road West, East Sheen SW14 8QN"/>
    <s v="SW14 8QN"/>
    <m/>
    <m/>
    <m/>
    <m/>
    <m/>
    <m/>
    <m/>
    <m/>
    <m/>
    <n v="0"/>
    <m/>
    <n v="1"/>
    <m/>
    <m/>
    <m/>
    <m/>
    <m/>
    <m/>
    <m/>
    <n v="1"/>
    <n v="1"/>
    <n v="0"/>
    <n v="0"/>
    <n v="0"/>
    <n v="0"/>
    <n v="0"/>
    <n v="0"/>
    <n v="0"/>
    <n v="1"/>
    <m/>
    <m/>
    <n v="0.25"/>
    <n v="0.25"/>
    <n v="0.25"/>
    <n v="0.25"/>
    <m/>
    <m/>
    <m/>
    <m/>
    <m/>
    <m/>
    <m/>
    <m/>
    <m/>
    <m/>
    <m/>
    <m/>
    <n v="1"/>
    <n v="1"/>
    <m/>
    <m/>
    <m/>
    <n v="520553"/>
    <n v="175393"/>
    <s v="East Sheen"/>
    <s v="Barnes and East Sheen"/>
    <s v="East Sheen"/>
    <m/>
    <m/>
    <m/>
    <m/>
    <m/>
    <m/>
    <s v="Y"/>
    <s v="Mortlake and East Sheen"/>
    <x v="0"/>
  </r>
  <r>
    <s v="22/3049/FUL"/>
    <s v="CHU"/>
    <s v="FULL"/>
    <x v="189"/>
    <d v="2026-11-14T00:00:00"/>
    <m/>
    <m/>
    <m/>
    <m/>
    <x v="2"/>
    <s v="Open Market"/>
    <m/>
    <m/>
    <m/>
    <s v="Change of use of first floor from former financial services floorspace to 2 x one bedroom flats. Alterations to rear elevation and reinstatement of first floor roof terrace."/>
    <s v="256 Upper Richmond Road West, East Sheen SW14 7JF"/>
    <s v="SW14 7JF"/>
    <m/>
    <m/>
    <m/>
    <m/>
    <m/>
    <m/>
    <m/>
    <m/>
    <m/>
    <n v="0"/>
    <m/>
    <n v="2"/>
    <m/>
    <m/>
    <m/>
    <m/>
    <m/>
    <m/>
    <m/>
    <n v="2"/>
    <n v="2"/>
    <n v="0"/>
    <n v="0"/>
    <n v="0"/>
    <n v="0"/>
    <n v="0"/>
    <n v="0"/>
    <n v="0"/>
    <n v="2"/>
    <m/>
    <m/>
    <n v="0.5"/>
    <n v="0.5"/>
    <n v="0.5"/>
    <n v="0.5"/>
    <m/>
    <m/>
    <m/>
    <m/>
    <m/>
    <m/>
    <m/>
    <m/>
    <m/>
    <m/>
    <m/>
    <m/>
    <n v="2"/>
    <n v="2"/>
    <m/>
    <m/>
    <m/>
    <n v="520486"/>
    <n v="175416"/>
    <s v="East Sheen"/>
    <s v="Barnes and East Sheen"/>
    <s v="East Sheen"/>
    <m/>
    <m/>
    <m/>
    <m/>
    <s v="CA70 Sheen Lane Mortlake"/>
    <s v="Y"/>
    <s v="Y"/>
    <s v="Mortlake and East Sheen"/>
    <x v="0"/>
  </r>
  <r>
    <s v="22/3112/FUL"/>
    <s v="NEW"/>
    <s v="FULL"/>
    <x v="190"/>
    <d v="2026-09-14T00:00:00"/>
    <m/>
    <m/>
    <m/>
    <m/>
    <x v="2"/>
    <s v="London Living rent"/>
    <m/>
    <m/>
    <m/>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2"/>
    <n v="3"/>
    <m/>
    <m/>
    <m/>
    <m/>
    <m/>
    <m/>
    <n v="5"/>
    <n v="2"/>
    <n v="3"/>
    <n v="0"/>
    <n v="0"/>
    <n v="0"/>
    <n v="0"/>
    <n v="0"/>
    <n v="0"/>
    <n v="5"/>
    <s v="Y"/>
    <m/>
    <m/>
    <m/>
    <n v="2.5"/>
    <n v="2.5"/>
    <m/>
    <m/>
    <m/>
    <m/>
    <m/>
    <m/>
    <m/>
    <m/>
    <m/>
    <m/>
    <m/>
    <m/>
    <n v="5"/>
    <n v="5"/>
    <m/>
    <m/>
    <m/>
    <n v="518385"/>
    <n v="174928"/>
    <s v="South Richmond"/>
    <s v="Richmond"/>
    <m/>
    <m/>
    <m/>
    <m/>
    <m/>
    <s v="CA30 St Matthias Richmond"/>
    <s v="Y"/>
    <s v="Y"/>
    <s v="Richmond and Richmond Hill"/>
    <x v="0"/>
  </r>
  <r>
    <s v="22/3112/FUL"/>
    <s v="NEW"/>
    <s v="FULL"/>
    <x v="190"/>
    <d v="2026-09-14T00:00:00"/>
    <m/>
    <m/>
    <m/>
    <m/>
    <x v="2"/>
    <s v="Social Rent"/>
    <m/>
    <m/>
    <m/>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7"/>
    <m/>
    <m/>
    <m/>
    <m/>
    <m/>
    <m/>
    <m/>
    <n v="7"/>
    <n v="7"/>
    <n v="0"/>
    <n v="0"/>
    <n v="0"/>
    <n v="0"/>
    <n v="0"/>
    <n v="0"/>
    <n v="0"/>
    <n v="7"/>
    <s v="Y"/>
    <m/>
    <m/>
    <m/>
    <n v="3.5"/>
    <n v="3.5"/>
    <m/>
    <m/>
    <m/>
    <m/>
    <m/>
    <m/>
    <m/>
    <m/>
    <m/>
    <m/>
    <m/>
    <m/>
    <n v="7"/>
    <n v="7"/>
    <m/>
    <s v="Y"/>
    <m/>
    <n v="518385"/>
    <n v="174928"/>
    <s v="South Richmond"/>
    <s v="Richmond"/>
    <m/>
    <m/>
    <m/>
    <m/>
    <m/>
    <s v="CA30 St Matthias Richmond"/>
    <s v="Y"/>
    <s v="Y"/>
    <s v="Richmond and Richmond Hill"/>
    <x v="0"/>
  </r>
  <r>
    <s v="22/3141/FUL"/>
    <s v="CON"/>
    <s v="FULL"/>
    <x v="191"/>
    <d v="2025-12-19T00:00:00"/>
    <d v="2026-01-06T00:00:00"/>
    <m/>
    <m/>
    <m/>
    <x v="2"/>
    <s v="Open Market"/>
    <m/>
    <m/>
    <m/>
    <s v="Rear dormer roof extension to facilitate the conversion of existing 2 bed maisonette into 2 flats (1 x 1 bed and 1 x 2 bed). Solar PV panels to rear pitched and flat roofs. 2no. Velux roof lights to front roof slope."/>
    <s v="23 Colston Road, East Sheen SW14 7PQ"/>
    <s v="SW14 7PQ"/>
    <m/>
    <m/>
    <n v="1"/>
    <m/>
    <m/>
    <m/>
    <m/>
    <m/>
    <m/>
    <n v="1"/>
    <m/>
    <n v="1"/>
    <n v="1"/>
    <m/>
    <m/>
    <m/>
    <m/>
    <m/>
    <m/>
    <n v="2"/>
    <n v="1"/>
    <n v="0"/>
    <n v="0"/>
    <n v="0"/>
    <n v="0"/>
    <n v="0"/>
    <n v="0"/>
    <n v="0"/>
    <n v="1"/>
    <m/>
    <m/>
    <m/>
    <n v="0.5"/>
    <n v="0.5"/>
    <m/>
    <m/>
    <m/>
    <m/>
    <m/>
    <m/>
    <m/>
    <m/>
    <m/>
    <m/>
    <m/>
    <m/>
    <m/>
    <n v="1"/>
    <n v="1"/>
    <m/>
    <m/>
    <m/>
    <n v="520360"/>
    <n v="175325"/>
    <s v="East Sheen"/>
    <s v="Barnes and East Sheen"/>
    <s v="East Sheen"/>
    <m/>
    <m/>
    <m/>
    <m/>
    <m/>
    <m/>
    <s v="Y"/>
    <s v="Mortlake and East Sheen"/>
    <x v="0"/>
  </r>
  <r>
    <s v="22/3165/FUL"/>
    <s v="NEW"/>
    <s v="FULL"/>
    <x v="192"/>
    <d v="2028-02-17T00:00:00"/>
    <d v="2025-05-01T00:00:00"/>
    <m/>
    <s v="Y"/>
    <m/>
    <x v="2"/>
    <s v="Open Market"/>
    <m/>
    <m/>
    <m/>
    <s v="Demolition of existing commercial building and erection of mixed use part two, three and part four storey building comprising replacement commercial (Class E) floorspace and residential units (Class C3) including cycle parking, refuse storage, hard and soft landscaping, amendments to site access and other associated works."/>
    <s v="Clifford House, 424 Upper Richmond Road West, East Sheen SW14 7JX"/>
    <s v="SW14 7JX"/>
    <m/>
    <m/>
    <m/>
    <m/>
    <m/>
    <m/>
    <m/>
    <m/>
    <m/>
    <n v="0"/>
    <m/>
    <n v="4"/>
    <n v="4"/>
    <m/>
    <m/>
    <m/>
    <m/>
    <m/>
    <m/>
    <n v="8"/>
    <n v="4"/>
    <n v="4"/>
    <n v="0"/>
    <n v="0"/>
    <n v="0"/>
    <n v="0"/>
    <n v="0"/>
    <n v="0"/>
    <n v="8"/>
    <m/>
    <m/>
    <m/>
    <n v="4"/>
    <n v="4"/>
    <m/>
    <m/>
    <m/>
    <m/>
    <m/>
    <m/>
    <m/>
    <m/>
    <m/>
    <m/>
    <m/>
    <m/>
    <m/>
    <n v="8"/>
    <n v="8"/>
    <m/>
    <m/>
    <m/>
    <n v="519842"/>
    <n v="175358"/>
    <s v="North Richmond"/>
    <s v="Richmond"/>
    <m/>
    <m/>
    <m/>
    <m/>
    <m/>
    <m/>
    <m/>
    <s v="Y"/>
    <s v="Mortlake and East Sheen"/>
    <x v="0"/>
  </r>
  <r>
    <s v="22/3228/FUL"/>
    <s v="CON"/>
    <s v="FULL"/>
    <x v="193"/>
    <d v="2027-01-15T00:00:00"/>
    <m/>
    <m/>
    <m/>
    <m/>
    <x v="2"/>
    <s v="Open Market"/>
    <m/>
    <m/>
    <m/>
    <s v="Conversion of dwelling into two residential properties, alterations to elevations, and associated works."/>
    <s v="154 Broad Lane, Hampton TW12 3BW"/>
    <s v="TW12 3BW"/>
    <m/>
    <m/>
    <m/>
    <m/>
    <n v="1"/>
    <m/>
    <m/>
    <m/>
    <m/>
    <n v="1"/>
    <m/>
    <m/>
    <n v="2"/>
    <m/>
    <m/>
    <m/>
    <m/>
    <m/>
    <m/>
    <n v="2"/>
    <n v="0"/>
    <n v="2"/>
    <n v="0"/>
    <n v="-1"/>
    <n v="0"/>
    <n v="0"/>
    <n v="0"/>
    <n v="0"/>
    <n v="1"/>
    <m/>
    <m/>
    <n v="0.25"/>
    <n v="0.25"/>
    <n v="0.25"/>
    <n v="0.25"/>
    <m/>
    <m/>
    <m/>
    <m/>
    <m/>
    <m/>
    <m/>
    <m/>
    <m/>
    <m/>
    <m/>
    <m/>
    <n v="1"/>
    <n v="1"/>
    <m/>
    <m/>
    <m/>
    <n v="512727"/>
    <n v="170496"/>
    <s v="Hampton North"/>
    <s v="Teddington and the Hamptons"/>
    <m/>
    <m/>
    <m/>
    <m/>
    <m/>
    <m/>
    <m/>
    <m/>
    <s v="Hampton &amp; Hampton Hill"/>
    <x v="0"/>
  </r>
  <r>
    <s v="22/3304/FUL"/>
    <s v="NEW"/>
    <s v="FULL"/>
    <x v="194"/>
    <d v="2026-04-25T00:00:00"/>
    <m/>
    <m/>
    <m/>
    <m/>
    <x v="2"/>
    <s v="Open Market"/>
    <m/>
    <m/>
    <m/>
    <s v="Single storey rear extension, hip to gable and rear dormer roof extension and rooflights to front roof slope and associated cycle and refuse store and hard and soft landscaping and outbuilding to no. 2.  Demolition of existing single storey side extension to facilitate the erection of two storey dwelling house and associated cycle and refuse stores, replacement boundary fence, hard and soft landscaping and outbuilding."/>
    <s v="2 West Hall Road, Kew, Richmond TW9 4EE"/>
    <s v="TW9 4EE"/>
    <m/>
    <m/>
    <m/>
    <m/>
    <m/>
    <m/>
    <m/>
    <m/>
    <m/>
    <n v="0"/>
    <m/>
    <m/>
    <m/>
    <n v="1"/>
    <m/>
    <m/>
    <m/>
    <m/>
    <m/>
    <n v="1"/>
    <n v="0"/>
    <n v="0"/>
    <n v="1"/>
    <n v="0"/>
    <n v="0"/>
    <n v="0"/>
    <n v="0"/>
    <n v="0"/>
    <n v="1"/>
    <m/>
    <m/>
    <n v="0.25"/>
    <n v="0.25"/>
    <n v="0.25"/>
    <n v="0.25"/>
    <m/>
    <m/>
    <m/>
    <m/>
    <m/>
    <m/>
    <m/>
    <m/>
    <m/>
    <m/>
    <m/>
    <m/>
    <n v="1"/>
    <n v="1"/>
    <m/>
    <m/>
    <m/>
    <n v="519594"/>
    <n v="176510"/>
    <s v="Kew"/>
    <s v="Richmond"/>
    <m/>
    <m/>
    <m/>
    <m/>
    <m/>
    <m/>
    <m/>
    <s v="Y"/>
    <s v="Kew"/>
    <x v="0"/>
  </r>
  <r>
    <s v="22/3468/FUL"/>
    <s v="CON"/>
    <s v="FULL"/>
    <x v="195"/>
    <d v="2027-02-26T00:00:00"/>
    <m/>
    <m/>
    <m/>
    <m/>
    <x v="2"/>
    <s v="Open Market"/>
    <m/>
    <m/>
    <m/>
    <s v="Subdivision of no 446 to create 1 no. dwellinghouse and 1 no. 2 bed flat. Alterations to fenestration/doors. Installation of vehicle gates. Installation of a new garden fence."/>
    <s v="446 Upper Richmond Road, Barnes SW15 5RQ"/>
    <s v="SW15 5RQ"/>
    <m/>
    <m/>
    <m/>
    <m/>
    <m/>
    <m/>
    <m/>
    <m/>
    <m/>
    <n v="0"/>
    <m/>
    <m/>
    <n v="1"/>
    <m/>
    <m/>
    <m/>
    <m/>
    <m/>
    <m/>
    <n v="1"/>
    <n v="0"/>
    <n v="1"/>
    <n v="0"/>
    <n v="0"/>
    <n v="0"/>
    <n v="0"/>
    <n v="0"/>
    <n v="0"/>
    <n v="1"/>
    <m/>
    <m/>
    <n v="0.25"/>
    <n v="0.25"/>
    <n v="0.25"/>
    <n v="0.25"/>
    <m/>
    <m/>
    <m/>
    <m/>
    <m/>
    <m/>
    <m/>
    <m/>
    <m/>
    <m/>
    <m/>
    <m/>
    <n v="1"/>
    <n v="1"/>
    <m/>
    <m/>
    <m/>
    <n v="522411"/>
    <n v="175485"/>
    <s v="Mortlake &amp; Barnes Common"/>
    <s v="Barnes and East Sheen"/>
    <m/>
    <m/>
    <m/>
    <m/>
    <m/>
    <s v="CA32 Barnes Common"/>
    <s v="Y"/>
    <s v="Y"/>
    <s v="Barnes"/>
    <x v="0"/>
  </r>
  <r>
    <s v="22/3474/FUL"/>
    <s v="CHU"/>
    <s v="FULL"/>
    <x v="196"/>
    <d v="2028-03-03T00:00:00"/>
    <m/>
    <m/>
    <s v="Y"/>
    <m/>
    <x v="2"/>
    <s v="Open Market"/>
    <m/>
    <m/>
    <m/>
    <s v="Change of use from Use Class F1(a) - Provision of Education to a 2-bed 3-person flat including minor external changes and associated works"/>
    <s v="The Lodge, 69 The Green, Twickenham"/>
    <s v="TW2 5TU"/>
    <m/>
    <m/>
    <m/>
    <m/>
    <m/>
    <m/>
    <m/>
    <m/>
    <m/>
    <n v="0"/>
    <m/>
    <m/>
    <n v="1"/>
    <m/>
    <m/>
    <m/>
    <m/>
    <m/>
    <m/>
    <n v="1"/>
    <n v="0"/>
    <n v="1"/>
    <n v="0"/>
    <n v="0"/>
    <n v="0"/>
    <n v="0"/>
    <n v="0"/>
    <n v="0"/>
    <n v="1"/>
    <m/>
    <m/>
    <n v="0.25"/>
    <n v="0.25"/>
    <n v="0.25"/>
    <n v="0.25"/>
    <m/>
    <m/>
    <m/>
    <m/>
    <m/>
    <m/>
    <m/>
    <m/>
    <m/>
    <m/>
    <m/>
    <m/>
    <n v="1"/>
    <n v="1"/>
    <m/>
    <m/>
    <m/>
    <n v="515259"/>
    <n v="172781"/>
    <s v="South Twickenham"/>
    <s v="Twickenham"/>
    <m/>
    <m/>
    <m/>
    <m/>
    <m/>
    <s v="CA9 Twickenham Green"/>
    <s v="Y"/>
    <s v="Y"/>
    <s v="Twickenham, Strawberry Hill &amp; St Margarets"/>
    <x v="0"/>
  </r>
  <r>
    <s v="22/3573/FUL"/>
    <s v="CON"/>
    <s v="FULL"/>
    <x v="197"/>
    <d v="2026-05-26T00:00:00"/>
    <m/>
    <m/>
    <m/>
    <m/>
    <x v="2"/>
    <s v="Open Market"/>
    <m/>
    <m/>
    <m/>
    <s v="Conversion of 15A and 15B from 2 no. residential flats to 3 no. residential flats. Alterations to fenestration. Alteration to west elevation. Insertion of courtyards. Alterations to bin store and cycle store."/>
    <s v="13 - 17 White Hart Lane, Barnes SW13 0PX"/>
    <s v="SW13 0PX"/>
    <m/>
    <m/>
    <n v="1"/>
    <n v="1"/>
    <m/>
    <m/>
    <m/>
    <m/>
    <m/>
    <n v="2"/>
    <m/>
    <m/>
    <n v="3"/>
    <m/>
    <m/>
    <m/>
    <m/>
    <m/>
    <m/>
    <n v="3"/>
    <n v="0"/>
    <n v="2"/>
    <n v="-1"/>
    <n v="0"/>
    <n v="0"/>
    <n v="0"/>
    <n v="0"/>
    <n v="0"/>
    <n v="1"/>
    <m/>
    <m/>
    <n v="0.25"/>
    <n v="0.25"/>
    <n v="0.25"/>
    <n v="0.25"/>
    <m/>
    <m/>
    <m/>
    <m/>
    <m/>
    <m/>
    <m/>
    <m/>
    <m/>
    <m/>
    <m/>
    <m/>
    <n v="1"/>
    <n v="1"/>
    <m/>
    <m/>
    <m/>
    <n v="521299"/>
    <n v="176041"/>
    <s v="Mortlake &amp; Barnes Common"/>
    <s v="Barnes and East Sheen"/>
    <m/>
    <m/>
    <s v="White Hart Lane/Mortlake H"/>
    <s v="Y"/>
    <m/>
    <s v="CA16 Thorne Passage Mortlake"/>
    <s v="Y"/>
    <s v="Y"/>
    <s v="Barnes"/>
    <x v="0"/>
  </r>
  <r>
    <s v="22/3577/FUL"/>
    <s v="CHU"/>
    <s v="FULL"/>
    <x v="198"/>
    <d v="2027-06-25T00:00:00"/>
    <m/>
    <m/>
    <s v="Y"/>
    <m/>
    <x v="2"/>
    <s v="Open Market"/>
    <m/>
    <m/>
    <m/>
    <s v="Change of use of part ground floor and part first floor to form 4No. 1-bedroom flats and 2No. 2-bedroom flats."/>
    <s v="Units 3 And 15 Cross Deep Court, Heath Road, Twickenham TW1 1AG"/>
    <s v="TW1 1AG"/>
    <m/>
    <m/>
    <m/>
    <m/>
    <m/>
    <m/>
    <m/>
    <m/>
    <m/>
    <n v="0"/>
    <m/>
    <n v="4"/>
    <n v="2"/>
    <m/>
    <m/>
    <m/>
    <m/>
    <m/>
    <m/>
    <n v="6"/>
    <n v="4"/>
    <n v="2"/>
    <n v="0"/>
    <n v="0"/>
    <n v="0"/>
    <n v="0"/>
    <n v="0"/>
    <n v="0"/>
    <n v="6"/>
    <m/>
    <m/>
    <m/>
    <n v="1.5"/>
    <n v="1.5"/>
    <n v="1.5"/>
    <n v="1.5"/>
    <m/>
    <m/>
    <m/>
    <m/>
    <m/>
    <m/>
    <m/>
    <m/>
    <m/>
    <m/>
    <m/>
    <n v="6"/>
    <n v="6"/>
    <m/>
    <m/>
    <m/>
    <n v="516137"/>
    <n v="173134"/>
    <s v="South Twickenham"/>
    <s v="Twickenham"/>
    <s v="Twickenham"/>
    <m/>
    <m/>
    <m/>
    <m/>
    <m/>
    <m/>
    <s v="Y"/>
    <s v="Twickenham, Strawberry Hill &amp; St Margarets"/>
    <x v="0"/>
  </r>
  <r>
    <s v="22/3799/FUL"/>
    <s v="MIX"/>
    <s v="FULL"/>
    <x v="199"/>
    <d v="2026-11-07T00:00:00"/>
    <m/>
    <m/>
    <m/>
    <m/>
    <x v="2"/>
    <s v="Open Market"/>
    <m/>
    <m/>
    <m/>
    <s v="Proposed rear dormer roof extension and 2no. skylights on front roof slope. Conversion of existing flat into 3no. studio flats. Provision of cycle storage, bin and refuse storage areas."/>
    <s v="21 Colston Road, East Sheen SW14 7PQ"/>
    <s v="SW14 7PQ"/>
    <m/>
    <m/>
    <m/>
    <m/>
    <n v="1"/>
    <m/>
    <m/>
    <m/>
    <m/>
    <n v="1"/>
    <m/>
    <n v="3"/>
    <m/>
    <m/>
    <m/>
    <m/>
    <m/>
    <m/>
    <m/>
    <n v="3"/>
    <n v="3"/>
    <n v="0"/>
    <n v="0"/>
    <n v="-1"/>
    <n v="0"/>
    <n v="0"/>
    <n v="0"/>
    <n v="0"/>
    <n v="2"/>
    <m/>
    <m/>
    <n v="0.5"/>
    <n v="0.5"/>
    <n v="0.5"/>
    <n v="0.5"/>
    <m/>
    <m/>
    <m/>
    <m/>
    <m/>
    <m/>
    <m/>
    <m/>
    <m/>
    <m/>
    <m/>
    <m/>
    <n v="2"/>
    <n v="2"/>
    <m/>
    <m/>
    <m/>
    <n v="520370"/>
    <n v="175330"/>
    <s v="East Sheen"/>
    <s v="Barnes and East Sheen"/>
    <s v="East Sheen"/>
    <m/>
    <m/>
    <m/>
    <m/>
    <m/>
    <m/>
    <s v="Y"/>
    <s v="Mortlake and East Sheen"/>
    <x v="0"/>
  </r>
  <r>
    <s v="23/0093/FUL"/>
    <s v="EXT"/>
    <s v="FULL"/>
    <x v="200"/>
    <d v="2027-02-02T00:00:00"/>
    <m/>
    <m/>
    <m/>
    <m/>
    <x v="2"/>
    <s v="Open Market"/>
    <m/>
    <m/>
    <m/>
    <s v="Conversion of maisonette flat into two self-contained flats, including alterations &amp; loft extension, by replacing annex hip roof with Mansard roof"/>
    <s v="74A Richmond Road, Twickenham TW1 3BE"/>
    <s v="TW1 3BE"/>
    <m/>
    <m/>
    <m/>
    <m/>
    <n v="1"/>
    <m/>
    <m/>
    <m/>
    <m/>
    <n v="1"/>
    <m/>
    <n v="1"/>
    <m/>
    <n v="1"/>
    <m/>
    <m/>
    <m/>
    <m/>
    <m/>
    <n v="2"/>
    <n v="1"/>
    <n v="0"/>
    <n v="1"/>
    <n v="-1"/>
    <n v="0"/>
    <n v="0"/>
    <n v="0"/>
    <n v="0"/>
    <n v="1"/>
    <m/>
    <m/>
    <n v="0.25"/>
    <n v="0.25"/>
    <n v="0.25"/>
    <n v="0.25"/>
    <m/>
    <m/>
    <m/>
    <m/>
    <m/>
    <m/>
    <m/>
    <m/>
    <m/>
    <m/>
    <m/>
    <m/>
    <n v="1"/>
    <n v="1"/>
    <m/>
    <m/>
    <m/>
    <n v="516676"/>
    <n v="173608"/>
    <s v="Twickenham Riverside"/>
    <s v="Twickenham"/>
    <m/>
    <m/>
    <m/>
    <m/>
    <m/>
    <s v="CA8 Twickenham Riverside"/>
    <s v="Y"/>
    <s v="Y"/>
    <s v="Twickenham, Strawberry Hill &amp; St Margarets"/>
    <x v="0"/>
  </r>
  <r>
    <s v="23/0145/FUL"/>
    <s v="NEW"/>
    <s v="FULL"/>
    <x v="201"/>
    <d v="2026-06-13T00:00:00"/>
    <d v="2025-10-06T00:00:00"/>
    <m/>
    <m/>
    <m/>
    <x v="2"/>
    <s v="Open Market"/>
    <m/>
    <m/>
    <m/>
    <s v="Demolish existing end of terrace 3 bedroom house and create new 4 bedroom end of terrace house."/>
    <s v="2 Everdon Road, Barnes SW13 9AH"/>
    <s v="SW13 9AH"/>
    <m/>
    <m/>
    <m/>
    <n v="1"/>
    <m/>
    <m/>
    <m/>
    <m/>
    <m/>
    <n v="1"/>
    <m/>
    <m/>
    <m/>
    <m/>
    <n v="1"/>
    <m/>
    <m/>
    <m/>
    <m/>
    <n v="1"/>
    <n v="0"/>
    <n v="0"/>
    <n v="-1"/>
    <n v="1"/>
    <n v="0"/>
    <n v="0"/>
    <n v="0"/>
    <n v="0"/>
    <n v="0"/>
    <m/>
    <m/>
    <n v="0"/>
    <m/>
    <m/>
    <m/>
    <m/>
    <m/>
    <m/>
    <m/>
    <m/>
    <m/>
    <m/>
    <m/>
    <m/>
    <m/>
    <m/>
    <m/>
    <n v="0"/>
    <n v="0"/>
    <m/>
    <m/>
    <m/>
    <n v="522220"/>
    <n v="177505"/>
    <s v="Barnes"/>
    <s v="Barnes and East Sheen"/>
    <m/>
    <m/>
    <m/>
    <m/>
    <m/>
    <m/>
    <m/>
    <m/>
    <s v="Barnes"/>
    <x v="0"/>
  </r>
  <r>
    <s v="23/0260/FUL"/>
    <s v="NEW"/>
    <s v="FULL"/>
    <x v="202"/>
    <d v="2027-02-01T00:00:00"/>
    <d v="2026-02-02T00:00:00"/>
    <m/>
    <m/>
    <m/>
    <x v="2"/>
    <s v="Social Rent"/>
    <m/>
    <m/>
    <m/>
    <s v="The erection of 7 part single, part two-storey residential dwellings; 8 car parking spaces (including 1 disabled parking space); landscaping incorporating communal amenity space and ecological enhancement area; secure cycle and refuse storage."/>
    <s v="The Mereway Centre, Mereway Road, Twickenham"/>
    <s v="TW2"/>
    <m/>
    <m/>
    <m/>
    <m/>
    <m/>
    <m/>
    <m/>
    <m/>
    <m/>
    <n v="0"/>
    <s v="Y"/>
    <m/>
    <m/>
    <n v="4"/>
    <n v="3"/>
    <m/>
    <m/>
    <m/>
    <m/>
    <n v="7"/>
    <n v="0"/>
    <n v="0"/>
    <n v="4"/>
    <n v="3"/>
    <n v="0"/>
    <n v="0"/>
    <n v="0"/>
    <n v="0"/>
    <n v="7"/>
    <m/>
    <m/>
    <m/>
    <m/>
    <n v="7"/>
    <m/>
    <m/>
    <m/>
    <m/>
    <m/>
    <m/>
    <m/>
    <m/>
    <m/>
    <m/>
    <m/>
    <m/>
    <m/>
    <n v="7"/>
    <n v="7"/>
    <m/>
    <m/>
    <m/>
    <n v="515033"/>
    <n v="173287"/>
    <s v="South Twickenham"/>
    <s v="Twickenham"/>
    <m/>
    <m/>
    <m/>
    <m/>
    <m/>
    <m/>
    <m/>
    <s v="Y"/>
    <s v="Twickenham, Strawberry Hill &amp; St Margarets"/>
    <x v="0"/>
  </r>
  <r>
    <s v="23/0946/GPD26"/>
    <s v="CHU"/>
    <s v="PA"/>
    <x v="203"/>
    <d v="2026-05-24T00:00:00"/>
    <m/>
    <m/>
    <m/>
    <m/>
    <x v="2"/>
    <s v="Open Market"/>
    <m/>
    <m/>
    <m/>
    <s v="Change of use of ground floor from Use Class E to 1no. flat (Use Class C3)"/>
    <s v="145 White Hart Lane, Barnes SW13 0JP"/>
    <s v="SW13 0JP"/>
    <m/>
    <m/>
    <m/>
    <m/>
    <m/>
    <m/>
    <m/>
    <m/>
    <m/>
    <n v="0"/>
    <m/>
    <n v="1"/>
    <m/>
    <m/>
    <m/>
    <m/>
    <m/>
    <m/>
    <m/>
    <n v="1"/>
    <n v="1"/>
    <n v="0"/>
    <n v="0"/>
    <n v="0"/>
    <n v="0"/>
    <n v="0"/>
    <n v="0"/>
    <n v="0"/>
    <n v="1"/>
    <m/>
    <m/>
    <n v="0.25"/>
    <n v="0.25"/>
    <n v="0.25"/>
    <n v="0.25"/>
    <m/>
    <m/>
    <m/>
    <m/>
    <m/>
    <m/>
    <m/>
    <m/>
    <m/>
    <m/>
    <m/>
    <m/>
    <n v="1"/>
    <n v="1"/>
    <m/>
    <m/>
    <m/>
    <n v="521457"/>
    <n v="175623"/>
    <s v="Mortlake &amp; Barnes Common"/>
    <s v="Barnes and East Sheen"/>
    <m/>
    <m/>
    <s v="Priests Bridge, Barnes"/>
    <s v="Y"/>
    <m/>
    <m/>
    <m/>
    <s v="Y"/>
    <s v="Barnes"/>
    <x v="0"/>
  </r>
  <r>
    <s v="23/1101/FUL"/>
    <s v="NEW"/>
    <s v="FULL"/>
    <x v="204"/>
    <d v="2027-04-02T00:00:00"/>
    <m/>
    <m/>
    <s v="Y"/>
    <m/>
    <x v="2"/>
    <s v="Open Market"/>
    <m/>
    <m/>
    <m/>
    <s v="Demolition of existing dwelling and construction of 2 no. semi detached dwellings, associated car parking, cycle and refuse storage and landscaping."/>
    <s v="22 Broad Lane, Hampton TW12 3AZ"/>
    <s v="TW12 3AZ"/>
    <m/>
    <m/>
    <m/>
    <m/>
    <n v="1"/>
    <m/>
    <m/>
    <m/>
    <m/>
    <n v="1"/>
    <m/>
    <m/>
    <m/>
    <m/>
    <n v="2"/>
    <m/>
    <m/>
    <m/>
    <m/>
    <n v="2"/>
    <n v="0"/>
    <n v="0"/>
    <n v="0"/>
    <n v="1"/>
    <n v="0"/>
    <n v="0"/>
    <n v="0"/>
    <n v="0"/>
    <n v="1"/>
    <m/>
    <m/>
    <n v="0.25"/>
    <n v="0.25"/>
    <n v="0.25"/>
    <n v="0.25"/>
    <m/>
    <m/>
    <m/>
    <m/>
    <m/>
    <m/>
    <m/>
    <m/>
    <m/>
    <m/>
    <m/>
    <m/>
    <n v="1"/>
    <n v="1"/>
    <m/>
    <m/>
    <m/>
    <n v="513617"/>
    <n v="170628"/>
    <s v="Hampton North"/>
    <s v="Teddington and the Hamptons"/>
    <m/>
    <m/>
    <m/>
    <m/>
    <m/>
    <m/>
    <m/>
    <m/>
    <s v="Hampton &amp; Hampton Hill"/>
    <x v="0"/>
  </r>
  <r>
    <s v="23/1127/FUL"/>
    <s v="NEW"/>
    <s v="FULL"/>
    <x v="205"/>
    <d v="2027-01-26T00:00:00"/>
    <d v="2025-04-01T00:00:00"/>
    <m/>
    <m/>
    <m/>
    <x v="2"/>
    <s v="Open Market"/>
    <m/>
    <m/>
    <m/>
    <s v="Demolition of existing dwelling and construction of 2no. semi detached dwellings and associated parking and landscaping."/>
    <s v="6 Wensleydale Road, Hampton TW12 2LW"/>
    <s v="TW12 2LW"/>
    <m/>
    <m/>
    <m/>
    <n v="1"/>
    <m/>
    <m/>
    <m/>
    <m/>
    <m/>
    <n v="1"/>
    <m/>
    <m/>
    <m/>
    <n v="2"/>
    <m/>
    <m/>
    <m/>
    <m/>
    <m/>
    <n v="2"/>
    <n v="0"/>
    <n v="0"/>
    <n v="1"/>
    <n v="0"/>
    <n v="0"/>
    <n v="0"/>
    <n v="0"/>
    <n v="0"/>
    <n v="1"/>
    <m/>
    <m/>
    <m/>
    <n v="1"/>
    <m/>
    <m/>
    <m/>
    <m/>
    <m/>
    <m/>
    <m/>
    <m/>
    <m/>
    <m/>
    <m/>
    <m/>
    <m/>
    <m/>
    <n v="1"/>
    <n v="1"/>
    <m/>
    <m/>
    <m/>
    <n v="513480"/>
    <n v="169902"/>
    <s v="Hampton"/>
    <s v="Teddington and the Hamptons"/>
    <m/>
    <m/>
    <m/>
    <m/>
    <m/>
    <m/>
    <m/>
    <s v="Y"/>
    <s v="Hampton &amp; Hampton Hill"/>
    <x v="0"/>
  </r>
  <r>
    <s v="23/1140/FUL"/>
    <s v="NEW"/>
    <s v="FULL"/>
    <x v="206"/>
    <d v="2027-05-02T00:00:00"/>
    <d v="2025-08-04T00:00:00"/>
    <m/>
    <s v="Y"/>
    <m/>
    <x v="2"/>
    <s v="Open Market"/>
    <m/>
    <m/>
    <m/>
    <s v="The demolition of existing house and the building of a new six bedroom house, over 3 above ground floors; ground, first and second (loft) floor and a basement level."/>
    <s v="291A Sheen Road, Richmond TW10 5AW"/>
    <s v="TW10 5AW"/>
    <m/>
    <m/>
    <m/>
    <m/>
    <n v="1"/>
    <m/>
    <m/>
    <m/>
    <m/>
    <n v="1"/>
    <m/>
    <m/>
    <m/>
    <m/>
    <m/>
    <m/>
    <n v="1"/>
    <m/>
    <m/>
    <n v="1"/>
    <n v="0"/>
    <n v="0"/>
    <n v="0"/>
    <n v="-1"/>
    <n v="0"/>
    <n v="1"/>
    <n v="0"/>
    <n v="0"/>
    <n v="0"/>
    <m/>
    <m/>
    <n v="0"/>
    <m/>
    <m/>
    <m/>
    <m/>
    <m/>
    <m/>
    <m/>
    <m/>
    <m/>
    <m/>
    <m/>
    <m/>
    <m/>
    <m/>
    <m/>
    <n v="0"/>
    <n v="0"/>
    <m/>
    <m/>
    <m/>
    <n v="519278"/>
    <n v="175104"/>
    <s v="South Richmond"/>
    <s v="Richmond"/>
    <m/>
    <m/>
    <m/>
    <m/>
    <m/>
    <m/>
    <m/>
    <s v="Y"/>
    <s v="Richmond and Richmond Hill"/>
    <x v="0"/>
  </r>
  <r>
    <s v="23/1175/FUL"/>
    <s v="CHU"/>
    <s v="FULL"/>
    <x v="207"/>
    <d v="2027-06-20T00:00:00"/>
    <d v="2025-04-01T00:00:00"/>
    <m/>
    <s v="Y"/>
    <m/>
    <x v="2"/>
    <s v="Open Market"/>
    <m/>
    <m/>
    <m/>
    <s v="Change of use from mixed use comprising ground floor car motor garage (B2) and ancillary first floor flat(C3) to residential (C3) including alterations to the front and rear facades, the construction of front and rear extensions and the conversion of the roofspace to provide additional accommodation to create 4 no. flats, rear roof extension,  rear roof dormer, 8 rooflights,  alterations to the existing crossover, two active electric charging points, alterations to the existing rear garage to accommodate car and cycle parking, landscaping and waste storage."/>
    <s v="14-16 Tudor Road, Hampton TW12 2NQ"/>
    <s v="TW12 2NQ"/>
    <m/>
    <m/>
    <n v="1"/>
    <m/>
    <m/>
    <m/>
    <m/>
    <m/>
    <m/>
    <n v="1"/>
    <m/>
    <n v="3"/>
    <m/>
    <n v="1"/>
    <m/>
    <m/>
    <m/>
    <m/>
    <m/>
    <n v="4"/>
    <n v="3"/>
    <n v="-1"/>
    <n v="1"/>
    <n v="0"/>
    <n v="0"/>
    <n v="0"/>
    <n v="0"/>
    <n v="0"/>
    <n v="3"/>
    <m/>
    <m/>
    <m/>
    <n v="3"/>
    <m/>
    <m/>
    <m/>
    <m/>
    <m/>
    <m/>
    <m/>
    <m/>
    <m/>
    <m/>
    <m/>
    <m/>
    <m/>
    <m/>
    <n v="3"/>
    <n v="3"/>
    <m/>
    <m/>
    <m/>
    <n v="513441"/>
    <n v="170019"/>
    <s v="Hampton"/>
    <s v="Teddington and the Hamptons"/>
    <m/>
    <m/>
    <m/>
    <m/>
    <m/>
    <m/>
    <m/>
    <s v="Y"/>
    <s v="Hampton &amp; Hampton Hill"/>
    <x v="0"/>
  </r>
  <r>
    <s v="23/1413/GPH01"/>
    <s v="EXT"/>
    <s v="PA"/>
    <x v="38"/>
    <d v="2026-07-17T00:00:00"/>
    <m/>
    <m/>
    <m/>
    <m/>
    <x v="2"/>
    <s v="Open Market"/>
    <m/>
    <m/>
    <m/>
    <s v="Construction of an additional storey containing 3no. flats immediately above the existing topmost residential storey, and recreation of the existing roof shape; addition of 2no. off-street parking spaces along with secure bike and bin storage."/>
    <s v="Heritage House, 145 London Road Twickenham"/>
    <s v="TW1 1EF"/>
    <m/>
    <m/>
    <m/>
    <m/>
    <m/>
    <m/>
    <m/>
    <m/>
    <m/>
    <n v="0"/>
    <m/>
    <n v="6"/>
    <m/>
    <m/>
    <m/>
    <m/>
    <m/>
    <m/>
    <m/>
    <n v="6"/>
    <n v="6"/>
    <n v="0"/>
    <n v="0"/>
    <n v="0"/>
    <n v="0"/>
    <n v="0"/>
    <n v="0"/>
    <n v="0"/>
    <n v="6"/>
    <m/>
    <m/>
    <m/>
    <n v="1.5"/>
    <n v="1.5"/>
    <n v="1.5"/>
    <n v="1.5"/>
    <m/>
    <m/>
    <m/>
    <m/>
    <m/>
    <m/>
    <m/>
    <m/>
    <m/>
    <m/>
    <m/>
    <n v="6"/>
    <n v="6"/>
    <m/>
    <m/>
    <m/>
    <n v="516098"/>
    <n v="173924"/>
    <s v="St. Margarets &amp; North Twickenham"/>
    <s v="Twickenham"/>
    <m/>
    <m/>
    <m/>
    <m/>
    <m/>
    <m/>
    <m/>
    <s v="Y"/>
    <s v="Twickenham, Strawberry Hill &amp; St Margarets"/>
    <x v="0"/>
  </r>
  <r>
    <s v="23/1565/OUT"/>
    <s v="NEW"/>
    <s v="OUT"/>
    <x v="208"/>
    <d v="2027-09-16T00:00:00"/>
    <m/>
    <m/>
    <s v="Y"/>
    <m/>
    <x v="2"/>
    <s v="Open Market"/>
    <m/>
    <m/>
    <m/>
    <s v="Outline application for demolition of existing garages and erection of 4 x 2 bedroom flats and 1 x 2 bedroom house with associated hard and soft landscaping, parking and cycle and refuse store. Landscaping to form part of the reserved matters."/>
    <s v="Garages And Land Adjacent Railway, South Worple Way, East Sheen"/>
    <s v="SW14"/>
    <m/>
    <m/>
    <m/>
    <m/>
    <m/>
    <m/>
    <m/>
    <m/>
    <m/>
    <n v="0"/>
    <m/>
    <m/>
    <n v="5"/>
    <m/>
    <m/>
    <m/>
    <m/>
    <m/>
    <m/>
    <n v="5"/>
    <n v="0"/>
    <n v="5"/>
    <n v="0"/>
    <n v="0"/>
    <n v="0"/>
    <n v="0"/>
    <n v="0"/>
    <n v="0"/>
    <n v="5"/>
    <m/>
    <m/>
    <m/>
    <n v="1.25"/>
    <n v="1.25"/>
    <n v="1.25"/>
    <n v="1.25"/>
    <m/>
    <m/>
    <m/>
    <m/>
    <m/>
    <m/>
    <m/>
    <m/>
    <m/>
    <m/>
    <m/>
    <n v="5"/>
    <n v="5"/>
    <m/>
    <m/>
    <m/>
    <n v="520619"/>
    <n v="175749"/>
    <s v="East Sheen"/>
    <s v="Barnes and East Sheen"/>
    <m/>
    <m/>
    <m/>
    <m/>
    <m/>
    <m/>
    <m/>
    <s v="Y"/>
    <s v="Mortlake and East Sheen"/>
    <x v="0"/>
  </r>
  <r>
    <s v="23/1615/GPD26"/>
    <s v="CHU"/>
    <s v="PA"/>
    <x v="209"/>
    <d v="2026-08-14T00:00:00"/>
    <d v="2025-07-11T00:00:00"/>
    <m/>
    <m/>
    <d v="2025-10-19T00:00:00"/>
    <x v="2"/>
    <s v="Open Market"/>
    <m/>
    <m/>
    <m/>
    <s v="Conversion of existing ground floor offices (Class E) to residential (class C3). Retention of existing rear garden including secure cycle storage unit and recycling bin area."/>
    <s v="15 Nelson Road, Twickenham TW2 7AR"/>
    <s v="TW2 7AR"/>
    <m/>
    <m/>
    <m/>
    <m/>
    <m/>
    <m/>
    <m/>
    <m/>
    <m/>
    <n v="0"/>
    <m/>
    <n v="1"/>
    <m/>
    <m/>
    <m/>
    <m/>
    <m/>
    <m/>
    <m/>
    <n v="1"/>
    <n v="1"/>
    <n v="0"/>
    <n v="0"/>
    <n v="0"/>
    <n v="0"/>
    <n v="0"/>
    <n v="0"/>
    <n v="0"/>
    <n v="1"/>
    <m/>
    <m/>
    <n v="1"/>
    <m/>
    <m/>
    <m/>
    <m/>
    <m/>
    <m/>
    <m/>
    <m/>
    <m/>
    <m/>
    <m/>
    <m/>
    <m/>
    <m/>
    <m/>
    <n v="1"/>
    <n v="1"/>
    <m/>
    <m/>
    <m/>
    <n v="514480"/>
    <n v="174190"/>
    <s v="Whitton"/>
    <s v="Whitton"/>
    <m/>
    <m/>
    <m/>
    <m/>
    <m/>
    <m/>
    <m/>
    <s v="Y"/>
    <s v="Whitton and Heathfield"/>
    <x v="0"/>
  </r>
  <r>
    <s v="23/1618/GPD26"/>
    <s v="CHU"/>
    <s v="PA"/>
    <x v="210"/>
    <d v="2026-07-28T00:00:00"/>
    <m/>
    <m/>
    <m/>
    <m/>
    <x v="2"/>
    <s v="Open Market"/>
    <m/>
    <m/>
    <m/>
    <s v="Conversion of office space into a single dwelling with associated cycle parking and refuse and recycling provision."/>
    <s v="Station Point, 121 Sandycombe Road, Richmond"/>
    <s v="TW9 2AD"/>
    <m/>
    <m/>
    <m/>
    <m/>
    <m/>
    <m/>
    <m/>
    <m/>
    <m/>
    <n v="0"/>
    <m/>
    <m/>
    <n v="1"/>
    <m/>
    <m/>
    <m/>
    <m/>
    <m/>
    <m/>
    <n v="1"/>
    <n v="0"/>
    <n v="1"/>
    <n v="0"/>
    <n v="0"/>
    <n v="0"/>
    <n v="0"/>
    <n v="0"/>
    <n v="0"/>
    <n v="1"/>
    <m/>
    <m/>
    <n v="0.25"/>
    <n v="0.25"/>
    <n v="0.25"/>
    <n v="0.25"/>
    <m/>
    <m/>
    <m/>
    <m/>
    <m/>
    <m/>
    <m/>
    <m/>
    <m/>
    <m/>
    <m/>
    <m/>
    <n v="1"/>
    <n v="1"/>
    <m/>
    <m/>
    <m/>
    <n v="519072"/>
    <n v="176048"/>
    <s v="Kew"/>
    <s v="Richmond"/>
    <m/>
    <m/>
    <m/>
    <m/>
    <m/>
    <m/>
    <m/>
    <s v="Y"/>
    <s v="Kew"/>
    <x v="0"/>
  </r>
  <r>
    <s v="23/1619/FUL"/>
    <s v="CHU"/>
    <s v="FULL"/>
    <x v="209"/>
    <d v="2027-07-15T00:00:00"/>
    <m/>
    <m/>
    <m/>
    <m/>
    <x v="2"/>
    <s v="Open Market"/>
    <m/>
    <m/>
    <m/>
    <s v="Change of Use from the Residential (C3) use into Hotel (C1) and a Listed Building Consent for removal of kitchen and pantry furniture and fixtures, and installation of en-suite shower room &amp; free-standing bath in Suite 1 (long room)."/>
    <s v="1 Palace Gate, Hampton Court Road, Hampton KT8 9BN"/>
    <s v="KT8 9BN"/>
    <m/>
    <m/>
    <m/>
    <n v="1"/>
    <m/>
    <m/>
    <m/>
    <m/>
    <m/>
    <n v="1"/>
    <m/>
    <m/>
    <m/>
    <m/>
    <m/>
    <m/>
    <m/>
    <m/>
    <m/>
    <n v="0"/>
    <n v="0"/>
    <n v="0"/>
    <n v="-1"/>
    <n v="0"/>
    <n v="0"/>
    <n v="0"/>
    <n v="0"/>
    <n v="0"/>
    <n v="-1"/>
    <m/>
    <m/>
    <n v="-0.25"/>
    <n v="-0.25"/>
    <n v="-0.25"/>
    <n v="-0.25"/>
    <m/>
    <m/>
    <m/>
    <m/>
    <m/>
    <m/>
    <m/>
    <m/>
    <m/>
    <m/>
    <m/>
    <m/>
    <n v="-1"/>
    <n v="-1"/>
    <m/>
    <m/>
    <m/>
    <n v="515409"/>
    <n v="168615"/>
    <s v="Hampton"/>
    <s v="Teddington and the Hamptons"/>
    <m/>
    <s v="Thames Policy Area"/>
    <m/>
    <m/>
    <m/>
    <s v="CA11 Hampton Court Green"/>
    <s v="Y"/>
    <s v="Y"/>
    <s v="Hampton &amp; Hampton Hill"/>
    <x v="0"/>
  </r>
  <r>
    <s v="23/1623/FUL"/>
    <s v="CHU"/>
    <s v="FULL"/>
    <x v="211"/>
    <d v="2027-08-13T00:00:00"/>
    <d v="2025-04-01T00:00:00"/>
    <m/>
    <s v="Y"/>
    <m/>
    <x v="2"/>
    <s v="Open Market"/>
    <m/>
    <m/>
    <m/>
    <s v="Change of use from student accommodation to C3 residential use, side extension, erection of a part width rear extension to the lower and upper ground floor) and the creation of vehicular access to No. 23 Queens Road with alterations and improvements to the front boundary walls and landscaping of both no. 23 and no.21 Queens Road"/>
    <s v="21 - 23 Queens Road, Richmond"/>
    <s v="TW10 6JW"/>
    <m/>
    <m/>
    <m/>
    <m/>
    <m/>
    <m/>
    <m/>
    <m/>
    <m/>
    <n v="0"/>
    <m/>
    <m/>
    <m/>
    <m/>
    <m/>
    <m/>
    <m/>
    <n v="1"/>
    <m/>
    <n v="1"/>
    <n v="0"/>
    <n v="0"/>
    <n v="0"/>
    <n v="0"/>
    <n v="0"/>
    <n v="0"/>
    <n v="1"/>
    <n v="0"/>
    <n v="1"/>
    <m/>
    <m/>
    <n v="1"/>
    <m/>
    <m/>
    <m/>
    <m/>
    <m/>
    <m/>
    <m/>
    <m/>
    <m/>
    <m/>
    <m/>
    <m/>
    <m/>
    <m/>
    <m/>
    <n v="1"/>
    <n v="1"/>
    <m/>
    <m/>
    <m/>
    <n v="518603"/>
    <n v="174156"/>
    <s v="South Richmond"/>
    <s v="Richmond"/>
    <m/>
    <m/>
    <m/>
    <m/>
    <m/>
    <s v="CA30 St Matthias Richmond"/>
    <s v="Y"/>
    <s v="Y"/>
    <s v="Richmond and Richmond Hill"/>
    <x v="0"/>
  </r>
  <r>
    <s v="23/1812/FUL"/>
    <s v="NEW"/>
    <s v="FULL"/>
    <x v="212"/>
    <d v="2026-09-07T00:00:00"/>
    <m/>
    <m/>
    <m/>
    <m/>
    <x v="2"/>
    <s v="Open Market"/>
    <m/>
    <m/>
    <m/>
    <s v="Demolition of existing dwelling and erection of a replacement two storey dwelling."/>
    <s v="14 Cedar Heights, Petersham, Richmond TW10 7AE"/>
    <s v="TW10 7AE"/>
    <m/>
    <m/>
    <m/>
    <n v="1"/>
    <m/>
    <m/>
    <m/>
    <m/>
    <m/>
    <n v="1"/>
    <m/>
    <m/>
    <m/>
    <m/>
    <m/>
    <n v="1"/>
    <m/>
    <m/>
    <m/>
    <n v="1"/>
    <n v="0"/>
    <n v="0"/>
    <n v="-1"/>
    <n v="0"/>
    <n v="1"/>
    <n v="0"/>
    <n v="0"/>
    <n v="0"/>
    <n v="0"/>
    <m/>
    <m/>
    <n v="0"/>
    <m/>
    <m/>
    <m/>
    <m/>
    <m/>
    <m/>
    <m/>
    <m/>
    <m/>
    <m/>
    <m/>
    <m/>
    <m/>
    <m/>
    <m/>
    <n v="0"/>
    <n v="0"/>
    <m/>
    <m/>
    <m/>
    <n v="518160"/>
    <n v="173124"/>
    <s v="Ham, Petersham &amp; Richmond Riverside"/>
    <s v="Ham &amp; Petersham"/>
    <m/>
    <m/>
    <m/>
    <m/>
    <m/>
    <m/>
    <m/>
    <m/>
    <s v="Ham, Petersham &amp; Richmond Park"/>
    <x v="0"/>
  </r>
  <r>
    <s v="23/1819/FUL"/>
    <s v="MIX"/>
    <s v="FULL"/>
    <x v="213"/>
    <d v="2026-09-18T00:00:00"/>
    <m/>
    <m/>
    <m/>
    <m/>
    <x v="2"/>
    <s v="Open Market"/>
    <m/>
    <m/>
    <m/>
    <s v="Ground floor conversion from commercial to two 1B1P self-contained dwellings. Single storey rear extension to accommodate one new 2B4P self-contained dwelling. First floor extension to allow the sub-division of the existing 3 bedroom first floor flat to form 2No. 1-bedroom flats and the construction of a mansard style roof extension to provide a further 2No. 1 bedroom flats at second floor level. Re-siting of existing front doors at ground floor level of the residential units."/>
    <s v="3 - 4 New Broadway, Hampton Hill"/>
    <s v="TW12 1JG"/>
    <m/>
    <m/>
    <m/>
    <n v="1"/>
    <m/>
    <m/>
    <m/>
    <m/>
    <m/>
    <n v="1"/>
    <m/>
    <n v="8"/>
    <m/>
    <m/>
    <m/>
    <m/>
    <m/>
    <m/>
    <m/>
    <n v="8"/>
    <n v="8"/>
    <n v="0"/>
    <n v="-1"/>
    <n v="0"/>
    <n v="0"/>
    <n v="0"/>
    <n v="0"/>
    <n v="0"/>
    <n v="7"/>
    <m/>
    <m/>
    <m/>
    <n v="3.5"/>
    <n v="3.5"/>
    <m/>
    <m/>
    <m/>
    <m/>
    <m/>
    <m/>
    <m/>
    <m/>
    <m/>
    <m/>
    <m/>
    <m/>
    <m/>
    <n v="7"/>
    <n v="7"/>
    <m/>
    <m/>
    <m/>
    <n v="514554"/>
    <n v="171260"/>
    <s v="Fulwell &amp; Hampton Hill"/>
    <s v="Teddington and the Hamptons"/>
    <m/>
    <m/>
    <s v="High Street, Hampton Hill"/>
    <s v="Y"/>
    <m/>
    <m/>
    <m/>
    <s v="Y"/>
    <s v="Hampton &amp; Hampton Hill"/>
    <x v="0"/>
  </r>
  <r>
    <s v="23/2090/FUL"/>
    <s v="CON"/>
    <s v="FULL"/>
    <x v="214"/>
    <d v="2027-04-09T00:00:00"/>
    <m/>
    <m/>
    <s v="Y"/>
    <m/>
    <x v="2"/>
    <s v="Open Market"/>
    <m/>
    <m/>
    <m/>
    <s v="Change of use of existing building from use as hobbyist workshop to 1 bed studio apartment (C3) and associated external alterations including to roof and fenestration."/>
    <s v="Land Rear Of 63 Sheen Lane, East Sheen"/>
    <s v="SW14 8AB"/>
    <m/>
    <m/>
    <m/>
    <m/>
    <m/>
    <m/>
    <m/>
    <m/>
    <m/>
    <n v="0"/>
    <m/>
    <n v="1"/>
    <m/>
    <m/>
    <m/>
    <m/>
    <m/>
    <m/>
    <m/>
    <n v="1"/>
    <n v="1"/>
    <n v="0"/>
    <n v="0"/>
    <n v="0"/>
    <n v="0"/>
    <n v="0"/>
    <n v="0"/>
    <n v="0"/>
    <n v="1"/>
    <m/>
    <m/>
    <n v="0.25"/>
    <n v="0.25"/>
    <n v="0.25"/>
    <n v="0.25"/>
    <m/>
    <m/>
    <m/>
    <m/>
    <m/>
    <m/>
    <m/>
    <m/>
    <m/>
    <m/>
    <m/>
    <m/>
    <n v="1"/>
    <n v="1"/>
    <m/>
    <m/>
    <m/>
    <n v="520522"/>
    <n v="175644"/>
    <s v="East Sheen"/>
    <s v="Barnes and East Sheen"/>
    <s v="East Sheen"/>
    <m/>
    <m/>
    <m/>
    <m/>
    <m/>
    <m/>
    <s v="Y"/>
    <s v="Mortlake and East Sheen"/>
    <x v="0"/>
  </r>
  <r>
    <s v="23/2244/FUL"/>
    <s v="NEW"/>
    <s v="FULL"/>
    <x v="108"/>
    <d v="2026-12-21T00:00:00"/>
    <m/>
    <m/>
    <m/>
    <m/>
    <x v="2"/>
    <s v="Open Market"/>
    <m/>
    <m/>
    <m/>
    <s v="Demolition of the existing detached two-storey dwelling house with accommodation in the roofspace and existing attached single-storey garage and outbuildings, and their replacement with a pair of semi-detached two-storey dwelling houses with associated off-street car parking, cycle parking, bin store areas and landscaping."/>
    <s v="233 Nelson Road, Twickenham TW2 7BQ"/>
    <s v="TW2 7BQ"/>
    <m/>
    <m/>
    <m/>
    <m/>
    <n v="1"/>
    <m/>
    <m/>
    <m/>
    <m/>
    <n v="1"/>
    <m/>
    <m/>
    <m/>
    <n v="2"/>
    <m/>
    <m/>
    <m/>
    <m/>
    <m/>
    <n v="2"/>
    <n v="0"/>
    <n v="0"/>
    <n v="2"/>
    <n v="-1"/>
    <n v="0"/>
    <n v="0"/>
    <n v="0"/>
    <n v="0"/>
    <n v="1"/>
    <m/>
    <m/>
    <n v="0.25"/>
    <n v="0.25"/>
    <n v="0.25"/>
    <n v="0.25"/>
    <m/>
    <m/>
    <m/>
    <m/>
    <m/>
    <m/>
    <m/>
    <m/>
    <m/>
    <m/>
    <m/>
    <m/>
    <n v="1"/>
    <n v="1"/>
    <m/>
    <m/>
    <m/>
    <n v="513815"/>
    <n v="173889"/>
    <s v="Whitton"/>
    <s v="Whitton"/>
    <m/>
    <m/>
    <m/>
    <m/>
    <m/>
    <m/>
    <m/>
    <s v="Y"/>
    <s v="Whitton and Heathfield"/>
    <x v="0"/>
  </r>
  <r>
    <s v="23/2250/FUL"/>
    <s v="MIX"/>
    <s v="FULL"/>
    <x v="159"/>
    <d v="2027-08-22T00:00:00"/>
    <m/>
    <m/>
    <s v="Y"/>
    <m/>
    <x v="2"/>
    <s v="Open Market"/>
    <m/>
    <m/>
    <m/>
    <s v="The construction of a first and second floor rear extension, erection of a rear dormer window and conversion of the existing two-bedroom flat to create 1No. one-bedroom flat and 1No. two-bedroom flat."/>
    <s v="31A Broad Street, Teddington TW11 8QZ"/>
    <s v="TW11 8QZ"/>
    <m/>
    <n v="1"/>
    <m/>
    <m/>
    <m/>
    <m/>
    <m/>
    <m/>
    <m/>
    <n v="1"/>
    <m/>
    <n v="1"/>
    <n v="1"/>
    <m/>
    <m/>
    <m/>
    <m/>
    <m/>
    <m/>
    <n v="2"/>
    <n v="0"/>
    <n v="1"/>
    <n v="0"/>
    <n v="0"/>
    <n v="0"/>
    <n v="0"/>
    <n v="0"/>
    <n v="0"/>
    <n v="1"/>
    <m/>
    <m/>
    <n v="0.25"/>
    <n v="0.25"/>
    <n v="0.25"/>
    <n v="0.25"/>
    <m/>
    <m/>
    <m/>
    <m/>
    <m/>
    <m/>
    <m/>
    <m/>
    <m/>
    <m/>
    <m/>
    <m/>
    <n v="1"/>
    <n v="1"/>
    <m/>
    <m/>
    <m/>
    <n v="515611"/>
    <n v="170996"/>
    <s v="Teddington"/>
    <s v="Teddington and the Hamptons"/>
    <s v="Teddington"/>
    <m/>
    <m/>
    <m/>
    <m/>
    <m/>
    <m/>
    <s v="Y"/>
    <s v="Teddington &amp; Hampton Wick"/>
    <x v="0"/>
  </r>
  <r>
    <s v="23/2359/FUL"/>
    <s v="NEW"/>
    <s v="FULL"/>
    <x v="56"/>
    <d v="2027-12-06T00:00:00"/>
    <d v="2025-11-06T00:00:00"/>
    <m/>
    <s v="Y"/>
    <m/>
    <x v="2"/>
    <s v="Open Market"/>
    <m/>
    <m/>
    <m/>
    <s v="Demolition of the existing bungalow and replacement with a pair of 2 storey, 3-bedroom semi-detached dwellinghouses with associated parking and landscaping"/>
    <s v="83 Udney Park Road, Teddington TW11 9BB"/>
    <s v="TW11 9BB"/>
    <m/>
    <m/>
    <n v="1"/>
    <m/>
    <m/>
    <m/>
    <m/>
    <m/>
    <m/>
    <n v="1"/>
    <m/>
    <m/>
    <m/>
    <n v="2"/>
    <m/>
    <m/>
    <m/>
    <m/>
    <m/>
    <n v="2"/>
    <n v="0"/>
    <n v="-1"/>
    <n v="2"/>
    <n v="0"/>
    <n v="0"/>
    <n v="0"/>
    <n v="0"/>
    <n v="0"/>
    <n v="1"/>
    <m/>
    <m/>
    <m/>
    <n v="0.5"/>
    <n v="0.5"/>
    <m/>
    <m/>
    <m/>
    <m/>
    <m/>
    <m/>
    <m/>
    <m/>
    <m/>
    <m/>
    <m/>
    <m/>
    <m/>
    <n v="1"/>
    <n v="1"/>
    <m/>
    <m/>
    <m/>
    <n v="516348"/>
    <n v="170774"/>
    <s v="Hampton Wick &amp; South Teddington"/>
    <s v="Teddington and the Hamptons"/>
    <m/>
    <m/>
    <m/>
    <m/>
    <m/>
    <m/>
    <m/>
    <s v="Y"/>
    <s v="Teddington &amp; Hampton Wick"/>
    <x v="0"/>
  </r>
  <r>
    <s v="23/2413/FUL"/>
    <s v="NEW"/>
    <s v="FULL"/>
    <x v="215"/>
    <d v="2027-03-13T00:00:00"/>
    <d v="2025-05-01T00:00:00"/>
    <m/>
    <m/>
    <m/>
    <x v="2"/>
    <s v="Open Market"/>
    <m/>
    <m/>
    <m/>
    <s v="Demolition of existing outbuilding. Erection of side/rear extension to create office floorspace and 1 x 2 bed flat with associated landscaping, cycle and refuse storage facilities."/>
    <s v="53 Sheen Lane, East Sheen SW14 8AB"/>
    <s v="SW14 8AB"/>
    <m/>
    <m/>
    <m/>
    <m/>
    <m/>
    <m/>
    <m/>
    <m/>
    <m/>
    <n v="0"/>
    <m/>
    <m/>
    <n v="1"/>
    <m/>
    <m/>
    <m/>
    <m/>
    <m/>
    <m/>
    <n v="1"/>
    <n v="0"/>
    <n v="1"/>
    <n v="0"/>
    <n v="0"/>
    <n v="0"/>
    <n v="0"/>
    <n v="0"/>
    <n v="0"/>
    <n v="1"/>
    <m/>
    <m/>
    <n v="0.5"/>
    <n v="0.5"/>
    <m/>
    <m/>
    <m/>
    <m/>
    <m/>
    <m/>
    <m/>
    <m/>
    <m/>
    <m/>
    <m/>
    <m/>
    <m/>
    <m/>
    <n v="1"/>
    <n v="1"/>
    <m/>
    <m/>
    <m/>
    <n v="520508"/>
    <n v="175676"/>
    <s v="East Sheen"/>
    <s v="Barnes and East Sheen"/>
    <s v="East Sheen"/>
    <m/>
    <m/>
    <m/>
    <m/>
    <s v="CA70 Sheen Lane Mortlake"/>
    <s v="Y"/>
    <s v="Y"/>
    <s v="Mortlake and East Sheen"/>
    <x v="0"/>
  </r>
  <r>
    <s v="23/2478/FUL"/>
    <s v="NEW"/>
    <s v="FULL"/>
    <x v="216"/>
    <d v="2027-07-09T00:00:00"/>
    <d v="2025-12-05T00:00:00"/>
    <m/>
    <s v="Y"/>
    <m/>
    <x v="2"/>
    <s v="Open Market"/>
    <m/>
    <m/>
    <m/>
    <s v="Demolition of the existing garages, erection of a residential dwelling (Use Class C3), parking, landscaping, store, alterations and improvements to the existing rear stair core to 19-23 Friars Stile Road and associated works."/>
    <s v="Rear Of 19-23 Friars Stile Road, Richmond"/>
    <s v="TW10 6QH"/>
    <m/>
    <m/>
    <m/>
    <m/>
    <m/>
    <m/>
    <m/>
    <m/>
    <m/>
    <n v="0"/>
    <m/>
    <m/>
    <m/>
    <n v="1"/>
    <m/>
    <m/>
    <m/>
    <m/>
    <m/>
    <n v="1"/>
    <n v="0"/>
    <n v="0"/>
    <n v="1"/>
    <n v="0"/>
    <n v="0"/>
    <n v="0"/>
    <n v="0"/>
    <n v="0"/>
    <n v="1"/>
    <m/>
    <m/>
    <m/>
    <n v="0.5"/>
    <n v="0.5"/>
    <m/>
    <m/>
    <m/>
    <m/>
    <m/>
    <m/>
    <m/>
    <m/>
    <m/>
    <m/>
    <m/>
    <m/>
    <m/>
    <n v="1"/>
    <n v="1"/>
    <m/>
    <m/>
    <m/>
    <n v="518414"/>
    <n v="174349"/>
    <s v="South Richmond"/>
    <s v="Richmond"/>
    <m/>
    <m/>
    <m/>
    <m/>
    <m/>
    <s v="CA30 St Matthias Richmond"/>
    <s v="Y"/>
    <s v="Y"/>
    <s v="Richmond and Richmond Hill"/>
    <x v="0"/>
  </r>
  <r>
    <s v="23/2490/FUL"/>
    <s v="NEW"/>
    <s v="FULL"/>
    <x v="36"/>
    <d v="2027-01-24T00:00:00"/>
    <m/>
    <m/>
    <m/>
    <m/>
    <x v="2"/>
    <s v="Open Market"/>
    <m/>
    <m/>
    <m/>
    <s v="Demolition of Existing Bungalow and the Erection of a Replacement Dwelling"/>
    <s v="84A Hampton Road, Twickenham TW2 5QS"/>
    <s v="TW2 5QS"/>
    <m/>
    <m/>
    <m/>
    <n v="1"/>
    <m/>
    <m/>
    <m/>
    <m/>
    <m/>
    <n v="1"/>
    <m/>
    <m/>
    <m/>
    <m/>
    <n v="1"/>
    <m/>
    <m/>
    <m/>
    <m/>
    <n v="1"/>
    <n v="0"/>
    <n v="0"/>
    <n v="-1"/>
    <n v="1"/>
    <n v="0"/>
    <n v="0"/>
    <n v="0"/>
    <n v="0"/>
    <n v="0"/>
    <m/>
    <m/>
    <n v="0"/>
    <m/>
    <m/>
    <m/>
    <m/>
    <m/>
    <m/>
    <m/>
    <m/>
    <m/>
    <m/>
    <m/>
    <m/>
    <m/>
    <m/>
    <m/>
    <n v="0"/>
    <n v="0"/>
    <m/>
    <m/>
    <m/>
    <n v="514998"/>
    <n v="172653"/>
    <s v="West Twickenham"/>
    <s v="Twickenham"/>
    <m/>
    <m/>
    <m/>
    <m/>
    <m/>
    <m/>
    <m/>
    <s v="Y"/>
    <s v="Twickenham, Strawberry Hill &amp; St Margarets"/>
    <x v="0"/>
  </r>
  <r>
    <s v="23/2663/FUL"/>
    <s v="NEW"/>
    <s v="FULL"/>
    <x v="217"/>
    <d v="2027-12-18T00:00:00"/>
    <m/>
    <m/>
    <m/>
    <m/>
    <x v="2"/>
    <s v="Open Market"/>
    <m/>
    <m/>
    <m/>
    <s v="Demolition of existing bungalow and the erection of a three-storey replacement dwelling with basement level"/>
    <s v="23A Hampton Road, Teddington TW11 0JN"/>
    <s v="TW11 0JN"/>
    <m/>
    <m/>
    <m/>
    <n v="1"/>
    <m/>
    <m/>
    <m/>
    <m/>
    <m/>
    <n v="1"/>
    <m/>
    <m/>
    <m/>
    <m/>
    <n v="1"/>
    <m/>
    <m/>
    <m/>
    <m/>
    <n v="1"/>
    <n v="0"/>
    <n v="0"/>
    <n v="-1"/>
    <n v="1"/>
    <n v="0"/>
    <n v="0"/>
    <n v="0"/>
    <n v="0"/>
    <n v="0"/>
    <m/>
    <m/>
    <n v="0"/>
    <m/>
    <m/>
    <m/>
    <m/>
    <m/>
    <m/>
    <m/>
    <m/>
    <m/>
    <m/>
    <m/>
    <m/>
    <m/>
    <m/>
    <m/>
    <n v="0"/>
    <n v="0"/>
    <m/>
    <m/>
    <m/>
    <n v="515364"/>
    <n v="171027"/>
    <s v="Teddington"/>
    <s v="Teddington and the Hamptons"/>
    <m/>
    <m/>
    <m/>
    <m/>
    <m/>
    <m/>
    <m/>
    <s v="Y"/>
    <s v="Teddington &amp; Hampton Wick"/>
    <x v="0"/>
  </r>
  <r>
    <s v="23/2673/FUL"/>
    <s v="CON"/>
    <s v="FULL"/>
    <x v="218"/>
    <d v="2026-12-14T00:00:00"/>
    <m/>
    <m/>
    <m/>
    <m/>
    <x v="2"/>
    <s v="Open Market"/>
    <m/>
    <m/>
    <m/>
    <s v="Subdivision of two bed flat to two 1 bed flats with associated refuse storage and cycle parking."/>
    <s v="28 Hill Street, Richmond TW9 1TW"/>
    <s v="TW9 1TW"/>
    <m/>
    <m/>
    <n v="1"/>
    <m/>
    <m/>
    <m/>
    <m/>
    <m/>
    <m/>
    <n v="1"/>
    <m/>
    <n v="2"/>
    <m/>
    <m/>
    <m/>
    <m/>
    <m/>
    <m/>
    <m/>
    <n v="2"/>
    <n v="2"/>
    <n v="-1"/>
    <n v="0"/>
    <n v="0"/>
    <n v="0"/>
    <n v="0"/>
    <n v="0"/>
    <n v="0"/>
    <n v="1"/>
    <m/>
    <m/>
    <n v="0.25"/>
    <n v="0.25"/>
    <n v="0.25"/>
    <n v="0.25"/>
    <m/>
    <m/>
    <m/>
    <m/>
    <m/>
    <m/>
    <m/>
    <m/>
    <m/>
    <m/>
    <m/>
    <m/>
    <n v="1"/>
    <n v="1"/>
    <m/>
    <m/>
    <m/>
    <n v="517804"/>
    <n v="174681"/>
    <s v="South Richmond"/>
    <s v="Richmond"/>
    <s v="Richmond"/>
    <m/>
    <m/>
    <m/>
    <m/>
    <s v="CA17 Central Richmond"/>
    <s v="Y"/>
    <s v="Y"/>
    <s v="Richmond and Richmond Hill"/>
    <x v="0"/>
  </r>
  <r>
    <s v="23/2841/FUL"/>
    <s v="NEW"/>
    <s v="FULL"/>
    <x v="216"/>
    <d v="2027-07-09T00:00:00"/>
    <m/>
    <m/>
    <s v="Y"/>
    <m/>
    <x v="2"/>
    <s v="Open Market"/>
    <m/>
    <m/>
    <m/>
    <s v="Demolition of the existing detached dwelling and erection of a pair of semi detached dwellings, with associated parking, landscaping cycle and refuse enclosures."/>
    <s v="108 Stanley Road, Teddington TW11 8TX"/>
    <s v="TW11 8TX"/>
    <m/>
    <m/>
    <m/>
    <n v="1"/>
    <m/>
    <m/>
    <m/>
    <m/>
    <m/>
    <n v="1"/>
    <m/>
    <m/>
    <m/>
    <m/>
    <n v="2"/>
    <m/>
    <m/>
    <m/>
    <m/>
    <n v="2"/>
    <n v="0"/>
    <n v="0"/>
    <n v="-1"/>
    <n v="2"/>
    <n v="0"/>
    <n v="0"/>
    <n v="0"/>
    <n v="0"/>
    <n v="1"/>
    <m/>
    <m/>
    <n v="0.25"/>
    <n v="0.25"/>
    <n v="0.25"/>
    <n v="0.25"/>
    <m/>
    <m/>
    <m/>
    <m/>
    <m/>
    <m/>
    <m/>
    <m/>
    <m/>
    <m/>
    <m/>
    <m/>
    <n v="1"/>
    <n v="1"/>
    <m/>
    <m/>
    <m/>
    <n v="515306"/>
    <n v="171319"/>
    <s v="Fulwell &amp; Hampton Hill"/>
    <s v="Teddington and the Hamptons"/>
    <m/>
    <m/>
    <m/>
    <m/>
    <m/>
    <m/>
    <m/>
    <s v="Y"/>
    <s v="Teddington &amp; Hampton Wick"/>
    <x v="0"/>
  </r>
  <r>
    <s v="23/2872/FUL"/>
    <s v="CHU"/>
    <s v="FULL"/>
    <x v="219"/>
    <d v="2027-11-27T00:00:00"/>
    <m/>
    <m/>
    <s v="Y"/>
    <m/>
    <x v="2"/>
    <s v="Open Market"/>
    <m/>
    <m/>
    <m/>
    <s v="Part change of use to create 1 x self-contained flat on the upper floors."/>
    <s v="Flat Above 10 King Street, Richmond TW9 1ND"/>
    <s v="TW9 1ND"/>
    <m/>
    <m/>
    <m/>
    <m/>
    <m/>
    <m/>
    <m/>
    <m/>
    <m/>
    <n v="0"/>
    <m/>
    <n v="1"/>
    <m/>
    <m/>
    <m/>
    <m/>
    <m/>
    <m/>
    <m/>
    <n v="1"/>
    <n v="1"/>
    <n v="0"/>
    <n v="0"/>
    <n v="0"/>
    <n v="0"/>
    <n v="0"/>
    <n v="0"/>
    <n v="0"/>
    <n v="1"/>
    <m/>
    <m/>
    <n v="0.25"/>
    <n v="0.25"/>
    <n v="0.25"/>
    <n v="0.25"/>
    <m/>
    <m/>
    <m/>
    <m/>
    <m/>
    <m/>
    <m/>
    <m/>
    <m/>
    <m/>
    <m/>
    <m/>
    <n v="1"/>
    <n v="1"/>
    <m/>
    <m/>
    <m/>
    <n v="517717"/>
    <n v="174791"/>
    <s v="South Richmond"/>
    <s v="Richmond"/>
    <s v="Richmond"/>
    <m/>
    <m/>
    <m/>
    <m/>
    <s v="CA17 Central Richmond"/>
    <s v="Y"/>
    <s v="Y"/>
    <s v="Richmond and Richmond Hill"/>
    <x v="0"/>
  </r>
  <r>
    <s v="23/2885/FUL"/>
    <s v="NEW"/>
    <s v="FULL"/>
    <x v="173"/>
    <d v="2027-04-26T00:00:00"/>
    <m/>
    <m/>
    <s v="Y"/>
    <m/>
    <x v="2"/>
    <s v="Open Market"/>
    <m/>
    <m/>
    <m/>
    <s v="Demolition of existing two storey side extension and replacement with a new two storey terraced house with rear parking, 2No. EVCPs"/>
    <s v="68 Lincoln Avenue, Twickenham TW2 6NQ"/>
    <s v="TW2 6NQ"/>
    <m/>
    <m/>
    <m/>
    <m/>
    <m/>
    <m/>
    <m/>
    <m/>
    <m/>
    <n v="0"/>
    <m/>
    <m/>
    <n v="1"/>
    <m/>
    <m/>
    <m/>
    <m/>
    <m/>
    <m/>
    <n v="1"/>
    <n v="0"/>
    <n v="1"/>
    <n v="0"/>
    <n v="0"/>
    <n v="0"/>
    <n v="0"/>
    <n v="0"/>
    <n v="0"/>
    <n v="1"/>
    <m/>
    <m/>
    <n v="0.25"/>
    <n v="0.25"/>
    <n v="0.25"/>
    <n v="0.25"/>
    <m/>
    <m/>
    <m/>
    <m/>
    <m/>
    <m/>
    <m/>
    <m/>
    <m/>
    <m/>
    <m/>
    <m/>
    <n v="1"/>
    <n v="1"/>
    <m/>
    <m/>
    <m/>
    <n v="514442"/>
    <n v="173117"/>
    <s v="West Twickenham"/>
    <s v="Twickenham"/>
    <m/>
    <m/>
    <m/>
    <m/>
    <m/>
    <m/>
    <m/>
    <s v="Y"/>
    <s v="Twickenham, Strawberry Hill &amp; St Margarets"/>
    <x v="0"/>
  </r>
  <r>
    <s v="23/3062/FUL"/>
    <s v="EXT"/>
    <s v="FULL"/>
    <x v="220"/>
    <d v="2027-05-16T00:00:00"/>
    <m/>
    <m/>
    <s v="Y"/>
    <m/>
    <x v="2"/>
    <s v="Open Market"/>
    <m/>
    <m/>
    <m/>
    <s v="Demolition of existing side extension and erection of new 3 bedroom dwelling with associated amenity space, parking, cycle and waste storage."/>
    <s v="224 St Leonards Road, East Sheen SW14 7BN"/>
    <s v="SW14 7BN"/>
    <m/>
    <m/>
    <m/>
    <m/>
    <m/>
    <m/>
    <m/>
    <m/>
    <m/>
    <n v="0"/>
    <m/>
    <m/>
    <m/>
    <n v="1"/>
    <m/>
    <m/>
    <m/>
    <m/>
    <m/>
    <n v="1"/>
    <n v="0"/>
    <n v="0"/>
    <n v="1"/>
    <n v="0"/>
    <n v="0"/>
    <n v="0"/>
    <n v="0"/>
    <n v="0"/>
    <n v="1"/>
    <m/>
    <m/>
    <n v="0.25"/>
    <n v="0.25"/>
    <n v="0.25"/>
    <n v="0.25"/>
    <m/>
    <m/>
    <m/>
    <m/>
    <m/>
    <m/>
    <m/>
    <m/>
    <m/>
    <m/>
    <m/>
    <m/>
    <n v="1"/>
    <n v="1"/>
    <m/>
    <m/>
    <m/>
    <n v="519823"/>
    <n v="175563"/>
    <s v="North Richmond"/>
    <s v="Richmond"/>
    <m/>
    <m/>
    <m/>
    <m/>
    <m/>
    <m/>
    <m/>
    <s v="Y"/>
    <s v="Mortlake and East Sheen"/>
    <x v="0"/>
  </r>
  <r>
    <s v="23/3199/FUL"/>
    <s v="CON"/>
    <s v="FULL"/>
    <x v="221"/>
    <d v="2027-12-13T00:00:00"/>
    <m/>
    <m/>
    <s v="Y"/>
    <m/>
    <x v="2"/>
    <s v="Open Market"/>
    <m/>
    <m/>
    <m/>
    <s v="2-storey side extensions to the east and west side elevations (reconstruction of existing) and a GF rear extension to the main house. The reinstatement of a self contained dwelling house to the east/ side . The addition of an Outbuilding/ Gym. Amendments to the front boundary wall including new brickwork piers, a straight wall to the crossover and the insertion of new timber entrance gates. First floor rear extension to the main house and roof addition with dormer roof extensions. Provision of PV Panels."/>
    <s v="35 Fife Road, East Sheen SW14 7EJ"/>
    <s v="SW14 7EJ"/>
    <m/>
    <m/>
    <m/>
    <m/>
    <m/>
    <m/>
    <m/>
    <m/>
    <m/>
    <n v="0"/>
    <m/>
    <m/>
    <n v="1"/>
    <m/>
    <m/>
    <m/>
    <m/>
    <m/>
    <m/>
    <n v="1"/>
    <n v="0"/>
    <n v="1"/>
    <n v="0"/>
    <n v="0"/>
    <n v="0"/>
    <n v="0"/>
    <n v="0"/>
    <n v="0"/>
    <n v="1"/>
    <m/>
    <m/>
    <n v="0.25"/>
    <n v="0.25"/>
    <n v="0.25"/>
    <n v="0.25"/>
    <m/>
    <m/>
    <m/>
    <m/>
    <m/>
    <m/>
    <m/>
    <m/>
    <m/>
    <m/>
    <m/>
    <m/>
    <n v="1"/>
    <n v="1"/>
    <m/>
    <m/>
    <m/>
    <n v="520354"/>
    <n v="174562"/>
    <s v="East Sheen"/>
    <s v="Barnes and East Sheen"/>
    <m/>
    <m/>
    <m/>
    <m/>
    <m/>
    <s v="CA13 Christchurch Road East Sheen"/>
    <s v="Y"/>
    <s v="Y"/>
    <s v="Mortlake and East Sheen"/>
    <x v="0"/>
  </r>
  <r>
    <s v="23/3200/FUL"/>
    <s v="CON"/>
    <s v="FULL"/>
    <x v="222"/>
    <d v="2027-05-09T00:00:00"/>
    <m/>
    <m/>
    <s v="Y"/>
    <m/>
    <x v="2"/>
    <s v="Open Market"/>
    <m/>
    <m/>
    <m/>
    <s v="Conversion from 3.no self-contained flats to a single family dwelling. Associated alterations comprising replacement windows and doors; removal of side entrance/lightwell and steps to existing lower ground floor flat; hard and soft landscaping including the replacement of existing concrete driveway with shingle; and installation of Air Source Heat Pump in rear garden at rear of garages."/>
    <s v="30 St Georges Road, Twickenham TW1 1QR"/>
    <s v="TW1 1QR"/>
    <m/>
    <n v="2"/>
    <n v="1"/>
    <m/>
    <m/>
    <m/>
    <m/>
    <m/>
    <m/>
    <n v="3"/>
    <m/>
    <m/>
    <m/>
    <m/>
    <m/>
    <n v="1"/>
    <m/>
    <m/>
    <m/>
    <n v="1"/>
    <n v="-2"/>
    <n v="-1"/>
    <n v="0"/>
    <n v="0"/>
    <n v="1"/>
    <n v="0"/>
    <n v="0"/>
    <n v="0"/>
    <n v="-2"/>
    <m/>
    <m/>
    <n v="-0.5"/>
    <n v="-0.5"/>
    <n v="-0.5"/>
    <n v="-0.5"/>
    <m/>
    <m/>
    <m/>
    <m/>
    <m/>
    <m/>
    <m/>
    <m/>
    <m/>
    <m/>
    <m/>
    <m/>
    <n v="-2"/>
    <n v="-2"/>
    <m/>
    <m/>
    <m/>
    <n v="516870"/>
    <n v="174825"/>
    <s v="St. Margarets &amp; North Twickenham"/>
    <s v="Twickenham"/>
    <m/>
    <m/>
    <m/>
    <m/>
    <m/>
    <s v="CA19 St Margarets"/>
    <s v="Y"/>
    <s v="Y"/>
    <s v="Twickenham, Strawberry Hill &amp; St Margarets"/>
    <x v="0"/>
  </r>
  <r>
    <s v="23/3288/FUL"/>
    <s v="NEW"/>
    <s v="FULL"/>
    <x v="223"/>
    <d v="2027-11-11T00:00:00"/>
    <m/>
    <m/>
    <s v="Y"/>
    <m/>
    <x v="2"/>
    <s v="Open Market"/>
    <m/>
    <m/>
    <m/>
    <s v="Erection of a terrace of three, 4-bedroom townhouses and associated parking, access and landscaping on a 26-space private car park."/>
    <s v="Car Park Adjacent Elfin Works, Elfin Grove, Teddington"/>
    <s v="TW11"/>
    <m/>
    <m/>
    <m/>
    <m/>
    <m/>
    <m/>
    <m/>
    <m/>
    <m/>
    <n v="0"/>
    <m/>
    <m/>
    <m/>
    <m/>
    <n v="3"/>
    <m/>
    <m/>
    <m/>
    <m/>
    <n v="3"/>
    <n v="0"/>
    <n v="0"/>
    <n v="0"/>
    <n v="3"/>
    <n v="0"/>
    <n v="0"/>
    <n v="0"/>
    <n v="0"/>
    <n v="3"/>
    <m/>
    <m/>
    <n v="0.75"/>
    <n v="0.75"/>
    <n v="0.75"/>
    <n v="0.75"/>
    <m/>
    <m/>
    <m/>
    <m/>
    <m/>
    <m/>
    <m/>
    <m/>
    <m/>
    <m/>
    <m/>
    <m/>
    <n v="3"/>
    <n v="3"/>
    <m/>
    <m/>
    <m/>
    <n v="515674"/>
    <n v="171025"/>
    <s v="Teddington"/>
    <s v="Teddington and the Hamptons"/>
    <s v="Teddington"/>
    <m/>
    <m/>
    <m/>
    <m/>
    <m/>
    <m/>
    <s v="Y"/>
    <s v="Teddington &amp; Hampton Wick"/>
    <x v="0"/>
  </r>
  <r>
    <s v="23/3371/FUL"/>
    <s v="MIX"/>
    <s v="FULL"/>
    <x v="224"/>
    <d v="2027-06-11T00:00:00"/>
    <m/>
    <m/>
    <s v="Y"/>
    <m/>
    <x v="2"/>
    <s v="Open Market"/>
    <m/>
    <m/>
    <m/>
    <s v="Creation of two additional levels of Class C3 accommodation comprising 7no.units, conversion and excavation of the existing Class E basement and part conversion of existing floorspace at basement, ground, first, second, and third floor levels to provide internal access and ancillary residential floorspace with external alterations and associated development."/>
    <s v="Westminster House, Kew Road, Richmond TW9 2ND"/>
    <s v="TW9 2ND"/>
    <m/>
    <m/>
    <m/>
    <m/>
    <m/>
    <m/>
    <m/>
    <m/>
    <m/>
    <n v="0"/>
    <m/>
    <n v="3"/>
    <n v="4"/>
    <m/>
    <m/>
    <m/>
    <m/>
    <m/>
    <m/>
    <n v="7"/>
    <n v="3"/>
    <n v="4"/>
    <n v="0"/>
    <n v="0"/>
    <n v="0"/>
    <n v="0"/>
    <n v="0"/>
    <n v="0"/>
    <n v="7"/>
    <m/>
    <m/>
    <m/>
    <n v="1.75"/>
    <n v="1.75"/>
    <n v="1.75"/>
    <n v="1.75"/>
    <m/>
    <m/>
    <m/>
    <m/>
    <m/>
    <m/>
    <m/>
    <m/>
    <m/>
    <m/>
    <m/>
    <n v="7"/>
    <n v="7"/>
    <m/>
    <m/>
    <m/>
    <n v="518068"/>
    <n v="175208"/>
    <s v="South Richmond"/>
    <s v="Richmond"/>
    <s v="Richmond"/>
    <m/>
    <m/>
    <m/>
    <m/>
    <s v="CA17 Central Richmond"/>
    <s v="Y"/>
    <s v="Y"/>
    <s v="Richmond and Richmond Hill"/>
    <x v="0"/>
  </r>
  <r>
    <s v="23/3399/GPH01"/>
    <s v="EXT"/>
    <s v="PA"/>
    <x v="225"/>
    <d v="2027-02-05T00:00:00"/>
    <m/>
    <m/>
    <m/>
    <m/>
    <x v="2"/>
    <s v="Open Market"/>
    <m/>
    <m/>
    <m/>
    <s v="A two-storey upward extension creating 8 flats."/>
    <s v="1 - 12 Duke Of Cambridge Close, Whitton"/>
    <s v="TW2 7DG"/>
    <m/>
    <m/>
    <m/>
    <m/>
    <m/>
    <m/>
    <m/>
    <m/>
    <m/>
    <n v="0"/>
    <m/>
    <m/>
    <n v="8"/>
    <m/>
    <m/>
    <m/>
    <m/>
    <m/>
    <m/>
    <n v="8"/>
    <n v="0"/>
    <n v="8"/>
    <n v="0"/>
    <n v="0"/>
    <n v="0"/>
    <n v="0"/>
    <n v="0"/>
    <n v="0"/>
    <n v="8"/>
    <m/>
    <m/>
    <m/>
    <n v="2"/>
    <n v="2"/>
    <n v="2"/>
    <n v="2"/>
    <m/>
    <m/>
    <m/>
    <m/>
    <m/>
    <m/>
    <m/>
    <m/>
    <m/>
    <m/>
    <m/>
    <n v="8"/>
    <n v="8"/>
    <m/>
    <m/>
    <m/>
    <n v="514983"/>
    <n v="174123"/>
    <s v="Whitton"/>
    <s v="Whitton"/>
    <m/>
    <m/>
    <m/>
    <m/>
    <m/>
    <m/>
    <m/>
    <s v="Y"/>
    <s v="Whitton and Heathfield"/>
    <x v="0"/>
  </r>
  <r>
    <s v="23/3400/GPH01"/>
    <s v="EXT"/>
    <s v="PA"/>
    <x v="225"/>
    <d v="2027-02-05T00:00:00"/>
    <m/>
    <m/>
    <m/>
    <m/>
    <x v="2"/>
    <s v="Open Market"/>
    <m/>
    <m/>
    <m/>
    <s v="A two-storey upward extension creating 8 flats."/>
    <s v="13 - 24 Duke Of Cambridge Close, Whitton"/>
    <s v="TW2 7DG"/>
    <m/>
    <m/>
    <m/>
    <m/>
    <m/>
    <m/>
    <m/>
    <m/>
    <m/>
    <n v="0"/>
    <m/>
    <m/>
    <n v="8"/>
    <m/>
    <m/>
    <m/>
    <m/>
    <m/>
    <m/>
    <n v="8"/>
    <n v="0"/>
    <n v="8"/>
    <n v="0"/>
    <n v="0"/>
    <n v="0"/>
    <n v="0"/>
    <n v="0"/>
    <n v="0"/>
    <n v="8"/>
    <m/>
    <m/>
    <m/>
    <n v="2"/>
    <n v="2"/>
    <n v="2"/>
    <n v="2"/>
    <m/>
    <m/>
    <m/>
    <m/>
    <m/>
    <m/>
    <m/>
    <m/>
    <m/>
    <m/>
    <m/>
    <n v="8"/>
    <n v="8"/>
    <m/>
    <m/>
    <m/>
    <n v="514985"/>
    <n v="174185"/>
    <s v="Whitton"/>
    <s v="Whitton"/>
    <m/>
    <m/>
    <m/>
    <m/>
    <m/>
    <m/>
    <m/>
    <s v="Y"/>
    <s v="Whitton and Heathfield"/>
    <x v="0"/>
  </r>
  <r>
    <s v="24/0208/FUL"/>
    <s v="NEW"/>
    <s v="FULL"/>
    <x v="226"/>
    <d v="2027-09-02T00:00:00"/>
    <d v="2025-04-01T00:00:00"/>
    <m/>
    <s v="Y"/>
    <m/>
    <x v="2"/>
    <s v="Open Market"/>
    <m/>
    <m/>
    <m/>
    <s v="Demolition of existing 2 storey dwelling house and erection of new 2.5 storey dwelling house plus basement, garden building, landscaping works and ASHP."/>
    <s v="1 Cumberland Road, Barnes SW13 9LY"/>
    <s v="SW13 9LY"/>
    <m/>
    <m/>
    <m/>
    <n v="1"/>
    <m/>
    <m/>
    <m/>
    <m/>
    <m/>
    <n v="1"/>
    <m/>
    <m/>
    <m/>
    <m/>
    <n v="1"/>
    <m/>
    <m/>
    <m/>
    <m/>
    <n v="1"/>
    <n v="0"/>
    <n v="0"/>
    <n v="-1"/>
    <n v="1"/>
    <n v="0"/>
    <n v="0"/>
    <n v="0"/>
    <n v="0"/>
    <n v="0"/>
    <m/>
    <m/>
    <n v="0"/>
    <m/>
    <m/>
    <m/>
    <m/>
    <m/>
    <m/>
    <m/>
    <m/>
    <m/>
    <m/>
    <m/>
    <m/>
    <m/>
    <m/>
    <m/>
    <n v="0"/>
    <n v="0"/>
    <m/>
    <m/>
    <m/>
    <n v="521968"/>
    <n v="176878"/>
    <s v="Barnes"/>
    <s v="Barnes and East Sheen"/>
    <m/>
    <m/>
    <m/>
    <m/>
    <m/>
    <m/>
    <m/>
    <m/>
    <s v="Barnes"/>
    <x v="0"/>
  </r>
  <r>
    <s v="24/0231/FUL"/>
    <s v="NEW"/>
    <s v="FULL"/>
    <x v="227"/>
    <d v="2027-09-05T00:00:00"/>
    <m/>
    <m/>
    <s v="Y"/>
    <m/>
    <x v="2"/>
    <s v="Open Market"/>
    <m/>
    <m/>
    <m/>
    <s v="Demolition of existing garages and erection of new dwelling attached to No.81 Rosslyn Avenue including basement level, landscaping, on plot parking, bin and cycle store. Provision of air source heat pump."/>
    <s v="Land Adjacent To 81 Rosslyn Avenue, Barnes"/>
    <s v="SW13"/>
    <m/>
    <m/>
    <m/>
    <m/>
    <m/>
    <m/>
    <m/>
    <m/>
    <m/>
    <n v="0"/>
    <m/>
    <m/>
    <m/>
    <n v="1"/>
    <m/>
    <m/>
    <m/>
    <m/>
    <m/>
    <n v="1"/>
    <n v="0"/>
    <n v="0"/>
    <n v="1"/>
    <n v="0"/>
    <n v="0"/>
    <n v="0"/>
    <n v="0"/>
    <n v="0"/>
    <n v="1"/>
    <m/>
    <m/>
    <n v="0.25"/>
    <n v="0.25"/>
    <n v="0.25"/>
    <n v="0.25"/>
    <m/>
    <m/>
    <m/>
    <m/>
    <m/>
    <m/>
    <m/>
    <m/>
    <m/>
    <m/>
    <m/>
    <m/>
    <n v="1"/>
    <n v="1"/>
    <m/>
    <m/>
    <m/>
    <n v="521623"/>
    <n v="175758"/>
    <s v="Mortlake &amp; Barnes Common"/>
    <s v="Barnes and East Sheen"/>
    <m/>
    <m/>
    <m/>
    <m/>
    <m/>
    <m/>
    <m/>
    <s v="Y"/>
    <s v="Barnes"/>
    <x v="0"/>
  </r>
  <r>
    <s v="24/0264/GPD26"/>
    <s v="CHU"/>
    <s v="PA"/>
    <x v="228"/>
    <d v="2027-03-25T00:00:00"/>
    <m/>
    <m/>
    <m/>
    <m/>
    <x v="2"/>
    <s v="Open Market"/>
    <m/>
    <m/>
    <m/>
    <s v="Change of use of part of the ground floor from commercial (use class E) to a single residential dwelling (use class C3)."/>
    <s v="137 Percy Road, Twickenham TW2 6HU"/>
    <s v="TW2 6HU"/>
    <m/>
    <m/>
    <m/>
    <m/>
    <m/>
    <m/>
    <m/>
    <m/>
    <m/>
    <n v="0"/>
    <m/>
    <n v="1"/>
    <m/>
    <m/>
    <m/>
    <m/>
    <m/>
    <m/>
    <m/>
    <n v="1"/>
    <n v="1"/>
    <n v="0"/>
    <n v="0"/>
    <n v="0"/>
    <n v="0"/>
    <n v="0"/>
    <n v="0"/>
    <n v="0"/>
    <n v="1"/>
    <m/>
    <m/>
    <n v="0.25"/>
    <n v="0.25"/>
    <n v="0.25"/>
    <n v="0.25"/>
    <m/>
    <m/>
    <m/>
    <m/>
    <m/>
    <m/>
    <m/>
    <m/>
    <m/>
    <m/>
    <m/>
    <m/>
    <n v="1"/>
    <n v="1"/>
    <m/>
    <m/>
    <m/>
    <n v="514200"/>
    <n v="173509"/>
    <s v="Heathfield"/>
    <s v="Whitton"/>
    <s v="Whitton"/>
    <m/>
    <m/>
    <m/>
    <m/>
    <m/>
    <m/>
    <s v="Y"/>
    <s v="Whitton and Heathfield"/>
    <x v="0"/>
  </r>
  <r>
    <s v="24/0305/FUL"/>
    <s v="CON"/>
    <s v="FULL"/>
    <x v="60"/>
    <d v="2028-02-26T00:00:00"/>
    <m/>
    <m/>
    <s v="Y"/>
    <d v="2025-10-13T00:00:00"/>
    <x v="2"/>
    <s v="Open Market"/>
    <m/>
    <m/>
    <m/>
    <s v="Subdivision of existing residential unit to create 1 x 1 bedroom flat at first floor, and 1 x retained 1 bed residential unit at 2nd and 3rd floors with associated cycle/refuse stores and rear boundary treatment."/>
    <s v="Flat Front, 366A Upper Richmond Road West, East Sheen SW14 7JU"/>
    <s v="SW14 7JU"/>
    <m/>
    <m/>
    <m/>
    <n v="1"/>
    <m/>
    <m/>
    <m/>
    <m/>
    <m/>
    <n v="1"/>
    <m/>
    <n v="2"/>
    <m/>
    <m/>
    <m/>
    <m/>
    <m/>
    <m/>
    <m/>
    <n v="2"/>
    <n v="2"/>
    <n v="0"/>
    <n v="-1"/>
    <n v="0"/>
    <n v="0"/>
    <n v="0"/>
    <n v="0"/>
    <n v="0"/>
    <n v="1"/>
    <m/>
    <m/>
    <n v="1"/>
    <m/>
    <m/>
    <m/>
    <m/>
    <m/>
    <m/>
    <m/>
    <m/>
    <m/>
    <m/>
    <m/>
    <m/>
    <m/>
    <m/>
    <m/>
    <n v="1"/>
    <n v="1"/>
    <m/>
    <m/>
    <m/>
    <n v="520029"/>
    <n v="175366"/>
    <s v="North Richmond"/>
    <s v="Richmond"/>
    <s v="East Sheen"/>
    <m/>
    <m/>
    <m/>
    <m/>
    <m/>
    <m/>
    <s v="Y"/>
    <s v="Mortlake and East Sheen"/>
    <x v="0"/>
  </r>
  <r>
    <s v="24/0353/FUL"/>
    <s v="NEW"/>
    <s v="FULL"/>
    <x v="206"/>
    <d v="2027-05-02T00:00:00"/>
    <m/>
    <m/>
    <s v="Y"/>
    <m/>
    <x v="2"/>
    <s v="Open Market"/>
    <m/>
    <m/>
    <m/>
    <s v="Demolition of existing dwelling and construction of replacement dwelling and associated site works."/>
    <s v="92 Boileau Road, Barnes SW13 9BP"/>
    <s v="SW13 9BP"/>
    <m/>
    <m/>
    <m/>
    <n v="1"/>
    <m/>
    <m/>
    <m/>
    <m/>
    <m/>
    <n v="1"/>
    <m/>
    <m/>
    <m/>
    <m/>
    <n v="1"/>
    <m/>
    <m/>
    <m/>
    <m/>
    <n v="1"/>
    <n v="0"/>
    <n v="0"/>
    <n v="-1"/>
    <n v="1"/>
    <n v="0"/>
    <n v="0"/>
    <n v="0"/>
    <n v="0"/>
    <n v="0"/>
    <m/>
    <m/>
    <n v="0"/>
    <m/>
    <m/>
    <m/>
    <m/>
    <m/>
    <m/>
    <m/>
    <m/>
    <m/>
    <m/>
    <m/>
    <m/>
    <m/>
    <m/>
    <m/>
    <n v="0"/>
    <n v="0"/>
    <m/>
    <m/>
    <m/>
    <n v="522561"/>
    <n v="177624"/>
    <s v="Barnes"/>
    <s v="Barnes and East Sheen"/>
    <m/>
    <m/>
    <m/>
    <m/>
    <m/>
    <m/>
    <m/>
    <m/>
    <s v="Barnes"/>
    <x v="0"/>
  </r>
  <r>
    <s v="24/0438/FUL"/>
    <s v="CHU"/>
    <s v="FULL"/>
    <x v="223"/>
    <d v="2027-11-11T00:00:00"/>
    <m/>
    <m/>
    <s v="Y"/>
    <m/>
    <x v="2"/>
    <s v="Open Market"/>
    <m/>
    <m/>
    <m/>
    <s v="Change of use of first and second floors to provide 7 x residential dwellings (Class C3) and associated fenestration alterations"/>
    <s v="47 George Street, Richmond TW9 1HJ"/>
    <s v="TW9 1HJ"/>
    <m/>
    <m/>
    <m/>
    <m/>
    <m/>
    <m/>
    <m/>
    <m/>
    <m/>
    <n v="0"/>
    <m/>
    <n v="4"/>
    <n v="3"/>
    <m/>
    <m/>
    <m/>
    <m/>
    <m/>
    <m/>
    <n v="7"/>
    <n v="4"/>
    <n v="3"/>
    <n v="0"/>
    <n v="0"/>
    <n v="0"/>
    <n v="0"/>
    <n v="0"/>
    <n v="0"/>
    <n v="7"/>
    <m/>
    <m/>
    <m/>
    <n v="1.75"/>
    <n v="1.75"/>
    <n v="1.75"/>
    <n v="1.75"/>
    <m/>
    <m/>
    <m/>
    <m/>
    <m/>
    <m/>
    <m/>
    <m/>
    <m/>
    <m/>
    <m/>
    <n v="7"/>
    <n v="7"/>
    <m/>
    <m/>
    <m/>
    <n v="517897"/>
    <n v="174945"/>
    <s v="South Richmond"/>
    <s v="Richmond"/>
    <s v="Richmond"/>
    <m/>
    <m/>
    <m/>
    <m/>
    <s v="CA17 Central Richmond"/>
    <s v="Y"/>
    <s v="Y"/>
    <s v="Richmond and Richmond Hill"/>
    <x v="0"/>
  </r>
  <r>
    <s v="24/0555/GPH03"/>
    <s v="EXT"/>
    <s v="PA"/>
    <x v="229"/>
    <d v="2027-04-25T00:00:00"/>
    <m/>
    <m/>
    <s v="Y"/>
    <m/>
    <x v="2"/>
    <s v="Open Market"/>
    <m/>
    <m/>
    <m/>
    <s v="Erection of additional storey to provide for 3 residential units (1 x 1Bed, and 2 x 2Bed) with provision of green roof, new water tank, cycle/refuse and recycling (amended description)."/>
    <s v="Canham House, 17 Heath Road, Twickenham TW1 4AW"/>
    <s v="TW1 4AW"/>
    <m/>
    <m/>
    <m/>
    <m/>
    <m/>
    <m/>
    <m/>
    <m/>
    <m/>
    <n v="0"/>
    <m/>
    <n v="1"/>
    <n v="2"/>
    <m/>
    <m/>
    <m/>
    <m/>
    <m/>
    <m/>
    <n v="3"/>
    <n v="1"/>
    <n v="2"/>
    <n v="0"/>
    <n v="0"/>
    <n v="0"/>
    <n v="0"/>
    <n v="0"/>
    <n v="0"/>
    <n v="3"/>
    <m/>
    <m/>
    <n v="0.75"/>
    <n v="0.75"/>
    <n v="0.75"/>
    <n v="0.75"/>
    <m/>
    <m/>
    <m/>
    <m/>
    <m/>
    <m/>
    <m/>
    <m/>
    <m/>
    <m/>
    <m/>
    <m/>
    <n v="3"/>
    <n v="3"/>
    <m/>
    <m/>
    <m/>
    <n v="516087"/>
    <n v="173122"/>
    <s v="South Twickenham"/>
    <s v="Twickenham"/>
    <s v="Twickenham"/>
    <m/>
    <m/>
    <m/>
    <m/>
    <m/>
    <m/>
    <s v="Y"/>
    <s v="Twickenham, Strawberry Hill &amp; St Margarets"/>
    <x v="0"/>
  </r>
  <r>
    <s v="24/0564/FUL"/>
    <s v="CHU"/>
    <s v="FULL"/>
    <x v="230"/>
    <d v="2027-09-19T00:00:00"/>
    <m/>
    <m/>
    <s v="Y"/>
    <m/>
    <x v="2"/>
    <s v="Open Market"/>
    <m/>
    <m/>
    <m/>
    <s v="Creation of 4no. dwellings on the site through the refurbishment and extension of the existing former substation with associated landscaping, refuse storage, and cycle parking"/>
    <s v="320A And Land To Rear Of 324 Upper Richmond Road West, East Sheen"/>
    <s v="SW14 7JN"/>
    <m/>
    <m/>
    <m/>
    <m/>
    <m/>
    <m/>
    <m/>
    <m/>
    <m/>
    <n v="0"/>
    <m/>
    <m/>
    <n v="1"/>
    <n v="3"/>
    <m/>
    <m/>
    <m/>
    <m/>
    <m/>
    <n v="4"/>
    <n v="0"/>
    <n v="1"/>
    <n v="3"/>
    <n v="0"/>
    <n v="0"/>
    <n v="0"/>
    <n v="0"/>
    <n v="0"/>
    <n v="4"/>
    <m/>
    <m/>
    <m/>
    <n v="1"/>
    <n v="1"/>
    <n v="1"/>
    <n v="1"/>
    <m/>
    <m/>
    <m/>
    <m/>
    <m/>
    <m/>
    <m/>
    <m/>
    <m/>
    <m/>
    <m/>
    <n v="4"/>
    <n v="4"/>
    <m/>
    <m/>
    <m/>
    <n v="520256"/>
    <n v="175337"/>
    <s v="East Sheen"/>
    <s v="Barnes and East Sheen"/>
    <s v="East Sheen"/>
    <m/>
    <m/>
    <m/>
    <m/>
    <m/>
    <m/>
    <s v="Y"/>
    <s v="Mortlake and East Sheen"/>
    <x v="0"/>
  </r>
  <r>
    <s v="24/0708/FUL"/>
    <s v="NEW"/>
    <s v="FULL"/>
    <x v="231"/>
    <d v="2027-10-23T00:00:00"/>
    <m/>
    <m/>
    <s v="Y"/>
    <m/>
    <x v="2"/>
    <s v="Open Market"/>
    <m/>
    <m/>
    <m/>
    <s v="Demolition of existing two-storey dwelling house and construction of new two-storey dwellinghouse with basement and amendments to front boundary wall access points."/>
    <s v="16 Sandy Lane, Petersham, Richmond TW10 7EL"/>
    <s v="TW10 7EL"/>
    <m/>
    <m/>
    <m/>
    <n v="1"/>
    <m/>
    <m/>
    <m/>
    <m/>
    <m/>
    <n v="1"/>
    <m/>
    <m/>
    <m/>
    <m/>
    <m/>
    <n v="1"/>
    <m/>
    <m/>
    <m/>
    <n v="1"/>
    <n v="0"/>
    <n v="0"/>
    <n v="-1"/>
    <n v="0"/>
    <n v="1"/>
    <n v="0"/>
    <n v="0"/>
    <n v="0"/>
    <n v="0"/>
    <m/>
    <m/>
    <n v="0"/>
    <m/>
    <m/>
    <m/>
    <m/>
    <m/>
    <m/>
    <m/>
    <m/>
    <m/>
    <m/>
    <m/>
    <m/>
    <m/>
    <m/>
    <m/>
    <n v="0"/>
    <n v="0"/>
    <m/>
    <m/>
    <m/>
    <n v="517870"/>
    <n v="172671"/>
    <s v="Ham, Petersham &amp; Richmond Riverside"/>
    <s v="Ham &amp; Petersham"/>
    <m/>
    <m/>
    <m/>
    <m/>
    <m/>
    <m/>
    <m/>
    <m/>
    <s v="Ham, Petersham &amp; Richmond Park"/>
    <x v="0"/>
  </r>
  <r>
    <s v="24/0710/GPD26"/>
    <s v="CHU"/>
    <s v="PA"/>
    <x v="232"/>
    <d v="2027-05-08T00:00:00"/>
    <m/>
    <m/>
    <s v="Y"/>
    <m/>
    <x v="2"/>
    <s v="Open Market"/>
    <m/>
    <m/>
    <m/>
    <s v="Proposed change of use from Class E units to 2No. 1 bed apartments C3 (residential) Use Class."/>
    <s v="3 - 4 New Broadway, Hampton Hill"/>
    <s v="TW12 1JG"/>
    <m/>
    <m/>
    <m/>
    <m/>
    <m/>
    <m/>
    <m/>
    <m/>
    <m/>
    <n v="0"/>
    <m/>
    <n v="2"/>
    <m/>
    <m/>
    <m/>
    <m/>
    <m/>
    <m/>
    <m/>
    <n v="2"/>
    <n v="2"/>
    <n v="0"/>
    <n v="0"/>
    <n v="0"/>
    <n v="0"/>
    <n v="0"/>
    <n v="0"/>
    <n v="0"/>
    <n v="2"/>
    <m/>
    <m/>
    <n v="0.5"/>
    <n v="0.5"/>
    <n v="0.5"/>
    <n v="0.5"/>
    <m/>
    <m/>
    <m/>
    <m/>
    <m/>
    <m/>
    <m/>
    <m/>
    <m/>
    <m/>
    <m/>
    <m/>
    <n v="2"/>
    <n v="2"/>
    <m/>
    <m/>
    <m/>
    <n v="514554"/>
    <n v="171260"/>
    <s v="Fulwell &amp; Hampton Hill"/>
    <s v="Teddington and the Hamptons"/>
    <m/>
    <m/>
    <s v="High Street, Hampton Hill"/>
    <s v="Y"/>
    <m/>
    <m/>
    <m/>
    <s v="Y"/>
    <s v="Hampton &amp; Hampton Hill"/>
    <x v="0"/>
  </r>
  <r>
    <s v="24/0778/FUL"/>
    <s v="CHU"/>
    <s v="FULL"/>
    <x v="233"/>
    <d v="2027-12-09T00:00:00"/>
    <m/>
    <m/>
    <s v="Y"/>
    <m/>
    <x v="2"/>
    <s v="Open Market"/>
    <m/>
    <m/>
    <m/>
    <s v="Change of use of premises from a mixed use (Class A1/E and Class C3) to a residential uses (Class C3) to form a pair of semi-detached houses with associated ASHPs, PV panels and refuse and cycle stores. Removal of shop fronts. Associated fenestration alte"/>
    <s v="561 - 563 Upper Richmond Road West, East Sheen SW14 7ED"/>
    <s v="SW14 7ED"/>
    <m/>
    <m/>
    <m/>
    <n v="1"/>
    <n v="1"/>
    <m/>
    <m/>
    <m/>
    <m/>
    <n v="2"/>
    <m/>
    <m/>
    <m/>
    <m/>
    <n v="2"/>
    <m/>
    <m/>
    <m/>
    <m/>
    <n v="2"/>
    <n v="0"/>
    <n v="0"/>
    <n v="-1"/>
    <n v="1"/>
    <n v="0"/>
    <n v="0"/>
    <n v="0"/>
    <n v="0"/>
    <n v="0"/>
    <m/>
    <m/>
    <n v="0"/>
    <m/>
    <m/>
    <m/>
    <m/>
    <m/>
    <m/>
    <m/>
    <m/>
    <m/>
    <m/>
    <m/>
    <m/>
    <m/>
    <m/>
    <m/>
    <n v="0"/>
    <n v="0"/>
    <m/>
    <m/>
    <m/>
    <n v="519756"/>
    <n v="175319"/>
    <s v="East Sheen"/>
    <s v="Barnes and East Sheen"/>
    <m/>
    <m/>
    <m/>
    <m/>
    <m/>
    <m/>
    <m/>
    <s v="Y"/>
    <s v="Mortlake and East Sheen"/>
    <x v="0"/>
  </r>
  <r>
    <s v="24/0825/FUL"/>
    <s v="NEW"/>
    <s v="FULL"/>
    <x v="234"/>
    <d v="2027-10-29T00:00:00"/>
    <m/>
    <m/>
    <s v="Y"/>
    <m/>
    <x v="2"/>
    <s v="Open Market"/>
    <m/>
    <m/>
    <m/>
    <s v="The erection of a self-build single-storey detached dwelling within the rear garden with associated cycle and refuse stores and 1x ASHP."/>
    <s v="134 St Leonards Road, East Sheen SW14 7NN"/>
    <s v="SW14 7NN"/>
    <m/>
    <m/>
    <m/>
    <m/>
    <m/>
    <m/>
    <m/>
    <m/>
    <m/>
    <n v="0"/>
    <m/>
    <m/>
    <m/>
    <n v="1"/>
    <m/>
    <m/>
    <m/>
    <m/>
    <m/>
    <n v="1"/>
    <n v="0"/>
    <n v="0"/>
    <n v="1"/>
    <n v="0"/>
    <n v="0"/>
    <n v="0"/>
    <n v="0"/>
    <n v="0"/>
    <n v="1"/>
    <m/>
    <m/>
    <n v="0.25"/>
    <n v="0.25"/>
    <n v="0.25"/>
    <n v="0.25"/>
    <m/>
    <m/>
    <m/>
    <m/>
    <m/>
    <m/>
    <m/>
    <m/>
    <m/>
    <m/>
    <m/>
    <m/>
    <n v="1"/>
    <n v="1"/>
    <m/>
    <m/>
    <m/>
    <n v="520076"/>
    <n v="175642"/>
    <s v="North Richmond"/>
    <s v="Richmond"/>
    <m/>
    <m/>
    <m/>
    <m/>
    <m/>
    <m/>
    <m/>
    <s v="Y"/>
    <s v="Mortlake and East Sheen"/>
    <x v="1"/>
  </r>
  <r>
    <s v="24/0848/FUL"/>
    <s v="CHU"/>
    <s v="FULL"/>
    <x v="235"/>
    <d v="2027-11-18T00:00:00"/>
    <m/>
    <m/>
    <s v="Y"/>
    <m/>
    <x v="2"/>
    <s v="Open Market"/>
    <m/>
    <m/>
    <m/>
    <s v="Demolition of single storey garage and annex, remodelling of existing two storey property and change of use from Use Class E to C3 and construction of new two storey extension to form five no. residential apartments. External alterations to form refuse store and amenity spaces."/>
    <s v="179 Upper Richmond Road West, East Sheen SW14 8DU"/>
    <s v="SW14 8DU"/>
    <m/>
    <m/>
    <m/>
    <m/>
    <m/>
    <m/>
    <m/>
    <m/>
    <m/>
    <n v="0"/>
    <m/>
    <n v="3"/>
    <n v="2"/>
    <m/>
    <m/>
    <m/>
    <m/>
    <m/>
    <m/>
    <n v="5"/>
    <n v="3"/>
    <n v="2"/>
    <n v="0"/>
    <n v="0"/>
    <n v="0"/>
    <n v="0"/>
    <n v="0"/>
    <n v="0"/>
    <n v="5"/>
    <m/>
    <m/>
    <m/>
    <n v="1.25"/>
    <n v="1.25"/>
    <n v="1.25"/>
    <n v="1.25"/>
    <m/>
    <m/>
    <m/>
    <m/>
    <m/>
    <m/>
    <m/>
    <m/>
    <m/>
    <m/>
    <m/>
    <n v="5"/>
    <n v="5"/>
    <m/>
    <m/>
    <m/>
    <n v="520965"/>
    <n v="175430"/>
    <s v="East Sheen"/>
    <s v="Barnes and East Sheen"/>
    <s v="East Sheen"/>
    <m/>
    <m/>
    <m/>
    <m/>
    <m/>
    <m/>
    <s v="Y"/>
    <s v="Mortlake and East Sheen"/>
    <x v="0"/>
  </r>
  <r>
    <s v="24/1039/GPD26"/>
    <s v="CHU"/>
    <s v="PA"/>
    <x v="132"/>
    <d v="2027-06-14T00:00:00"/>
    <m/>
    <m/>
    <s v="Y"/>
    <m/>
    <x v="2"/>
    <s v="Open Market"/>
    <m/>
    <m/>
    <m/>
    <s v="Change of use to 2 separate 2 bedroom dwellings"/>
    <s v="75 Sheen Lane, East Sheen SW14 8AD"/>
    <s v="SW14 8AD"/>
    <m/>
    <m/>
    <m/>
    <m/>
    <m/>
    <m/>
    <m/>
    <m/>
    <m/>
    <n v="0"/>
    <m/>
    <m/>
    <n v="2"/>
    <m/>
    <m/>
    <m/>
    <m/>
    <m/>
    <m/>
    <n v="2"/>
    <n v="0"/>
    <n v="2"/>
    <n v="0"/>
    <n v="0"/>
    <n v="0"/>
    <n v="0"/>
    <n v="0"/>
    <n v="0"/>
    <n v="2"/>
    <m/>
    <m/>
    <n v="0.5"/>
    <n v="0.5"/>
    <n v="0.5"/>
    <n v="0.5"/>
    <m/>
    <m/>
    <m/>
    <m/>
    <m/>
    <m/>
    <m/>
    <m/>
    <m/>
    <m/>
    <m/>
    <m/>
    <n v="2"/>
    <n v="2"/>
    <m/>
    <m/>
    <m/>
    <n v="520495"/>
    <n v="175597"/>
    <s v="East Sheen"/>
    <s v="Barnes and East Sheen"/>
    <s v="East Sheen"/>
    <m/>
    <m/>
    <m/>
    <m/>
    <s v="CA70 Sheen Lane Mortlake"/>
    <s v="Y"/>
    <s v="Y"/>
    <s v="Mortlake and East Sheen"/>
    <x v="0"/>
  </r>
  <r>
    <s v="24/1053/FUL"/>
    <s v="EXT"/>
    <s v="FULL"/>
    <x v="236"/>
    <d v="2028-01-09T00:00:00"/>
    <m/>
    <m/>
    <s v="Y"/>
    <m/>
    <x v="2"/>
    <s v="Open Market"/>
    <m/>
    <m/>
    <m/>
    <s v="First and second floor rear extension incorporating first floor terrace. Additional window to rear elevation. Removal of front elevation advertising panels at first and second floor."/>
    <s v="37 Kew Road, Richmond TW9 2NQ"/>
    <s v="TW9 2NQ"/>
    <m/>
    <m/>
    <m/>
    <m/>
    <m/>
    <m/>
    <m/>
    <m/>
    <m/>
    <n v="0"/>
    <m/>
    <m/>
    <m/>
    <m/>
    <m/>
    <m/>
    <m/>
    <m/>
    <m/>
    <n v="0"/>
    <n v="0"/>
    <n v="0"/>
    <n v="0"/>
    <n v="0"/>
    <n v="0"/>
    <n v="0"/>
    <n v="0"/>
    <n v="0"/>
    <n v="0"/>
    <m/>
    <m/>
    <n v="0"/>
    <m/>
    <m/>
    <m/>
    <m/>
    <m/>
    <m/>
    <m/>
    <m/>
    <m/>
    <m/>
    <m/>
    <m/>
    <m/>
    <m/>
    <m/>
    <n v="0"/>
    <n v="0"/>
    <m/>
    <m/>
    <m/>
    <n v="518061"/>
    <n v="175273"/>
    <s v="South Richmond"/>
    <s v="Richmond"/>
    <s v="Richmond"/>
    <m/>
    <m/>
    <m/>
    <m/>
    <s v="CA17 Central Richmond"/>
    <s v="Y"/>
    <s v="Y"/>
    <s v="Richmond and Richmond Hill"/>
    <x v="0"/>
  </r>
  <r>
    <s v="24/1385/FUL"/>
    <s v="MIX"/>
    <s v="FULL"/>
    <x v="237"/>
    <d v="2027-11-01T00:00:00"/>
    <d v="2025-04-01T00:00:00"/>
    <m/>
    <s v="Y"/>
    <m/>
    <x v="2"/>
    <s v="Open Market"/>
    <m/>
    <m/>
    <m/>
    <s v="Conversion of Class E rear storage into Class C3, internal reconfiguration of internal layout, rear first floor extension and changes to shopfront to allow for residential access from street"/>
    <s v="54 The Green, Twickenham TW2 5AB"/>
    <s v="TW2 5AB"/>
    <m/>
    <m/>
    <m/>
    <n v="1"/>
    <m/>
    <m/>
    <m/>
    <m/>
    <m/>
    <n v="1"/>
    <m/>
    <m/>
    <m/>
    <m/>
    <n v="1"/>
    <m/>
    <m/>
    <m/>
    <m/>
    <n v="1"/>
    <n v="0"/>
    <n v="0"/>
    <n v="-1"/>
    <n v="1"/>
    <n v="0"/>
    <n v="0"/>
    <n v="0"/>
    <n v="0"/>
    <n v="0"/>
    <m/>
    <m/>
    <n v="0"/>
    <m/>
    <m/>
    <m/>
    <m/>
    <m/>
    <m/>
    <m/>
    <m/>
    <m/>
    <m/>
    <m/>
    <m/>
    <m/>
    <m/>
    <m/>
    <n v="0"/>
    <n v="0"/>
    <m/>
    <m/>
    <m/>
    <n v="515323"/>
    <n v="173040"/>
    <s v="South Twickenham"/>
    <s v="Twickenham"/>
    <m/>
    <m/>
    <s v="Twickenham Green"/>
    <s v="Y"/>
    <m/>
    <s v="CA9 Twickenham Green"/>
    <s v="Y"/>
    <s v="Y"/>
    <s v="Twickenham, Strawberry Hill &amp; St Margarets"/>
    <x v="0"/>
  </r>
  <r>
    <s v="24/1402/GPD26"/>
    <s v="CHU"/>
    <s v="PA"/>
    <x v="238"/>
    <d v="2027-07-15T00:00:00"/>
    <m/>
    <m/>
    <s v="Y"/>
    <m/>
    <x v="2"/>
    <s v="Open Market"/>
    <m/>
    <m/>
    <m/>
    <s v="Change of use from Class E (office) to a 2-bedroom dwelling house."/>
    <s v="4 Latimer Road, Teddington TW11 8QA"/>
    <s v="TW11 8QA"/>
    <m/>
    <m/>
    <m/>
    <m/>
    <m/>
    <m/>
    <m/>
    <m/>
    <m/>
    <n v="0"/>
    <m/>
    <m/>
    <n v="1"/>
    <m/>
    <m/>
    <m/>
    <m/>
    <m/>
    <m/>
    <n v="1"/>
    <n v="0"/>
    <n v="1"/>
    <n v="0"/>
    <n v="0"/>
    <n v="0"/>
    <n v="0"/>
    <n v="0"/>
    <n v="0"/>
    <n v="1"/>
    <m/>
    <m/>
    <n v="0.25"/>
    <n v="0.25"/>
    <n v="0.25"/>
    <n v="0.25"/>
    <m/>
    <m/>
    <m/>
    <m/>
    <m/>
    <m/>
    <m/>
    <m/>
    <m/>
    <m/>
    <m/>
    <m/>
    <n v="1"/>
    <n v="1"/>
    <m/>
    <m/>
    <m/>
    <n v="515652"/>
    <n v="171261"/>
    <s v="Teddington"/>
    <s v="Teddington and the Hamptons"/>
    <m/>
    <m/>
    <m/>
    <m/>
    <m/>
    <m/>
    <m/>
    <s v="Y"/>
    <s v="Teddington &amp; Hampton Wick"/>
    <x v="0"/>
  </r>
  <r>
    <s v="24/1419/FUL"/>
    <s v="MIX"/>
    <s v="FULL"/>
    <x v="239"/>
    <d v="2028-01-16T00:00:00"/>
    <m/>
    <m/>
    <s v="Y"/>
    <m/>
    <x v="2"/>
    <s v="Open Market"/>
    <m/>
    <m/>
    <m/>
    <s v="Change of use of upper floors from Class E to C3 residential, erection of mansard roof extension, first-floor rear extension and use of terraced area at first-floor level to facilitate the creation of 2no. units."/>
    <s v="357 Upper Richmond Road West, East Sheen SW14 8QN"/>
    <s v="SW14 8QN"/>
    <m/>
    <m/>
    <m/>
    <m/>
    <m/>
    <m/>
    <m/>
    <m/>
    <m/>
    <n v="0"/>
    <m/>
    <m/>
    <n v="2"/>
    <m/>
    <m/>
    <m/>
    <m/>
    <m/>
    <m/>
    <n v="2"/>
    <n v="0"/>
    <n v="2"/>
    <n v="0"/>
    <n v="0"/>
    <n v="0"/>
    <n v="0"/>
    <n v="0"/>
    <n v="0"/>
    <n v="2"/>
    <m/>
    <m/>
    <n v="0.5"/>
    <n v="0.5"/>
    <n v="0.5"/>
    <n v="0.5"/>
    <m/>
    <m/>
    <m/>
    <m/>
    <m/>
    <m/>
    <m/>
    <m/>
    <m/>
    <m/>
    <m/>
    <m/>
    <n v="2"/>
    <n v="2"/>
    <m/>
    <m/>
    <m/>
    <n v="520553"/>
    <n v="175393"/>
    <s v="East Sheen"/>
    <s v="Barnes and East Sheen"/>
    <s v="East Sheen"/>
    <m/>
    <m/>
    <m/>
    <m/>
    <m/>
    <m/>
    <s v="Y"/>
    <s v="Mortlake and East Sheen"/>
    <x v="0"/>
  </r>
  <r>
    <s v="24/1563/GPD26"/>
    <s v="CHU"/>
    <s v="PA"/>
    <x v="240"/>
    <d v="2027-06-25T00:00:00"/>
    <m/>
    <m/>
    <s v="Y"/>
    <m/>
    <x v="2"/>
    <s v="Open Market"/>
    <m/>
    <m/>
    <m/>
    <s v="Proposed change of use from 2No. Class E units to 2No. 1 bed apartments C3 (residential) Use Class."/>
    <s v="3 - 4 New Broadway, Hampton Hill"/>
    <s v="TW12 1JG"/>
    <m/>
    <m/>
    <m/>
    <m/>
    <m/>
    <m/>
    <m/>
    <m/>
    <m/>
    <n v="0"/>
    <m/>
    <n v="2"/>
    <m/>
    <m/>
    <m/>
    <m/>
    <m/>
    <m/>
    <m/>
    <n v="2"/>
    <n v="2"/>
    <n v="0"/>
    <n v="0"/>
    <n v="0"/>
    <n v="0"/>
    <n v="0"/>
    <n v="0"/>
    <n v="0"/>
    <n v="2"/>
    <m/>
    <m/>
    <n v="0.5"/>
    <n v="0.5"/>
    <n v="0.5"/>
    <n v="0.5"/>
    <m/>
    <m/>
    <m/>
    <m/>
    <m/>
    <m/>
    <m/>
    <m/>
    <m/>
    <m/>
    <m/>
    <m/>
    <n v="2"/>
    <n v="2"/>
    <m/>
    <m/>
    <m/>
    <n v="514554"/>
    <n v="171260"/>
    <s v="Fulwell &amp; Hampton Hill"/>
    <s v="Teddington and the Hamptons"/>
    <m/>
    <m/>
    <s v="High Street, Hampton Hill"/>
    <s v="Y"/>
    <m/>
    <m/>
    <m/>
    <s v="Y"/>
    <s v="Hampton &amp; Hampton Hill"/>
    <x v="0"/>
  </r>
  <r>
    <s v="24/1580/GPD24"/>
    <s v="CHU"/>
    <s v="PA"/>
    <x v="241"/>
    <d v="2027-08-14T00:00:00"/>
    <m/>
    <m/>
    <s v="Y"/>
    <m/>
    <x v="2"/>
    <s v="Open Market"/>
    <m/>
    <m/>
    <m/>
    <s v="Change of use of building from a use within Class E (commercial, business and service) of Schedule 2 to the Use Classes Order, to a mixed use for any purpose within that Class and as up to 2 flats. This would principally comprise the conversion of the fir"/>
    <s v="74 Heath Road, Twickenham TW1 4BW"/>
    <s v="TW1 4BW"/>
    <m/>
    <m/>
    <m/>
    <m/>
    <m/>
    <m/>
    <m/>
    <m/>
    <m/>
    <n v="0"/>
    <m/>
    <n v="1"/>
    <m/>
    <m/>
    <m/>
    <m/>
    <m/>
    <m/>
    <m/>
    <n v="1"/>
    <n v="1"/>
    <n v="0"/>
    <n v="0"/>
    <n v="0"/>
    <n v="0"/>
    <n v="0"/>
    <n v="0"/>
    <n v="0"/>
    <n v="1"/>
    <m/>
    <m/>
    <n v="0.25"/>
    <n v="0.25"/>
    <n v="0.25"/>
    <n v="0.25"/>
    <m/>
    <m/>
    <m/>
    <m/>
    <m/>
    <m/>
    <m/>
    <m/>
    <m/>
    <m/>
    <m/>
    <m/>
    <n v="1"/>
    <n v="1"/>
    <m/>
    <m/>
    <m/>
    <n v="515923"/>
    <n v="173141"/>
    <s v="Twickenham Riverside"/>
    <s v="Twickenham"/>
    <s v="Twickenham"/>
    <m/>
    <m/>
    <m/>
    <m/>
    <m/>
    <m/>
    <s v="Y"/>
    <s v="Twickenham, Strawberry Hill &amp; St Margarets"/>
    <x v="0"/>
  </r>
  <r>
    <s v="24/1598/GPD26"/>
    <s v="CHU"/>
    <s v="PA"/>
    <x v="240"/>
    <d v="2027-08-19T00:00:00"/>
    <m/>
    <m/>
    <s v="Y"/>
    <m/>
    <x v="2"/>
    <s v="Open Market"/>
    <m/>
    <m/>
    <m/>
    <s v="Conversion of business premises into a dwelling house"/>
    <s v="Engravers House, 35 Wick Road, Teddington TW11 9DN"/>
    <s v="TW11 9DN"/>
    <m/>
    <m/>
    <m/>
    <m/>
    <m/>
    <m/>
    <m/>
    <m/>
    <m/>
    <n v="0"/>
    <m/>
    <m/>
    <n v="1"/>
    <m/>
    <m/>
    <m/>
    <m/>
    <m/>
    <m/>
    <n v="1"/>
    <n v="0"/>
    <n v="1"/>
    <n v="0"/>
    <n v="0"/>
    <n v="0"/>
    <n v="0"/>
    <n v="0"/>
    <n v="0"/>
    <n v="1"/>
    <m/>
    <m/>
    <n v="0.25"/>
    <n v="0.25"/>
    <n v="0.25"/>
    <n v="0.25"/>
    <m/>
    <m/>
    <m/>
    <m/>
    <m/>
    <m/>
    <m/>
    <m/>
    <m/>
    <m/>
    <m/>
    <m/>
    <n v="1"/>
    <n v="1"/>
    <m/>
    <m/>
    <m/>
    <n v="517024"/>
    <n v="170121"/>
    <s v="Hampton Wick &amp; South Teddington"/>
    <s v="Teddington and the Hamptons"/>
    <m/>
    <m/>
    <m/>
    <m/>
    <m/>
    <s v="CA83 Wick Road"/>
    <s v="Y"/>
    <s v="Y"/>
    <s v="Teddington &amp; Hampton Wick"/>
    <x v="0"/>
  </r>
  <r>
    <s v="24/1630/FUL"/>
    <s v="CON"/>
    <s v="FULL"/>
    <x v="242"/>
    <d v="2028-02-14T00:00:00"/>
    <m/>
    <m/>
    <s v="Y"/>
    <m/>
    <x v="2"/>
    <s v="Open Market"/>
    <m/>
    <m/>
    <m/>
    <s v="Conversion of a 2-storey flat into 2 self-contained flats providing refuse storage, cycling storage and amenity space."/>
    <s v="12A High Street, Hampton Wick KT1 4DB"/>
    <s v="KT1 4DB"/>
    <m/>
    <m/>
    <n v="1"/>
    <m/>
    <m/>
    <m/>
    <m/>
    <m/>
    <m/>
    <n v="1"/>
    <m/>
    <n v="2"/>
    <m/>
    <m/>
    <m/>
    <m/>
    <m/>
    <m/>
    <m/>
    <n v="2"/>
    <n v="2"/>
    <n v="-1"/>
    <n v="0"/>
    <n v="0"/>
    <n v="0"/>
    <n v="0"/>
    <n v="0"/>
    <n v="0"/>
    <n v="1"/>
    <m/>
    <m/>
    <n v="0.25"/>
    <n v="0.25"/>
    <n v="0.25"/>
    <n v="0.25"/>
    <m/>
    <m/>
    <m/>
    <m/>
    <m/>
    <m/>
    <m/>
    <m/>
    <m/>
    <m/>
    <m/>
    <m/>
    <n v="1"/>
    <n v="1"/>
    <m/>
    <m/>
    <m/>
    <n v="517587"/>
    <n v="169488"/>
    <s v="Hampton Wick &amp; South Teddington"/>
    <s v="Teddington and the Hamptons"/>
    <m/>
    <m/>
    <s v="Hampton Wick"/>
    <s v="Y"/>
    <m/>
    <s v="CA18 Hampton Wick"/>
    <s v="Y"/>
    <s v="Y"/>
    <s v="Teddington &amp; Hampton Wick"/>
    <x v="0"/>
  </r>
  <r>
    <s v="24/1704/FUL"/>
    <s v="CHU"/>
    <s v="FULL"/>
    <x v="243"/>
    <d v="2028-01-21T00:00:00"/>
    <d v="2025-07-10T00:00:00"/>
    <m/>
    <s v="Y"/>
    <m/>
    <x v="2"/>
    <s v="Open Market"/>
    <m/>
    <m/>
    <m/>
    <s v="Change of use of first, second and third floors from Use Class E to residential. Addition of rear escape metal staircase, and extension of rear dormers. Removal of internal valley roof and infill the void behind existing feature parapet and addition of 2 conservation roof lights to existing front elevation roof. Fenestration alterations."/>
    <s v="2 - 6 London Road, Twickenham TW1 3RR"/>
    <s v="TW1 3RR"/>
    <m/>
    <m/>
    <m/>
    <m/>
    <m/>
    <m/>
    <m/>
    <m/>
    <m/>
    <n v="0"/>
    <m/>
    <n v="5"/>
    <n v="1"/>
    <m/>
    <m/>
    <m/>
    <m/>
    <m/>
    <m/>
    <n v="6"/>
    <n v="5"/>
    <n v="1"/>
    <n v="0"/>
    <n v="0"/>
    <n v="0"/>
    <n v="0"/>
    <n v="0"/>
    <n v="0"/>
    <n v="6"/>
    <m/>
    <m/>
    <m/>
    <n v="3"/>
    <n v="3"/>
    <m/>
    <m/>
    <m/>
    <m/>
    <m/>
    <m/>
    <m/>
    <m/>
    <m/>
    <m/>
    <m/>
    <m/>
    <m/>
    <n v="6"/>
    <n v="6"/>
    <m/>
    <m/>
    <m/>
    <n v="516277"/>
    <n v="173330"/>
    <s v="Twickenham Riverside"/>
    <s v="Twickenham"/>
    <s v="Twickenham"/>
    <m/>
    <m/>
    <m/>
    <m/>
    <s v="CA8 Twickenham Riverside"/>
    <s v="Y"/>
    <s v="Y"/>
    <s v="Twickenham, Strawberry Hill &amp; St Margarets"/>
    <x v="0"/>
  </r>
  <r>
    <s v="24/1752/GPD26"/>
    <s v="CHU"/>
    <s v="PA"/>
    <x v="226"/>
    <d v="2027-09-02T00:00:00"/>
    <m/>
    <m/>
    <s v="Y"/>
    <m/>
    <x v="2"/>
    <s v="Open Market"/>
    <m/>
    <m/>
    <m/>
    <s v="Change Use of motor repair garage (Use Class E) to a 2-bedroom dwelling (Use Class C3)."/>
    <s v="144 Waldegrave Road, Teddington TW11 8NA"/>
    <s v="TW11 8NA"/>
    <m/>
    <m/>
    <m/>
    <m/>
    <m/>
    <m/>
    <m/>
    <m/>
    <m/>
    <n v="0"/>
    <m/>
    <m/>
    <n v="1"/>
    <m/>
    <m/>
    <m/>
    <m/>
    <m/>
    <m/>
    <n v="1"/>
    <n v="0"/>
    <n v="1"/>
    <n v="0"/>
    <n v="0"/>
    <n v="0"/>
    <n v="0"/>
    <n v="0"/>
    <n v="0"/>
    <n v="1"/>
    <m/>
    <m/>
    <n v="0.25"/>
    <n v="0.25"/>
    <n v="0.25"/>
    <n v="0.25"/>
    <m/>
    <m/>
    <m/>
    <m/>
    <m/>
    <m/>
    <m/>
    <m/>
    <m/>
    <m/>
    <m/>
    <m/>
    <n v="1"/>
    <n v="1"/>
    <m/>
    <m/>
    <m/>
    <n v="515621"/>
    <n v="171705"/>
    <s v="Teddington"/>
    <s v="Teddington and the Hamptons"/>
    <m/>
    <m/>
    <s v="Waldegrave Road, Teddingto"/>
    <s v="Y"/>
    <m/>
    <m/>
    <m/>
    <s v="Y"/>
    <s v="Teddington &amp; Hampton Wick"/>
    <x v="0"/>
  </r>
  <r>
    <s v="24/1789/FUL"/>
    <s v="CON"/>
    <s v="FULL"/>
    <x v="244"/>
    <d v="2027-10-01T00:00:00"/>
    <d v="2025-06-01T00:00:00"/>
    <m/>
    <s v="Y"/>
    <d v="2025-07-09T00:00:00"/>
    <x v="2"/>
    <s v="Open Market"/>
    <m/>
    <m/>
    <m/>
    <s v="Re-configuration and subdivision of Units 4 and 5 to create three units (net gain of 1 unit), with associated works."/>
    <s v="246 Powder Mill Lane, Twickenham TW2 6EJ"/>
    <s v="TW2 6EJ"/>
    <m/>
    <n v="1"/>
    <m/>
    <n v="1"/>
    <m/>
    <m/>
    <m/>
    <m/>
    <m/>
    <n v="2"/>
    <m/>
    <n v="3"/>
    <m/>
    <m/>
    <m/>
    <m/>
    <m/>
    <m/>
    <m/>
    <n v="3"/>
    <n v="2"/>
    <n v="0"/>
    <n v="-1"/>
    <n v="0"/>
    <n v="0"/>
    <n v="0"/>
    <n v="0"/>
    <n v="0"/>
    <n v="1"/>
    <m/>
    <m/>
    <n v="1"/>
    <m/>
    <m/>
    <m/>
    <m/>
    <m/>
    <m/>
    <m/>
    <m/>
    <m/>
    <m/>
    <m/>
    <m/>
    <m/>
    <m/>
    <m/>
    <n v="1"/>
    <n v="1"/>
    <m/>
    <m/>
    <m/>
    <n v="512713"/>
    <n v="173573"/>
    <s v="Heathfield"/>
    <s v="Whitton"/>
    <m/>
    <m/>
    <s v="Hanworth Road"/>
    <s v="Y"/>
    <m/>
    <m/>
    <m/>
    <m/>
    <s v="Whitton and Heathfield"/>
    <x v="0"/>
  </r>
  <r>
    <s v="24/1843/GPD26"/>
    <s v="CHU"/>
    <s v="PA"/>
    <x v="245"/>
    <d v="2027-09-09T00:00:00"/>
    <m/>
    <m/>
    <s v="Y"/>
    <m/>
    <x v="2"/>
    <s v="Open Market"/>
    <m/>
    <m/>
    <m/>
    <s v="CLASS MA Prior Approval Application for change of use from Class E to Class C3"/>
    <s v="Land At Myrtle Road And 1 High Street, Hampton Hill, Hampton TW12 1NA"/>
    <s v="TW12 1NA"/>
    <m/>
    <m/>
    <m/>
    <m/>
    <m/>
    <m/>
    <m/>
    <m/>
    <m/>
    <n v="0"/>
    <m/>
    <n v="4"/>
    <n v="1"/>
    <m/>
    <m/>
    <m/>
    <m/>
    <m/>
    <m/>
    <n v="5"/>
    <n v="4"/>
    <n v="1"/>
    <n v="0"/>
    <n v="0"/>
    <n v="0"/>
    <n v="0"/>
    <n v="0"/>
    <n v="0"/>
    <n v="5"/>
    <m/>
    <m/>
    <m/>
    <n v="1.25"/>
    <n v="1.25"/>
    <n v="1.25"/>
    <n v="1.25"/>
    <m/>
    <m/>
    <m/>
    <m/>
    <m/>
    <m/>
    <m/>
    <m/>
    <m/>
    <m/>
    <m/>
    <n v="5"/>
    <n v="5"/>
    <m/>
    <m/>
    <m/>
    <n v="514188"/>
    <n v="170550"/>
    <s v="Fulwell &amp; Hampton Hill"/>
    <s v="Teddington and the Hamptons"/>
    <m/>
    <m/>
    <m/>
    <m/>
    <m/>
    <s v="CA38 High Street Hampton Hill"/>
    <s v="Y"/>
    <m/>
    <s v="Hampton &amp; Hampton Hill"/>
    <x v="0"/>
  </r>
  <r>
    <s v="24/1844/GPD26"/>
    <s v="CHU"/>
    <s v="PA"/>
    <x v="246"/>
    <d v="2027-10-14T00:00:00"/>
    <m/>
    <m/>
    <s v="Y"/>
    <m/>
    <x v="2"/>
    <s v="Open Market"/>
    <m/>
    <m/>
    <m/>
    <s v="Conversion of an office building (Use Class E) to 6 single-family dwellings (C3) with associated refuse and cycle storage"/>
    <s v="The Puzzle Academy, 1 Messom Mews, Twickenham TW1 4DP"/>
    <s v="TW1 4DP"/>
    <m/>
    <m/>
    <m/>
    <m/>
    <m/>
    <m/>
    <m/>
    <m/>
    <m/>
    <n v="0"/>
    <m/>
    <m/>
    <n v="4"/>
    <n v="2"/>
    <m/>
    <m/>
    <m/>
    <m/>
    <m/>
    <n v="6"/>
    <n v="0"/>
    <n v="4"/>
    <n v="2"/>
    <n v="0"/>
    <n v="0"/>
    <n v="0"/>
    <n v="0"/>
    <n v="0"/>
    <n v="6"/>
    <m/>
    <m/>
    <m/>
    <n v="1.5"/>
    <n v="1.5"/>
    <n v="1.5"/>
    <n v="1.5"/>
    <m/>
    <m/>
    <m/>
    <m/>
    <m/>
    <m/>
    <m/>
    <m/>
    <m/>
    <m/>
    <m/>
    <n v="6"/>
    <n v="6"/>
    <m/>
    <m/>
    <m/>
    <n v="516112"/>
    <n v="173409"/>
    <s v="Twickenham Riverside"/>
    <s v="Twickenham"/>
    <s v="Twickenham"/>
    <m/>
    <m/>
    <m/>
    <m/>
    <s v="CA47 Queens Road Twickenham"/>
    <s v="Y"/>
    <s v="Y"/>
    <s v="Twickenham, Strawberry Hill &amp; St Margarets"/>
    <x v="0"/>
  </r>
  <r>
    <s v="24/1881/GPD26"/>
    <s v="CHU"/>
    <s v="PA"/>
    <x v="149"/>
    <d v="2027-09-26T00:00:00"/>
    <m/>
    <m/>
    <s v="Y"/>
    <m/>
    <x v="2"/>
    <s v="Open Market"/>
    <m/>
    <m/>
    <m/>
    <s v="Conversion of existing office buiding into two dwellings."/>
    <s v="60 Glentham Road, Barnes SW13 9JJ"/>
    <s v="SW13 9JJ"/>
    <m/>
    <m/>
    <m/>
    <m/>
    <m/>
    <m/>
    <m/>
    <m/>
    <m/>
    <n v="0"/>
    <m/>
    <m/>
    <n v="2"/>
    <m/>
    <m/>
    <m/>
    <m/>
    <m/>
    <m/>
    <n v="2"/>
    <n v="0"/>
    <n v="2"/>
    <n v="0"/>
    <n v="0"/>
    <n v="0"/>
    <n v="0"/>
    <n v="0"/>
    <n v="0"/>
    <n v="2"/>
    <m/>
    <m/>
    <n v="0.5"/>
    <n v="0.5"/>
    <n v="0.5"/>
    <n v="0.5"/>
    <m/>
    <m/>
    <m/>
    <m/>
    <m/>
    <m/>
    <m/>
    <m/>
    <m/>
    <m/>
    <m/>
    <m/>
    <n v="2"/>
    <n v="2"/>
    <m/>
    <m/>
    <m/>
    <n v="522553"/>
    <n v="177889"/>
    <s v="Barnes"/>
    <s v="Barnes and East Sheen"/>
    <m/>
    <m/>
    <m/>
    <m/>
    <m/>
    <s v="CA25 Castelnau"/>
    <s v="Y"/>
    <s v="Y"/>
    <s v="Barnes"/>
    <x v="0"/>
  </r>
  <r>
    <s v="24/1885/GPD26"/>
    <s v="CHU"/>
    <s v="PA"/>
    <x v="247"/>
    <d v="2027-09-24T00:00:00"/>
    <m/>
    <m/>
    <s v="Y"/>
    <m/>
    <x v="2"/>
    <s v="Open Market"/>
    <m/>
    <m/>
    <m/>
    <s v="Conversion of existing workshop/studios into two dwellings"/>
    <s v="Sheen Stables Rear Of 119 Sheen Lane, East Sheen"/>
    <s v="SW14 8AE"/>
    <m/>
    <m/>
    <m/>
    <m/>
    <m/>
    <m/>
    <m/>
    <m/>
    <m/>
    <n v="0"/>
    <m/>
    <n v="2"/>
    <m/>
    <m/>
    <m/>
    <m/>
    <m/>
    <m/>
    <m/>
    <n v="2"/>
    <n v="2"/>
    <n v="0"/>
    <n v="0"/>
    <n v="0"/>
    <n v="0"/>
    <n v="0"/>
    <n v="0"/>
    <n v="0"/>
    <n v="2"/>
    <m/>
    <m/>
    <n v="0.5"/>
    <n v="0.5"/>
    <n v="0.5"/>
    <n v="0.5"/>
    <m/>
    <m/>
    <m/>
    <m/>
    <m/>
    <m/>
    <m/>
    <m/>
    <m/>
    <m/>
    <m/>
    <m/>
    <n v="2"/>
    <n v="2"/>
    <m/>
    <m/>
    <m/>
    <n v="520522"/>
    <n v="175477"/>
    <s v="East Sheen"/>
    <s v="Barnes and East Sheen"/>
    <s v="East Sheen"/>
    <m/>
    <m/>
    <m/>
    <m/>
    <s v="CA70 Sheen Lane Mortlake"/>
    <s v="Y"/>
    <s v="Y"/>
    <s v="Mortlake and East Sheen"/>
    <x v="0"/>
  </r>
  <r>
    <s v="24/1925/FUL"/>
    <s v="CHU"/>
    <s v="FULL"/>
    <x v="248"/>
    <d v="2027-12-18T00:00:00"/>
    <d v="2025-09-19T00:00:00"/>
    <m/>
    <s v="Y"/>
    <m/>
    <x v="2"/>
    <s v="Open Market"/>
    <m/>
    <m/>
    <m/>
    <s v="Change of use of rear part of property from Class C3 (residential) to Class E (e) (dental practice) to extend an existing NHS dental practice, together with minor external amendments and refuse, recycling, and bicycle storage."/>
    <s v="Surgery And Premises Rear Of 70 - 74 Station Road, Hampton TW2 2AX"/>
    <s v="TW2 2AX"/>
    <m/>
    <m/>
    <n v="1"/>
    <m/>
    <m/>
    <m/>
    <m/>
    <m/>
    <m/>
    <n v="1"/>
    <m/>
    <m/>
    <m/>
    <m/>
    <m/>
    <m/>
    <m/>
    <m/>
    <m/>
    <n v="0"/>
    <n v="0"/>
    <n v="-1"/>
    <n v="0"/>
    <n v="0"/>
    <n v="0"/>
    <n v="0"/>
    <n v="0"/>
    <n v="0"/>
    <n v="-1"/>
    <m/>
    <m/>
    <n v="-0.5"/>
    <n v="-0.5"/>
    <m/>
    <m/>
    <m/>
    <m/>
    <m/>
    <m/>
    <m/>
    <m/>
    <m/>
    <m/>
    <m/>
    <m/>
    <m/>
    <m/>
    <n v="-1"/>
    <n v="-1"/>
    <m/>
    <m/>
    <m/>
    <n v="513727"/>
    <n v="169746"/>
    <s v="Hampton"/>
    <s v="Teddington and the Hamptons"/>
    <m/>
    <m/>
    <s v="Station Road, Hampton"/>
    <s v="Y"/>
    <m/>
    <s v="CA12 Hampton Village"/>
    <s v="Y"/>
    <s v="Y"/>
    <s v="Hampton &amp; Hampton Hill"/>
    <x v="0"/>
  </r>
  <r>
    <s v="24/2041/GPD24"/>
    <s v="CHU"/>
    <s v="PA"/>
    <x v="185"/>
    <d v="2027-10-04T00:00:00"/>
    <m/>
    <m/>
    <s v="Y"/>
    <m/>
    <x v="2"/>
    <s v="Open Market"/>
    <m/>
    <m/>
    <m/>
    <s v="Change of use of commercial office floorspace (Class E) to provide 2 x 2 bedroom flats (Class C3) at first floor level."/>
    <s v="15 St Georges Road, Richmond"/>
    <s v="TW9 2LH"/>
    <m/>
    <m/>
    <m/>
    <m/>
    <m/>
    <m/>
    <m/>
    <m/>
    <m/>
    <n v="0"/>
    <m/>
    <m/>
    <n v="2"/>
    <m/>
    <m/>
    <m/>
    <m/>
    <m/>
    <m/>
    <n v="2"/>
    <n v="0"/>
    <n v="2"/>
    <n v="0"/>
    <n v="0"/>
    <n v="0"/>
    <n v="0"/>
    <n v="0"/>
    <n v="0"/>
    <n v="2"/>
    <m/>
    <m/>
    <n v="0.5"/>
    <n v="0.5"/>
    <n v="0.5"/>
    <n v="0.5"/>
    <m/>
    <m/>
    <m/>
    <m/>
    <m/>
    <m/>
    <m/>
    <m/>
    <m/>
    <m/>
    <m/>
    <m/>
    <n v="2"/>
    <n v="2"/>
    <m/>
    <m/>
    <m/>
    <n v="518929"/>
    <n v="175587"/>
    <s v="North Richmond"/>
    <s v="Richmond"/>
    <m/>
    <m/>
    <m/>
    <m/>
    <m/>
    <m/>
    <m/>
    <s v="Y"/>
    <s v="Richmond and Richmond Hill"/>
    <x v="0"/>
  </r>
  <r>
    <s v="24/2061/FUL"/>
    <s v="CON"/>
    <s v="FULL"/>
    <x v="249"/>
    <d v="2028-03-05T00:00:00"/>
    <d v="2025-10-01T00:00:00"/>
    <m/>
    <s v="Y"/>
    <d v="2025-12-19T00:00:00"/>
    <x v="2"/>
    <s v="Open Market"/>
    <m/>
    <m/>
    <m/>
    <s v="Reversion of the lower ground floor flat and upper floor dwelling into a single-family dwelling house with associated cycle and refuse stores, replacement fenestration and heat pump. Removal of vehciular access and associated extension of front boundary t"/>
    <s v="14 Strafford Road, Twickenham TW1 3AE"/>
    <s v="TW1 3AE"/>
    <m/>
    <n v="1"/>
    <m/>
    <m/>
    <m/>
    <n v="1"/>
    <m/>
    <m/>
    <m/>
    <n v="2"/>
    <m/>
    <m/>
    <m/>
    <m/>
    <m/>
    <n v="1"/>
    <m/>
    <m/>
    <m/>
    <n v="1"/>
    <n v="-1"/>
    <n v="0"/>
    <n v="0"/>
    <n v="0"/>
    <n v="0"/>
    <n v="0"/>
    <n v="0"/>
    <n v="0"/>
    <n v="-1"/>
    <m/>
    <m/>
    <n v="-1"/>
    <m/>
    <m/>
    <m/>
    <m/>
    <m/>
    <m/>
    <m/>
    <m/>
    <m/>
    <m/>
    <m/>
    <m/>
    <m/>
    <m/>
    <m/>
    <n v="-1"/>
    <n v="-1"/>
    <m/>
    <m/>
    <m/>
    <n v="516490"/>
    <n v="173705"/>
    <s v="Twickenham Riverside"/>
    <s v="Twickenham"/>
    <m/>
    <m/>
    <m/>
    <m/>
    <m/>
    <s v="CA48 Amyand Park Road Twickenham"/>
    <s v="Y"/>
    <s v="Y"/>
    <s v="Twickenham, Strawberry Hill &amp; St Margarets"/>
    <x v="0"/>
  </r>
  <r>
    <s v="24/2125/FUL"/>
    <s v="NEW"/>
    <s v="FULL"/>
    <x v="250"/>
    <d v="2027-11-15T00:00:00"/>
    <m/>
    <m/>
    <s v="Y"/>
    <m/>
    <x v="2"/>
    <s v="Open Market"/>
    <m/>
    <m/>
    <m/>
    <s v="Construction of part two storey and part single storey attached dwellinghouse; provision of refuse / recycling storage, and amenity space and associated alterations to 15 Tayben Avenue; (following demolition of existing workshop / storage to 15 Tayben Ave"/>
    <s v="13 - 15 Tayben Avenue, Twickenham"/>
    <s v="TW2 7RA"/>
    <m/>
    <m/>
    <m/>
    <m/>
    <m/>
    <m/>
    <m/>
    <m/>
    <m/>
    <n v="0"/>
    <m/>
    <n v="1"/>
    <m/>
    <m/>
    <m/>
    <m/>
    <m/>
    <m/>
    <m/>
    <n v="1"/>
    <n v="1"/>
    <n v="0"/>
    <n v="0"/>
    <n v="0"/>
    <n v="0"/>
    <n v="0"/>
    <n v="0"/>
    <n v="0"/>
    <n v="1"/>
    <m/>
    <m/>
    <n v="0.25"/>
    <n v="0.25"/>
    <n v="0.25"/>
    <n v="0.25"/>
    <m/>
    <m/>
    <m/>
    <m/>
    <m/>
    <m/>
    <m/>
    <m/>
    <m/>
    <m/>
    <m/>
    <m/>
    <n v="1"/>
    <n v="1"/>
    <m/>
    <m/>
    <m/>
    <n v="515398"/>
    <n v="174060"/>
    <s v="St. Margarets &amp; North Twickenham"/>
    <s v="Twickenham"/>
    <m/>
    <m/>
    <m/>
    <m/>
    <m/>
    <m/>
    <m/>
    <s v="Y"/>
    <s v="Twickenham, Strawberry Hill &amp; St Margarets"/>
    <x v="0"/>
  </r>
  <r>
    <s v="24/2479/GPD26"/>
    <s v="CHU"/>
    <s v="PA"/>
    <x v="251"/>
    <d v="2027-11-25T00:00:00"/>
    <m/>
    <m/>
    <s v="Y"/>
    <m/>
    <x v="2"/>
    <s v="Open Market"/>
    <m/>
    <m/>
    <m/>
    <s v="Prior Approval Class MA Change of use from Class E Office to Class C3 residential comprising 2 no. 2 bedroom houses and 1 no. 1 bedroom flat."/>
    <s v="8 Second Cross Road, Twickenham"/>
    <s v="TW2 5RF"/>
    <m/>
    <m/>
    <m/>
    <m/>
    <m/>
    <m/>
    <m/>
    <m/>
    <m/>
    <n v="0"/>
    <m/>
    <n v="1"/>
    <n v="2"/>
    <m/>
    <m/>
    <m/>
    <m/>
    <m/>
    <m/>
    <n v="3"/>
    <n v="1"/>
    <n v="2"/>
    <n v="0"/>
    <n v="0"/>
    <n v="0"/>
    <n v="0"/>
    <n v="0"/>
    <n v="0"/>
    <n v="3"/>
    <m/>
    <m/>
    <n v="0.75"/>
    <n v="0.75"/>
    <n v="0.75"/>
    <n v="0.75"/>
    <m/>
    <m/>
    <m/>
    <m/>
    <m/>
    <m/>
    <m/>
    <m/>
    <m/>
    <m/>
    <m/>
    <m/>
    <n v="3"/>
    <n v="3"/>
    <m/>
    <m/>
    <m/>
    <n v="515110"/>
    <n v="172754"/>
    <s v="West Twickenham"/>
    <s v="Twickenham"/>
    <m/>
    <m/>
    <s v="Hampton Road, Twickenham"/>
    <s v="Y"/>
    <m/>
    <m/>
    <m/>
    <s v="Y"/>
    <s v="Twickenham, Strawberry Hill &amp; St Margarets"/>
    <x v="0"/>
  </r>
  <r>
    <s v="24/2528/GPD26"/>
    <s v="CHU"/>
    <s v="PA"/>
    <x v="252"/>
    <d v="2027-12-02T00:00:00"/>
    <m/>
    <m/>
    <s v="Y"/>
    <m/>
    <x v="2"/>
    <s v="Open Market"/>
    <m/>
    <m/>
    <m/>
    <s v="Conversion of offices into a single dwelling"/>
    <s v="Unit 19 And 20, Station Point, 121 Sandycombe Road, Richmond TW9 2AD"/>
    <s v="TW9 2AD"/>
    <m/>
    <m/>
    <m/>
    <m/>
    <m/>
    <m/>
    <m/>
    <m/>
    <m/>
    <n v="0"/>
    <m/>
    <m/>
    <m/>
    <n v="1"/>
    <m/>
    <m/>
    <m/>
    <m/>
    <m/>
    <n v="1"/>
    <n v="0"/>
    <n v="0"/>
    <n v="1"/>
    <n v="0"/>
    <n v="0"/>
    <n v="0"/>
    <n v="0"/>
    <n v="0"/>
    <n v="1"/>
    <m/>
    <m/>
    <n v="0.25"/>
    <n v="0.25"/>
    <n v="0.25"/>
    <n v="0.25"/>
    <m/>
    <m/>
    <m/>
    <m/>
    <m/>
    <m/>
    <m/>
    <m/>
    <m/>
    <m/>
    <m/>
    <m/>
    <n v="1"/>
    <n v="1"/>
    <m/>
    <m/>
    <m/>
    <n v="519072"/>
    <n v="176048"/>
    <s v="Kew"/>
    <s v="Richmond"/>
    <m/>
    <m/>
    <m/>
    <m/>
    <m/>
    <m/>
    <m/>
    <s v="Y"/>
    <s v="Kew"/>
    <x v="0"/>
  </r>
  <r>
    <s v="24/2620/GPD26"/>
    <s v="CHU"/>
    <s v="PA"/>
    <x v="151"/>
    <d v="2027-12-20T00:00:00"/>
    <d v="2025-04-28T00:00:00"/>
    <m/>
    <s v="Y"/>
    <m/>
    <x v="2"/>
    <s v="Open Market"/>
    <m/>
    <m/>
    <m/>
    <s v="Conversion of existing vacant office space to create 1no. 2 bedroom flat at first floor level and 1no. 1 bedroom flat at second floor level."/>
    <s v="First And Second Floors, 1 - 3 Halford Road, Richmond TW10 6AW"/>
    <s v="TW10 6AW"/>
    <m/>
    <m/>
    <m/>
    <m/>
    <m/>
    <m/>
    <m/>
    <m/>
    <m/>
    <n v="0"/>
    <m/>
    <n v="1"/>
    <n v="1"/>
    <m/>
    <m/>
    <m/>
    <m/>
    <m/>
    <m/>
    <n v="2"/>
    <n v="1"/>
    <n v="1"/>
    <n v="0"/>
    <n v="0"/>
    <n v="0"/>
    <n v="0"/>
    <n v="0"/>
    <n v="0"/>
    <n v="2"/>
    <m/>
    <m/>
    <m/>
    <n v="2"/>
    <m/>
    <m/>
    <m/>
    <m/>
    <m/>
    <m/>
    <m/>
    <m/>
    <m/>
    <m/>
    <m/>
    <m/>
    <m/>
    <m/>
    <n v="2"/>
    <n v="2"/>
    <m/>
    <m/>
    <m/>
    <n v="517972"/>
    <n v="174793"/>
    <s v="South Richmond"/>
    <s v="Richmond"/>
    <s v="Richmond"/>
    <m/>
    <m/>
    <m/>
    <m/>
    <s v="CA17 Central Richmond"/>
    <s v="Y"/>
    <s v="Y"/>
    <s v="Richmond and Richmond Hill"/>
    <x v="0"/>
  </r>
  <r>
    <s v="24/2622/GPD26"/>
    <s v="CHU"/>
    <s v="PA"/>
    <x v="253"/>
    <d v="2027-12-05T00:00:00"/>
    <m/>
    <m/>
    <s v="Y"/>
    <m/>
    <x v="2"/>
    <s v="Open Market"/>
    <m/>
    <m/>
    <m/>
    <s v="Change of use from the existing Use Class E ground floor unit to residential to create 2 x 1-bedroom flats."/>
    <s v="83A Station Road, Hampton TW12 2BJ"/>
    <s v="TW12 2BJ"/>
    <m/>
    <m/>
    <m/>
    <m/>
    <m/>
    <m/>
    <m/>
    <m/>
    <m/>
    <n v="0"/>
    <m/>
    <n v="2"/>
    <m/>
    <m/>
    <m/>
    <m/>
    <m/>
    <m/>
    <m/>
    <n v="2"/>
    <n v="2"/>
    <n v="0"/>
    <n v="0"/>
    <n v="0"/>
    <n v="0"/>
    <n v="0"/>
    <n v="0"/>
    <n v="0"/>
    <n v="2"/>
    <m/>
    <m/>
    <n v="0.5"/>
    <n v="0.5"/>
    <n v="0.5"/>
    <n v="0.5"/>
    <m/>
    <m/>
    <m/>
    <m/>
    <m/>
    <m/>
    <m/>
    <m/>
    <m/>
    <m/>
    <m/>
    <m/>
    <n v="2"/>
    <n v="2"/>
    <m/>
    <m/>
    <m/>
    <n v="513719"/>
    <n v="169668"/>
    <s v="Hampton"/>
    <s v="Teddington and the Hamptons"/>
    <m/>
    <m/>
    <s v="Station Road, Hampton"/>
    <s v="Y"/>
    <m/>
    <s v="CA12 Hampton Village"/>
    <s v="Y"/>
    <s v="Y"/>
    <s v="Hampton &amp; Hampton Hill"/>
    <x v="0"/>
  </r>
  <r>
    <s v="24/2653/GPD24"/>
    <s v="CHU"/>
    <s v="PA"/>
    <x v="254"/>
    <d v="2027-11-28T00:00:00"/>
    <m/>
    <m/>
    <s v="Y"/>
    <m/>
    <x v="2"/>
    <s v="Open Market"/>
    <m/>
    <m/>
    <m/>
    <s v="Change of use of the first to fourth floors of the above property from Class E (Commercial) to C3 (dwellinghouses) comprising 2 x self- contained residential units (bin store at ground floor). Application to determine if prior approval is required for a proposed: Change of use from Commercial, Business and Service (Use Class E), or betting office or pay day loan shop to mixed use including up to two flats (Use Class C3)Town and Country Planning (General Permitted Development) (England) Order 2015 (as amended) - Schedule 2, Part 3, Class G"/>
    <s v="Parkway House, Sheen Lane, East Sheen"/>
    <s v="SW14 8LS"/>
    <m/>
    <m/>
    <m/>
    <m/>
    <m/>
    <m/>
    <m/>
    <m/>
    <m/>
    <n v="0"/>
    <m/>
    <m/>
    <m/>
    <m/>
    <m/>
    <m/>
    <n v="2"/>
    <m/>
    <m/>
    <n v="2"/>
    <n v="0"/>
    <n v="0"/>
    <n v="0"/>
    <n v="0"/>
    <n v="0"/>
    <n v="2"/>
    <n v="0"/>
    <n v="0"/>
    <n v="2"/>
    <m/>
    <m/>
    <n v="0.5"/>
    <n v="0.5"/>
    <n v="0.5"/>
    <n v="0.5"/>
    <m/>
    <m/>
    <m/>
    <m/>
    <m/>
    <m/>
    <m/>
    <m/>
    <m/>
    <m/>
    <m/>
    <m/>
    <n v="2"/>
    <n v="2"/>
    <m/>
    <m/>
    <m/>
    <n v="520529"/>
    <n v="175363"/>
    <s v="East Sheen"/>
    <s v="Barnes and East Sheen"/>
    <s v="East Sheen"/>
    <m/>
    <m/>
    <m/>
    <m/>
    <m/>
    <m/>
    <s v="Y"/>
    <s v="Mortlake and East Sheen"/>
    <x v="0"/>
  </r>
  <r>
    <s v="24/2680/GPD26"/>
    <s v="CHU"/>
    <s v="PA"/>
    <x v="255"/>
    <d v="2027-12-16T00:00:00"/>
    <m/>
    <m/>
    <s v="Y"/>
    <m/>
    <x v="2"/>
    <s v="Open Market"/>
    <m/>
    <m/>
    <m/>
    <s v="Conversion of a ground floor restaurant into a 1-bedroom, 2-person residential flat."/>
    <s v="6 New Broadway, Hampton Hill, Hampton TW12 1JG"/>
    <s v="TW12 1JG"/>
    <m/>
    <m/>
    <m/>
    <m/>
    <m/>
    <m/>
    <m/>
    <m/>
    <m/>
    <n v="0"/>
    <m/>
    <n v="1"/>
    <m/>
    <m/>
    <m/>
    <m/>
    <m/>
    <m/>
    <m/>
    <n v="1"/>
    <n v="1"/>
    <n v="0"/>
    <n v="0"/>
    <n v="0"/>
    <n v="0"/>
    <n v="0"/>
    <n v="0"/>
    <n v="0"/>
    <n v="1"/>
    <m/>
    <m/>
    <n v="0.25"/>
    <n v="0.25"/>
    <n v="0.25"/>
    <n v="0.25"/>
    <m/>
    <m/>
    <m/>
    <m/>
    <m/>
    <m/>
    <m/>
    <m/>
    <m/>
    <m/>
    <m/>
    <m/>
    <n v="1"/>
    <n v="1"/>
    <m/>
    <m/>
    <m/>
    <n v="514567"/>
    <n v="171256"/>
    <s v="Fulwell &amp; Hampton Hill"/>
    <s v="Teddington and the Hamptons"/>
    <m/>
    <m/>
    <s v="High Street, Hampton Hill"/>
    <s v="Y"/>
    <m/>
    <m/>
    <m/>
    <s v="Y"/>
    <s v="Hampton &amp; Hampton Hill"/>
    <x v="0"/>
  </r>
  <r>
    <s v="24/2688/FUL"/>
    <s v="CHU"/>
    <s v="FULL"/>
    <x v="256"/>
    <d v="2028-02-19T00:00:00"/>
    <m/>
    <m/>
    <s v="Y"/>
    <m/>
    <x v="2"/>
    <s v="Open Market"/>
    <m/>
    <m/>
    <m/>
    <s v="Change of use Class E to single dwelling C3 including internal alterations such as removal of modern partitions and lobbies at ground floor."/>
    <s v="9 The Green, Richmond TW9 1PX"/>
    <s v="TW9 1PX"/>
    <m/>
    <m/>
    <m/>
    <m/>
    <m/>
    <m/>
    <m/>
    <m/>
    <m/>
    <n v="0"/>
    <m/>
    <m/>
    <m/>
    <m/>
    <m/>
    <m/>
    <n v="1"/>
    <m/>
    <m/>
    <n v="1"/>
    <n v="0"/>
    <n v="0"/>
    <n v="0"/>
    <n v="0"/>
    <n v="0"/>
    <n v="1"/>
    <n v="0"/>
    <n v="0"/>
    <n v="1"/>
    <m/>
    <m/>
    <n v="0.25"/>
    <n v="0.25"/>
    <n v="0.25"/>
    <n v="0.25"/>
    <m/>
    <m/>
    <m/>
    <m/>
    <m/>
    <m/>
    <m/>
    <m/>
    <m/>
    <m/>
    <m/>
    <m/>
    <n v="1"/>
    <n v="1"/>
    <m/>
    <m/>
    <m/>
    <n v="517842"/>
    <n v="174938"/>
    <s v="South Richmond"/>
    <s v="Richmond"/>
    <s v="Richmond"/>
    <m/>
    <m/>
    <m/>
    <m/>
    <s v="CA3 Richmond Green"/>
    <s v="Y"/>
    <s v="Y"/>
    <s v="Richmond and Richmond Hill"/>
    <x v="0"/>
  </r>
  <r>
    <s v="24/2729/GPD26"/>
    <s v="CHU"/>
    <s v="PA"/>
    <x v="257"/>
    <d v="2028-01-03T00:00:00"/>
    <m/>
    <m/>
    <s v="Y"/>
    <m/>
    <x v="2"/>
    <s v="Open Market"/>
    <m/>
    <m/>
    <m/>
    <s v="Change of use of building from Class E to 3 x 1 bed flats and 1 x 2 bed flat with associated parking and communal amenity space."/>
    <s v="151 Sheen Lane, East Sheen SW14 8LR"/>
    <s v="SW14 8LR"/>
    <m/>
    <m/>
    <m/>
    <m/>
    <m/>
    <m/>
    <m/>
    <m/>
    <m/>
    <n v="0"/>
    <m/>
    <n v="3"/>
    <n v="1"/>
    <m/>
    <m/>
    <m/>
    <m/>
    <m/>
    <m/>
    <n v="4"/>
    <n v="3"/>
    <n v="1"/>
    <n v="0"/>
    <n v="0"/>
    <n v="0"/>
    <n v="0"/>
    <n v="0"/>
    <n v="0"/>
    <n v="4"/>
    <m/>
    <m/>
    <n v="1"/>
    <n v="1"/>
    <n v="1"/>
    <n v="1"/>
    <m/>
    <m/>
    <m/>
    <m/>
    <m/>
    <m/>
    <m/>
    <m/>
    <m/>
    <m/>
    <m/>
    <m/>
    <n v="4"/>
    <n v="4"/>
    <m/>
    <m/>
    <m/>
    <n v="520488"/>
    <n v="175298"/>
    <s v="East Sheen"/>
    <s v="Barnes and East Sheen"/>
    <m/>
    <m/>
    <m/>
    <m/>
    <m/>
    <m/>
    <m/>
    <s v="Y"/>
    <s v="Mortlake and East Sheen"/>
    <x v="0"/>
  </r>
  <r>
    <s v="24/2797/GPD26"/>
    <s v="CHU"/>
    <s v="PA"/>
    <x v="258"/>
    <d v="2028-01-08T00:00:00"/>
    <m/>
    <m/>
    <s v="Y"/>
    <m/>
    <x v="2"/>
    <s v="Open Market"/>
    <m/>
    <m/>
    <m/>
    <s v="Proposal for conversion of the ground floor rear portion into a studio space and the entire first floor clinic into 2 studios of single person occupancy under class MA of the GPDO."/>
    <s v="46 Sheen Lane, East Sheen SW14 8LP"/>
    <s v="SW14 8LP"/>
    <m/>
    <m/>
    <m/>
    <m/>
    <m/>
    <m/>
    <m/>
    <m/>
    <m/>
    <n v="0"/>
    <m/>
    <n v="3"/>
    <m/>
    <m/>
    <m/>
    <m/>
    <m/>
    <m/>
    <m/>
    <n v="3"/>
    <n v="3"/>
    <n v="0"/>
    <n v="0"/>
    <n v="0"/>
    <n v="0"/>
    <n v="0"/>
    <n v="0"/>
    <n v="0"/>
    <n v="3"/>
    <m/>
    <m/>
    <n v="0.75"/>
    <n v="0.75"/>
    <n v="0.75"/>
    <n v="0.75"/>
    <m/>
    <m/>
    <m/>
    <m/>
    <m/>
    <m/>
    <m/>
    <m/>
    <m/>
    <m/>
    <m/>
    <m/>
    <n v="3"/>
    <n v="3"/>
    <m/>
    <m/>
    <m/>
    <n v="520467"/>
    <n v="175568"/>
    <s v="East Sheen"/>
    <s v="Barnes and East Sheen"/>
    <s v="East Sheen"/>
    <m/>
    <m/>
    <m/>
    <m/>
    <s v="CA70 Sheen Lane Mortlake"/>
    <s v="Y"/>
    <s v="Y"/>
    <s v="Mortlake and East Sheen"/>
    <x v="0"/>
  </r>
  <r>
    <s v="24/2798/GPD26"/>
    <s v="CHU"/>
    <s v="PA"/>
    <x v="258"/>
    <d v="2028-01-08T00:00:00"/>
    <m/>
    <m/>
    <s v="Y"/>
    <m/>
    <x v="2"/>
    <s v="Open Market"/>
    <s v="N"/>
    <m/>
    <m/>
    <s v="Proposal for conversion of the ground floor rear portion into a studio space and the entire first floor clinic into one 3 bed / 4 person occupancy flat under class MA of the GPDO."/>
    <s v="46 Sheen Lane, East Sheen SW14 8LP"/>
    <s v="SW14 8LP"/>
    <m/>
    <m/>
    <m/>
    <m/>
    <m/>
    <m/>
    <m/>
    <m/>
    <m/>
    <n v="0"/>
    <m/>
    <m/>
    <m/>
    <n v="1"/>
    <m/>
    <m/>
    <m/>
    <m/>
    <m/>
    <n v="1"/>
    <n v="0"/>
    <n v="0"/>
    <n v="1"/>
    <n v="0"/>
    <n v="0"/>
    <n v="0"/>
    <n v="0"/>
    <n v="0"/>
    <n v="1"/>
    <m/>
    <m/>
    <n v="0.25"/>
    <n v="0.25"/>
    <n v="0.25"/>
    <n v="0.25"/>
    <m/>
    <m/>
    <m/>
    <m/>
    <m/>
    <m/>
    <m/>
    <m/>
    <m/>
    <m/>
    <m/>
    <m/>
    <n v="1"/>
    <n v="1"/>
    <m/>
    <m/>
    <m/>
    <n v="520467"/>
    <n v="175568"/>
    <s v="East Sheen"/>
    <s v="Barnes and East Sheen"/>
    <s v="East Sheen"/>
    <m/>
    <m/>
    <m/>
    <m/>
    <s v="CA70 Sheen Lane Mortlake"/>
    <s v="Y"/>
    <s v="Y"/>
    <s v="Mortlake and East Sheen"/>
    <x v="0"/>
  </r>
  <r>
    <s v="24/2830/FUL"/>
    <s v="CON"/>
    <s v="FULL"/>
    <x v="259"/>
    <d v="2028-02-24T00:00:00"/>
    <d v="2025-04-01T00:00:00"/>
    <m/>
    <s v="Y"/>
    <m/>
    <x v="2"/>
    <s v="Open Market"/>
    <m/>
    <m/>
    <m/>
    <s v="Internal alterations involving the amalgamation of two residential units to form one house with the addition of solar panels on the garage roof and an ASHP to the rear of the property"/>
    <s v="Corner House, Vicarage Road, East Sheen"/>
    <s v="SW14 8RS"/>
    <m/>
    <m/>
    <n v="1"/>
    <m/>
    <n v="1"/>
    <m/>
    <m/>
    <m/>
    <m/>
    <n v="2"/>
    <m/>
    <m/>
    <m/>
    <m/>
    <m/>
    <m/>
    <m/>
    <n v="1"/>
    <m/>
    <n v="1"/>
    <n v="0"/>
    <n v="-1"/>
    <n v="0"/>
    <n v="-1"/>
    <n v="0"/>
    <n v="0"/>
    <n v="1"/>
    <n v="0"/>
    <n v="-1"/>
    <m/>
    <m/>
    <n v="-1"/>
    <m/>
    <m/>
    <m/>
    <m/>
    <m/>
    <m/>
    <m/>
    <m/>
    <m/>
    <m/>
    <m/>
    <m/>
    <m/>
    <m/>
    <m/>
    <n v="-1"/>
    <n v="-1"/>
    <m/>
    <m/>
    <m/>
    <n v="520451"/>
    <n v="174895"/>
    <s v="East Sheen"/>
    <s v="Barnes and East Sheen"/>
    <m/>
    <m/>
    <m/>
    <m/>
    <m/>
    <s v="CA64 Sheen Lane East Sheen"/>
    <s v="Y"/>
    <s v="Y"/>
    <s v="Mortlake and East Sheen"/>
    <x v="0"/>
  </r>
  <r>
    <s v="24/2838/GPD24"/>
    <s v="CHU"/>
    <s v="PA"/>
    <x v="151"/>
    <d v="2027-12-20T00:00:00"/>
    <m/>
    <m/>
    <s v="Y"/>
    <m/>
    <x v="2"/>
    <s v="Open Market"/>
    <m/>
    <m/>
    <m/>
    <s v="Change of use of first and second floors from retail (Class E) to one dwelling (Class C3)."/>
    <s v="5A King Street, Twickenham"/>
    <s v="TW1 3SD"/>
    <m/>
    <m/>
    <m/>
    <m/>
    <m/>
    <m/>
    <m/>
    <m/>
    <m/>
    <n v="0"/>
    <m/>
    <m/>
    <m/>
    <m/>
    <n v="1"/>
    <m/>
    <m/>
    <m/>
    <m/>
    <n v="1"/>
    <n v="0"/>
    <n v="0"/>
    <n v="0"/>
    <n v="1"/>
    <n v="0"/>
    <n v="0"/>
    <n v="0"/>
    <n v="0"/>
    <n v="1"/>
    <m/>
    <m/>
    <n v="0.25"/>
    <n v="0.25"/>
    <n v="0.25"/>
    <n v="0.25"/>
    <m/>
    <m/>
    <m/>
    <m/>
    <m/>
    <m/>
    <m/>
    <m/>
    <m/>
    <m/>
    <m/>
    <m/>
    <n v="1"/>
    <n v="1"/>
    <m/>
    <m/>
    <m/>
    <n v="516276"/>
    <n v="173221"/>
    <s v="Twickenham Riverside"/>
    <s v="Twickenham"/>
    <s v="Twickenham"/>
    <m/>
    <m/>
    <m/>
    <m/>
    <s v="CA8 Twickenham Riverside"/>
    <s v="Y"/>
    <s v="Y"/>
    <s v="Twickenham, Strawberry Hill &amp; St Margarets"/>
    <x v="0"/>
  </r>
  <r>
    <s v="24/2938/FUL"/>
    <s v="CON"/>
    <s v="FULL"/>
    <x v="260"/>
    <d v="2028-01-28T00:00:00"/>
    <d v="2025-04-21T00:00:00"/>
    <m/>
    <s v="Y"/>
    <m/>
    <x v="2"/>
    <s v="Open Market"/>
    <m/>
    <m/>
    <m/>
    <s v="Amalgamation of two dwellings into a single family 4 bedroom dwelling; alterations to existing rear dormers; addition of front porch; addition of side entrance door; and conversion of a single garage into a garden room. Addition of rooflights, alterations"/>
    <s v="2 Verdun Road, Barnes SW13 9AY"/>
    <s v="SW13 9AY"/>
    <m/>
    <m/>
    <n v="1"/>
    <n v="1"/>
    <m/>
    <m/>
    <m/>
    <m/>
    <m/>
    <n v="2"/>
    <m/>
    <m/>
    <m/>
    <m/>
    <n v="1"/>
    <m/>
    <m/>
    <m/>
    <m/>
    <n v="1"/>
    <n v="0"/>
    <n v="-1"/>
    <n v="-1"/>
    <n v="1"/>
    <n v="0"/>
    <n v="0"/>
    <n v="0"/>
    <n v="0"/>
    <n v="-1"/>
    <m/>
    <m/>
    <n v="-1"/>
    <m/>
    <m/>
    <m/>
    <m/>
    <m/>
    <m/>
    <m/>
    <m/>
    <m/>
    <m/>
    <m/>
    <m/>
    <m/>
    <m/>
    <m/>
    <n v="-1"/>
    <n v="-1"/>
    <m/>
    <m/>
    <m/>
    <n v="522180"/>
    <n v="177229"/>
    <s v="Barnes"/>
    <s v="Barnes and East Sheen"/>
    <m/>
    <m/>
    <m/>
    <m/>
    <m/>
    <m/>
    <m/>
    <m/>
    <s v="Barnes"/>
    <x v="0"/>
  </r>
  <r>
    <s v="24/3009/GPD24"/>
    <s v="CHU"/>
    <s v="PA"/>
    <x v="243"/>
    <d v="2028-01-21T00:00:00"/>
    <m/>
    <m/>
    <s v="Y"/>
    <m/>
    <x v="2"/>
    <s v="Open Market"/>
    <m/>
    <m/>
    <m/>
    <s v="Change of use from Class E commercial business and service use to mixed use consisting of Class E commercial business and service use and Class C3 residential (2 flats)."/>
    <s v="100 High Street, Whitton, Twickenham TW2 7LN"/>
    <s v="TW2 7LN"/>
    <m/>
    <m/>
    <m/>
    <m/>
    <m/>
    <m/>
    <m/>
    <m/>
    <m/>
    <n v="0"/>
    <m/>
    <n v="1"/>
    <n v="1"/>
    <m/>
    <m/>
    <m/>
    <m/>
    <m/>
    <m/>
    <n v="2"/>
    <n v="1"/>
    <n v="1"/>
    <n v="0"/>
    <n v="0"/>
    <n v="0"/>
    <n v="0"/>
    <n v="0"/>
    <n v="0"/>
    <n v="2"/>
    <m/>
    <m/>
    <n v="0.5"/>
    <n v="0.5"/>
    <n v="0.5"/>
    <n v="0.5"/>
    <m/>
    <m/>
    <m/>
    <m/>
    <m/>
    <m/>
    <m/>
    <m/>
    <m/>
    <m/>
    <m/>
    <m/>
    <n v="2"/>
    <n v="2"/>
    <m/>
    <m/>
    <m/>
    <n v="514182"/>
    <n v="173680"/>
    <s v="Whitton"/>
    <s v="Whitton"/>
    <s v="Whitton"/>
    <m/>
    <m/>
    <m/>
    <m/>
    <m/>
    <m/>
    <s v="Y"/>
    <s v="Whitton and Heathfield"/>
    <x v="0"/>
  </r>
  <r>
    <s v="24/3142/GPD26"/>
    <s v="CHU"/>
    <s v="PA"/>
    <x v="260"/>
    <d v="2028-01-28T00:00:00"/>
    <m/>
    <m/>
    <s v="Y"/>
    <m/>
    <x v="2"/>
    <s v="Open Market"/>
    <m/>
    <m/>
    <m/>
    <s v="Change use of the first floor ancillary floorspace to the ground floor commercial unit into 1-bed/1-person self contained flat."/>
    <s v="70 - 72 Richmond Road, Twickenham TW1 3BE"/>
    <s v="TW1 3BE"/>
    <m/>
    <m/>
    <m/>
    <m/>
    <m/>
    <m/>
    <m/>
    <m/>
    <m/>
    <n v="0"/>
    <m/>
    <n v="1"/>
    <m/>
    <m/>
    <m/>
    <m/>
    <m/>
    <m/>
    <m/>
    <n v="1"/>
    <n v="1"/>
    <n v="0"/>
    <n v="0"/>
    <n v="0"/>
    <n v="0"/>
    <n v="0"/>
    <n v="0"/>
    <n v="0"/>
    <n v="1"/>
    <m/>
    <m/>
    <n v="0.25"/>
    <n v="0.25"/>
    <n v="0.25"/>
    <n v="0.25"/>
    <m/>
    <m/>
    <m/>
    <m/>
    <m/>
    <m/>
    <m/>
    <m/>
    <m/>
    <m/>
    <m/>
    <m/>
    <n v="1"/>
    <n v="1"/>
    <m/>
    <m/>
    <m/>
    <n v="516650"/>
    <n v="173601"/>
    <s v="Twickenham Riverside"/>
    <s v="Twickenham"/>
    <m/>
    <m/>
    <m/>
    <m/>
    <m/>
    <s v="CA8 Twickenham Riverside"/>
    <s v="Y"/>
    <s v="Y"/>
    <s v="Twickenham, Strawberry Hill &amp; St Margarets"/>
    <x v="0"/>
  </r>
  <r>
    <s v="24/3263/GPD26"/>
    <s v="CHU"/>
    <s v="PA"/>
    <x v="261"/>
    <d v="2028-02-13T00:00:00"/>
    <m/>
    <m/>
    <s v="Y"/>
    <m/>
    <x v="2"/>
    <s v="Open Market"/>
    <m/>
    <m/>
    <m/>
    <s v="Change of use of offices (Use Class E) to 11No. apartments (Use Class C3)."/>
    <s v="1B Sandford House And 1C Jardine House, Claremont Road, Teddington"/>
    <s v="TW11 8DG"/>
    <m/>
    <m/>
    <m/>
    <m/>
    <m/>
    <m/>
    <m/>
    <m/>
    <m/>
    <n v="0"/>
    <m/>
    <n v="10"/>
    <n v="1"/>
    <m/>
    <m/>
    <m/>
    <m/>
    <m/>
    <m/>
    <n v="11"/>
    <n v="10"/>
    <n v="1"/>
    <n v="0"/>
    <n v="0"/>
    <n v="0"/>
    <n v="0"/>
    <n v="0"/>
    <n v="0"/>
    <n v="11"/>
    <s v="Y"/>
    <m/>
    <m/>
    <n v="2.75"/>
    <n v="2.75"/>
    <n v="2.75"/>
    <n v="2.75"/>
    <m/>
    <m/>
    <m/>
    <m/>
    <m/>
    <m/>
    <m/>
    <m/>
    <m/>
    <m/>
    <m/>
    <n v="11"/>
    <n v="11"/>
    <m/>
    <m/>
    <m/>
    <n v="515769"/>
    <n v="171467"/>
    <s v="Teddington"/>
    <s v="Teddington and the Hamptons"/>
    <m/>
    <m/>
    <m/>
    <m/>
    <m/>
    <m/>
    <m/>
    <s v="Y"/>
    <s v="Teddington &amp; Hampton Wick"/>
    <x v="0"/>
  </r>
  <r>
    <s v="PA25/0073"/>
    <s v="CHU"/>
    <s v="PA"/>
    <x v="262"/>
    <d v="2028-03-28T00:00:00"/>
    <m/>
    <m/>
    <s v="Y"/>
    <m/>
    <x v="2"/>
    <s v="Open Market"/>
    <m/>
    <m/>
    <m/>
    <s v="Change of use from Office to 3 no. C3 residential units"/>
    <s v="34 Candler Mews, Twickenham TW1 3JF"/>
    <s v="TW1 3JF"/>
    <m/>
    <m/>
    <m/>
    <m/>
    <m/>
    <m/>
    <m/>
    <m/>
    <m/>
    <n v="0"/>
    <m/>
    <m/>
    <n v="2"/>
    <n v="1"/>
    <m/>
    <m/>
    <m/>
    <m/>
    <m/>
    <n v="3"/>
    <n v="0"/>
    <n v="2"/>
    <n v="1"/>
    <n v="0"/>
    <n v="0"/>
    <n v="0"/>
    <n v="0"/>
    <n v="0"/>
    <n v="3"/>
    <m/>
    <m/>
    <n v="0.75"/>
    <n v="0.75"/>
    <n v="0.75"/>
    <n v="0.75"/>
    <m/>
    <m/>
    <m/>
    <m/>
    <m/>
    <m/>
    <m/>
    <m/>
    <m/>
    <m/>
    <m/>
    <m/>
    <n v="3"/>
    <n v="3"/>
    <m/>
    <m/>
    <m/>
    <n v="516360"/>
    <n v="173781"/>
    <s v="Twickenham Riverside"/>
    <s v="Twickenham"/>
    <m/>
    <m/>
    <m/>
    <m/>
    <m/>
    <m/>
    <m/>
    <s v="Y"/>
    <s v="Twickenham, Strawberry Hill &amp; St Margarets"/>
    <x v="0"/>
  </r>
  <r>
    <s v="Site Allocation"/>
    <s v="NEW"/>
    <s v="N/A"/>
    <x v="263"/>
    <m/>
    <m/>
    <m/>
    <m/>
    <m/>
    <x v="3"/>
    <s v="Open Market / Affordable"/>
    <s v="Sainsbury’s, Manor Road"/>
    <m/>
    <m/>
    <m/>
    <s v="Sainsbury’s, Manor Road"/>
    <s v="TW9 4NZ"/>
    <m/>
    <m/>
    <m/>
    <m/>
    <m/>
    <m/>
    <m/>
    <m/>
    <m/>
    <n v="0"/>
    <m/>
    <m/>
    <m/>
    <m/>
    <m/>
    <m/>
    <m/>
    <m/>
    <m/>
    <n v="250"/>
    <n v="0"/>
    <n v="0"/>
    <n v="0"/>
    <n v="0"/>
    <n v="0"/>
    <n v="0"/>
    <n v="0"/>
    <n v="0"/>
    <n v="250"/>
    <s v="Y"/>
    <m/>
    <m/>
    <m/>
    <m/>
    <m/>
    <m/>
    <n v="50"/>
    <n v="50"/>
    <n v="50"/>
    <n v="50"/>
    <n v="50"/>
    <m/>
    <m/>
    <m/>
    <m/>
    <m/>
    <m/>
    <n v="0"/>
    <n v="250"/>
    <m/>
    <m/>
    <m/>
    <n v="519125"/>
    <n v="175579"/>
    <s v="North Richmond"/>
    <s v="Richmond"/>
    <m/>
    <m/>
    <m/>
    <m/>
    <m/>
    <m/>
    <m/>
    <s v="Y"/>
    <s v="Richmond and Richmond Hill"/>
    <x v="0"/>
  </r>
  <r>
    <s v="Site Allocation"/>
    <s v="MIX"/>
    <s v="N/A"/>
    <x v="263"/>
    <m/>
    <m/>
    <m/>
    <m/>
    <m/>
    <x v="3"/>
    <s v="Open Market / Affordable"/>
    <s v="Teddington Telephone Exchange"/>
    <m/>
    <m/>
    <m/>
    <s v="Teddington Telephone Exchange"/>
    <s v="TW11 8JD"/>
    <m/>
    <m/>
    <m/>
    <m/>
    <m/>
    <m/>
    <m/>
    <m/>
    <m/>
    <n v="0"/>
    <m/>
    <m/>
    <m/>
    <m/>
    <m/>
    <m/>
    <m/>
    <m/>
    <m/>
    <n v="20"/>
    <n v="0"/>
    <n v="0"/>
    <n v="0"/>
    <n v="0"/>
    <n v="0"/>
    <n v="0"/>
    <n v="0"/>
    <n v="0"/>
    <n v="20"/>
    <s v="Y"/>
    <m/>
    <m/>
    <m/>
    <m/>
    <m/>
    <m/>
    <m/>
    <n v="5"/>
    <n v="5"/>
    <n v="5"/>
    <n v="5"/>
    <m/>
    <m/>
    <m/>
    <m/>
    <m/>
    <m/>
    <n v="0"/>
    <n v="20"/>
    <m/>
    <m/>
    <m/>
    <n v="516258"/>
    <n v="171100"/>
    <s v="Teddington"/>
    <s v="Teddington and the Hamptons"/>
    <s v="Teddington"/>
    <m/>
    <m/>
    <m/>
    <m/>
    <s v="CA37 High Street Teddington"/>
    <s v="Y"/>
    <s v="Y"/>
    <s v="Teddington &amp; Hampton Wick"/>
    <x v="0"/>
  </r>
  <r>
    <s v="21/3107/FUL"/>
    <s v="NEW"/>
    <s v="FULL"/>
    <x v="263"/>
    <m/>
    <m/>
    <m/>
    <m/>
    <m/>
    <x v="4"/>
    <s v="Open Market / Affordable"/>
    <s v="Barnes Hospital, East Sheen"/>
    <m/>
    <m/>
    <s v="Demolition of existing structures and redevelopment of site including construction of three new buildings comprising 106 residential units of mixed tenure (Use Class C3), alterations and conversion of two existing buildings for 3 residential use (Use Class C3), car and cycle parking, landscaping and associated works"/>
    <s v="Barnes Hospital, South Worple Way, East Sheen"/>
    <s v="SW14 8SU"/>
    <m/>
    <m/>
    <m/>
    <m/>
    <m/>
    <m/>
    <m/>
    <m/>
    <m/>
    <n v="0"/>
    <m/>
    <m/>
    <m/>
    <m/>
    <m/>
    <m/>
    <m/>
    <m/>
    <m/>
    <n v="107"/>
    <n v="0"/>
    <n v="0"/>
    <n v="0"/>
    <n v="0"/>
    <n v="0"/>
    <n v="0"/>
    <n v="0"/>
    <n v="0"/>
    <n v="107"/>
    <s v="Y"/>
    <m/>
    <m/>
    <m/>
    <n v="35.6666666666667"/>
    <n v="35.666666666666664"/>
    <n v="35.666666666666664"/>
    <m/>
    <m/>
    <m/>
    <m/>
    <m/>
    <m/>
    <m/>
    <m/>
    <m/>
    <m/>
    <m/>
    <n v="107.00000000000003"/>
    <n v="107.00000000000003"/>
    <m/>
    <m/>
    <m/>
    <n v="521203"/>
    <n v="175677"/>
    <s v="Mortlake &amp; Barnes Common"/>
    <s v="Barnes and East Sheen"/>
    <m/>
    <m/>
    <m/>
    <m/>
    <m/>
    <m/>
    <m/>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2"/>
    <m/>
    <m/>
    <m/>
    <m/>
    <m/>
    <m/>
    <m/>
    <m/>
    <n v="0"/>
    <m/>
    <n v="22"/>
    <n v="63"/>
    <n v="33"/>
    <n v="0"/>
    <m/>
    <m/>
    <m/>
    <m/>
    <n v="118"/>
    <n v="22"/>
    <n v="63"/>
    <n v="33"/>
    <n v="0"/>
    <n v="0"/>
    <n v="0"/>
    <n v="0"/>
    <n v="0"/>
    <n v="118"/>
    <s v="Y"/>
    <m/>
    <m/>
    <m/>
    <m/>
    <m/>
    <n v="118"/>
    <m/>
    <m/>
    <m/>
    <m/>
    <m/>
    <m/>
    <m/>
    <m/>
    <m/>
    <m/>
    <m/>
    <n v="118"/>
    <n v="118"/>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3"/>
    <m/>
    <m/>
    <m/>
    <m/>
    <m/>
    <m/>
    <m/>
    <m/>
    <n v="0"/>
    <m/>
    <n v="8"/>
    <n v="27"/>
    <n v="13"/>
    <n v="0"/>
    <m/>
    <m/>
    <m/>
    <m/>
    <n v="48"/>
    <n v="8"/>
    <n v="27"/>
    <n v="13"/>
    <n v="0"/>
    <n v="0"/>
    <n v="0"/>
    <n v="0"/>
    <n v="0"/>
    <n v="48"/>
    <s v="Y"/>
    <m/>
    <m/>
    <m/>
    <m/>
    <m/>
    <n v="48"/>
    <m/>
    <m/>
    <m/>
    <m/>
    <m/>
    <m/>
    <m/>
    <m/>
    <m/>
    <m/>
    <m/>
    <n v="48"/>
    <n v="48"/>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6"/>
    <m/>
    <m/>
    <m/>
    <m/>
    <m/>
    <m/>
    <m/>
    <m/>
    <n v="0"/>
    <m/>
    <n v="4"/>
    <n v="14"/>
    <n v="6"/>
    <n v="0"/>
    <m/>
    <m/>
    <m/>
    <m/>
    <n v="24"/>
    <n v="4"/>
    <n v="14"/>
    <n v="6"/>
    <n v="0"/>
    <n v="0"/>
    <n v="0"/>
    <n v="0"/>
    <n v="0"/>
    <n v="24"/>
    <s v="Y"/>
    <m/>
    <m/>
    <m/>
    <m/>
    <m/>
    <n v="24"/>
    <m/>
    <m/>
    <m/>
    <m/>
    <m/>
    <m/>
    <m/>
    <m/>
    <m/>
    <m/>
    <m/>
    <n v="24"/>
    <n v="24"/>
    <m/>
    <m/>
    <m/>
    <n v="520502"/>
    <n v="175950"/>
    <s v="Mortlake &amp; Barnes Common"/>
    <s v="Barnes and East Sheen"/>
    <m/>
    <m/>
    <s v="Mortlake"/>
    <s v="Y"/>
    <m/>
    <s v="CA33 Mortlake"/>
    <s v="Y"/>
    <s v="Y"/>
    <s v="Mortlake and East Sheen"/>
    <x v="0"/>
  </r>
  <r>
    <s v="22/0900/OUT"/>
    <s v="MIX"/>
    <s v="OUT"/>
    <x v="264"/>
    <d v="2028-05-02T00:00:00"/>
    <m/>
    <m/>
    <m/>
    <m/>
    <x v="4"/>
    <s v="Shared Ownership"/>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s v="Y"/>
    <n v="5"/>
    <n v="8"/>
    <n v="0"/>
    <n v="0"/>
    <m/>
    <m/>
    <m/>
    <m/>
    <n v="13"/>
    <n v="5"/>
    <n v="8"/>
    <n v="0"/>
    <n v="0"/>
    <n v="0"/>
    <n v="0"/>
    <n v="0"/>
    <n v="0"/>
    <n v="13"/>
    <s v="Y"/>
    <m/>
    <m/>
    <m/>
    <m/>
    <m/>
    <n v="13"/>
    <m/>
    <m/>
    <m/>
    <m/>
    <m/>
    <m/>
    <m/>
    <m/>
    <m/>
    <m/>
    <m/>
    <n v="13"/>
    <n v="13"/>
    <m/>
    <m/>
    <m/>
    <n v="520502"/>
    <n v="175950"/>
    <s v="Mortlake &amp; Barnes Common"/>
    <s v="Barnes and East Sheen"/>
    <m/>
    <m/>
    <s v="Mortlake"/>
    <s v="Y"/>
    <m/>
    <s v="CA33 Mortlake"/>
    <s v="Y"/>
    <s v="Y"/>
    <s v="Mortlake and East Sheen"/>
    <x v="0"/>
  </r>
  <r>
    <s v="22/0900/OUT"/>
    <s v="MIX"/>
    <s v="OUT"/>
    <x v="264"/>
    <d v="2028-05-02T00:00:00"/>
    <m/>
    <m/>
    <m/>
    <m/>
    <x v="4"/>
    <s v="Social Ren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s v="Y"/>
    <n v="0"/>
    <n v="0"/>
    <n v="14"/>
    <n v="0"/>
    <m/>
    <m/>
    <m/>
    <m/>
    <n v="14"/>
    <n v="0"/>
    <n v="0"/>
    <n v="14"/>
    <n v="0"/>
    <n v="0"/>
    <n v="0"/>
    <n v="0"/>
    <n v="0"/>
    <n v="14"/>
    <s v="Y"/>
    <m/>
    <m/>
    <m/>
    <m/>
    <m/>
    <n v="18"/>
    <m/>
    <m/>
    <m/>
    <m/>
    <m/>
    <m/>
    <m/>
    <m/>
    <m/>
    <m/>
    <m/>
    <n v="18"/>
    <n v="18"/>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m/>
    <n v="3"/>
    <n v="43"/>
    <n v="46"/>
    <n v="5"/>
    <m/>
    <m/>
    <m/>
    <m/>
    <n v="97"/>
    <n v="3"/>
    <n v="43"/>
    <n v="46"/>
    <n v="5"/>
    <n v="0"/>
    <n v="0"/>
    <n v="0"/>
    <n v="0"/>
    <n v="97"/>
    <s v="Y"/>
    <m/>
    <m/>
    <m/>
    <m/>
    <m/>
    <n v="93"/>
    <m/>
    <m/>
    <m/>
    <m/>
    <m/>
    <m/>
    <m/>
    <m/>
    <m/>
    <m/>
    <m/>
    <n v="93"/>
    <n v="93"/>
    <m/>
    <m/>
    <m/>
    <n v="520502"/>
    <n v="175950"/>
    <s v="Mortlake &amp; Barnes Common"/>
    <s v="Barnes and East Sheen"/>
    <m/>
    <m/>
    <s v="Mortlake"/>
    <s v="Y"/>
    <m/>
    <s v="CA33 Mortlake"/>
    <s v="Y"/>
    <s v="Y"/>
    <s v="Mortlake and East Sheen"/>
    <x v="0"/>
  </r>
  <r>
    <s v="22/0900/OUT"/>
    <s v="MIX"/>
    <s v="OUT"/>
    <x v="264"/>
    <d v="2028-05-02T00:00:00"/>
    <m/>
    <m/>
    <m/>
    <m/>
    <x v="4"/>
    <s v="Social Ren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9"/>
    <m/>
    <m/>
    <m/>
    <m/>
    <m/>
    <m/>
    <m/>
    <m/>
    <n v="0"/>
    <s v="Y"/>
    <n v="0"/>
    <n v="3"/>
    <n v="30"/>
    <n v="5"/>
    <m/>
    <m/>
    <m/>
    <m/>
    <n v="38"/>
    <n v="0"/>
    <n v="3"/>
    <n v="30"/>
    <n v="5"/>
    <n v="0"/>
    <n v="0"/>
    <n v="0"/>
    <n v="0"/>
    <n v="38"/>
    <s v="Y"/>
    <m/>
    <m/>
    <m/>
    <m/>
    <m/>
    <n v="38"/>
    <m/>
    <m/>
    <m/>
    <m/>
    <m/>
    <m/>
    <m/>
    <m/>
    <m/>
    <m/>
    <m/>
    <n v="38"/>
    <n v="38"/>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4"/>
    <m/>
    <m/>
    <m/>
    <m/>
    <m/>
    <m/>
    <m/>
    <m/>
    <n v="0"/>
    <m/>
    <n v="0"/>
    <n v="15"/>
    <n v="5"/>
    <n v="0"/>
    <m/>
    <m/>
    <m/>
    <m/>
    <n v="20"/>
    <n v="0"/>
    <n v="15"/>
    <n v="5"/>
    <n v="0"/>
    <n v="0"/>
    <n v="0"/>
    <n v="0"/>
    <n v="0"/>
    <n v="20"/>
    <s v="Y"/>
    <m/>
    <m/>
    <m/>
    <m/>
    <m/>
    <m/>
    <n v="20"/>
    <m/>
    <m/>
    <m/>
    <m/>
    <m/>
    <m/>
    <m/>
    <m/>
    <m/>
    <m/>
    <n v="0"/>
    <n v="20"/>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7"/>
    <m/>
    <m/>
    <m/>
    <m/>
    <m/>
    <m/>
    <m/>
    <m/>
    <n v="0"/>
    <m/>
    <n v="19"/>
    <n v="47"/>
    <n v="21"/>
    <n v="0"/>
    <m/>
    <m/>
    <m/>
    <m/>
    <n v="87"/>
    <n v="19"/>
    <n v="47"/>
    <n v="21"/>
    <n v="0"/>
    <n v="0"/>
    <n v="0"/>
    <n v="0"/>
    <n v="0"/>
    <n v="87"/>
    <s v="Y"/>
    <m/>
    <m/>
    <m/>
    <m/>
    <m/>
    <m/>
    <n v="87"/>
    <m/>
    <m/>
    <m/>
    <m/>
    <m/>
    <m/>
    <m/>
    <m/>
    <m/>
    <m/>
    <n v="0"/>
    <n v="87"/>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8"/>
    <m/>
    <m/>
    <m/>
    <m/>
    <m/>
    <m/>
    <m/>
    <m/>
    <n v="0"/>
    <m/>
    <n v="22"/>
    <n v="43"/>
    <n v="33"/>
    <n v="2"/>
    <m/>
    <m/>
    <m/>
    <m/>
    <n v="100"/>
    <n v="22"/>
    <n v="43"/>
    <n v="33"/>
    <n v="2"/>
    <n v="0"/>
    <n v="0"/>
    <n v="0"/>
    <n v="0"/>
    <n v="100"/>
    <s v="Y"/>
    <m/>
    <m/>
    <m/>
    <m/>
    <m/>
    <m/>
    <n v="100"/>
    <m/>
    <m/>
    <m/>
    <m/>
    <m/>
    <m/>
    <m/>
    <m/>
    <m/>
    <m/>
    <n v="0"/>
    <n v="100"/>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3"/>
    <m/>
    <m/>
    <m/>
    <m/>
    <m/>
    <m/>
    <m/>
    <m/>
    <n v="0"/>
    <m/>
    <n v="19"/>
    <n v="21"/>
    <n v="2"/>
    <n v="0"/>
    <m/>
    <m/>
    <m/>
    <m/>
    <n v="42"/>
    <n v="19"/>
    <n v="21"/>
    <n v="2"/>
    <n v="0"/>
    <n v="0"/>
    <n v="0"/>
    <n v="0"/>
    <n v="0"/>
    <n v="42"/>
    <s v="Y"/>
    <m/>
    <m/>
    <m/>
    <m/>
    <m/>
    <m/>
    <n v="42"/>
    <m/>
    <m/>
    <m/>
    <m/>
    <m/>
    <m/>
    <m/>
    <m/>
    <m/>
    <m/>
    <n v="0"/>
    <n v="42"/>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4"/>
    <m/>
    <m/>
    <m/>
    <m/>
    <m/>
    <m/>
    <m/>
    <m/>
    <n v="0"/>
    <m/>
    <n v="8"/>
    <n v="24"/>
    <n v="2"/>
    <n v="0"/>
    <m/>
    <m/>
    <m/>
    <m/>
    <n v="34"/>
    <n v="8"/>
    <n v="24"/>
    <n v="2"/>
    <n v="0"/>
    <n v="0"/>
    <n v="0"/>
    <n v="0"/>
    <n v="0"/>
    <n v="34"/>
    <s v="Y"/>
    <m/>
    <m/>
    <m/>
    <m/>
    <m/>
    <m/>
    <n v="34"/>
    <m/>
    <m/>
    <m/>
    <m/>
    <m/>
    <m/>
    <m/>
    <m/>
    <m/>
    <m/>
    <n v="0"/>
    <n v="34"/>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5"/>
    <m/>
    <m/>
    <m/>
    <m/>
    <m/>
    <m/>
    <m/>
    <m/>
    <n v="0"/>
    <m/>
    <n v="83"/>
    <n v="27"/>
    <n v="0"/>
    <n v="2"/>
    <m/>
    <m/>
    <m/>
    <m/>
    <n v="112"/>
    <n v="83"/>
    <n v="27"/>
    <n v="0"/>
    <n v="2"/>
    <n v="0"/>
    <n v="0"/>
    <n v="0"/>
    <n v="0"/>
    <n v="112"/>
    <s v="Y"/>
    <m/>
    <m/>
    <m/>
    <m/>
    <m/>
    <m/>
    <n v="112"/>
    <m/>
    <m/>
    <m/>
    <m/>
    <m/>
    <m/>
    <m/>
    <m/>
    <m/>
    <m/>
    <n v="0"/>
    <n v="112"/>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6"/>
    <m/>
    <m/>
    <m/>
    <m/>
    <m/>
    <m/>
    <m/>
    <m/>
    <n v="0"/>
    <m/>
    <n v="41"/>
    <n v="31"/>
    <n v="1"/>
    <n v="0"/>
    <m/>
    <m/>
    <m/>
    <m/>
    <n v="73"/>
    <n v="41"/>
    <n v="31"/>
    <n v="1"/>
    <n v="0"/>
    <n v="0"/>
    <n v="0"/>
    <n v="0"/>
    <n v="0"/>
    <n v="73"/>
    <s v="Y"/>
    <m/>
    <m/>
    <m/>
    <m/>
    <m/>
    <m/>
    <n v="73"/>
    <m/>
    <m/>
    <m/>
    <m/>
    <m/>
    <m/>
    <m/>
    <m/>
    <m/>
    <m/>
    <n v="0"/>
    <n v="73"/>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7"/>
    <m/>
    <m/>
    <m/>
    <m/>
    <m/>
    <m/>
    <m/>
    <m/>
    <n v="0"/>
    <m/>
    <n v="45"/>
    <n v="20"/>
    <n v="8"/>
    <n v="0"/>
    <m/>
    <m/>
    <m/>
    <m/>
    <n v="73"/>
    <n v="45"/>
    <n v="20"/>
    <n v="8"/>
    <n v="0"/>
    <n v="0"/>
    <n v="0"/>
    <n v="0"/>
    <n v="0"/>
    <n v="73"/>
    <s v="Y"/>
    <m/>
    <m/>
    <m/>
    <m/>
    <m/>
    <m/>
    <n v="73"/>
    <m/>
    <m/>
    <m/>
    <m/>
    <m/>
    <m/>
    <m/>
    <m/>
    <m/>
    <m/>
    <n v="0"/>
    <n v="73"/>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9"/>
    <m/>
    <m/>
    <m/>
    <m/>
    <m/>
    <m/>
    <m/>
    <m/>
    <n v="0"/>
    <m/>
    <n v="0"/>
    <n v="6"/>
    <n v="3"/>
    <n v="4"/>
    <m/>
    <m/>
    <m/>
    <m/>
    <n v="13"/>
    <n v="0"/>
    <n v="6"/>
    <n v="3"/>
    <n v="4"/>
    <n v="0"/>
    <n v="0"/>
    <n v="0"/>
    <n v="0"/>
    <n v="13"/>
    <s v="Y"/>
    <m/>
    <m/>
    <m/>
    <m/>
    <m/>
    <m/>
    <n v="13"/>
    <m/>
    <m/>
    <m/>
    <m/>
    <m/>
    <m/>
    <m/>
    <m/>
    <m/>
    <m/>
    <n v="0"/>
    <n v="13"/>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0"/>
    <m/>
    <m/>
    <m/>
    <m/>
    <m/>
    <m/>
    <m/>
    <m/>
    <n v="0"/>
    <m/>
    <n v="22"/>
    <n v="17"/>
    <n v="0"/>
    <n v="0"/>
    <m/>
    <m/>
    <m/>
    <m/>
    <n v="39"/>
    <n v="22"/>
    <n v="17"/>
    <n v="0"/>
    <n v="0"/>
    <n v="0"/>
    <n v="0"/>
    <n v="0"/>
    <n v="0"/>
    <n v="39"/>
    <s v="Y"/>
    <m/>
    <m/>
    <m/>
    <m/>
    <m/>
    <m/>
    <n v="39"/>
    <m/>
    <m/>
    <m/>
    <m/>
    <m/>
    <m/>
    <m/>
    <m/>
    <m/>
    <m/>
    <n v="0"/>
    <n v="39"/>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1"/>
    <m/>
    <m/>
    <m/>
    <m/>
    <m/>
    <m/>
    <m/>
    <m/>
    <n v="0"/>
    <m/>
    <n v="11"/>
    <n v="21"/>
    <n v="19"/>
    <n v="1"/>
    <m/>
    <m/>
    <m/>
    <m/>
    <n v="52"/>
    <n v="11"/>
    <n v="21"/>
    <n v="19"/>
    <n v="1"/>
    <n v="0"/>
    <n v="0"/>
    <n v="0"/>
    <n v="0"/>
    <n v="52"/>
    <s v="Y"/>
    <m/>
    <m/>
    <m/>
    <m/>
    <m/>
    <m/>
    <n v="52"/>
    <m/>
    <m/>
    <m/>
    <m/>
    <m/>
    <m/>
    <m/>
    <m/>
    <m/>
    <m/>
    <n v="0"/>
    <n v="52"/>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2"/>
    <m/>
    <m/>
    <m/>
    <m/>
    <m/>
    <m/>
    <m/>
    <m/>
    <n v="0"/>
    <m/>
    <n v="4"/>
    <n v="37"/>
    <n v="7"/>
    <n v="0"/>
    <m/>
    <m/>
    <m/>
    <m/>
    <n v="48"/>
    <n v="4"/>
    <n v="37"/>
    <n v="7"/>
    <n v="0"/>
    <n v="0"/>
    <n v="0"/>
    <n v="0"/>
    <n v="0"/>
    <n v="48"/>
    <s v="Y"/>
    <m/>
    <m/>
    <m/>
    <m/>
    <m/>
    <m/>
    <n v="48"/>
    <m/>
    <m/>
    <m/>
    <m/>
    <m/>
    <m/>
    <m/>
    <m/>
    <m/>
    <m/>
    <n v="0"/>
    <n v="48"/>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4 - Building 20"/>
    <m/>
    <m/>
    <m/>
    <m/>
    <m/>
    <m/>
    <m/>
    <m/>
    <n v="0"/>
    <m/>
    <n v="0"/>
    <n v="1"/>
    <n v="11"/>
    <n v="4"/>
    <m/>
    <m/>
    <m/>
    <m/>
    <n v="16"/>
    <n v="0"/>
    <n v="1"/>
    <n v="11"/>
    <n v="4"/>
    <n v="0"/>
    <n v="0"/>
    <n v="0"/>
    <n v="0"/>
    <n v="16"/>
    <s v="Y"/>
    <m/>
    <m/>
    <m/>
    <m/>
    <m/>
    <m/>
    <m/>
    <m/>
    <n v="16"/>
    <m/>
    <m/>
    <m/>
    <m/>
    <m/>
    <m/>
    <m/>
    <m/>
    <n v="0"/>
    <n v="16"/>
    <m/>
    <m/>
    <m/>
    <n v="520502"/>
    <n v="175950"/>
    <s v="Mortlake &amp; Barnes Common"/>
    <s v="Barnes and East Sheen"/>
    <m/>
    <m/>
    <s v="Mortlake"/>
    <s v="Y"/>
    <m/>
    <s v="CA33 Mortlake"/>
    <s v="Y"/>
    <s v="Y"/>
    <s v="Mortlake and East Sheen"/>
    <x v="0"/>
  </r>
  <r>
    <s v="22/0900/OUT"/>
    <s v="MIX"/>
    <s v="OUT"/>
    <x v="264"/>
    <d v="2028-05-02T00:00:00"/>
    <m/>
    <m/>
    <m/>
    <m/>
    <x v="4"/>
    <s v="Open Market"/>
    <s v="Stag Brewery"/>
    <m/>
    <m/>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4 - Building 21"/>
    <m/>
    <m/>
    <m/>
    <m/>
    <m/>
    <m/>
    <m/>
    <m/>
    <n v="0"/>
    <m/>
    <n v="0"/>
    <n v="0"/>
    <n v="1"/>
    <n v="6"/>
    <m/>
    <m/>
    <m/>
    <m/>
    <n v="7"/>
    <n v="0"/>
    <n v="0"/>
    <n v="1"/>
    <n v="6"/>
    <n v="0"/>
    <n v="0"/>
    <n v="0"/>
    <n v="0"/>
    <n v="7"/>
    <s v="Y"/>
    <m/>
    <m/>
    <m/>
    <m/>
    <m/>
    <m/>
    <m/>
    <m/>
    <n v="7"/>
    <m/>
    <m/>
    <m/>
    <m/>
    <m/>
    <m/>
    <m/>
    <m/>
    <n v="0"/>
    <n v="7"/>
    <m/>
    <m/>
    <m/>
    <n v="520502"/>
    <n v="175950"/>
    <s v="Mortlake &amp; Barnes Common"/>
    <s v="Barnes and East Sheen"/>
    <m/>
    <m/>
    <s v="Mortlake"/>
    <s v="Y"/>
    <m/>
    <s v="CA33 Mortlake"/>
    <s v="Y"/>
    <s v="Y"/>
    <s v="Mortlake and East Sheen"/>
    <x v="0"/>
  </r>
  <r>
    <s v="22/2204/FUL"/>
    <s v="NEW"/>
    <s v="FULL"/>
    <x v="263"/>
    <m/>
    <m/>
    <m/>
    <m/>
    <m/>
    <x v="4"/>
    <s v="Open Market / Affordable"/>
    <s v="St Clare Business Park"/>
    <m/>
    <m/>
    <s v="Demolition of existing buildings and erection of 1no. mixed use building between three and five storeys plus basement in height, comprising 86no. residential flats (Class C3) and 1,311.2sq.m of commercial floorspace (Class E); 1no.two storey building comprising 595sq.m of commercial floorspace (Class E); 14no. residential houses (Class C3); and, associated access, external landscaping and car parking."/>
    <s v="St Clare Business Park And 7 - 11 Windmill Road, Hampton Hill"/>
    <s v="TW12 1PZ"/>
    <m/>
    <m/>
    <m/>
    <m/>
    <m/>
    <m/>
    <m/>
    <m/>
    <m/>
    <m/>
    <m/>
    <m/>
    <m/>
    <m/>
    <m/>
    <m/>
    <m/>
    <m/>
    <m/>
    <n v="100"/>
    <n v="0"/>
    <n v="0"/>
    <n v="0"/>
    <n v="0"/>
    <n v="0"/>
    <n v="0"/>
    <n v="0"/>
    <n v="0"/>
    <n v="100"/>
    <s v="Y"/>
    <m/>
    <m/>
    <m/>
    <n v="33.333333333333336"/>
    <n v="33.333333333333336"/>
    <n v="33.333333333333336"/>
    <m/>
    <m/>
    <m/>
    <m/>
    <m/>
    <m/>
    <m/>
    <m/>
    <m/>
    <m/>
    <m/>
    <n v="100"/>
    <n v="100"/>
    <m/>
    <m/>
    <m/>
    <n v="514199"/>
    <n v="170906"/>
    <s v="Fulwell &amp; Hampton Hill"/>
    <s v="Teddington and the Hamptons"/>
    <m/>
    <m/>
    <s v="High Street, Hampton Hill"/>
    <s v="Y"/>
    <m/>
    <m/>
    <m/>
    <m/>
    <s v="Hampton &amp; Hampton Hill"/>
    <x v="0"/>
  </r>
  <r>
    <s v="Site Allocation"/>
    <s v="MIX"/>
    <s v="N/A"/>
    <x v="263"/>
    <m/>
    <m/>
    <m/>
    <m/>
    <m/>
    <x v="5"/>
    <s v="Open Market / Affordable"/>
    <s v="Teddington Police Station"/>
    <m/>
    <m/>
    <m/>
    <s v="Teddington Police Station"/>
    <s v="TW11 0AQ"/>
    <m/>
    <m/>
    <m/>
    <m/>
    <m/>
    <m/>
    <m/>
    <m/>
    <m/>
    <m/>
    <m/>
    <m/>
    <m/>
    <m/>
    <m/>
    <m/>
    <m/>
    <m/>
    <m/>
    <n v="20"/>
    <n v="0"/>
    <n v="0"/>
    <n v="0"/>
    <n v="0"/>
    <n v="0"/>
    <n v="0"/>
    <n v="0"/>
    <n v="0"/>
    <n v="20"/>
    <s v="Y"/>
    <m/>
    <m/>
    <m/>
    <m/>
    <m/>
    <n v="20"/>
    <m/>
    <m/>
    <m/>
    <m/>
    <m/>
    <m/>
    <m/>
    <m/>
    <m/>
    <m/>
    <m/>
    <n v="20"/>
    <n v="20"/>
    <m/>
    <m/>
    <m/>
    <n v="515852"/>
    <n v="170855"/>
    <s v="Teddington"/>
    <s v="Teddington and the Hamptons"/>
    <s v="Teddington"/>
    <m/>
    <m/>
    <m/>
    <m/>
    <s v="CA22 Park Road Teddington"/>
    <s v="Y"/>
    <s v="Y"/>
    <s v="Teddington &amp; Hampton Wick"/>
    <x v="0"/>
  </r>
  <r>
    <s v="Site Allocation"/>
    <s v="MIX"/>
    <s v="N/A"/>
    <x v="263"/>
    <m/>
    <m/>
    <m/>
    <m/>
    <m/>
    <x v="5"/>
    <s v="Open Market / Affordable"/>
    <s v="Twickenham Telephone Exchange"/>
    <m/>
    <m/>
    <m/>
    <s v="Twickenham Telephone Exchange"/>
    <s v="TW1 3NZ"/>
    <m/>
    <m/>
    <m/>
    <m/>
    <m/>
    <m/>
    <m/>
    <m/>
    <m/>
    <m/>
    <m/>
    <m/>
    <m/>
    <m/>
    <m/>
    <m/>
    <m/>
    <m/>
    <m/>
    <n v="20"/>
    <n v="0"/>
    <n v="0"/>
    <n v="0"/>
    <n v="0"/>
    <n v="0"/>
    <n v="0"/>
    <n v="0"/>
    <n v="0"/>
    <n v="20"/>
    <s v="Y"/>
    <m/>
    <m/>
    <m/>
    <m/>
    <n v="10"/>
    <n v="10"/>
    <m/>
    <m/>
    <m/>
    <m/>
    <m/>
    <m/>
    <m/>
    <m/>
    <m/>
    <m/>
    <m/>
    <n v="20"/>
    <n v="20"/>
    <m/>
    <m/>
    <m/>
    <n v="516325"/>
    <n v="173426"/>
    <s v="Twickenham Riverside"/>
    <s v="Twickenham"/>
    <s v="Twickenham"/>
    <m/>
    <m/>
    <m/>
    <m/>
    <m/>
    <m/>
    <s v="Y"/>
    <s v="Twickenham, Strawberry Hill &amp; St Margarets"/>
    <x v="0"/>
  </r>
  <r>
    <s v="Site Allocation"/>
    <s v="MIX"/>
    <s v="N/A"/>
    <x v="263"/>
    <m/>
    <m/>
    <m/>
    <m/>
    <m/>
    <x v="5"/>
    <s v="Open Market / Affordable"/>
    <s v="Whitton Telephone Exchange"/>
    <m/>
    <m/>
    <m/>
    <s v="Whitton Telephone Exchange"/>
    <s v="TW2 7BE"/>
    <m/>
    <m/>
    <m/>
    <m/>
    <m/>
    <m/>
    <m/>
    <m/>
    <m/>
    <m/>
    <m/>
    <m/>
    <m/>
    <m/>
    <m/>
    <m/>
    <m/>
    <m/>
    <m/>
    <n v="20"/>
    <n v="0"/>
    <n v="0"/>
    <n v="0"/>
    <n v="0"/>
    <n v="0"/>
    <n v="0"/>
    <n v="0"/>
    <n v="0"/>
    <n v="20"/>
    <s v="Y"/>
    <m/>
    <m/>
    <m/>
    <m/>
    <n v="10"/>
    <n v="10"/>
    <m/>
    <m/>
    <m/>
    <m/>
    <m/>
    <m/>
    <m/>
    <m/>
    <m/>
    <m/>
    <m/>
    <n v="20"/>
    <n v="20"/>
    <m/>
    <m/>
    <m/>
    <n v="514055"/>
    <n v="173847"/>
    <s v="Whitton"/>
    <s v="Whitton"/>
    <s v="Whitton"/>
    <m/>
    <m/>
    <m/>
    <m/>
    <m/>
    <m/>
    <s v="Y"/>
    <s v="Whitton and Heathfield"/>
    <x v="0"/>
  </r>
  <r>
    <s v="Large Sites Trend"/>
    <s v="MIX"/>
    <s v="N/A"/>
    <x v="263"/>
    <m/>
    <m/>
    <m/>
    <m/>
    <m/>
    <x v="6"/>
    <s v="Open Market / Affordable"/>
    <s v="Large Sites Trend"/>
    <m/>
    <m/>
    <m/>
    <s v="Large Sites Trend"/>
    <s v="N/A"/>
    <m/>
    <m/>
    <m/>
    <m/>
    <m/>
    <m/>
    <m/>
    <m/>
    <m/>
    <m/>
    <m/>
    <m/>
    <m/>
    <m/>
    <m/>
    <m/>
    <m/>
    <m/>
    <m/>
    <n v="432"/>
    <n v="0"/>
    <n v="0"/>
    <n v="0"/>
    <n v="0"/>
    <n v="0"/>
    <n v="0"/>
    <n v="0"/>
    <n v="0"/>
    <n v="144"/>
    <m/>
    <m/>
    <m/>
    <m/>
    <m/>
    <m/>
    <m/>
    <m/>
    <m/>
    <m/>
    <n v="72"/>
    <n v="72"/>
    <n v="72"/>
    <n v="72"/>
    <n v="72"/>
    <n v="72"/>
    <n v="72"/>
    <n v="72"/>
    <n v="0"/>
    <n v="144"/>
    <m/>
    <m/>
    <m/>
    <m/>
    <m/>
    <s v="N/A"/>
    <m/>
    <m/>
    <m/>
    <m/>
    <m/>
    <m/>
    <m/>
    <m/>
    <m/>
    <m/>
    <x v="0"/>
  </r>
  <r>
    <s v="Small Sites Trend"/>
    <s v="MIX"/>
    <s v="N/A"/>
    <x v="263"/>
    <m/>
    <m/>
    <m/>
    <m/>
    <m/>
    <x v="6"/>
    <s v="Open Market / Affordable"/>
    <s v="Small Sites Trend"/>
    <m/>
    <m/>
    <m/>
    <s v="Small Sites Trend"/>
    <s v="N/A"/>
    <m/>
    <m/>
    <m/>
    <m/>
    <m/>
    <m/>
    <m/>
    <m/>
    <m/>
    <m/>
    <m/>
    <m/>
    <m/>
    <m/>
    <m/>
    <m/>
    <m/>
    <m/>
    <m/>
    <n v="3316"/>
    <n v="0"/>
    <n v="0"/>
    <n v="0"/>
    <n v="0"/>
    <n v="0"/>
    <n v="0"/>
    <n v="0"/>
    <n v="0"/>
    <n v="1912"/>
    <m/>
    <m/>
    <n v="20"/>
    <n v="20"/>
    <n v="234"/>
    <n v="234"/>
    <n v="234"/>
    <n v="234"/>
    <n v="234"/>
    <n v="234"/>
    <n v="234"/>
    <n v="234"/>
    <n v="234"/>
    <n v="234"/>
    <n v="234"/>
    <n v="234"/>
    <n v="234"/>
    <n v="234"/>
    <n v="742"/>
    <n v="1912"/>
    <m/>
    <m/>
    <m/>
    <m/>
    <m/>
    <s v="N/A"/>
    <m/>
    <m/>
    <m/>
    <m/>
    <m/>
    <m/>
    <m/>
    <m/>
    <m/>
    <m/>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3">
  <r>
    <s v="16/4635/FUL"/>
    <x v="0"/>
    <s v="FULL"/>
    <d v="2017-03-07T00:00:00"/>
    <d v="2020-03-07T00:00:00"/>
    <d v="2020-03-01T00:00:00"/>
    <m/>
    <m/>
    <d v="2025-03-31T00:00:00"/>
    <x v="0"/>
    <x v="0"/>
    <m/>
    <n v="8.0712328767123296"/>
    <s v="1 to 4"/>
    <s v="Construction of a three bedroom single storey dwelling with associated hard and soft landscaping, parking and access road (bollard lit)"/>
    <s v="Land Rear Of 12 To 36 Vincam Close, Twickenham"/>
    <s v="TW2 7AB"/>
    <m/>
    <m/>
    <m/>
    <m/>
    <m/>
    <m/>
    <m/>
    <m/>
    <m/>
    <n v="0"/>
    <m/>
    <m/>
    <m/>
    <n v="1"/>
    <m/>
    <m/>
    <m/>
    <m/>
    <m/>
    <n v="1"/>
    <n v="0"/>
    <n v="0"/>
    <n v="1"/>
    <n v="0"/>
    <n v="0"/>
    <n v="0"/>
    <n v="0"/>
    <n v="0"/>
    <n v="1"/>
    <m/>
    <n v="1"/>
    <m/>
    <m/>
    <m/>
    <m/>
    <m/>
    <m/>
    <m/>
    <m/>
    <m/>
    <m/>
    <m/>
    <m/>
    <m/>
    <m/>
    <m/>
    <m/>
    <n v="0"/>
    <n v="0"/>
    <m/>
    <m/>
    <m/>
    <n v="513432"/>
    <n v="173849"/>
    <s v="Whitton"/>
  </r>
  <r>
    <s v="18/1889/FUL"/>
    <x v="0"/>
    <s v="FULL"/>
    <d v="2018-11-29T00:00:00"/>
    <d v="2022-09-10T00:00:00"/>
    <d v="2022-06-06T00:00:00"/>
    <m/>
    <m/>
    <d v="2025-03-31T00:00:00"/>
    <x v="0"/>
    <x v="0"/>
    <m/>
    <n v="6.3397260273972602"/>
    <s v="1 to 4"/>
    <s v="Erection of a pair of 2 storey semi-detached 2 bed (1 x 2B4P and 1 x 2B3P) dwellinghouses with associated hard and soft landscaping and parking."/>
    <s v="Land To The Side Of 61 Acacia Road, Hampton TW12 3DP"/>
    <s v="TW12 3DP"/>
    <m/>
    <m/>
    <m/>
    <m/>
    <m/>
    <m/>
    <m/>
    <m/>
    <m/>
    <n v="0"/>
    <m/>
    <m/>
    <n v="2"/>
    <m/>
    <m/>
    <m/>
    <m/>
    <m/>
    <m/>
    <n v="2"/>
    <n v="0"/>
    <n v="2"/>
    <n v="0"/>
    <n v="0"/>
    <n v="0"/>
    <n v="0"/>
    <n v="0"/>
    <n v="0"/>
    <n v="2"/>
    <m/>
    <n v="2"/>
    <m/>
    <m/>
    <m/>
    <m/>
    <m/>
    <m/>
    <m/>
    <m/>
    <m/>
    <m/>
    <m/>
    <m/>
    <m/>
    <m/>
    <m/>
    <m/>
    <n v="0"/>
    <n v="0"/>
    <m/>
    <m/>
    <m/>
    <n v="513221"/>
    <n v="170897"/>
    <s v="Hampton North"/>
  </r>
  <r>
    <s v="19/1731/FUL"/>
    <x v="0"/>
    <s v="FULL"/>
    <d v="2019-08-21T00:00:00"/>
    <d v="2022-08-21T00:00:00"/>
    <d v="2022-09-01T00:00:00"/>
    <m/>
    <m/>
    <d v="2024-10-01T00:00:00"/>
    <x v="0"/>
    <x v="0"/>
    <m/>
    <n v="5.117808219178082"/>
    <s v="1 to 4"/>
    <s v="Demolition of existing dwellinghouse and erection of replacement two storey 4 bedroom dwellinghouse with associated hard and soft landscaping and cycle and refuse store. Replacement boundary fence/gates."/>
    <s v="17A Tower Road, Twickenham TW1 4PD"/>
    <s v="TW1 4PD"/>
    <m/>
    <m/>
    <n v="1"/>
    <m/>
    <m/>
    <m/>
    <m/>
    <m/>
    <m/>
    <n v="1"/>
    <m/>
    <m/>
    <m/>
    <m/>
    <n v="1"/>
    <m/>
    <m/>
    <m/>
    <m/>
    <n v="1"/>
    <n v="0"/>
    <n v="-1"/>
    <n v="0"/>
    <n v="1"/>
    <n v="0"/>
    <n v="0"/>
    <n v="0"/>
    <n v="0"/>
    <n v="0"/>
    <m/>
    <n v="0"/>
    <m/>
    <m/>
    <m/>
    <m/>
    <m/>
    <m/>
    <m/>
    <m/>
    <m/>
    <m/>
    <m/>
    <m/>
    <m/>
    <m/>
    <m/>
    <m/>
    <n v="0"/>
    <n v="0"/>
    <m/>
    <m/>
    <m/>
    <n v="515806"/>
    <n v="172455"/>
    <s v="South Twickenham"/>
  </r>
  <r>
    <s v="19/2377/GPD15"/>
    <x v="1"/>
    <s v="PA"/>
    <d v="2019-09-30T00:00:00"/>
    <d v="2022-09-30T00:00:00"/>
    <d v="2020-02-17T00:00:00"/>
    <m/>
    <m/>
    <d v="2025-03-31T00:00:00"/>
    <x v="0"/>
    <x v="0"/>
    <m/>
    <n v="5.5041095890410956"/>
    <s v="1 to 4"/>
    <s v="Partial change of use from office to residential (4 No flats)."/>
    <s v="122 - 124 St Margarets Road, Twickenham"/>
    <s v="TW1 2AA"/>
    <m/>
    <m/>
    <m/>
    <m/>
    <m/>
    <m/>
    <m/>
    <m/>
    <m/>
    <n v="0"/>
    <m/>
    <m/>
    <n v="4"/>
    <m/>
    <m/>
    <m/>
    <m/>
    <m/>
    <m/>
    <n v="4"/>
    <n v="0"/>
    <n v="4"/>
    <n v="0"/>
    <n v="0"/>
    <n v="0"/>
    <n v="0"/>
    <n v="0"/>
    <n v="0"/>
    <n v="4"/>
    <m/>
    <n v="4"/>
    <m/>
    <m/>
    <m/>
    <m/>
    <m/>
    <m/>
    <m/>
    <m/>
    <m/>
    <m/>
    <m/>
    <m/>
    <m/>
    <m/>
    <m/>
    <m/>
    <n v="0"/>
    <n v="0"/>
    <m/>
    <m/>
    <m/>
    <n v="516843"/>
    <n v="174266"/>
    <s v="St. Margarets &amp; North Twickenham"/>
  </r>
  <r>
    <s v="19/2471/FUL"/>
    <x v="2"/>
    <s v="FULL"/>
    <d v="2020-05-06T00:00:00"/>
    <d v="2023-05-06T00:00:00"/>
    <d v="2023-03-01T00:00:00"/>
    <m/>
    <m/>
    <d v="2024-08-08T00:00:00"/>
    <x v="0"/>
    <x v="0"/>
    <m/>
    <n v="4.2602739726027394"/>
    <s v="1 to 4"/>
    <s v="Demoltion of existing staircase/structures to rear. Construction of a part 3 part 2 storey rear extension to provide 2 x new flats and roof terrace (1 x studio and 1 x 1 bed flat) and associated bin store, cycle parking and hard and soft landscaping."/>
    <s v="121 High Street, Whitton, Twickenham TW2 7LG"/>
    <s v="TW2 7LG"/>
    <m/>
    <m/>
    <m/>
    <m/>
    <m/>
    <m/>
    <m/>
    <m/>
    <m/>
    <n v="0"/>
    <m/>
    <n v="2"/>
    <m/>
    <m/>
    <m/>
    <m/>
    <m/>
    <m/>
    <m/>
    <n v="2"/>
    <n v="2"/>
    <n v="0"/>
    <n v="0"/>
    <n v="0"/>
    <n v="0"/>
    <n v="0"/>
    <n v="0"/>
    <n v="0"/>
    <n v="2"/>
    <m/>
    <n v="2"/>
    <m/>
    <m/>
    <m/>
    <m/>
    <m/>
    <m/>
    <m/>
    <m/>
    <m/>
    <m/>
    <m/>
    <m/>
    <m/>
    <m/>
    <m/>
    <m/>
    <n v="0"/>
    <n v="0"/>
    <m/>
    <m/>
    <m/>
    <n v="514218"/>
    <n v="173596"/>
    <s v="Whitton"/>
  </r>
  <r>
    <s v="19/3857/FUL"/>
    <x v="3"/>
    <s v="FULL"/>
    <d v="2020-06-18T00:00:00"/>
    <d v="2023-06-18T00:00:00"/>
    <d v="2023-05-15T00:00:00"/>
    <m/>
    <m/>
    <d v="2024-06-12T00:00:00"/>
    <x v="0"/>
    <x v="0"/>
    <m/>
    <n v="3.9863013698630136"/>
    <s v="1 to 4"/>
    <s v="Part two storey, part first floor infill, part second floor rear extensions and extensions / alterations to the roof to facilitate the conversion of existing 1 x studio and 1 x 2 bed flat into four flats (2 x studio and 2 x 1 bed) and increase in retail floorspace with associated refuse and bicycle enclosures and hard and soft landscaping"/>
    <s v="20 London Road, Twickenham TW1 3RR"/>
    <s v="TW1 3RR"/>
    <m/>
    <n v="1"/>
    <n v="1"/>
    <m/>
    <m/>
    <m/>
    <m/>
    <m/>
    <m/>
    <n v="2"/>
    <m/>
    <n v="4"/>
    <m/>
    <m/>
    <m/>
    <m/>
    <m/>
    <m/>
    <m/>
    <n v="4"/>
    <n v="3"/>
    <n v="-1"/>
    <n v="0"/>
    <n v="0"/>
    <n v="0"/>
    <n v="0"/>
    <n v="0"/>
    <n v="0"/>
    <n v="2"/>
    <m/>
    <n v="2"/>
    <m/>
    <m/>
    <m/>
    <m/>
    <m/>
    <m/>
    <m/>
    <m/>
    <m/>
    <m/>
    <m/>
    <m/>
    <m/>
    <m/>
    <m/>
    <m/>
    <n v="0"/>
    <n v="0"/>
    <m/>
    <m/>
    <m/>
    <n v="516259"/>
    <n v="173377"/>
    <s v="Twickenham Riverside"/>
  </r>
  <r>
    <s v="20/0773/FUL"/>
    <x v="0"/>
    <s v="FULL"/>
    <d v="2020-07-08T00:00:00"/>
    <d v="2023-07-08T00:00:00"/>
    <d v="2020-09-08T00:00:00"/>
    <m/>
    <m/>
    <d v="2024-06-11T00:00:00"/>
    <x v="0"/>
    <x v="0"/>
    <m/>
    <n v="3.9287671232876713"/>
    <s v="1 to 4"/>
    <s v="Erection of 1no. single storey 2 bed dwellinghouse with associated cycle and refuse stores"/>
    <s v="Land At Railway Side, Barnes, London"/>
    <s v="SW13 0AL"/>
    <m/>
    <m/>
    <m/>
    <m/>
    <m/>
    <m/>
    <m/>
    <m/>
    <m/>
    <n v="0"/>
    <m/>
    <m/>
    <n v="1"/>
    <m/>
    <m/>
    <m/>
    <m/>
    <m/>
    <m/>
    <n v="1"/>
    <n v="0"/>
    <n v="1"/>
    <n v="0"/>
    <n v="0"/>
    <n v="0"/>
    <n v="0"/>
    <n v="0"/>
    <n v="0"/>
    <n v="1"/>
    <m/>
    <n v="1"/>
    <m/>
    <m/>
    <m/>
    <m/>
    <m/>
    <m/>
    <m/>
    <m/>
    <m/>
    <m/>
    <m/>
    <m/>
    <m/>
    <m/>
    <m/>
    <m/>
    <n v="0"/>
    <n v="0"/>
    <m/>
    <m/>
    <m/>
    <n v="521729"/>
    <n v="176011"/>
    <s v="Mortlake &amp; Barnes Common"/>
  </r>
  <r>
    <s v="20/1885/FUL"/>
    <x v="1"/>
    <s v="FULL"/>
    <d v="2020-10-02T00:00:00"/>
    <d v="2023-10-02T00:00:00"/>
    <d v="2023-09-01T00:00:00"/>
    <m/>
    <m/>
    <d v="2024-08-01T00:00:00"/>
    <x v="0"/>
    <x v="0"/>
    <m/>
    <n v="3.8328767123287673"/>
    <s v="1 to 4"/>
    <s v="Conversion of public house to a single residential dwelling"/>
    <s v="80 Windmill Road, Hampton Hill, Hampton TW12 1QU"/>
    <s v="TW12 1QU"/>
    <m/>
    <m/>
    <m/>
    <m/>
    <m/>
    <m/>
    <m/>
    <m/>
    <m/>
    <n v="0"/>
    <m/>
    <m/>
    <m/>
    <m/>
    <n v="1"/>
    <m/>
    <m/>
    <m/>
    <m/>
    <n v="1"/>
    <n v="0"/>
    <n v="0"/>
    <n v="0"/>
    <n v="1"/>
    <n v="0"/>
    <n v="0"/>
    <n v="0"/>
    <n v="0"/>
    <n v="1"/>
    <m/>
    <n v="1"/>
    <m/>
    <m/>
    <m/>
    <m/>
    <m/>
    <m/>
    <m/>
    <m/>
    <m/>
    <m/>
    <m/>
    <m/>
    <m/>
    <m/>
    <m/>
    <m/>
    <n v="0"/>
    <n v="0"/>
    <m/>
    <m/>
    <m/>
    <n v="513956"/>
    <n v="171140"/>
    <s v="Fulwell &amp; Hampton Hill"/>
  </r>
  <r>
    <s v="20/2411/FUL"/>
    <x v="0"/>
    <s v="FULL"/>
    <d v="2021-06-24T00:00:00"/>
    <d v="2024-06-24T00:00:00"/>
    <d v="2023-08-01T00:00:00"/>
    <m/>
    <m/>
    <d v="2025-03-31T00:00:00"/>
    <x v="0"/>
    <x v="0"/>
    <m/>
    <n v="3.7698630136986302"/>
    <s v="1 to 4"/>
    <s v="Erection of a 3 bed detached dwelling house with associated off-street parking and amenity space"/>
    <s v="52 Ringwood Way, Hampton Hill TW12 1AT"/>
    <s v="TW12 1AT"/>
    <m/>
    <m/>
    <m/>
    <m/>
    <m/>
    <m/>
    <m/>
    <m/>
    <m/>
    <n v="0"/>
    <m/>
    <m/>
    <m/>
    <n v="1"/>
    <m/>
    <m/>
    <m/>
    <m/>
    <m/>
    <n v="1"/>
    <n v="0"/>
    <n v="0"/>
    <n v="1"/>
    <n v="0"/>
    <n v="0"/>
    <n v="0"/>
    <n v="0"/>
    <n v="0"/>
    <n v="1"/>
    <m/>
    <n v="1"/>
    <m/>
    <m/>
    <m/>
    <m/>
    <m/>
    <m/>
    <m/>
    <m/>
    <m/>
    <m/>
    <m/>
    <m/>
    <m/>
    <m/>
    <m/>
    <m/>
    <n v="0"/>
    <n v="0"/>
    <m/>
    <m/>
    <m/>
    <n v="513279"/>
    <n v="171614"/>
    <s v="Hampton North"/>
  </r>
  <r>
    <s v="20/2841/FUL"/>
    <x v="2"/>
    <s v="FULL"/>
    <d v="2021-02-12T00:00:00"/>
    <d v="2024-02-12T00:00:00"/>
    <d v="2023-10-02T00:00:00"/>
    <m/>
    <m/>
    <d v="2025-03-31T00:00:00"/>
    <x v="0"/>
    <x v="0"/>
    <m/>
    <n v="4.1315068493150688"/>
    <s v="1 to 4"/>
    <s v="Proposed erection of single storey building at rear to provide 1 no. self contained flat"/>
    <s v="118A - 118B High Street, Hampton Hill, Hampton TW12 1NT"/>
    <s v="TW12 1NT"/>
    <m/>
    <m/>
    <m/>
    <m/>
    <m/>
    <m/>
    <m/>
    <m/>
    <m/>
    <n v="0"/>
    <m/>
    <n v="1"/>
    <m/>
    <m/>
    <m/>
    <m/>
    <m/>
    <m/>
    <m/>
    <n v="1"/>
    <n v="1"/>
    <n v="0"/>
    <n v="0"/>
    <n v="0"/>
    <n v="0"/>
    <n v="0"/>
    <n v="0"/>
    <n v="0"/>
    <n v="1"/>
    <m/>
    <n v="1"/>
    <m/>
    <m/>
    <m/>
    <m/>
    <m/>
    <m/>
    <m/>
    <m/>
    <m/>
    <m/>
    <m/>
    <m/>
    <m/>
    <m/>
    <m/>
    <m/>
    <n v="0"/>
    <n v="0"/>
    <m/>
    <m/>
    <m/>
    <n v="514515"/>
    <n v="171261"/>
    <s v="Fulwell &amp; Hampton Hill"/>
  </r>
  <r>
    <s v="20/2902/FUL"/>
    <x v="0"/>
    <s v="FULL"/>
    <d v="2021-10-28T00:00:00"/>
    <d v="2024-10-28T00:00:00"/>
    <d v="2022-10-21T00:00:00"/>
    <m/>
    <m/>
    <d v="2024-08-28T00:00:00"/>
    <x v="0"/>
    <x v="0"/>
    <m/>
    <n v="2.8356164383561642"/>
    <s v="1 to 4"/>
    <s v="New 2-storey detached house with associated parking to replace existing bungalow. ."/>
    <s v="60A Wensleydale Road, Hampton TW12 2LX"/>
    <s v="TW12 2LX"/>
    <m/>
    <m/>
    <m/>
    <n v="1"/>
    <m/>
    <m/>
    <m/>
    <m/>
    <m/>
    <n v="1"/>
    <m/>
    <m/>
    <m/>
    <m/>
    <m/>
    <n v="1"/>
    <m/>
    <m/>
    <m/>
    <n v="1"/>
    <n v="0"/>
    <n v="0"/>
    <n v="-1"/>
    <n v="0"/>
    <n v="1"/>
    <n v="0"/>
    <n v="0"/>
    <n v="0"/>
    <n v="0"/>
    <m/>
    <n v="0"/>
    <m/>
    <m/>
    <m/>
    <m/>
    <m/>
    <m/>
    <m/>
    <m/>
    <m/>
    <m/>
    <m/>
    <m/>
    <m/>
    <m/>
    <m/>
    <m/>
    <n v="0"/>
    <n v="0"/>
    <m/>
    <m/>
    <m/>
    <n v="513562"/>
    <n v="170238"/>
    <s v="Hampton"/>
  </r>
  <r>
    <s v="20/3641/FUL"/>
    <x v="0"/>
    <s v="FULL"/>
    <d v="2021-05-12T00:00:00"/>
    <d v="2024-05-12T00:00:00"/>
    <d v="2022-02-01T00:00:00"/>
    <m/>
    <m/>
    <d v="2024-11-01T00:00:00"/>
    <x v="0"/>
    <x v="0"/>
    <m/>
    <n v="3.4767123287671233"/>
    <s v="1 to 4"/>
    <s v="Demolition of existing semi-detached bungalow and garage replacement detached dwelling house (Class C3) comprising ground, first floor and accommodation within the roof space."/>
    <s v="2 Chestnut Avenue, Hampton TW12 2NU"/>
    <s v="TW12 2NU"/>
    <m/>
    <m/>
    <n v="1"/>
    <m/>
    <m/>
    <m/>
    <m/>
    <m/>
    <m/>
    <n v="1"/>
    <m/>
    <m/>
    <m/>
    <m/>
    <m/>
    <n v="1"/>
    <m/>
    <m/>
    <m/>
    <n v="1"/>
    <n v="0"/>
    <n v="-1"/>
    <n v="0"/>
    <n v="0"/>
    <n v="1"/>
    <n v="0"/>
    <n v="0"/>
    <n v="0"/>
    <n v="0"/>
    <m/>
    <n v="0"/>
    <m/>
    <m/>
    <m/>
    <m/>
    <m/>
    <m/>
    <m/>
    <m/>
    <m/>
    <m/>
    <m/>
    <m/>
    <m/>
    <m/>
    <m/>
    <m/>
    <n v="0"/>
    <n v="0"/>
    <m/>
    <m/>
    <m/>
    <n v="513278"/>
    <n v="170135"/>
    <s v="Hampton"/>
  </r>
  <r>
    <s v="21/1087/GPD15"/>
    <x v="1"/>
    <s v="PA"/>
    <d v="2021-05-19T00:00:00"/>
    <d v="2024-05-19T00:00:00"/>
    <d v="2024-02-02T00:00:00"/>
    <m/>
    <m/>
    <d v="2024-05-18T00:00:00"/>
    <x v="0"/>
    <x v="0"/>
    <m/>
    <n v="3"/>
    <s v="1 to 4"/>
    <s v="The proposed works is for the change of use of existing Class E office use on first floor to provide C3 3 x 1 bedroom units and a 1 x 2 bedroom unit"/>
    <s v="First Floor, 55 - 61 Heath Road, Twickenham"/>
    <s v="TW1 4AW"/>
    <m/>
    <m/>
    <m/>
    <m/>
    <m/>
    <m/>
    <m/>
    <m/>
    <m/>
    <n v="0"/>
    <m/>
    <n v="3"/>
    <n v="1"/>
    <m/>
    <m/>
    <m/>
    <m/>
    <m/>
    <m/>
    <n v="4"/>
    <n v="3"/>
    <n v="1"/>
    <n v="0"/>
    <n v="0"/>
    <n v="0"/>
    <n v="0"/>
    <n v="0"/>
    <n v="0"/>
    <n v="4"/>
    <m/>
    <n v="4"/>
    <m/>
    <m/>
    <m/>
    <m/>
    <m/>
    <m/>
    <m/>
    <m/>
    <m/>
    <m/>
    <m/>
    <m/>
    <m/>
    <m/>
    <m/>
    <m/>
    <n v="0"/>
    <n v="0"/>
    <m/>
    <m/>
    <m/>
    <n v="515975"/>
    <n v="173091"/>
    <s v="South Twickenham"/>
  </r>
  <r>
    <s v="21/1841/FUL"/>
    <x v="3"/>
    <s v="FULL"/>
    <d v="2023-02-16T00:00:00"/>
    <d v="2026-02-16T00:00:00"/>
    <d v="2023-06-01T00:00:00"/>
    <m/>
    <m/>
    <d v="2025-03-31T00:00:00"/>
    <x v="0"/>
    <x v="0"/>
    <m/>
    <n v="2.1205479452054794"/>
    <s v="1 to 4"/>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m/>
    <n v="2"/>
    <m/>
    <m/>
    <m/>
    <m/>
    <m/>
    <m/>
    <m/>
    <m/>
    <m/>
    <m/>
    <m/>
    <m/>
    <m/>
    <m/>
    <m/>
    <m/>
    <n v="0"/>
    <n v="0"/>
    <m/>
    <m/>
    <m/>
    <n v="513825"/>
    <n v="169567"/>
    <s v="Hampton"/>
  </r>
  <r>
    <s v="21/1925/GPD15"/>
    <x v="1"/>
    <s v="PA"/>
    <d v="2021-07-26T00:00:00"/>
    <d v="2026-05-24T00:00:00"/>
    <d v="2023-12-18T00:00:00"/>
    <m/>
    <m/>
    <d v="2024-07-25T00:00:00"/>
    <x v="0"/>
    <x v="0"/>
    <m/>
    <n v="3"/>
    <s v="1 to 4"/>
    <s v="Change of use of the existing office to create three dwellings"/>
    <s v="1A Rosedale Road, Richmond TW9 2SX"/>
    <s v="TW9 2SX"/>
    <m/>
    <m/>
    <m/>
    <m/>
    <m/>
    <m/>
    <m/>
    <m/>
    <m/>
    <n v="0"/>
    <m/>
    <n v="2"/>
    <n v="1"/>
    <m/>
    <m/>
    <m/>
    <m/>
    <m/>
    <m/>
    <n v="3"/>
    <n v="2"/>
    <n v="1"/>
    <n v="0"/>
    <n v="0"/>
    <n v="0"/>
    <n v="0"/>
    <n v="0"/>
    <n v="0"/>
    <n v="3"/>
    <m/>
    <n v="3"/>
    <m/>
    <m/>
    <m/>
    <m/>
    <m/>
    <m/>
    <m/>
    <m/>
    <m/>
    <m/>
    <m/>
    <m/>
    <m/>
    <m/>
    <m/>
    <m/>
    <n v="0"/>
    <n v="0"/>
    <m/>
    <m/>
    <m/>
    <n v="518108"/>
    <n v="175469"/>
    <s v="North Richmond"/>
  </r>
  <r>
    <s v="21/2151/FUL"/>
    <x v="0"/>
    <s v="FULL"/>
    <d v="2022-08-10T00:00:00"/>
    <d v="2025-08-10T00:00:00"/>
    <d v="2023-10-16T00:00:00"/>
    <m/>
    <m/>
    <d v="2025-02-06T00:00:00"/>
    <x v="0"/>
    <x v="0"/>
    <m/>
    <n v="2.495890410958904"/>
    <s v="1 to 4"/>
    <s v="Demolition of the existing three storey house and erection of a replacement two storey plus basement single family dwelling with associated hard and soft landscpaing and refuse store."/>
    <s v="40 West Temple Sheen, East Sheen SW14 7AP"/>
    <s v="SW14 7AP"/>
    <m/>
    <m/>
    <m/>
    <m/>
    <m/>
    <n v="1"/>
    <m/>
    <m/>
    <m/>
    <n v="1"/>
    <m/>
    <m/>
    <m/>
    <m/>
    <m/>
    <n v="1"/>
    <m/>
    <m/>
    <m/>
    <n v="1"/>
    <n v="0"/>
    <n v="0"/>
    <n v="0"/>
    <n v="0"/>
    <n v="0"/>
    <n v="0"/>
    <n v="0"/>
    <n v="0"/>
    <n v="0"/>
    <m/>
    <n v="0"/>
    <m/>
    <m/>
    <m/>
    <m/>
    <m/>
    <m/>
    <m/>
    <m/>
    <m/>
    <m/>
    <m/>
    <m/>
    <m/>
    <m/>
    <m/>
    <m/>
    <n v="0"/>
    <n v="0"/>
    <m/>
    <m/>
    <m/>
    <n v="519892"/>
    <n v="174721"/>
    <s v="East Sheen"/>
  </r>
  <r>
    <s v="21/2642/FUL"/>
    <x v="1"/>
    <s v="FULL"/>
    <d v="2022-04-08T00:00:00"/>
    <d v="2025-04-08T00:00:00"/>
    <d v="2023-07-28T00:00:00"/>
    <m/>
    <m/>
    <d v="2024-08-09T00:00:00"/>
    <x v="0"/>
    <x v="1"/>
    <m/>
    <n v="2.3397260273972602"/>
    <s v="1 to 4"/>
    <s v="Change of use to four C3 residential units for supported living together with external alterations including changes to the roof form and a first floor extension"/>
    <s v="67A Holly Road, Twickenham TW1 4HF"/>
    <s v="TW1 4HF"/>
    <m/>
    <m/>
    <m/>
    <m/>
    <m/>
    <m/>
    <m/>
    <m/>
    <m/>
    <n v="0"/>
    <s v="Y"/>
    <n v="4"/>
    <m/>
    <m/>
    <m/>
    <m/>
    <m/>
    <m/>
    <m/>
    <n v="4"/>
    <n v="4"/>
    <n v="0"/>
    <n v="0"/>
    <n v="0"/>
    <n v="0"/>
    <n v="0"/>
    <n v="0"/>
    <n v="0"/>
    <n v="4"/>
    <m/>
    <n v="4"/>
    <m/>
    <m/>
    <m/>
    <m/>
    <m/>
    <m/>
    <m/>
    <m/>
    <m/>
    <m/>
    <m/>
    <m/>
    <m/>
    <m/>
    <m/>
    <m/>
    <n v="0"/>
    <n v="0"/>
    <m/>
    <m/>
    <m/>
    <n v="516114"/>
    <n v="173184"/>
    <s v="Twickenham Riverside"/>
  </r>
  <r>
    <s v="21/3140/FUL"/>
    <x v="0"/>
    <s v="FULL"/>
    <d v="2022-08-12T00:00:00"/>
    <d v="2025-08-12T00:00:00"/>
    <d v="2023-12-01T00:00:00"/>
    <m/>
    <m/>
    <d v="2025-03-31T00:00:00"/>
    <x v="0"/>
    <x v="0"/>
    <m/>
    <n v="2.6356164383561644"/>
    <s v="5 to 9"/>
    <s v="Demolition of 3 houses and construction of 8 new houses at 38 to 42 Vincam close"/>
    <s v="38 - 42 Vincam Close, Twickenham"/>
    <s v="TW2 7AB"/>
    <m/>
    <m/>
    <n v="1"/>
    <n v="1"/>
    <m/>
    <n v="1"/>
    <m/>
    <m/>
    <m/>
    <n v="3"/>
    <m/>
    <m/>
    <m/>
    <n v="6"/>
    <n v="2"/>
    <m/>
    <m/>
    <m/>
    <m/>
    <n v="8"/>
    <n v="0"/>
    <n v="-1"/>
    <n v="5"/>
    <n v="2"/>
    <n v="-1"/>
    <n v="0"/>
    <n v="0"/>
    <n v="0"/>
    <n v="5"/>
    <m/>
    <n v="5"/>
    <m/>
    <m/>
    <m/>
    <m/>
    <m/>
    <m/>
    <m/>
    <m/>
    <m/>
    <m/>
    <m/>
    <m/>
    <m/>
    <m/>
    <m/>
    <m/>
    <n v="0"/>
    <n v="0"/>
    <m/>
    <m/>
    <m/>
    <n v="513356"/>
    <n v="173823"/>
    <s v="Whitton"/>
  </r>
  <r>
    <s v="21/3330/FUL"/>
    <x v="0"/>
    <s v="FULL"/>
    <d v="2022-02-02T00:00:00"/>
    <d v="2025-02-02T00:00:00"/>
    <d v="2023-09-11T00:00:00"/>
    <m/>
    <m/>
    <d v="2024-12-16T00:00:00"/>
    <x v="0"/>
    <x v="0"/>
    <m/>
    <n v="2.871232876712329"/>
    <s v="1 to 4"/>
    <s v="Construction of terrace of 3 family houses with associated parking and landscaping."/>
    <s v="Car Park, Brooklands Place, Hampton"/>
    <s v="TW12"/>
    <m/>
    <m/>
    <m/>
    <m/>
    <m/>
    <m/>
    <m/>
    <m/>
    <m/>
    <n v="0"/>
    <m/>
    <m/>
    <m/>
    <n v="3"/>
    <m/>
    <m/>
    <m/>
    <m/>
    <m/>
    <n v="3"/>
    <n v="0"/>
    <n v="0"/>
    <n v="3"/>
    <n v="0"/>
    <n v="0"/>
    <n v="0"/>
    <n v="0"/>
    <n v="0"/>
    <n v="3"/>
    <m/>
    <n v="3"/>
    <m/>
    <m/>
    <m/>
    <m/>
    <m/>
    <m/>
    <m/>
    <m/>
    <m/>
    <m/>
    <m/>
    <m/>
    <m/>
    <m/>
    <m/>
    <m/>
    <n v="0"/>
    <n v="0"/>
    <m/>
    <m/>
    <m/>
    <n v="513958"/>
    <n v="171178"/>
    <s v="Fulwell &amp; Hampton Hill"/>
  </r>
  <r>
    <s v="21/4123/GPD26"/>
    <x v="1"/>
    <s v="PA"/>
    <d v="2022-01-21T00:00:00"/>
    <d v="2025-01-21T00:00:00"/>
    <d v="2023-01-10T00:00:00"/>
    <m/>
    <m/>
    <d v="2024-12-09T00:00:00"/>
    <x v="0"/>
    <x v="0"/>
    <m/>
    <n v="2.8849315068493149"/>
    <s v="1 to 4"/>
    <s v="Change of use and conversion of Unit H from Use Class E office to Use Class C3 dwelling house, with ground level car and cycle parking and refuse storage."/>
    <s v="Unit H, 42 Upper Richmond Road West, East Sheen SW14 8DD"/>
    <s v="SW14 8DD"/>
    <m/>
    <m/>
    <m/>
    <m/>
    <m/>
    <m/>
    <m/>
    <m/>
    <m/>
    <n v="0"/>
    <m/>
    <n v="1"/>
    <m/>
    <m/>
    <m/>
    <m/>
    <m/>
    <m/>
    <m/>
    <n v="1"/>
    <n v="1"/>
    <n v="0"/>
    <n v="0"/>
    <n v="0"/>
    <n v="0"/>
    <n v="0"/>
    <n v="0"/>
    <n v="0"/>
    <n v="1"/>
    <m/>
    <n v="1"/>
    <m/>
    <m/>
    <m/>
    <m/>
    <m/>
    <m/>
    <m/>
    <m/>
    <m/>
    <m/>
    <m/>
    <m/>
    <m/>
    <m/>
    <m/>
    <m/>
    <n v="0"/>
    <n v="0"/>
    <m/>
    <m/>
    <m/>
    <n v="521328"/>
    <n v="175496"/>
    <s v="Mortlake &amp; Barnes Common"/>
  </r>
  <r>
    <s v="22/0304/GPD26"/>
    <x v="1"/>
    <s v="PA"/>
    <d v="2022-03-24T00:00:00"/>
    <d v="2025-03-24T00:00:00"/>
    <d v="2023-01-10T00:00:00"/>
    <m/>
    <m/>
    <d v="2024-12-06T00:00:00"/>
    <x v="0"/>
    <x v="0"/>
    <m/>
    <n v="2.7068493150684931"/>
    <s v="1 to 4"/>
    <s v="Change of use from class E office to single dwellinghouse, with ground level car and cycle parking and refuse storage."/>
    <s v="Unit J1 And J2, 42 Upper Richmond Road West, East Sheen SW14 8DD"/>
    <s v="SW14 8DD"/>
    <m/>
    <m/>
    <m/>
    <m/>
    <m/>
    <m/>
    <m/>
    <m/>
    <m/>
    <n v="0"/>
    <m/>
    <m/>
    <n v="1"/>
    <m/>
    <m/>
    <m/>
    <m/>
    <m/>
    <m/>
    <n v="1"/>
    <n v="0"/>
    <n v="1"/>
    <n v="0"/>
    <n v="0"/>
    <n v="0"/>
    <n v="0"/>
    <n v="0"/>
    <n v="0"/>
    <n v="1"/>
    <m/>
    <n v="1"/>
    <m/>
    <m/>
    <m/>
    <m/>
    <m/>
    <m/>
    <m/>
    <m/>
    <m/>
    <m/>
    <m/>
    <m/>
    <m/>
    <m/>
    <m/>
    <m/>
    <n v="0"/>
    <n v="0"/>
    <m/>
    <m/>
    <m/>
    <n v="521328"/>
    <n v="175496"/>
    <s v="Mortlake &amp; Barnes Common"/>
  </r>
  <r>
    <s v="22/0487/FUL"/>
    <x v="0"/>
    <s v="FULL"/>
    <d v="2022-07-18T00:00:00"/>
    <d v="2026-08-30T00:00:00"/>
    <d v="2024-07-01T00:00:00"/>
    <s v="Y"/>
    <m/>
    <d v="2025-02-01T00:00:00"/>
    <x v="0"/>
    <x v="0"/>
    <m/>
    <n v="2.5452054794520547"/>
    <s v="1 to 4"/>
    <s v="Erection of a 3 bedroom attached dwelling.  Demolition of existing timber outbuildings."/>
    <s v="147 Haliburton Road, Twickenham TW1 1PE"/>
    <s v="TW1 1PE"/>
    <m/>
    <m/>
    <m/>
    <m/>
    <m/>
    <m/>
    <m/>
    <m/>
    <m/>
    <n v="0"/>
    <m/>
    <m/>
    <m/>
    <n v="1"/>
    <m/>
    <m/>
    <m/>
    <m/>
    <m/>
    <n v="1"/>
    <n v="0"/>
    <n v="0"/>
    <n v="1"/>
    <n v="0"/>
    <n v="0"/>
    <n v="0"/>
    <n v="0"/>
    <n v="0"/>
    <n v="1"/>
    <m/>
    <n v="1"/>
    <m/>
    <m/>
    <m/>
    <m/>
    <m/>
    <m/>
    <m/>
    <m/>
    <m/>
    <m/>
    <m/>
    <m/>
    <m/>
    <m/>
    <m/>
    <m/>
    <n v="0"/>
    <n v="0"/>
    <m/>
    <m/>
    <m/>
    <n v="516377"/>
    <n v="174907"/>
    <s v="St. Margarets &amp; North Twickenham"/>
  </r>
  <r>
    <s v="22/1453/FUL"/>
    <x v="0"/>
    <s v="FULL"/>
    <d v="2023-02-07T00:00:00"/>
    <d v="2026-02-07T00:00:00"/>
    <d v="2023-10-01T00:00:00"/>
    <m/>
    <m/>
    <d v="2025-03-31T00:00:00"/>
    <x v="0"/>
    <x v="0"/>
    <m/>
    <n v="2.1452054794520548"/>
    <s v="1 to 4"/>
    <s v="Proposed four bedroom dwelling house with full wheelchair accessibility to all levels &amp; rooms.  The proposed dwelling is to be built in the side garden of number 47 Nightingale Road."/>
    <s v="47 Nightingale Road, Hampton TW12 3HZ"/>
    <s v="TW12 3HZ"/>
    <m/>
    <m/>
    <m/>
    <m/>
    <m/>
    <m/>
    <m/>
    <m/>
    <m/>
    <n v="0"/>
    <m/>
    <m/>
    <m/>
    <m/>
    <n v="1"/>
    <m/>
    <m/>
    <m/>
    <m/>
    <n v="1"/>
    <n v="0"/>
    <n v="0"/>
    <n v="0"/>
    <n v="1"/>
    <n v="0"/>
    <n v="0"/>
    <n v="0"/>
    <n v="0"/>
    <n v="1"/>
    <m/>
    <n v="1"/>
    <m/>
    <m/>
    <m/>
    <m/>
    <m/>
    <m/>
    <m/>
    <m/>
    <m/>
    <m/>
    <m/>
    <m/>
    <m/>
    <m/>
    <m/>
    <m/>
    <n v="0"/>
    <n v="0"/>
    <m/>
    <m/>
    <m/>
    <n v="513292"/>
    <n v="170919"/>
    <s v="Hampton North"/>
  </r>
  <r>
    <s v="22/1458/FUL"/>
    <x v="0"/>
    <s v="FULL"/>
    <d v="2023-09-06T00:00:00"/>
    <d v="2026-09-06T00:00:00"/>
    <d v="2023-12-01T00:00:00"/>
    <m/>
    <m/>
    <d v="2024-11-30T00:00:00"/>
    <x v="0"/>
    <x v="0"/>
    <m/>
    <n v="1.2356164383561643"/>
    <s v="1 to 4"/>
    <s v="Erect new end-of-terrace dwelling. Part removal of ground floor rear extension on existing dwellinghouse (amended description)."/>
    <s v="57 Warwick Road, Twickenham TW2 6SW"/>
    <s v="TW2 6SW"/>
    <m/>
    <m/>
    <m/>
    <m/>
    <m/>
    <m/>
    <m/>
    <m/>
    <m/>
    <n v="0"/>
    <m/>
    <m/>
    <n v="1"/>
    <m/>
    <m/>
    <m/>
    <m/>
    <m/>
    <m/>
    <n v="1"/>
    <n v="0"/>
    <n v="1"/>
    <n v="0"/>
    <n v="0"/>
    <n v="0"/>
    <n v="0"/>
    <n v="0"/>
    <n v="0"/>
    <n v="1"/>
    <m/>
    <n v="1"/>
    <m/>
    <m/>
    <m/>
    <m/>
    <m/>
    <m/>
    <m/>
    <m/>
    <m/>
    <m/>
    <m/>
    <m/>
    <m/>
    <m/>
    <m/>
    <m/>
    <n v="0"/>
    <n v="0"/>
    <m/>
    <m/>
    <m/>
    <n v="515447"/>
    <n v="173212"/>
    <s v="South Twickenham"/>
  </r>
  <r>
    <s v="22/1568/FUL"/>
    <x v="0"/>
    <s v="FULL"/>
    <d v="2022-08-09T00:00:00"/>
    <d v="2025-08-09T00:00:00"/>
    <d v="2023-07-01T00:00:00"/>
    <m/>
    <m/>
    <d v="2024-08-29T00:00:00"/>
    <x v="0"/>
    <x v="0"/>
    <m/>
    <n v="2.0575342465753423"/>
    <s v="1 to 4"/>
    <s v="Demolition of the existing 5-bed bungalow and replacement with a 5-bed family house. Associated hard and soft landscaping. Installation of vehicular and pedestrian gate. Bike and refuse stores."/>
    <s v="Jude Gate, 35 Ham Common, Ham, Richmond TW10 7JG"/>
    <s v="TW10 7JG"/>
    <m/>
    <m/>
    <m/>
    <m/>
    <n v="1"/>
    <m/>
    <m/>
    <m/>
    <m/>
    <n v="1"/>
    <m/>
    <m/>
    <m/>
    <m/>
    <m/>
    <n v="1"/>
    <m/>
    <m/>
    <m/>
    <n v="1"/>
    <n v="0"/>
    <n v="0"/>
    <n v="0"/>
    <n v="-1"/>
    <n v="1"/>
    <n v="0"/>
    <n v="0"/>
    <n v="0"/>
    <n v="0"/>
    <m/>
    <n v="0"/>
    <m/>
    <m/>
    <m/>
    <m/>
    <m/>
    <m/>
    <m/>
    <m/>
    <m/>
    <m/>
    <m/>
    <m/>
    <m/>
    <m/>
    <m/>
    <m/>
    <n v="0"/>
    <n v="0"/>
    <m/>
    <m/>
    <m/>
    <n v="517549"/>
    <n v="172179"/>
    <s v="Ham, Petersham &amp; Richmond Riverside"/>
  </r>
  <r>
    <s v="22/1711/FUL"/>
    <x v="0"/>
    <s v="FULL"/>
    <d v="2023-04-20T00:00:00"/>
    <d v="2026-04-20T00:00:00"/>
    <d v="2023-11-01T00:00:00"/>
    <m/>
    <m/>
    <d v="2025-01-31T00:00:00"/>
    <x v="0"/>
    <x v="0"/>
    <m/>
    <n v="1.7863013698630137"/>
    <s v="1 to 4"/>
    <s v="Demolition of existing building. Erection of 2 semi-detached houses with associated landscaping, parking, and refuse/cycle storage."/>
    <s v="116A Amyand Park Road, Twickenham TW1 3HP"/>
    <s v="TW1 3HP"/>
    <m/>
    <m/>
    <m/>
    <n v="1"/>
    <m/>
    <m/>
    <m/>
    <m/>
    <m/>
    <n v="1"/>
    <m/>
    <m/>
    <m/>
    <n v="2"/>
    <m/>
    <m/>
    <m/>
    <m/>
    <m/>
    <n v="2"/>
    <n v="0"/>
    <n v="0"/>
    <n v="1"/>
    <n v="0"/>
    <n v="0"/>
    <n v="0"/>
    <n v="0"/>
    <n v="0"/>
    <n v="1"/>
    <m/>
    <n v="1"/>
    <m/>
    <m/>
    <m/>
    <m/>
    <m/>
    <m/>
    <m/>
    <m/>
    <m/>
    <m/>
    <m/>
    <m/>
    <m/>
    <m/>
    <m/>
    <m/>
    <n v="0"/>
    <n v="0"/>
    <m/>
    <m/>
    <m/>
    <n v="516560"/>
    <n v="173850"/>
    <s v="Twickenham Riverside"/>
  </r>
  <r>
    <s v="22/1742/FUL"/>
    <x v="0"/>
    <s v="FULL"/>
    <d v="2022-12-09T00:00:00"/>
    <d v="2025-12-09T00:00:00"/>
    <d v="2024-01-29T00:00:00"/>
    <m/>
    <m/>
    <d v="2025-03-31T00:00:00"/>
    <x v="0"/>
    <x v="0"/>
    <m/>
    <n v="2.3095890410958906"/>
    <s v="1 to 4"/>
    <s v="Demolition of existing building and erection of two semi-detached houses"/>
    <s v="34 Udney Park Road, Teddington TW11 9BG"/>
    <s v="TW11 9BG"/>
    <m/>
    <m/>
    <m/>
    <n v="1"/>
    <m/>
    <m/>
    <m/>
    <m/>
    <m/>
    <n v="1"/>
    <m/>
    <m/>
    <m/>
    <m/>
    <n v="2"/>
    <m/>
    <m/>
    <m/>
    <m/>
    <n v="2"/>
    <n v="0"/>
    <n v="0"/>
    <n v="-1"/>
    <n v="2"/>
    <n v="0"/>
    <n v="0"/>
    <n v="0"/>
    <n v="0"/>
    <n v="1"/>
    <m/>
    <n v="1"/>
    <m/>
    <m/>
    <m/>
    <m/>
    <m/>
    <m/>
    <m/>
    <m/>
    <m/>
    <m/>
    <m/>
    <m/>
    <m/>
    <m/>
    <m/>
    <m/>
    <n v="0"/>
    <n v="0"/>
    <m/>
    <m/>
    <m/>
    <n v="516303"/>
    <n v="170784"/>
    <s v="Teddington"/>
  </r>
  <r>
    <s v="22/2082/FUL"/>
    <x v="0"/>
    <s v="FULL"/>
    <d v="2023-01-19T00:00:00"/>
    <d v="2026-01-19T00:00:00"/>
    <d v="2023-10-23T00:00:00"/>
    <m/>
    <m/>
    <d v="2024-11-18T00:00:00"/>
    <x v="0"/>
    <x v="1"/>
    <m/>
    <n v="1.832876712328767"/>
    <s v="5 to 9"/>
    <s v="Demolition of 17 existing garages and erection of five one-bed single-storey dwellings (almshouses) for the over 65s."/>
    <s v="Garages Rear Of 20 - 34 St Marys Grove, Richmond"/>
    <s v="TW9 1UY"/>
    <m/>
    <m/>
    <m/>
    <m/>
    <m/>
    <m/>
    <m/>
    <m/>
    <m/>
    <n v="0"/>
    <s v="Y"/>
    <n v="5"/>
    <m/>
    <m/>
    <m/>
    <m/>
    <m/>
    <m/>
    <m/>
    <n v="5"/>
    <n v="5"/>
    <n v="0"/>
    <n v="0"/>
    <n v="0"/>
    <n v="0"/>
    <n v="0"/>
    <n v="0"/>
    <n v="0"/>
    <n v="5"/>
    <m/>
    <n v="5"/>
    <m/>
    <m/>
    <m/>
    <m/>
    <m/>
    <m/>
    <m/>
    <m/>
    <m/>
    <m/>
    <m/>
    <m/>
    <m/>
    <m/>
    <m/>
    <m/>
    <n v="0"/>
    <n v="0"/>
    <m/>
    <m/>
    <m/>
    <n v="518758"/>
    <n v="175172"/>
    <s v="North Richmond"/>
  </r>
  <r>
    <s v="22/2337/GPD26"/>
    <x v="4"/>
    <s v="PA"/>
    <d v="2022-09-16T00:00:00"/>
    <d v="2025-09-16T00:00:00"/>
    <d v="2024-01-16T00:00:00"/>
    <m/>
    <m/>
    <d v="2024-10-23T00:00:00"/>
    <x v="0"/>
    <x v="0"/>
    <m/>
    <n v="2.1041095890410957"/>
    <s v="1 to 4"/>
    <s v="Conversion of 3 Friars Lane to provide 2no. flats"/>
    <s v="3 Friars Lane, Richmond TW9 1NL"/>
    <s v="TW9 1NL"/>
    <m/>
    <m/>
    <m/>
    <m/>
    <m/>
    <m/>
    <m/>
    <m/>
    <m/>
    <n v="0"/>
    <m/>
    <n v="2"/>
    <m/>
    <m/>
    <m/>
    <m/>
    <m/>
    <m/>
    <m/>
    <n v="2"/>
    <n v="2"/>
    <n v="0"/>
    <n v="0"/>
    <n v="0"/>
    <n v="0"/>
    <n v="0"/>
    <n v="0"/>
    <n v="0"/>
    <n v="2"/>
    <m/>
    <n v="2"/>
    <m/>
    <m/>
    <m/>
    <m/>
    <m/>
    <m/>
    <m/>
    <m/>
    <m/>
    <m/>
    <m/>
    <m/>
    <m/>
    <m/>
    <m/>
    <m/>
    <n v="0"/>
    <n v="0"/>
    <m/>
    <m/>
    <m/>
    <n v="517628"/>
    <n v="174828"/>
    <s v="South Richmond"/>
  </r>
  <r>
    <s v="22/2338/GPD26"/>
    <x v="1"/>
    <s v="PA"/>
    <d v="2022-09-16T00:00:00"/>
    <d v="2025-09-16T00:00:00"/>
    <d v="2024-01-16T00:00:00"/>
    <m/>
    <m/>
    <d v="2024-10-23T00:00:00"/>
    <x v="0"/>
    <x v="0"/>
    <m/>
    <n v="2.1041095890410957"/>
    <s v="1 to 4"/>
    <s v="Conversion of part of 4 Friars Lane to provide 1no. flat"/>
    <s v="4 Friars Lane, Richmond TW9 1NL"/>
    <s v="TW9 1NL"/>
    <m/>
    <m/>
    <m/>
    <m/>
    <m/>
    <m/>
    <m/>
    <m/>
    <m/>
    <n v="0"/>
    <m/>
    <n v="1"/>
    <m/>
    <m/>
    <m/>
    <m/>
    <m/>
    <m/>
    <m/>
    <n v="1"/>
    <n v="1"/>
    <n v="0"/>
    <n v="0"/>
    <n v="0"/>
    <n v="0"/>
    <n v="0"/>
    <n v="0"/>
    <n v="0"/>
    <n v="1"/>
    <m/>
    <n v="1"/>
    <m/>
    <m/>
    <m/>
    <m/>
    <m/>
    <m/>
    <m/>
    <m/>
    <m/>
    <m/>
    <m/>
    <m/>
    <m/>
    <m/>
    <m/>
    <m/>
    <n v="0"/>
    <n v="0"/>
    <m/>
    <m/>
    <m/>
    <n v="517621"/>
    <n v="174819"/>
    <s v="South Richmond"/>
  </r>
  <r>
    <s v="22/2628/FUL"/>
    <x v="4"/>
    <s v="FULL"/>
    <d v="2022-11-16T00:00:00"/>
    <d v="2025-11-16T00:00:00"/>
    <d v="2023-01-09T00:00:00"/>
    <m/>
    <m/>
    <d v="2025-03-11T00:00:00"/>
    <x v="0"/>
    <x v="0"/>
    <m/>
    <n v="2.3178082191780822"/>
    <s v="1 to 4"/>
    <s v="New single storey side extension, new verandah roof, replacement fenestration to all elevations, new rooflights to existing rear extension, new roof dormers and associated landscaping to facilitate the conversion of existing 2 properties into 1 dwellinghouse"/>
    <s v="174 Kew Road, Kew, Richmond TW9 2AS"/>
    <s v="TW9 2AS"/>
    <m/>
    <m/>
    <m/>
    <n v="1"/>
    <m/>
    <n v="1"/>
    <m/>
    <m/>
    <m/>
    <n v="2"/>
    <m/>
    <m/>
    <m/>
    <m/>
    <m/>
    <m/>
    <m/>
    <m/>
    <n v="1"/>
    <n v="1"/>
    <n v="0"/>
    <n v="0"/>
    <n v="-1"/>
    <n v="0"/>
    <n v="-1"/>
    <n v="0"/>
    <n v="0"/>
    <n v="1"/>
    <n v="-1"/>
    <m/>
    <n v="-1"/>
    <m/>
    <m/>
    <m/>
    <m/>
    <m/>
    <m/>
    <m/>
    <m/>
    <m/>
    <m/>
    <m/>
    <m/>
    <m/>
    <m/>
    <m/>
    <m/>
    <n v="0"/>
    <n v="0"/>
    <m/>
    <m/>
    <m/>
    <n v="518652"/>
    <n v="175923"/>
    <s v="North Richmond"/>
  </r>
  <r>
    <s v="22/3002/GPD26"/>
    <x v="1"/>
    <s v="PA"/>
    <d v="2022-11-28T00:00:00"/>
    <d v="2025-11-20T00:00:00"/>
    <d v="2024-01-16T00:00:00"/>
    <m/>
    <m/>
    <d v="2024-10-23T00:00:00"/>
    <x v="0"/>
    <x v="0"/>
    <m/>
    <n v="1.904109589041096"/>
    <s v="1 to 4"/>
    <s v="Conversion of offices on ground floor (Class E Use) to 1no. residential dwelling (Class C3 Use)"/>
    <s v="Friars Way, The Green, Richmond TW9 1NQ"/>
    <s v="TW9 1NQ"/>
    <m/>
    <m/>
    <m/>
    <m/>
    <m/>
    <m/>
    <m/>
    <m/>
    <m/>
    <n v="0"/>
    <m/>
    <n v="1"/>
    <m/>
    <m/>
    <m/>
    <m/>
    <m/>
    <m/>
    <m/>
    <n v="1"/>
    <n v="1"/>
    <n v="0"/>
    <n v="0"/>
    <n v="0"/>
    <n v="0"/>
    <n v="0"/>
    <n v="0"/>
    <n v="0"/>
    <n v="1"/>
    <m/>
    <n v="1"/>
    <m/>
    <m/>
    <m/>
    <m/>
    <m/>
    <m/>
    <m/>
    <m/>
    <m/>
    <m/>
    <m/>
    <m/>
    <m/>
    <m/>
    <m/>
    <m/>
    <n v="0"/>
    <n v="0"/>
    <m/>
    <m/>
    <m/>
    <n v="517638"/>
    <n v="174846"/>
    <s v="South Richmond"/>
  </r>
  <r>
    <s v="22/3061/FUL"/>
    <x v="2"/>
    <s v="FULL"/>
    <d v="2024-03-01T00:00:00"/>
    <d v="2027-03-01T00:00:00"/>
    <d v="2024-07-01T00:00:00"/>
    <s v="Y"/>
    <m/>
    <d v="2025-03-31T00:00:00"/>
    <x v="0"/>
    <x v="0"/>
    <m/>
    <n v="1.0821917808219179"/>
    <s v="1 to 4"/>
    <s v="Additional storey to add two single bed dwellings"/>
    <s v="118A - 118B High Street, Hampton Hill, Hampton TW12 1NT"/>
    <s v="TW12 1NT"/>
    <m/>
    <m/>
    <m/>
    <m/>
    <m/>
    <m/>
    <m/>
    <m/>
    <m/>
    <n v="0"/>
    <m/>
    <n v="2"/>
    <m/>
    <m/>
    <m/>
    <m/>
    <m/>
    <m/>
    <m/>
    <n v="2"/>
    <n v="2"/>
    <n v="0"/>
    <n v="0"/>
    <n v="0"/>
    <n v="0"/>
    <n v="0"/>
    <n v="0"/>
    <n v="0"/>
    <n v="2"/>
    <m/>
    <n v="2"/>
    <m/>
    <m/>
    <m/>
    <m/>
    <m/>
    <m/>
    <m/>
    <m/>
    <m/>
    <m/>
    <m/>
    <m/>
    <m/>
    <m/>
    <m/>
    <m/>
    <n v="0"/>
    <n v="0"/>
    <m/>
    <m/>
    <m/>
    <n v="514515"/>
    <n v="171261"/>
    <s v="Fulwell &amp; Hampton Hill"/>
  </r>
  <r>
    <s v="22/3626/GPD26"/>
    <x v="1"/>
    <s v="PA"/>
    <d v="2023-01-26T00:00:00"/>
    <d v="2026-01-26T00:00:00"/>
    <d v="2024-01-16T00:00:00"/>
    <m/>
    <m/>
    <d v="2024-10-23T00:00:00"/>
    <x v="0"/>
    <x v="0"/>
    <m/>
    <n v="1.7424657534246575"/>
    <s v="1 to 4"/>
    <s v="Conversion of first and second floor office accommodation to provide 2no. flats"/>
    <s v="2 Friars Lane, Richmond TW9 1NL"/>
    <s v="TW9 1NL"/>
    <m/>
    <m/>
    <m/>
    <m/>
    <m/>
    <m/>
    <m/>
    <m/>
    <m/>
    <n v="0"/>
    <m/>
    <n v="2"/>
    <m/>
    <m/>
    <m/>
    <m/>
    <m/>
    <m/>
    <m/>
    <n v="2"/>
    <n v="2"/>
    <n v="0"/>
    <n v="0"/>
    <n v="0"/>
    <n v="0"/>
    <n v="0"/>
    <n v="0"/>
    <n v="0"/>
    <n v="2"/>
    <m/>
    <n v="2"/>
    <m/>
    <m/>
    <m/>
    <m/>
    <m/>
    <m/>
    <m/>
    <m/>
    <m/>
    <m/>
    <m/>
    <m/>
    <m/>
    <m/>
    <m/>
    <m/>
    <n v="0"/>
    <n v="0"/>
    <m/>
    <m/>
    <m/>
    <n v="517631"/>
    <n v="174833"/>
    <s v="South Richmond"/>
  </r>
  <r>
    <s v="23/0253/GPD26"/>
    <x v="1"/>
    <s v="PA"/>
    <d v="2023-03-13T00:00:00"/>
    <d v="2026-03-13T00:00:00"/>
    <d v="2024-01-08T00:00:00"/>
    <m/>
    <m/>
    <d v="2024-07-30T00:00:00"/>
    <x v="0"/>
    <x v="0"/>
    <m/>
    <n v="1.3835616438356164"/>
    <s v="1 to 4"/>
    <s v="Conversion of first floor to two self-contained residential flats"/>
    <s v="26A York Street, Twickenham TW1 3LJ"/>
    <s v="TW1 3LJ"/>
    <m/>
    <m/>
    <m/>
    <m/>
    <m/>
    <m/>
    <m/>
    <m/>
    <m/>
    <n v="0"/>
    <m/>
    <n v="2"/>
    <m/>
    <m/>
    <m/>
    <m/>
    <m/>
    <m/>
    <m/>
    <n v="2"/>
    <n v="2"/>
    <n v="0"/>
    <n v="0"/>
    <n v="0"/>
    <n v="0"/>
    <n v="0"/>
    <n v="0"/>
    <n v="0"/>
    <n v="2"/>
    <m/>
    <n v="2"/>
    <m/>
    <m/>
    <m/>
    <m/>
    <m/>
    <m/>
    <m/>
    <m/>
    <m/>
    <m/>
    <m/>
    <m/>
    <m/>
    <m/>
    <m/>
    <m/>
    <n v="0"/>
    <n v="0"/>
    <m/>
    <m/>
    <m/>
    <n v="516335"/>
    <n v="173355"/>
    <s v="Twickenham Riverside"/>
  </r>
  <r>
    <s v="23/0399/FUL"/>
    <x v="0"/>
    <s v="FULL"/>
    <d v="2023-03-28T00:00:00"/>
    <d v="2024-09-30T00:00:00"/>
    <d v="2023-11-01T00:00:00"/>
    <m/>
    <m/>
    <d v="2024-12-01T00:00:00"/>
    <x v="0"/>
    <x v="0"/>
    <m/>
    <n v="1.6821917808219178"/>
    <s v="1 to 4"/>
    <s v="Demolition of the Existing house and outbuildings and replacement with a Single Family Dwelling"/>
    <s v="19 Nylands Avenue, Kew, Richmond TW9 4HH"/>
    <s v="TW9 4HH"/>
    <m/>
    <m/>
    <m/>
    <m/>
    <m/>
    <n v="1"/>
    <m/>
    <m/>
    <m/>
    <n v="1"/>
    <m/>
    <m/>
    <m/>
    <m/>
    <m/>
    <m/>
    <n v="1"/>
    <m/>
    <m/>
    <n v="1"/>
    <n v="0"/>
    <n v="0"/>
    <n v="0"/>
    <n v="0"/>
    <n v="-1"/>
    <n v="1"/>
    <n v="0"/>
    <n v="0"/>
    <n v="0"/>
    <m/>
    <n v="0"/>
    <m/>
    <m/>
    <m/>
    <m/>
    <m/>
    <m/>
    <m/>
    <m/>
    <m/>
    <m/>
    <m/>
    <m/>
    <m/>
    <m/>
    <m/>
    <m/>
    <n v="0"/>
    <n v="0"/>
    <m/>
    <m/>
    <m/>
    <n v="519305"/>
    <n v="176468"/>
    <s v="Kew"/>
  </r>
  <r>
    <s v="23/0679/FUL"/>
    <x v="1"/>
    <s v="FULL"/>
    <d v="2023-06-23T00:00:00"/>
    <d v="2026-06-23T00:00:00"/>
    <d v="2023-11-27T00:00:00"/>
    <m/>
    <m/>
    <d v="2024-05-29T00:00:00"/>
    <x v="0"/>
    <x v="0"/>
    <m/>
    <n v="0.9342465753424658"/>
    <s v="1 to 4"/>
    <s v="Reversion of 2 bedroom flat, converted in 1990s, back to use as part of Park Lane Stables to accommodate DDA compliant w.c., counselling room, reception area and stable for 'Cuddle Horse' and associated works to improve accessibility and usability. Change"/>
    <s v="Park Lane Stables, Park Lane, Teddington TW11 0HY"/>
    <s v="TW11 0HY"/>
    <m/>
    <m/>
    <n v="1"/>
    <m/>
    <m/>
    <m/>
    <m/>
    <m/>
    <m/>
    <n v="1"/>
    <m/>
    <m/>
    <m/>
    <m/>
    <m/>
    <m/>
    <m/>
    <m/>
    <m/>
    <n v="0"/>
    <n v="0"/>
    <n v="-1"/>
    <n v="0"/>
    <n v="0"/>
    <n v="0"/>
    <n v="0"/>
    <n v="0"/>
    <n v="0"/>
    <n v="-1"/>
    <m/>
    <n v="-1"/>
    <m/>
    <m/>
    <m/>
    <m/>
    <m/>
    <m/>
    <m/>
    <m/>
    <m/>
    <m/>
    <m/>
    <m/>
    <m/>
    <m/>
    <m/>
    <m/>
    <n v="0"/>
    <n v="0"/>
    <m/>
    <m/>
    <m/>
    <n v="515689"/>
    <n v="170740"/>
    <s v="Teddington"/>
  </r>
  <r>
    <s v="23/0977/FUL"/>
    <x v="4"/>
    <s v="FULL"/>
    <d v="2024-01-24T00:00:00"/>
    <d v="2027-01-24T00:00:00"/>
    <d v="2024-04-01T00:00:00"/>
    <s v="Y"/>
    <m/>
    <d v="2024-12-31T00:00:00"/>
    <x v="0"/>
    <x v="0"/>
    <m/>
    <n v="0.93698630136986305"/>
    <s v="1 to 4"/>
    <s v="Proposed flat conversion to split into 2, 2-bed flats."/>
    <s v="148A Heath Road, Twickenham TW1 4BN"/>
    <s v="TW1 4BN"/>
    <m/>
    <m/>
    <m/>
    <m/>
    <n v="1"/>
    <m/>
    <m/>
    <m/>
    <m/>
    <n v="1"/>
    <m/>
    <m/>
    <n v="2"/>
    <m/>
    <m/>
    <m/>
    <m/>
    <m/>
    <m/>
    <n v="2"/>
    <n v="0"/>
    <n v="2"/>
    <n v="0"/>
    <n v="-1"/>
    <n v="0"/>
    <n v="0"/>
    <n v="0"/>
    <n v="0"/>
    <n v="1"/>
    <m/>
    <n v="1"/>
    <m/>
    <m/>
    <m/>
    <m/>
    <m/>
    <m/>
    <m/>
    <m/>
    <m/>
    <m/>
    <m/>
    <m/>
    <m/>
    <m/>
    <m/>
    <m/>
    <n v="0"/>
    <n v="0"/>
    <m/>
    <m/>
    <m/>
    <n v="515669"/>
    <n v="173146"/>
    <s v="South Twickenham"/>
  </r>
  <r>
    <s v="23/1118/FUL"/>
    <x v="1"/>
    <s v="FULL"/>
    <d v="2023-08-17T00:00:00"/>
    <d v="2026-08-17T00:00:00"/>
    <d v="2024-03-18T00:00:00"/>
    <m/>
    <m/>
    <d v="2024-10-23T00:00:00"/>
    <x v="0"/>
    <x v="0"/>
    <m/>
    <n v="1.1863013698630136"/>
    <s v="1 to 4"/>
    <s v="Conversion of redundant garage to 1bedroom flat with associated external alterations together with the provision of bin and cycle storage."/>
    <s v="2 Friars Lane, Richmond TW9 1NL"/>
    <s v="TW9 1NL"/>
    <m/>
    <m/>
    <m/>
    <m/>
    <m/>
    <m/>
    <m/>
    <m/>
    <m/>
    <n v="0"/>
    <m/>
    <n v="1"/>
    <m/>
    <m/>
    <m/>
    <m/>
    <m/>
    <m/>
    <m/>
    <n v="1"/>
    <n v="1"/>
    <n v="0"/>
    <n v="0"/>
    <n v="0"/>
    <n v="0"/>
    <n v="0"/>
    <n v="0"/>
    <n v="0"/>
    <n v="1"/>
    <m/>
    <n v="1"/>
    <m/>
    <m/>
    <m/>
    <m/>
    <m/>
    <m/>
    <m/>
    <m/>
    <m/>
    <m/>
    <m/>
    <m/>
    <m/>
    <m/>
    <m/>
    <m/>
    <n v="0"/>
    <n v="0"/>
    <m/>
    <m/>
    <m/>
    <n v="517631"/>
    <n v="174833"/>
    <s v="South Richmond"/>
  </r>
  <r>
    <s v="23/1471/GPD26"/>
    <x v="1"/>
    <s v="PA"/>
    <d v="2023-07-17T00:00:00"/>
    <d v="2026-07-17T00:00:00"/>
    <d v="2023-07-17T00:00:00"/>
    <m/>
    <m/>
    <d v="2025-03-31T00:00:00"/>
    <x v="0"/>
    <x v="0"/>
    <m/>
    <n v="1.7068493150684931"/>
    <s v="5 to 9"/>
    <s v="Change of use and addition of mezzanine floor to create 5 residential units"/>
    <s v="12 Park Road, Hampton Wick KT1 4AS"/>
    <s v="KT1 4AS"/>
    <m/>
    <m/>
    <m/>
    <m/>
    <m/>
    <m/>
    <m/>
    <m/>
    <m/>
    <n v="0"/>
    <m/>
    <n v="4"/>
    <n v="1"/>
    <m/>
    <m/>
    <m/>
    <m/>
    <m/>
    <m/>
    <n v="5"/>
    <n v="4"/>
    <n v="1"/>
    <n v="0"/>
    <n v="0"/>
    <n v="0"/>
    <n v="0"/>
    <n v="0"/>
    <n v="0"/>
    <n v="5"/>
    <m/>
    <n v="5"/>
    <m/>
    <m/>
    <m/>
    <m/>
    <m/>
    <m/>
    <m/>
    <m/>
    <m/>
    <m/>
    <m/>
    <m/>
    <m/>
    <m/>
    <m/>
    <m/>
    <n v="0"/>
    <n v="0"/>
    <m/>
    <m/>
    <m/>
    <n v="517458"/>
    <n v="169588"/>
    <s v="Hampton Wick &amp; South Teddington"/>
  </r>
  <r>
    <s v="23/1495/GPD26"/>
    <x v="1"/>
    <s v="PA"/>
    <d v="2023-07-24T00:00:00"/>
    <d v="2026-07-24T00:00:00"/>
    <d v="2024-02-01T00:00:00"/>
    <m/>
    <m/>
    <d v="2024-08-29T00:00:00"/>
    <x v="0"/>
    <x v="0"/>
    <m/>
    <n v="1.1013698630136985"/>
    <s v="1 to 4"/>
    <s v="Prior approval for change of use from Commercial, Business and Service (Use Class E) to Dwellinghouses (Use Class C3) to form 3 dwellings."/>
    <s v="25 Church Road, Teddington TW11 8PF"/>
    <s v="TW11 8PF"/>
    <m/>
    <m/>
    <m/>
    <m/>
    <m/>
    <m/>
    <m/>
    <m/>
    <m/>
    <n v="0"/>
    <m/>
    <n v="2"/>
    <n v="1"/>
    <m/>
    <m/>
    <m/>
    <m/>
    <m/>
    <m/>
    <n v="3"/>
    <n v="2"/>
    <n v="1"/>
    <n v="0"/>
    <n v="0"/>
    <n v="0"/>
    <n v="0"/>
    <n v="0"/>
    <n v="0"/>
    <n v="3"/>
    <m/>
    <n v="3"/>
    <m/>
    <m/>
    <m/>
    <m/>
    <m/>
    <m/>
    <m/>
    <m/>
    <m/>
    <m/>
    <m/>
    <m/>
    <m/>
    <m/>
    <m/>
    <m/>
    <n v="0"/>
    <n v="0"/>
    <m/>
    <m/>
    <m/>
    <n v="515664"/>
    <n v="171121"/>
    <s v="Teddington"/>
  </r>
  <r>
    <s v="23/1643/PS192"/>
    <x v="1"/>
    <s v="S192"/>
    <d v="2023-10-12T00:00:00"/>
    <d v="2026-10-12T00:00:00"/>
    <d v="2024-02-01T00:00:00"/>
    <m/>
    <m/>
    <d v="2024-05-28T00:00:00"/>
    <x v="0"/>
    <x v="0"/>
    <m/>
    <n v="0.62739726027397258"/>
    <s v="1 to 4"/>
    <s v="Change of use from C3 Dwellinghouse to C4 House in multiple Occupation."/>
    <s v="3 Redfern Avenue, Whitton TW4 5NA"/>
    <s v="TW4 5NA"/>
    <m/>
    <m/>
    <m/>
    <n v="1"/>
    <m/>
    <m/>
    <m/>
    <m/>
    <m/>
    <n v="1"/>
    <m/>
    <m/>
    <m/>
    <n v="1"/>
    <m/>
    <m/>
    <m/>
    <m/>
    <m/>
    <n v="1"/>
    <n v="0"/>
    <n v="0"/>
    <n v="0"/>
    <n v="0"/>
    <n v="0"/>
    <n v="0"/>
    <n v="0"/>
    <n v="0"/>
    <n v="0"/>
    <m/>
    <n v="0"/>
    <m/>
    <m/>
    <m/>
    <m/>
    <m/>
    <m/>
    <m/>
    <m/>
    <m/>
    <m/>
    <m/>
    <m/>
    <m/>
    <m/>
    <m/>
    <m/>
    <n v="0"/>
    <n v="0"/>
    <m/>
    <m/>
    <s v="Y"/>
    <n v="513121"/>
    <n v="173691"/>
    <s v="Heathfield"/>
  </r>
  <r>
    <s v="23/1658/GPD26"/>
    <x v="1"/>
    <s v="PA"/>
    <d v="2023-08-07T00:00:00"/>
    <d v="2026-08-07T00:00:00"/>
    <d v="2024-07-22T00:00:00"/>
    <s v="Y"/>
    <m/>
    <d v="2025-03-01T00:00:00"/>
    <x v="0"/>
    <x v="0"/>
    <m/>
    <n v="1.5671232876712329"/>
    <s v="1 to 4"/>
    <s v="Conversion of ground floor commercial unit (class E use) to a residential dwelling (class C3 use)."/>
    <s v="66 Hampton Road, Twickenham TW2 5QB"/>
    <s v="TW2 5QB"/>
    <m/>
    <m/>
    <m/>
    <m/>
    <m/>
    <m/>
    <m/>
    <m/>
    <m/>
    <n v="0"/>
    <m/>
    <m/>
    <n v="1"/>
    <m/>
    <m/>
    <m/>
    <m/>
    <m/>
    <m/>
    <n v="1"/>
    <n v="0"/>
    <n v="1"/>
    <n v="0"/>
    <n v="0"/>
    <n v="0"/>
    <n v="0"/>
    <n v="0"/>
    <n v="0"/>
    <n v="1"/>
    <m/>
    <n v="1"/>
    <m/>
    <m/>
    <m/>
    <m/>
    <m/>
    <m/>
    <m/>
    <m/>
    <m/>
    <m/>
    <m/>
    <m/>
    <m/>
    <m/>
    <m/>
    <m/>
    <n v="0"/>
    <n v="0"/>
    <m/>
    <m/>
    <m/>
    <n v="515085"/>
    <n v="172681"/>
    <s v="West Twickenham"/>
  </r>
  <r>
    <s v="23/1863/GPD26"/>
    <x v="1"/>
    <s v="PA"/>
    <d v="2023-08-29T00:00:00"/>
    <d v="2026-08-29T00:00:00"/>
    <d v="2024-02-01T00:00:00"/>
    <m/>
    <m/>
    <d v="2024-08-29T00:00:00"/>
    <x v="0"/>
    <x v="0"/>
    <m/>
    <n v="1.0027397260273974"/>
    <s v="1 to 4"/>
    <s v="Prior approval under The Town and Country Planning (General Permitted Development etc.) (England) (Amendment) Order 2021 Under Part 3, Schedule 2, Class MA for a change of use of a building and any land within its curtilage from a use falling within E to form 4 dwellings."/>
    <s v="25 Church Road, Teddington TW11 8PF"/>
    <s v="TW11 8PF"/>
    <m/>
    <m/>
    <m/>
    <m/>
    <m/>
    <m/>
    <m/>
    <m/>
    <m/>
    <n v="0"/>
    <m/>
    <n v="4"/>
    <m/>
    <m/>
    <m/>
    <m/>
    <m/>
    <m/>
    <m/>
    <n v="4"/>
    <n v="4"/>
    <n v="0"/>
    <n v="0"/>
    <n v="0"/>
    <n v="0"/>
    <n v="0"/>
    <n v="0"/>
    <n v="0"/>
    <n v="4"/>
    <m/>
    <n v="4"/>
    <m/>
    <m/>
    <m/>
    <m/>
    <m/>
    <m/>
    <m/>
    <m/>
    <m/>
    <m/>
    <m/>
    <m/>
    <m/>
    <m/>
    <m/>
    <m/>
    <n v="0"/>
    <n v="0"/>
    <m/>
    <m/>
    <m/>
    <n v="515664"/>
    <n v="171121"/>
    <s v="Teddington"/>
  </r>
  <r>
    <s v="23/1865/GPD26"/>
    <x v="1"/>
    <s v="PA"/>
    <d v="2023-08-29T00:00:00"/>
    <d v="2026-08-29T00:00:00"/>
    <d v="2024-02-01T00:00:00"/>
    <m/>
    <m/>
    <d v="2024-08-29T00:00:00"/>
    <x v="0"/>
    <x v="0"/>
    <m/>
    <n v="1.0027397260273974"/>
    <s v="1 to 4"/>
    <s v="Prior approval under The Town and Country Planning (General Permitted Development etc.) (England) (Amendment) Order 2021 Under Part 3, Schedule 2, Class MA for a change of use of a building and any land within its curtilage from a use falling within E to form 1 dwelling."/>
    <s v="25 Church Road, Teddington TW11 8PF"/>
    <s v="TW11 8PF"/>
    <m/>
    <m/>
    <m/>
    <m/>
    <m/>
    <m/>
    <m/>
    <m/>
    <m/>
    <n v="0"/>
    <m/>
    <n v="1"/>
    <m/>
    <m/>
    <m/>
    <m/>
    <m/>
    <m/>
    <m/>
    <n v="1"/>
    <n v="1"/>
    <n v="0"/>
    <n v="0"/>
    <n v="0"/>
    <n v="0"/>
    <n v="0"/>
    <n v="0"/>
    <n v="0"/>
    <n v="1"/>
    <m/>
    <n v="1"/>
    <m/>
    <m/>
    <m/>
    <m/>
    <m/>
    <m/>
    <m/>
    <m/>
    <m/>
    <m/>
    <m/>
    <m/>
    <m/>
    <m/>
    <m/>
    <m/>
    <n v="0"/>
    <n v="0"/>
    <m/>
    <m/>
    <m/>
    <n v="515664"/>
    <n v="171121"/>
    <s v="Teddington"/>
  </r>
  <r>
    <s v="23/2304/FUL"/>
    <x v="1"/>
    <s v="FULL"/>
    <d v="2024-04-23T00:00:00"/>
    <d v="2027-04-23T00:00:00"/>
    <d v="2024-06-03T00:00:00"/>
    <s v="Y"/>
    <s v="Y"/>
    <d v="2025-03-31T00:00:00"/>
    <x v="0"/>
    <x v="0"/>
    <m/>
    <n v="0.93698630136986305"/>
    <s v="1 to 4"/>
    <s v="Change of use to two self-contained units including single storey rear extension with associated landscaping and cycle and refuse stores (resubmission)"/>
    <s v="173 Percy Road, Hampton TW12 2JN"/>
    <s v="TW12 2JN"/>
    <m/>
    <m/>
    <m/>
    <m/>
    <m/>
    <m/>
    <m/>
    <m/>
    <m/>
    <n v="0"/>
    <m/>
    <m/>
    <n v="1"/>
    <m/>
    <m/>
    <m/>
    <m/>
    <m/>
    <m/>
    <n v="1"/>
    <n v="0"/>
    <n v="1"/>
    <n v="0"/>
    <n v="0"/>
    <n v="0"/>
    <n v="0"/>
    <n v="0"/>
    <n v="0"/>
    <n v="1"/>
    <m/>
    <n v="1"/>
    <m/>
    <m/>
    <m/>
    <m/>
    <m/>
    <m/>
    <m/>
    <m/>
    <m/>
    <m/>
    <m/>
    <m/>
    <m/>
    <m/>
    <m/>
    <m/>
    <n v="0"/>
    <n v="0"/>
    <m/>
    <m/>
    <m/>
    <n v="513028"/>
    <n v="170481"/>
    <s v="Hampton"/>
  </r>
  <r>
    <s v="23/2729/FUL"/>
    <x v="4"/>
    <s v="FULL"/>
    <d v="2024-03-08T00:00:00"/>
    <d v="2027-03-08T00:00:00"/>
    <d v="2024-02-08T00:00:00"/>
    <m/>
    <m/>
    <d v="2024-09-27T00:00:00"/>
    <x v="0"/>
    <x v="0"/>
    <m/>
    <n v="0.55616438356164388"/>
    <s v="1 to 4"/>
    <s v="Proposed amalgamation of the first floor studio flat and second floor x1 bedroom self contained flats to form 1 x 2-bedroom self contained flat."/>
    <s v="53 St Margarets Road, Twickenham TW1 2LL"/>
    <s v="TW1 2LL"/>
    <m/>
    <n v="2"/>
    <m/>
    <m/>
    <m/>
    <m/>
    <m/>
    <m/>
    <m/>
    <n v="2"/>
    <m/>
    <m/>
    <n v="1"/>
    <m/>
    <m/>
    <m/>
    <m/>
    <m/>
    <m/>
    <n v="1"/>
    <n v="-2"/>
    <n v="1"/>
    <n v="0"/>
    <n v="0"/>
    <n v="0"/>
    <n v="0"/>
    <n v="0"/>
    <n v="0"/>
    <n v="-1"/>
    <m/>
    <n v="-1"/>
    <m/>
    <m/>
    <m/>
    <m/>
    <m/>
    <m/>
    <m/>
    <m/>
    <m/>
    <m/>
    <m/>
    <m/>
    <m/>
    <m/>
    <m/>
    <m/>
    <n v="0"/>
    <n v="0"/>
    <m/>
    <m/>
    <m/>
    <n v="517170"/>
    <n v="174144"/>
    <s v="Twickenham Riverside"/>
  </r>
  <r>
    <s v="24/0247/ES191"/>
    <x v="4"/>
    <s v="ES191"/>
    <d v="2024-06-26T00:00:00"/>
    <d v="2027-06-26T00:00:00"/>
    <d v="2024-06-26T00:00:00"/>
    <s v="Y"/>
    <s v="Y"/>
    <d v="2024-06-26T00:00:00"/>
    <x v="0"/>
    <x v="0"/>
    <m/>
    <n v="0"/>
    <s v="1 to 4"/>
    <s v="Existing use of the property at 560 Hanworth Road, Hounslow TW4 5LH as 3 self-contained units to include the Ground Floor Flat known as 560 Hanworth, First Floor Front Flat known as 560B Hanworth and First Floor Rear Flat known as 560A Hanworth. Existing development at 560 Hanworth Road and 560A Hanworth comprising a two-storey rear extension."/>
    <s v="560 Hanworth Road, Whitton"/>
    <s v="TW4 5LH"/>
    <m/>
    <m/>
    <n v="1"/>
    <n v="1"/>
    <m/>
    <m/>
    <m/>
    <m/>
    <m/>
    <n v="2"/>
    <m/>
    <n v="1"/>
    <n v="1"/>
    <n v="1"/>
    <m/>
    <m/>
    <m/>
    <m/>
    <m/>
    <n v="3"/>
    <n v="1"/>
    <n v="0"/>
    <n v="0"/>
    <n v="0"/>
    <n v="0"/>
    <n v="0"/>
    <n v="0"/>
    <n v="0"/>
    <n v="1"/>
    <m/>
    <n v="1"/>
    <m/>
    <m/>
    <m/>
    <m/>
    <m/>
    <m/>
    <m/>
    <m/>
    <m/>
    <m/>
    <m/>
    <m/>
    <m/>
    <m/>
    <m/>
    <m/>
    <n v="0"/>
    <n v="0"/>
    <m/>
    <m/>
    <m/>
    <n v="513041"/>
    <n v="174128"/>
    <s v="Heathfield"/>
  </r>
  <r>
    <s v="24/0504/ES191"/>
    <x v="4"/>
    <s v="ES191"/>
    <d v="2024-04-12T00:00:00"/>
    <d v="2027-04-12T00:00:00"/>
    <d v="2024-04-12T00:00:00"/>
    <s v="Y"/>
    <s v="Y"/>
    <d v="2024-04-12T00:00:00"/>
    <x v="0"/>
    <x v="0"/>
    <m/>
    <n v="0"/>
    <s v="1 to 4"/>
    <s v="Use of Property comprising a lower ground floor (formerly no. 65A/Flat 1) and upper ground floor (formerly no. 65B/Flat 2) complete with garden/curtilage areas, as a single dwellinghouse within Use Class C3."/>
    <s v="65A St Margarets Road, Twickenham"/>
    <s v="TW1 2LL"/>
    <m/>
    <m/>
    <n v="2"/>
    <m/>
    <m/>
    <m/>
    <m/>
    <m/>
    <m/>
    <n v="2"/>
    <m/>
    <m/>
    <m/>
    <n v="1"/>
    <m/>
    <m/>
    <m/>
    <m/>
    <m/>
    <n v="1"/>
    <n v="0"/>
    <n v="-2"/>
    <n v="1"/>
    <n v="0"/>
    <n v="0"/>
    <n v="0"/>
    <n v="0"/>
    <n v="0"/>
    <n v="-1"/>
    <m/>
    <n v="-1"/>
    <m/>
    <m/>
    <m/>
    <m/>
    <m/>
    <m/>
    <m/>
    <m/>
    <m/>
    <m/>
    <m/>
    <m/>
    <m/>
    <m/>
    <m/>
    <m/>
    <n v="0"/>
    <n v="0"/>
    <m/>
    <m/>
    <m/>
    <n v="517137"/>
    <n v="174138"/>
    <s v="Twickenham Riverside"/>
  </r>
  <r>
    <s v="24/0614/ES191"/>
    <x v="4"/>
    <s v="ES191"/>
    <d v="2024-04-17T00:00:00"/>
    <d v="2027-04-17T00:00:00"/>
    <d v="2024-04-17T00:00:00"/>
    <s v="Y"/>
    <s v="Y"/>
    <d v="2024-04-17T00:00:00"/>
    <x v="0"/>
    <x v="0"/>
    <m/>
    <n v="0"/>
    <s v="1 to 4"/>
    <s v="Establish lawful use as a single dwellinghouse."/>
    <s v="25 Norman Avenue, Twickenham TW1 2LY"/>
    <s v="TW1 2LY"/>
    <m/>
    <m/>
    <n v="1"/>
    <n v="1"/>
    <m/>
    <m/>
    <m/>
    <m/>
    <m/>
    <n v="2"/>
    <m/>
    <m/>
    <m/>
    <m/>
    <n v="1"/>
    <m/>
    <m/>
    <m/>
    <m/>
    <n v="1"/>
    <n v="0"/>
    <n v="-1"/>
    <n v="-1"/>
    <n v="1"/>
    <n v="0"/>
    <n v="0"/>
    <n v="0"/>
    <n v="0"/>
    <n v="-1"/>
    <m/>
    <n v="-1"/>
    <m/>
    <m/>
    <m/>
    <m/>
    <m/>
    <m/>
    <m/>
    <m/>
    <m/>
    <m/>
    <m/>
    <m/>
    <m/>
    <m/>
    <m/>
    <m/>
    <n v="0"/>
    <n v="0"/>
    <m/>
    <m/>
    <m/>
    <n v="517043"/>
    <n v="173946"/>
    <s v="Twickenham Riverside"/>
  </r>
  <r>
    <s v="24/0846/GPD24"/>
    <x v="1"/>
    <s v="PA"/>
    <d v="2024-06-03T00:00:00"/>
    <d v="2027-06-03T00:00:00"/>
    <d v="2024-08-01T00:00:00"/>
    <s v="Y"/>
    <s v="Y"/>
    <d v="2025-03-31T00:00:00"/>
    <x v="0"/>
    <x v="0"/>
    <m/>
    <n v="0.8246575342465754"/>
    <s v="1 to 4"/>
    <s v="Change of use from Class E (commercial, business and service) to Mixed Use Class E (commercial, business and service) and Class C3 (dwellinghouses) to provide 1x self-contained dwelling."/>
    <s v="91 Sheen Road, Richmond TW9 1YJ"/>
    <s v="TW9 1YJ"/>
    <m/>
    <m/>
    <m/>
    <m/>
    <m/>
    <m/>
    <m/>
    <m/>
    <m/>
    <n v="0"/>
    <m/>
    <n v="1"/>
    <m/>
    <m/>
    <m/>
    <m/>
    <m/>
    <m/>
    <m/>
    <n v="1"/>
    <n v="1"/>
    <n v="0"/>
    <n v="0"/>
    <n v="0"/>
    <n v="0"/>
    <n v="0"/>
    <n v="0"/>
    <n v="0"/>
    <n v="1"/>
    <m/>
    <n v="1"/>
    <m/>
    <m/>
    <m/>
    <m/>
    <m/>
    <m/>
    <m/>
    <m/>
    <m/>
    <m/>
    <m/>
    <m/>
    <m/>
    <m/>
    <m/>
    <m/>
    <n v="0"/>
    <n v="0"/>
    <m/>
    <m/>
    <m/>
    <n v="518494"/>
    <n v="175035"/>
    <s v="South Richmond"/>
  </r>
  <r>
    <s v="24/0916/GPD26"/>
    <x v="1"/>
    <s v="PA"/>
    <d v="2024-05-24T00:00:00"/>
    <d v="2027-05-24T00:00:00"/>
    <d v="2024-05-24T00:00:00"/>
    <s v="Y"/>
    <s v="Y"/>
    <d v="2025-03-31T00:00:00"/>
    <x v="0"/>
    <x v="0"/>
    <m/>
    <n v="0.852054794520548"/>
    <s v="1 to 4"/>
    <s v="Change of use from B1(a) to C3 comprising 3 flats."/>
    <s v="Units A1 And A2 At 86 To 88 And 92 - 98 Lower Mortlake Road, Richmond"/>
    <s v="TW9 2LG"/>
    <m/>
    <m/>
    <m/>
    <m/>
    <m/>
    <m/>
    <m/>
    <m/>
    <m/>
    <n v="0"/>
    <m/>
    <n v="1"/>
    <n v="2"/>
    <m/>
    <m/>
    <m/>
    <m/>
    <m/>
    <m/>
    <n v="3"/>
    <n v="1"/>
    <n v="2"/>
    <n v="0"/>
    <n v="0"/>
    <n v="0"/>
    <n v="0"/>
    <n v="0"/>
    <n v="0"/>
    <n v="3"/>
    <m/>
    <n v="3"/>
    <m/>
    <m/>
    <m/>
    <m/>
    <m/>
    <m/>
    <m/>
    <m/>
    <m/>
    <m/>
    <m/>
    <m/>
    <m/>
    <m/>
    <m/>
    <m/>
    <n v="0"/>
    <n v="0"/>
    <m/>
    <m/>
    <m/>
    <n v="518633"/>
    <n v="175479"/>
    <s v="North Richmond"/>
  </r>
  <r>
    <s v="24/0949/ES191"/>
    <x v="4"/>
    <s v="ES191"/>
    <d v="2024-05-20T00:00:00"/>
    <d v="2027-05-20T00:00:00"/>
    <d v="2024-05-20T00:00:00"/>
    <s v="Y"/>
    <s v="Y"/>
    <d v="2024-05-20T00:00:00"/>
    <x v="0"/>
    <x v="0"/>
    <m/>
    <n v="0"/>
    <s v="1 to 4"/>
    <s v="Certificate of Lawfulness to establish that the dwelling known as 23 Leinster Avenue has been used for in excess of four years as two separate self-contained flats on the ground-floor and first-floor."/>
    <s v="23 Leinster Avenue, East Sheen SW14 7JW"/>
    <s v="SW14 7JW"/>
    <m/>
    <m/>
    <m/>
    <m/>
    <m/>
    <n v="1"/>
    <m/>
    <m/>
    <m/>
    <n v="1"/>
    <m/>
    <m/>
    <n v="2"/>
    <m/>
    <m/>
    <m/>
    <m/>
    <m/>
    <m/>
    <n v="2"/>
    <n v="0"/>
    <n v="2"/>
    <n v="0"/>
    <n v="0"/>
    <n v="-1"/>
    <n v="0"/>
    <n v="0"/>
    <n v="0"/>
    <n v="1"/>
    <m/>
    <n v="1"/>
    <m/>
    <m/>
    <m/>
    <m/>
    <m/>
    <m/>
    <m/>
    <m/>
    <m/>
    <m/>
    <m/>
    <m/>
    <m/>
    <m/>
    <m/>
    <m/>
    <n v="0"/>
    <n v="0"/>
    <m/>
    <m/>
    <m/>
    <n v="520190"/>
    <n v="175469"/>
    <s v="East Sheen"/>
  </r>
  <r>
    <s v="24/0998/ES191"/>
    <x v="4"/>
    <s v="ES191"/>
    <d v="2024-04-22T00:00:00"/>
    <d v="2027-04-22T00:00:00"/>
    <d v="2024-04-22T00:00:00"/>
    <s v="Y"/>
    <s v="Y"/>
    <d v="2024-04-22T00:00:00"/>
    <x v="0"/>
    <x v="0"/>
    <m/>
    <n v="0"/>
    <s v="1 to 4"/>
    <s v="The use of the property (comprising units previously referred to as 69 Castelnau and 69a Castelnau) as one residential dwellinghouse (Use Class C3)."/>
    <s v="69 Castelnau, Barnes SW13 9RT"/>
    <s v="SW13 9RT"/>
    <m/>
    <m/>
    <n v="1"/>
    <m/>
    <n v="1"/>
    <m/>
    <m/>
    <m/>
    <m/>
    <n v="2"/>
    <m/>
    <m/>
    <m/>
    <m/>
    <m/>
    <m/>
    <n v="1"/>
    <m/>
    <m/>
    <n v="1"/>
    <n v="0"/>
    <n v="-1"/>
    <n v="0"/>
    <n v="-1"/>
    <n v="0"/>
    <n v="1"/>
    <n v="0"/>
    <n v="0"/>
    <n v="-1"/>
    <m/>
    <n v="-1"/>
    <m/>
    <m/>
    <m/>
    <m/>
    <m/>
    <m/>
    <m/>
    <m/>
    <m/>
    <m/>
    <m/>
    <m/>
    <m/>
    <m/>
    <m/>
    <m/>
    <n v="0"/>
    <n v="0"/>
    <m/>
    <m/>
    <m/>
    <n v="522464"/>
    <n v="177085"/>
    <s v="Barnes"/>
  </r>
  <r>
    <s v="24/0999/ES191"/>
    <x v="4"/>
    <s v="ES191"/>
    <d v="2024-06-12T00:00:00"/>
    <d v="2027-06-12T00:00:00"/>
    <d v="2024-06-12T00:00:00"/>
    <s v="Y"/>
    <s v="Y"/>
    <d v="2024-06-12T00:00:00"/>
    <x v="0"/>
    <x v="0"/>
    <m/>
    <n v="0"/>
    <s v="1 to 4"/>
    <s v="Use as two separate residential units"/>
    <s v="63 Prospect Crescent, Twickenham TW2 7DZ"/>
    <s v="TW2 7DZ"/>
    <m/>
    <m/>
    <m/>
    <m/>
    <n v="1"/>
    <m/>
    <m/>
    <m/>
    <m/>
    <n v="1"/>
    <m/>
    <m/>
    <m/>
    <n v="2"/>
    <m/>
    <m/>
    <m/>
    <m/>
    <m/>
    <n v="2"/>
    <n v="0"/>
    <n v="0"/>
    <n v="2"/>
    <n v="-1"/>
    <n v="0"/>
    <n v="0"/>
    <n v="0"/>
    <n v="0"/>
    <n v="1"/>
    <m/>
    <n v="1"/>
    <m/>
    <m/>
    <m/>
    <m/>
    <m/>
    <m/>
    <m/>
    <m/>
    <m/>
    <m/>
    <m/>
    <m/>
    <m/>
    <m/>
    <m/>
    <m/>
    <n v="0"/>
    <n v="0"/>
    <m/>
    <m/>
    <m/>
    <n v="514251"/>
    <n v="174226"/>
    <s v="Whitton"/>
  </r>
  <r>
    <s v="24/1038/GPD26"/>
    <x v="1"/>
    <s v="PA"/>
    <d v="2024-07-10T00:00:00"/>
    <d v="2027-07-10T00:00:00"/>
    <d v="2024-04-01T00:00:00"/>
    <s v="Y"/>
    <s v="Y"/>
    <d v="2025-03-31T00:00:00"/>
    <x v="0"/>
    <x v="0"/>
    <m/>
    <n v="0.72328767123287674"/>
    <s v="1 to 4"/>
    <s v="Conversion of offices into 3 self-contained flats."/>
    <s v="2A Claremont Road, Teddington TW11 8DG"/>
    <s v="TW11 8DG"/>
    <m/>
    <m/>
    <m/>
    <m/>
    <m/>
    <m/>
    <m/>
    <m/>
    <m/>
    <n v="0"/>
    <m/>
    <n v="1"/>
    <n v="2"/>
    <m/>
    <m/>
    <m/>
    <m/>
    <m/>
    <m/>
    <n v="3"/>
    <n v="1"/>
    <n v="2"/>
    <n v="0"/>
    <n v="0"/>
    <n v="0"/>
    <n v="0"/>
    <n v="0"/>
    <n v="0"/>
    <n v="3"/>
    <m/>
    <n v="3"/>
    <m/>
    <m/>
    <m/>
    <m/>
    <m/>
    <m/>
    <m/>
    <m/>
    <m/>
    <m/>
    <m/>
    <m/>
    <m/>
    <m/>
    <m/>
    <m/>
    <n v="0"/>
    <n v="0"/>
    <m/>
    <m/>
    <m/>
    <n v="515775"/>
    <n v="171430"/>
    <s v="Teddington"/>
  </r>
  <r>
    <s v="24/1061/ES191"/>
    <x v="4"/>
    <s v="ES191"/>
    <d v="2024-05-23T00:00:00"/>
    <d v="2027-05-23T00:00:00"/>
    <d v="2024-05-23T00:00:00"/>
    <s v="Y"/>
    <s v="Y"/>
    <d v="2024-05-23T00:00:00"/>
    <x v="0"/>
    <x v="0"/>
    <m/>
    <n v="0"/>
    <s v="1 to 4"/>
    <s v="Continued use of a four-storey with a basement property as a single-family dwelling."/>
    <s v="Ardingley. 112 Richmond Hill. Richmond TW10 6RJ"/>
    <s v="TW10 6RJ"/>
    <m/>
    <n v="1"/>
    <m/>
    <m/>
    <n v="1"/>
    <m/>
    <m/>
    <m/>
    <m/>
    <n v="2"/>
    <m/>
    <m/>
    <m/>
    <m/>
    <m/>
    <n v="1"/>
    <m/>
    <m/>
    <m/>
    <n v="1"/>
    <n v="-1"/>
    <n v="0"/>
    <n v="0"/>
    <n v="-1"/>
    <n v="1"/>
    <n v="0"/>
    <n v="0"/>
    <n v="0"/>
    <n v="-1"/>
    <m/>
    <n v="-1"/>
    <m/>
    <m/>
    <m/>
    <m/>
    <m/>
    <m/>
    <m/>
    <m/>
    <m/>
    <m/>
    <m/>
    <m/>
    <m/>
    <m/>
    <m/>
    <m/>
    <n v="0"/>
    <n v="0"/>
    <m/>
    <m/>
    <m/>
    <n v="518294"/>
    <n v="174078"/>
    <s v="Ham, Petersham &amp; Richmond Riverside"/>
  </r>
  <r>
    <s v="24/1229/ES191"/>
    <x v="1"/>
    <s v="ES191"/>
    <d v="2024-07-16T00:00:00"/>
    <d v="2027-07-16T00:00:00"/>
    <d v="2024-07-16T00:00:00"/>
    <s v="Y"/>
    <s v="Y"/>
    <d v="2024-07-16T00:00:00"/>
    <x v="0"/>
    <x v="0"/>
    <m/>
    <n v="0"/>
    <s v="1 to 4"/>
    <s v="Lawful use of the property as C3 (dwellinghouse) from previously approved live-work unit."/>
    <s v="3 Lock Road, Ham, Richmond TW10 7LQ"/>
    <s v="TW10 7LQ"/>
    <m/>
    <m/>
    <m/>
    <m/>
    <n v="1"/>
    <m/>
    <m/>
    <m/>
    <m/>
    <n v="1"/>
    <m/>
    <m/>
    <m/>
    <m/>
    <n v="1"/>
    <m/>
    <m/>
    <m/>
    <m/>
    <n v="1"/>
    <n v="0"/>
    <n v="0"/>
    <n v="0"/>
    <n v="0"/>
    <n v="0"/>
    <n v="0"/>
    <n v="0"/>
    <n v="0"/>
    <n v="0"/>
    <m/>
    <n v="0"/>
    <m/>
    <m/>
    <m/>
    <m/>
    <m/>
    <m/>
    <m/>
    <m/>
    <m/>
    <m/>
    <m/>
    <m/>
    <m/>
    <m/>
    <m/>
    <m/>
    <n v="0"/>
    <n v="0"/>
    <m/>
    <m/>
    <m/>
    <n v="517474"/>
    <n v="172076"/>
    <s v="Ham, Petersham &amp; Richmond Riverside"/>
  </r>
  <r>
    <s v="24/1493/FUL"/>
    <x v="1"/>
    <s v="FULL"/>
    <d v="2024-12-06T00:00:00"/>
    <d v="2024-12-06T00:00:00"/>
    <d v="2024-12-06T00:00:00"/>
    <s v="Y"/>
    <s v="Y"/>
    <d v="2024-12-06T00:00:00"/>
    <x v="0"/>
    <x v="0"/>
    <m/>
    <n v="0"/>
    <s v="1 to 4"/>
    <s v="Retrospective permission for the retention of ground floor in Sui Generis Use (hot food takeaway) and conversion upper floors from Sui Generis to 1 bed 2 person flat and alterations to rear elevation fenestration. Creation of a roof terrace with screening"/>
    <s v="59 Kew Road, Richmond TW9 2NQ"/>
    <s v="TW9 2NQ"/>
    <m/>
    <m/>
    <m/>
    <m/>
    <m/>
    <m/>
    <m/>
    <m/>
    <m/>
    <n v="0"/>
    <m/>
    <n v="1"/>
    <m/>
    <m/>
    <m/>
    <m/>
    <m/>
    <m/>
    <m/>
    <n v="1"/>
    <n v="1"/>
    <n v="0"/>
    <n v="0"/>
    <n v="0"/>
    <n v="0"/>
    <n v="0"/>
    <n v="0"/>
    <n v="0"/>
    <n v="1"/>
    <m/>
    <n v="1"/>
    <m/>
    <m/>
    <m/>
    <m/>
    <m/>
    <m/>
    <m/>
    <m/>
    <m/>
    <m/>
    <m/>
    <m/>
    <m/>
    <m/>
    <m/>
    <m/>
    <n v="0"/>
    <n v="0"/>
    <m/>
    <m/>
    <m/>
    <n v="518122"/>
    <n v="175310"/>
    <s v="South Richmond"/>
  </r>
  <r>
    <s v="24/1740/ES191"/>
    <x v="1"/>
    <s v="ES191"/>
    <d v="2024-09-03T00:00:00"/>
    <d v="2027-09-03T00:00:00"/>
    <d v="2024-09-03T00:00:00"/>
    <s v="Y"/>
    <s v="Y"/>
    <d v="2024-09-03T00:00:00"/>
    <x v="0"/>
    <x v="0"/>
    <m/>
    <n v="0"/>
    <s v="1 to 4"/>
    <s v="Use as a single self-contained dwellinghouse"/>
    <s v="1 Queen Elizabeth Walk, Barnes SW13 9SA"/>
    <s v="SW13 9SA"/>
    <m/>
    <m/>
    <m/>
    <m/>
    <m/>
    <m/>
    <m/>
    <m/>
    <m/>
    <n v="0"/>
    <m/>
    <n v="1"/>
    <m/>
    <m/>
    <m/>
    <m/>
    <m/>
    <m/>
    <m/>
    <n v="1"/>
    <n v="1"/>
    <n v="0"/>
    <n v="0"/>
    <n v="0"/>
    <n v="0"/>
    <n v="0"/>
    <n v="0"/>
    <n v="0"/>
    <n v="1"/>
    <m/>
    <n v="1"/>
    <m/>
    <m/>
    <m/>
    <m/>
    <m/>
    <m/>
    <m/>
    <m/>
    <m/>
    <m/>
    <m/>
    <m/>
    <m/>
    <m/>
    <m/>
    <m/>
    <n v="0"/>
    <n v="0"/>
    <m/>
    <m/>
    <m/>
    <n v="522416"/>
    <n v="176615"/>
    <s v="Barnes"/>
  </r>
  <r>
    <s v="24/2097/ES191"/>
    <x v="1"/>
    <s v="ES191"/>
    <d v="2024-10-09T00:00:00"/>
    <d v="2027-10-09T00:00:00"/>
    <d v="2024-10-09T00:00:00"/>
    <s v="Y"/>
    <s v="Y"/>
    <d v="2024-10-09T00:00:00"/>
    <x v="0"/>
    <x v="0"/>
    <m/>
    <n v="0"/>
    <s v="1 to 4"/>
    <s v="Use of property as a single family dwelling"/>
    <s v="3 Magna Square, East Sheen SW14 8LH"/>
    <s v="SW14 8LH"/>
    <m/>
    <m/>
    <n v="1"/>
    <m/>
    <m/>
    <m/>
    <m/>
    <m/>
    <m/>
    <n v="1"/>
    <m/>
    <m/>
    <m/>
    <n v="1"/>
    <m/>
    <m/>
    <m/>
    <m/>
    <m/>
    <n v="1"/>
    <n v="0"/>
    <n v="-1"/>
    <n v="1"/>
    <n v="0"/>
    <n v="0"/>
    <n v="0"/>
    <n v="0"/>
    <n v="0"/>
    <n v="0"/>
    <m/>
    <n v="0"/>
    <m/>
    <m/>
    <m/>
    <m/>
    <m/>
    <m/>
    <m/>
    <m/>
    <m/>
    <m/>
    <m/>
    <m/>
    <m/>
    <m/>
    <m/>
    <m/>
    <n v="0"/>
    <n v="0"/>
    <m/>
    <m/>
    <m/>
    <n v="520460"/>
    <n v="175643"/>
    <s v="East Sheen"/>
  </r>
  <r>
    <s v="24/2767/ES191"/>
    <x v="1"/>
    <s v="ES191"/>
    <d v="2024-12-30T00:00:00"/>
    <d v="2027-12-30T00:00:00"/>
    <d v="2024-12-30T00:00:00"/>
    <s v="Y"/>
    <s v="Y"/>
    <d v="2024-12-30T00:00:00"/>
    <x v="0"/>
    <x v="0"/>
    <m/>
    <n v="0"/>
    <s v="1 to 4"/>
    <s v="Use as a single self-contained dwellinghouse"/>
    <s v="29A Fourth Cross Road, Twickenham TW2 5EL"/>
    <s v="TW2 5EL"/>
    <m/>
    <m/>
    <m/>
    <m/>
    <m/>
    <m/>
    <m/>
    <m/>
    <m/>
    <n v="0"/>
    <m/>
    <m/>
    <n v="1"/>
    <m/>
    <m/>
    <m/>
    <m/>
    <m/>
    <m/>
    <n v="1"/>
    <n v="0"/>
    <n v="1"/>
    <n v="0"/>
    <n v="0"/>
    <n v="0"/>
    <n v="0"/>
    <n v="0"/>
    <n v="0"/>
    <n v="1"/>
    <m/>
    <n v="1"/>
    <m/>
    <m/>
    <m/>
    <m/>
    <m/>
    <m/>
    <m/>
    <m/>
    <m/>
    <m/>
    <m/>
    <m/>
    <m/>
    <m/>
    <m/>
    <m/>
    <n v="0"/>
    <n v="0"/>
    <m/>
    <m/>
    <m/>
    <n v="514777"/>
    <n v="172631"/>
    <s v="West Twickenham"/>
  </r>
  <r>
    <s v="25/0058/ES191"/>
    <x v="4"/>
    <s v="ES191"/>
    <d v="2025-02-26T00:00:00"/>
    <d v="2025-02-26T00:00:00"/>
    <d v="2025-02-26T00:00:00"/>
    <s v="Y"/>
    <s v="Y"/>
    <d v="2025-02-26T00:00:00"/>
    <x v="0"/>
    <x v="0"/>
    <m/>
    <n v="0"/>
    <s v="1 to 4"/>
    <s v="Amalgamation of 16 Laurel Road and 17 Laurel Road for use a single residential dwelling (Class C3)."/>
    <s v="16 - 17 Laurel Road, Barnes"/>
    <s v="SW13 0EE"/>
    <m/>
    <m/>
    <m/>
    <m/>
    <n v="2"/>
    <m/>
    <m/>
    <m/>
    <m/>
    <n v="2"/>
    <m/>
    <m/>
    <m/>
    <m/>
    <m/>
    <m/>
    <m/>
    <m/>
    <n v="1"/>
    <n v="1"/>
    <n v="0"/>
    <n v="0"/>
    <n v="0"/>
    <n v="-2"/>
    <n v="0"/>
    <n v="0"/>
    <n v="0"/>
    <n v="1"/>
    <n v="-1"/>
    <m/>
    <n v="-1"/>
    <m/>
    <m/>
    <m/>
    <m/>
    <m/>
    <m/>
    <m/>
    <m/>
    <m/>
    <m/>
    <m/>
    <m/>
    <m/>
    <m/>
    <m/>
    <m/>
    <n v="0"/>
    <n v="0"/>
    <m/>
    <m/>
    <m/>
    <n v="522060"/>
    <n v="176205"/>
    <s v="Barnes"/>
  </r>
  <r>
    <s v="04/1020/FUL"/>
    <x v="1"/>
    <s v="FULL"/>
    <d v="2004-07-26T00:00:00"/>
    <d v="2009-07-23T00:00:00"/>
    <d v="2009-07-01T00:00:00"/>
    <m/>
    <m/>
    <m/>
    <x v="1"/>
    <x v="0"/>
    <m/>
    <m/>
    <m/>
    <s v="Erection Of One And Half Storey Rear Extension To Create Self Contained Dwelling"/>
    <s v="83 High Street, Hampton Wick"/>
    <s v="KT1 4DG"/>
    <m/>
    <m/>
    <m/>
    <m/>
    <m/>
    <m/>
    <m/>
    <m/>
    <m/>
    <n v="0"/>
    <m/>
    <n v="1"/>
    <m/>
    <m/>
    <m/>
    <m/>
    <m/>
    <m/>
    <m/>
    <n v="1"/>
    <n v="1"/>
    <n v="0"/>
    <n v="0"/>
    <n v="0"/>
    <n v="0"/>
    <n v="0"/>
    <n v="0"/>
    <n v="0"/>
    <n v="1"/>
    <m/>
    <m/>
    <n v="1"/>
    <m/>
    <m/>
    <m/>
    <m/>
    <m/>
    <m/>
    <m/>
    <m/>
    <m/>
    <m/>
    <m/>
    <m/>
    <m/>
    <m/>
    <m/>
    <n v="1"/>
    <n v="1"/>
    <m/>
    <m/>
    <m/>
    <n v="517419"/>
    <n v="169715"/>
    <s v="Hampton Wick &amp; South Teddington"/>
  </r>
  <r>
    <s v="08/2038/FUL"/>
    <x v="0"/>
    <s v="FULL"/>
    <d v="2009-04-03T00:00:00"/>
    <d v="2012-04-03T00:00:00"/>
    <d v="2012-03-12T00:00:00"/>
    <m/>
    <m/>
    <m/>
    <x v="1"/>
    <x v="0"/>
    <m/>
    <m/>
    <m/>
    <s v="Erection of a pair of semi-detached houses."/>
    <s v="Land At  Rear Of 293 Petersham Road, Richmond"/>
    <s v="TW10 7DB"/>
    <m/>
    <m/>
    <m/>
    <m/>
    <m/>
    <m/>
    <m/>
    <m/>
    <m/>
    <n v="0"/>
    <m/>
    <n v="1"/>
    <m/>
    <n v="1"/>
    <m/>
    <m/>
    <m/>
    <m/>
    <m/>
    <n v="2"/>
    <n v="1"/>
    <n v="0"/>
    <n v="1"/>
    <n v="0"/>
    <n v="0"/>
    <n v="0"/>
    <n v="0"/>
    <n v="0"/>
    <n v="2"/>
    <m/>
    <m/>
    <m/>
    <n v="1"/>
    <n v="1"/>
    <m/>
    <m/>
    <m/>
    <m/>
    <m/>
    <m/>
    <m/>
    <m/>
    <m/>
    <m/>
    <m/>
    <m/>
    <m/>
    <n v="2"/>
    <n v="2"/>
    <m/>
    <m/>
    <m/>
    <n v="517877"/>
    <n v="172338"/>
    <s v="Ham, Petersham &amp; Richmond Riverside"/>
  </r>
  <r>
    <s v="11/0468/PS192"/>
    <x v="0"/>
    <s v="S192"/>
    <d v="2011-03-07T00:00:00"/>
    <d v="2014-03-07T00:00:00"/>
    <d v="2011-03-07T00:00:00"/>
    <m/>
    <m/>
    <m/>
    <x v="1"/>
    <x v="0"/>
    <s v="N"/>
    <m/>
    <m/>
    <s v="Continuing construction of block of 11 flats on site of Osbourne House under permission 07/2991/FUL after 28/02/2011 (when the permission would otherwise have expired) will be lawful."/>
    <s v="Becketts Wharf And Osbourne House, Becketts Place, Hampton Wick"/>
    <s v="KT1 4EQ"/>
    <m/>
    <m/>
    <m/>
    <m/>
    <m/>
    <m/>
    <m/>
    <m/>
    <m/>
    <n v="0"/>
    <m/>
    <n v="4"/>
    <n v="7"/>
    <m/>
    <m/>
    <m/>
    <m/>
    <m/>
    <m/>
    <n v="11"/>
    <n v="4"/>
    <n v="7"/>
    <n v="0"/>
    <n v="0"/>
    <n v="0"/>
    <n v="0"/>
    <n v="0"/>
    <n v="0"/>
    <n v="11"/>
    <s v="Y"/>
    <m/>
    <m/>
    <n v="2.75"/>
    <n v="2.75"/>
    <n v="2.75"/>
    <n v="2.75"/>
    <m/>
    <m/>
    <m/>
    <m/>
    <m/>
    <m/>
    <m/>
    <m/>
    <m/>
    <m/>
    <m/>
    <n v="11"/>
    <n v="11"/>
    <m/>
    <m/>
    <m/>
    <n v="517650"/>
    <n v="169624"/>
    <s v="Hampton Wick &amp; South Teddington"/>
  </r>
  <r>
    <s v="12/1020/FUL"/>
    <x v="4"/>
    <s v="FULL"/>
    <d v="2013-07-31T00:00:00"/>
    <d v="2016-07-31T00:00:00"/>
    <d v="2016-07-14T00:00:00"/>
    <m/>
    <m/>
    <m/>
    <x v="1"/>
    <x v="0"/>
    <m/>
    <m/>
    <m/>
    <s v="Conversion of ground and first floors to create of no. 25-27 which are linked internally to create the following: no. 25 convert to single dwellinghouse with loft conversion. no.27 Convert ground floor to 1 x 2 bed flat, first floor convert to 2 x 1 bed flats, 2nd floor existing 1 x 2 bed and 1 x 1 bed flats to remain as existing."/>
    <s v="25 - 27 Thames Street, Hampton TW12 2EW"/>
    <s v="TW12 2EW"/>
    <m/>
    <n v="1"/>
    <n v="1"/>
    <m/>
    <m/>
    <m/>
    <m/>
    <m/>
    <m/>
    <n v="2"/>
    <m/>
    <n v="3"/>
    <n v="2"/>
    <n v="1"/>
    <m/>
    <m/>
    <m/>
    <m/>
    <m/>
    <n v="6"/>
    <n v="2"/>
    <n v="1"/>
    <n v="1"/>
    <n v="0"/>
    <n v="0"/>
    <n v="0"/>
    <n v="0"/>
    <n v="0"/>
    <n v="4"/>
    <m/>
    <m/>
    <m/>
    <n v="1"/>
    <n v="1"/>
    <n v="1"/>
    <n v="1"/>
    <m/>
    <m/>
    <m/>
    <m/>
    <m/>
    <m/>
    <m/>
    <m/>
    <m/>
    <m/>
    <m/>
    <n v="4"/>
    <n v="4"/>
    <m/>
    <m/>
    <m/>
    <n v="513862"/>
    <n v="169500"/>
    <s v="Hampton"/>
  </r>
  <r>
    <s v="13/1327/FUL"/>
    <x v="1"/>
    <s v="FULL"/>
    <d v="2013-09-03T00:00:00"/>
    <d v="2016-09-03T00:00:00"/>
    <d v="2016-08-19T00:00:00"/>
    <m/>
    <m/>
    <m/>
    <x v="1"/>
    <x v="0"/>
    <s v="N"/>
    <m/>
    <m/>
    <s v="Reversion of Doughty House and Doughty Cottage, change of use from D1 gallery to a single family dwelling. New conservatory with basement below; underground car parking beneath the upper garden and linked to Doughty House; part re-construction of rear elevation to Doughty House; Formation of new lift shaft in Doughty House with minor alterations at roof level above lift shaft; extension to south east elevation to the cottage to form new ensuite bathrooms at three level."/>
    <s v="Doughty House And Doughty Cottage, 142 - 142A Richmond Hill, Richmond"/>
    <s v="TW10 6RN"/>
    <m/>
    <m/>
    <m/>
    <m/>
    <n v="1"/>
    <m/>
    <m/>
    <m/>
    <m/>
    <n v="1"/>
    <m/>
    <m/>
    <m/>
    <m/>
    <n v="1"/>
    <m/>
    <m/>
    <m/>
    <m/>
    <n v="1"/>
    <n v="0"/>
    <n v="0"/>
    <n v="0"/>
    <n v="0"/>
    <n v="0"/>
    <n v="0"/>
    <n v="0"/>
    <n v="0"/>
    <n v="0"/>
    <m/>
    <m/>
    <n v="0"/>
    <m/>
    <m/>
    <m/>
    <m/>
    <m/>
    <m/>
    <m/>
    <m/>
    <m/>
    <m/>
    <m/>
    <m/>
    <m/>
    <m/>
    <m/>
    <n v="0"/>
    <n v="0"/>
    <m/>
    <m/>
    <m/>
    <n v="518397"/>
    <n v="173968"/>
    <s v="Ham, Petersham &amp; Richmond Riverside"/>
  </r>
  <r>
    <s v="14/2797/P3JPA"/>
    <x v="1"/>
    <s v="PA"/>
    <d v="2014-08-20T00:00:00"/>
    <d v="2017-11-27T00:00:00"/>
    <d v="2017-06-30T00:00:00"/>
    <m/>
    <m/>
    <m/>
    <x v="1"/>
    <x v="0"/>
    <m/>
    <m/>
    <m/>
    <s v="Proposed change of use of part of an existing two storey office block (B1a Use Class) to Residential (C3 Use Class) creating 6 No.flats (comprising 1 x 1-bed unit and 5 x 2-bed units)."/>
    <s v="Crane Mews, 32 Gould Road, Twickenham"/>
    <s v="TW2 6RS"/>
    <m/>
    <m/>
    <m/>
    <m/>
    <m/>
    <m/>
    <m/>
    <m/>
    <m/>
    <n v="0"/>
    <m/>
    <n v="1"/>
    <n v="5"/>
    <m/>
    <m/>
    <m/>
    <m/>
    <m/>
    <m/>
    <n v="6"/>
    <n v="1"/>
    <n v="5"/>
    <n v="0"/>
    <n v="0"/>
    <n v="0"/>
    <n v="0"/>
    <n v="0"/>
    <n v="0"/>
    <n v="6"/>
    <m/>
    <m/>
    <m/>
    <n v="3"/>
    <n v="3"/>
    <m/>
    <m/>
    <m/>
    <m/>
    <m/>
    <m/>
    <m/>
    <m/>
    <m/>
    <m/>
    <m/>
    <m/>
    <m/>
    <n v="6"/>
    <n v="6"/>
    <m/>
    <m/>
    <m/>
    <n v="515206"/>
    <n v="173341"/>
    <s v="South Twickenham"/>
  </r>
  <r>
    <s v="16/0058/FUL"/>
    <x v="1"/>
    <s v="FULL"/>
    <d v="2016-07-14T00:00:00"/>
    <d v="2019-07-14T00:00:00"/>
    <d v="2019-07-10T00:00:00"/>
    <m/>
    <m/>
    <m/>
    <x v="1"/>
    <x v="0"/>
    <m/>
    <m/>
    <m/>
    <s v="Change of use of 2nd floor and 3rd floor level from ancillary retail to nine 1 bedroom flats (C3 use) with external alterations and enclosure of walkway at 1st floor, new residential access, bin store, bicycle storage, replacement of plant, new stairs to roof access and  reconfiguration of food store at ground floor level."/>
    <s v="29 George Street, Richmond TW9 1HY"/>
    <s v="TW9 1HY"/>
    <m/>
    <m/>
    <m/>
    <m/>
    <m/>
    <m/>
    <m/>
    <m/>
    <m/>
    <n v="0"/>
    <m/>
    <n v="9"/>
    <m/>
    <m/>
    <m/>
    <m/>
    <m/>
    <m/>
    <m/>
    <n v="9"/>
    <n v="9"/>
    <n v="0"/>
    <n v="0"/>
    <n v="0"/>
    <n v="0"/>
    <n v="0"/>
    <n v="0"/>
    <n v="0"/>
    <n v="9"/>
    <m/>
    <m/>
    <m/>
    <n v="4.5"/>
    <n v="4.5"/>
    <m/>
    <m/>
    <m/>
    <m/>
    <m/>
    <m/>
    <m/>
    <m/>
    <m/>
    <m/>
    <m/>
    <m/>
    <m/>
    <n v="9"/>
    <n v="9"/>
    <m/>
    <m/>
    <m/>
    <n v="517924"/>
    <n v="174891"/>
    <s v="South Richmond"/>
  </r>
  <r>
    <s v="16/0510/FUL"/>
    <x v="1"/>
    <s v="FULL"/>
    <d v="2018-07-19T00:00:00"/>
    <d v="2021-07-19T00:00:00"/>
    <d v="2021-07-05T00:00:00"/>
    <m/>
    <m/>
    <m/>
    <x v="1"/>
    <x v="0"/>
    <m/>
    <m/>
    <m/>
    <s v="Alterations including construction of a new rear ground floor extension and change of use to commercial space and two 2-bedroom self-contained flats."/>
    <s v="Shanklin House, 70 Sheen Road, Richmond TW9 1UF"/>
    <s v="TW9 1UF"/>
    <m/>
    <m/>
    <m/>
    <m/>
    <m/>
    <m/>
    <m/>
    <m/>
    <m/>
    <n v="0"/>
    <m/>
    <m/>
    <n v="2"/>
    <m/>
    <m/>
    <m/>
    <m/>
    <m/>
    <m/>
    <n v="2"/>
    <n v="0"/>
    <n v="2"/>
    <n v="0"/>
    <n v="0"/>
    <n v="0"/>
    <n v="0"/>
    <n v="0"/>
    <n v="0"/>
    <n v="2"/>
    <m/>
    <m/>
    <m/>
    <n v="1"/>
    <n v="1"/>
    <m/>
    <m/>
    <m/>
    <m/>
    <m/>
    <m/>
    <m/>
    <m/>
    <m/>
    <m/>
    <m/>
    <m/>
    <m/>
    <n v="2"/>
    <n v="2"/>
    <m/>
    <m/>
    <m/>
    <n v="518392"/>
    <n v="175032"/>
    <s v="South Richmond"/>
  </r>
  <r>
    <s v="16/2537/FUL"/>
    <x v="0"/>
    <s v="FULL"/>
    <d v="2017-11-02T00:00:00"/>
    <d v="2022-04-03T00:00:00"/>
    <d v="2022-03-16T00:00:00"/>
    <m/>
    <m/>
    <m/>
    <x v="1"/>
    <x v="0"/>
    <m/>
    <m/>
    <m/>
    <s v="Demolition of the existing building, and redevelopment of the site for 8 residential units (1 x 1 bed, 7 x 2 bed units) with associated car and cycle parking, amenity space, refuse and recycling storage."/>
    <s v="1D Becketts Place, Hampton Wick"/>
    <s v="KT1 4EW"/>
    <m/>
    <n v="3"/>
    <m/>
    <m/>
    <m/>
    <m/>
    <m/>
    <m/>
    <m/>
    <n v="3"/>
    <m/>
    <n v="1"/>
    <n v="7"/>
    <m/>
    <m/>
    <m/>
    <m/>
    <m/>
    <m/>
    <n v="8"/>
    <n v="-2"/>
    <n v="7"/>
    <n v="0"/>
    <n v="0"/>
    <n v="0"/>
    <n v="0"/>
    <n v="0"/>
    <n v="0"/>
    <n v="5"/>
    <m/>
    <m/>
    <m/>
    <n v="2.5"/>
    <n v="2.5"/>
    <m/>
    <m/>
    <m/>
    <m/>
    <m/>
    <m/>
    <m/>
    <m/>
    <m/>
    <m/>
    <m/>
    <m/>
    <m/>
    <n v="5"/>
    <n v="5"/>
    <m/>
    <m/>
    <m/>
    <n v="517622"/>
    <n v="169605"/>
    <s v="Hampton Wick &amp; South Teddington"/>
  </r>
  <r>
    <s v="17/0323/FUL"/>
    <x v="0"/>
    <s v="FULL"/>
    <d v="2018-03-23T00:00:00"/>
    <d v="2021-03-23T00:00:00"/>
    <d v="2021-01-04T00:00:00"/>
    <m/>
    <m/>
    <m/>
    <x v="1"/>
    <x v="0"/>
    <m/>
    <m/>
    <m/>
    <s v="Erection of a three-storey building to provide  4 two-bedroom residential units (Class C3) separate refuse facilities and altered parking layout."/>
    <s v="Courtyard Apartments, 70B Hampton Road, Teddington"/>
    <s v="TW11 0JX"/>
    <m/>
    <m/>
    <m/>
    <m/>
    <m/>
    <m/>
    <m/>
    <m/>
    <m/>
    <n v="0"/>
    <m/>
    <m/>
    <n v="4"/>
    <m/>
    <m/>
    <m/>
    <m/>
    <m/>
    <m/>
    <n v="4"/>
    <n v="0"/>
    <n v="4"/>
    <n v="0"/>
    <n v="0"/>
    <n v="0"/>
    <n v="0"/>
    <n v="0"/>
    <n v="0"/>
    <n v="4"/>
    <m/>
    <m/>
    <m/>
    <n v="2"/>
    <n v="2"/>
    <m/>
    <m/>
    <m/>
    <m/>
    <m/>
    <m/>
    <m/>
    <m/>
    <m/>
    <m/>
    <m/>
    <m/>
    <m/>
    <n v="4"/>
    <n v="4"/>
    <m/>
    <m/>
    <m/>
    <n v="514687"/>
    <n v="171290"/>
    <s v="Fulwell &amp; Hampton Hill"/>
  </r>
  <r>
    <s v="17/0788/FUL"/>
    <x v="0"/>
    <s v="FULL"/>
    <d v="2018-01-08T00:00:00"/>
    <d v="2021-01-08T00:00:00"/>
    <d v="2021-01-07T00:00:00"/>
    <m/>
    <m/>
    <m/>
    <x v="1"/>
    <x v="0"/>
    <m/>
    <m/>
    <m/>
    <s v="Demolition of lock up garages to provide 1 no. detached 4 bedroom dwellinghouse with associated parking, cycle and refuse stores, new boundary fence and hard and soft landscaping."/>
    <s v="High Wigsell, 35 Twickenham Road, Teddington"/>
    <s v="TW11"/>
    <m/>
    <m/>
    <m/>
    <m/>
    <m/>
    <m/>
    <m/>
    <m/>
    <m/>
    <n v="0"/>
    <m/>
    <m/>
    <m/>
    <m/>
    <n v="1"/>
    <m/>
    <m/>
    <m/>
    <m/>
    <n v="1"/>
    <n v="0"/>
    <n v="0"/>
    <n v="0"/>
    <n v="1"/>
    <n v="0"/>
    <n v="0"/>
    <n v="0"/>
    <n v="0"/>
    <n v="1"/>
    <m/>
    <m/>
    <m/>
    <n v="1"/>
    <m/>
    <m/>
    <m/>
    <m/>
    <m/>
    <m/>
    <m/>
    <m/>
    <m/>
    <m/>
    <m/>
    <m/>
    <m/>
    <m/>
    <n v="1"/>
    <n v="1"/>
    <m/>
    <m/>
    <m/>
    <n v="516399"/>
    <n v="171470"/>
    <s v="Teddington"/>
  </r>
  <r>
    <s v="17/0925/FUL"/>
    <x v="3"/>
    <s v="FULL"/>
    <d v="2021-08-10T00:00:00"/>
    <d v="2024-08-10T00:00:00"/>
    <d v="2024-02-01T00:00:00"/>
    <m/>
    <m/>
    <m/>
    <x v="1"/>
    <x v="0"/>
    <m/>
    <m/>
    <m/>
    <s v="Two storey side extension, first floor rear extension, rear dormer roof extension and installation of external metal staircase to facilitate the provision of 1 no. 1 bed flat and reconfiguration of existing 2 bed flat to 1 bed flat and associated parking,"/>
    <s v="638 Hanworth Road, Whitton TW4 5NP"/>
    <s v="TW4 5NP"/>
    <m/>
    <m/>
    <n v="1"/>
    <m/>
    <m/>
    <m/>
    <m/>
    <m/>
    <m/>
    <n v="1"/>
    <m/>
    <n v="2"/>
    <m/>
    <m/>
    <m/>
    <m/>
    <m/>
    <m/>
    <m/>
    <n v="2"/>
    <n v="2"/>
    <n v="-1"/>
    <n v="0"/>
    <n v="0"/>
    <n v="0"/>
    <n v="0"/>
    <n v="0"/>
    <n v="0"/>
    <n v="1"/>
    <m/>
    <m/>
    <n v="1"/>
    <m/>
    <m/>
    <m/>
    <m/>
    <m/>
    <m/>
    <m/>
    <m/>
    <m/>
    <m/>
    <m/>
    <m/>
    <m/>
    <m/>
    <m/>
    <n v="1"/>
    <n v="1"/>
    <m/>
    <m/>
    <m/>
    <n v="512771"/>
    <n v="173675"/>
    <s v="Heathfield"/>
  </r>
  <r>
    <s v="17/1390/FUL"/>
    <x v="0"/>
    <s v="FULL"/>
    <d v="2018-11-15T00:00:00"/>
    <d v="2022-05-14T00:00:00"/>
    <d v="2022-03-01T00:00:00"/>
    <m/>
    <m/>
    <m/>
    <x v="1"/>
    <x v="0"/>
    <m/>
    <m/>
    <m/>
    <s v="Demolition of builders storage building and erection of one bedroomed  2 storey detached dwellinghouse with basement."/>
    <s v="Land Adjacent To No 1 South Western Road, Twickenham"/>
    <s v="TW1 1LG"/>
    <m/>
    <m/>
    <m/>
    <m/>
    <m/>
    <m/>
    <m/>
    <m/>
    <m/>
    <n v="0"/>
    <m/>
    <n v="1"/>
    <m/>
    <m/>
    <m/>
    <m/>
    <m/>
    <m/>
    <m/>
    <n v="1"/>
    <n v="1"/>
    <n v="0"/>
    <n v="0"/>
    <n v="0"/>
    <n v="0"/>
    <n v="0"/>
    <n v="0"/>
    <n v="0"/>
    <n v="1"/>
    <m/>
    <m/>
    <m/>
    <n v="0.5"/>
    <n v="0.5"/>
    <m/>
    <m/>
    <m/>
    <m/>
    <m/>
    <m/>
    <m/>
    <m/>
    <m/>
    <m/>
    <m/>
    <m/>
    <m/>
    <n v="1"/>
    <n v="1"/>
    <m/>
    <m/>
    <m/>
    <n v="516598"/>
    <n v="174330"/>
    <s v="St. Margarets &amp; North Twickenham"/>
  </r>
  <r>
    <s v="17/3590/FUL"/>
    <x v="0"/>
    <s v="FULL"/>
    <d v="2018-07-26T00:00:00"/>
    <d v="2021-07-26T00:00:00"/>
    <d v="2021-07-23T00:00:00"/>
    <m/>
    <m/>
    <m/>
    <x v="1"/>
    <x v="0"/>
    <m/>
    <m/>
    <m/>
    <s v="Demolition of the existing garages. Erection of 1 x 2 bed single storey house and 1 x 3 bed single storey house with basement with associated hard and soft landscaping, refuse and cycle stores."/>
    <s v="Garages Rear Of 48-52 Anlaby Road, Teddington"/>
    <s v="TW11 0PP"/>
    <m/>
    <m/>
    <m/>
    <m/>
    <m/>
    <m/>
    <m/>
    <m/>
    <m/>
    <n v="0"/>
    <m/>
    <m/>
    <n v="1"/>
    <n v="1"/>
    <m/>
    <m/>
    <m/>
    <m/>
    <m/>
    <n v="2"/>
    <n v="0"/>
    <n v="1"/>
    <n v="1"/>
    <n v="0"/>
    <n v="0"/>
    <n v="0"/>
    <n v="0"/>
    <n v="0"/>
    <n v="2"/>
    <m/>
    <m/>
    <m/>
    <n v="1"/>
    <n v="1"/>
    <m/>
    <m/>
    <m/>
    <m/>
    <m/>
    <m/>
    <m/>
    <m/>
    <m/>
    <m/>
    <m/>
    <m/>
    <m/>
    <n v="2"/>
    <n v="2"/>
    <m/>
    <m/>
    <m/>
    <n v="514975"/>
    <n v="171285"/>
    <s v="Fulwell &amp; Hampton Hill"/>
  </r>
  <r>
    <s v="17/3667/FUL"/>
    <x v="0"/>
    <s v="FULL"/>
    <d v="2018-04-25T00:00:00"/>
    <d v="2021-04-25T00:00:00"/>
    <d v="2021-03-15T00:00:00"/>
    <m/>
    <m/>
    <m/>
    <x v="1"/>
    <x v="0"/>
    <m/>
    <m/>
    <m/>
    <s v="Demolition of existing staff accommodation caravans and storage barn and erection of replacement grooms accommodation."/>
    <s v="Manor Farm Riding School, Petersham Road, Petersham, Richmond TW10 7AH"/>
    <s v="TW10 7AH"/>
    <m/>
    <m/>
    <m/>
    <m/>
    <m/>
    <m/>
    <m/>
    <m/>
    <m/>
    <n v="0"/>
    <m/>
    <m/>
    <m/>
    <n v="1"/>
    <m/>
    <m/>
    <m/>
    <m/>
    <m/>
    <n v="1"/>
    <n v="0"/>
    <n v="0"/>
    <n v="1"/>
    <n v="0"/>
    <n v="0"/>
    <n v="0"/>
    <n v="0"/>
    <n v="0"/>
    <n v="1"/>
    <m/>
    <m/>
    <n v="1"/>
    <m/>
    <m/>
    <m/>
    <m/>
    <m/>
    <m/>
    <m/>
    <m/>
    <m/>
    <m/>
    <m/>
    <m/>
    <m/>
    <m/>
    <m/>
    <n v="1"/>
    <n v="1"/>
    <m/>
    <m/>
    <m/>
    <n v="517808"/>
    <n v="173353"/>
    <s v="Ham, Petersham &amp; Richmond Riverside"/>
  </r>
  <r>
    <s v="18/0216/FUL"/>
    <x v="4"/>
    <s v="FULL"/>
    <d v="2018-12-05T00:00:00"/>
    <d v="2021-12-05T00:00:00"/>
    <d v="2019-11-11T00:00:00"/>
    <m/>
    <m/>
    <m/>
    <x v="1"/>
    <x v="0"/>
    <m/>
    <m/>
    <m/>
    <s v="The division of the existing single dwelling on the upper floors into two dwellings. Rear dormer and roof lights to the front roofslope."/>
    <s v="34 Colston Road, East Sheen SW14 7PG"/>
    <s v="SW14 7PG"/>
    <m/>
    <m/>
    <m/>
    <m/>
    <n v="1"/>
    <m/>
    <m/>
    <m/>
    <m/>
    <n v="1"/>
    <m/>
    <n v="1"/>
    <m/>
    <n v="1"/>
    <m/>
    <m/>
    <m/>
    <m/>
    <m/>
    <n v="2"/>
    <n v="1"/>
    <n v="0"/>
    <n v="1"/>
    <n v="-1"/>
    <n v="0"/>
    <n v="0"/>
    <n v="0"/>
    <n v="0"/>
    <n v="1"/>
    <m/>
    <m/>
    <m/>
    <n v="0.5"/>
    <n v="0.5"/>
    <m/>
    <m/>
    <m/>
    <m/>
    <m/>
    <m/>
    <m/>
    <m/>
    <m/>
    <m/>
    <m/>
    <m/>
    <m/>
    <n v="1"/>
    <n v="1"/>
    <m/>
    <m/>
    <m/>
    <n v="520283"/>
    <n v="175305"/>
    <s v="East Sheen"/>
  </r>
  <r>
    <s v="18/1248/FUL"/>
    <x v="1"/>
    <s v="FULL"/>
    <d v="2018-12-21T00:00:00"/>
    <d v="2021-12-21T00:00:00"/>
    <d v="2020-09-01T00:00:00"/>
    <m/>
    <m/>
    <m/>
    <x v="1"/>
    <x v="0"/>
    <m/>
    <m/>
    <m/>
    <s v="Conversion, refurbishment and extension of existing tyre shop with maisonette above (C3) into two self-contained one bedroom flats (C3)."/>
    <s v="1 Trinity Road, Richmond TW9 2LD"/>
    <s v="TW9 2LD"/>
    <m/>
    <n v="1"/>
    <m/>
    <m/>
    <m/>
    <m/>
    <m/>
    <m/>
    <m/>
    <n v="1"/>
    <m/>
    <n v="2"/>
    <m/>
    <m/>
    <m/>
    <m/>
    <m/>
    <m/>
    <m/>
    <n v="2"/>
    <n v="1"/>
    <n v="0"/>
    <n v="0"/>
    <n v="0"/>
    <n v="0"/>
    <n v="0"/>
    <n v="0"/>
    <n v="0"/>
    <n v="1"/>
    <m/>
    <m/>
    <n v="1"/>
    <m/>
    <m/>
    <m/>
    <m/>
    <m/>
    <m/>
    <m/>
    <m/>
    <m/>
    <m/>
    <m/>
    <m/>
    <m/>
    <m/>
    <m/>
    <n v="1"/>
    <n v="1"/>
    <m/>
    <m/>
    <m/>
    <n v="518862"/>
    <n v="175562"/>
    <s v="North Richmond"/>
  </r>
  <r>
    <s v="18/1442/FUL"/>
    <x v="0"/>
    <s v="FULL"/>
    <d v="2019-01-07T00:00:00"/>
    <d v="2022-01-07T00:00:00"/>
    <d v="2021-09-16T00:00:00"/>
    <m/>
    <m/>
    <m/>
    <x v="1"/>
    <x v="0"/>
    <m/>
    <m/>
    <m/>
    <s v="Demolition of the existing outbuilding to the rear of no.48 Fourth Cross Road accessed via Rutland Road and construction of 1x2 bedroom dwelling including basement, with associated car parking, cycle parking and recycle/refuse storage."/>
    <s v="Land Rear Of 48 Fourth Cross Road, Twickenham"/>
    <s v="TW2 5ER"/>
    <m/>
    <m/>
    <m/>
    <m/>
    <m/>
    <m/>
    <m/>
    <m/>
    <m/>
    <n v="0"/>
    <m/>
    <m/>
    <n v="1"/>
    <m/>
    <m/>
    <m/>
    <m/>
    <m/>
    <m/>
    <n v="1"/>
    <n v="0"/>
    <n v="1"/>
    <n v="0"/>
    <n v="0"/>
    <n v="0"/>
    <n v="0"/>
    <n v="0"/>
    <n v="0"/>
    <n v="1"/>
    <m/>
    <m/>
    <m/>
    <n v="0.5"/>
    <n v="0.5"/>
    <m/>
    <m/>
    <m/>
    <m/>
    <m/>
    <m/>
    <m/>
    <m/>
    <m/>
    <m/>
    <m/>
    <m/>
    <m/>
    <n v="1"/>
    <n v="1"/>
    <m/>
    <m/>
    <m/>
    <n v="514703"/>
    <n v="172701"/>
    <s v="West Twickenham"/>
  </r>
  <r>
    <s v="18/3310/FUL"/>
    <x v="0"/>
    <s v="FULL"/>
    <d v="2020-09-16T00:00:00"/>
    <d v="2023-09-16T00:00:00"/>
    <d v="2023-09-12T00:00:00"/>
    <m/>
    <m/>
    <m/>
    <x v="1"/>
    <x v="0"/>
    <m/>
    <m/>
    <m/>
    <s v="Demolition of existing buildings and structures, and redevelopment of the site to provide a 4-6 storey specialist extra care facility for the elderly with existing health conditions, comprising of 88 units, communal healthcare, therapy, leisure and social facilities (including a Restaurant/bar/cafe and swimming pool). Provision of car and cycle parking, associated landscaping and publicly accessible amenity space including a childrens play area."/>
    <s v="Kew Biothane Plant, Melliss Avenue, Kew"/>
    <s v="TW9"/>
    <m/>
    <m/>
    <m/>
    <m/>
    <m/>
    <m/>
    <m/>
    <m/>
    <m/>
    <n v="0"/>
    <m/>
    <n v="13"/>
    <n v="75"/>
    <m/>
    <m/>
    <m/>
    <m/>
    <m/>
    <m/>
    <n v="88"/>
    <n v="13"/>
    <n v="75"/>
    <n v="0"/>
    <n v="0"/>
    <n v="0"/>
    <n v="0"/>
    <n v="0"/>
    <n v="0"/>
    <n v="88"/>
    <s v="Y"/>
    <m/>
    <m/>
    <m/>
    <n v="88"/>
    <m/>
    <m/>
    <m/>
    <m/>
    <m/>
    <m/>
    <m/>
    <m/>
    <m/>
    <m/>
    <m/>
    <m/>
    <m/>
    <n v="88"/>
    <n v="88"/>
    <s v="Y"/>
    <m/>
    <m/>
    <n v="519778"/>
    <n v="176914"/>
    <s v="Kew"/>
  </r>
  <r>
    <s v="18/3930/FUL"/>
    <x v="0"/>
    <s v="FULL"/>
    <d v="2019-10-17T00:00:00"/>
    <d v="2022-10-17T00:00:00"/>
    <d v="2022-09-07T00:00:00"/>
    <m/>
    <m/>
    <d v="2025-08-11T00:00:00"/>
    <x v="1"/>
    <x v="0"/>
    <m/>
    <m/>
    <m/>
    <s v="Demolition of existing garage and erection of 1No. 2 storey with habitable roofspace 4 bed dwelling with associated hard and soft landscaping. Alterations to existing crossover and creation of a new crossover in front of No.38 Langham Road to facilitate p"/>
    <s v="38 Langham Road, Teddington TW11 9HQ"/>
    <s v="TW11 9HQ"/>
    <m/>
    <m/>
    <m/>
    <m/>
    <m/>
    <m/>
    <m/>
    <m/>
    <m/>
    <n v="0"/>
    <m/>
    <m/>
    <m/>
    <m/>
    <n v="1"/>
    <m/>
    <m/>
    <m/>
    <m/>
    <n v="1"/>
    <n v="0"/>
    <n v="0"/>
    <n v="0"/>
    <n v="1"/>
    <n v="0"/>
    <n v="0"/>
    <n v="0"/>
    <n v="0"/>
    <n v="1"/>
    <m/>
    <m/>
    <n v="1"/>
    <m/>
    <m/>
    <m/>
    <m/>
    <m/>
    <m/>
    <m/>
    <m/>
    <m/>
    <m/>
    <m/>
    <m/>
    <m/>
    <m/>
    <m/>
    <n v="1"/>
    <n v="1"/>
    <m/>
    <m/>
    <m/>
    <n v="516550"/>
    <n v="171027"/>
    <s v="Hampton Wick &amp; South Teddington"/>
  </r>
  <r>
    <s v="18/3950/FUL"/>
    <x v="1"/>
    <s v="FULL"/>
    <d v="2019-07-15T00:00:00"/>
    <d v="2022-07-15T00:00:00"/>
    <d v="2021-02-22T00:00:00"/>
    <m/>
    <m/>
    <d v="2026-01-23T00:00:00"/>
    <x v="1"/>
    <x v="1"/>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7"/>
    <n v="3"/>
    <n v="1"/>
    <m/>
    <m/>
    <m/>
    <m/>
    <m/>
    <n v="11"/>
    <n v="7"/>
    <n v="3"/>
    <n v="1"/>
    <n v="0"/>
    <n v="0"/>
    <n v="0"/>
    <n v="0"/>
    <n v="0"/>
    <n v="11"/>
    <s v="Y"/>
    <m/>
    <n v="11"/>
    <m/>
    <m/>
    <m/>
    <m/>
    <m/>
    <m/>
    <m/>
    <m/>
    <m/>
    <m/>
    <m/>
    <m/>
    <m/>
    <m/>
    <m/>
    <n v="11"/>
    <n v="11"/>
    <m/>
    <m/>
    <m/>
    <n v="518144"/>
    <n v="175553"/>
    <s v="North Richmond"/>
  </r>
  <r>
    <s v="18/3950/FUL"/>
    <x v="1"/>
    <s v="FULL"/>
    <d v="2019-07-15T00:00:00"/>
    <d v="2022-07-15T00:00:00"/>
    <d v="2021-02-22T00:00:00"/>
    <m/>
    <m/>
    <d v="2026-01-23T00:00:00"/>
    <x v="1"/>
    <x v="2"/>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4"/>
    <m/>
    <m/>
    <m/>
    <m/>
    <m/>
    <m/>
    <m/>
    <n v="4"/>
    <n v="4"/>
    <n v="0"/>
    <n v="0"/>
    <n v="0"/>
    <n v="0"/>
    <n v="0"/>
    <n v="0"/>
    <n v="0"/>
    <n v="4"/>
    <s v="Y"/>
    <m/>
    <n v="4"/>
    <m/>
    <m/>
    <m/>
    <m/>
    <m/>
    <m/>
    <m/>
    <m/>
    <m/>
    <m/>
    <m/>
    <m/>
    <m/>
    <m/>
    <m/>
    <n v="4"/>
    <n v="4"/>
    <m/>
    <m/>
    <m/>
    <n v="518144"/>
    <n v="175553"/>
    <s v="North Richmond"/>
  </r>
  <r>
    <s v="18/3950/FUL"/>
    <x v="1"/>
    <s v="FULL"/>
    <d v="2019-07-15T00:00:00"/>
    <d v="2022-07-15T00:00:00"/>
    <d v="2021-02-22T00:00:00"/>
    <m/>
    <m/>
    <m/>
    <x v="1"/>
    <x v="0"/>
    <m/>
    <m/>
    <m/>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m/>
    <n v="22"/>
    <n v="30"/>
    <n v="2"/>
    <n v="2"/>
    <m/>
    <m/>
    <m/>
    <m/>
    <n v="56"/>
    <n v="22"/>
    <n v="30"/>
    <n v="2"/>
    <n v="2"/>
    <n v="0"/>
    <n v="0"/>
    <n v="0"/>
    <n v="0"/>
    <n v="56"/>
    <s v="Y"/>
    <m/>
    <n v="56"/>
    <m/>
    <m/>
    <m/>
    <m/>
    <m/>
    <m/>
    <m/>
    <m/>
    <m/>
    <m/>
    <m/>
    <m/>
    <m/>
    <m/>
    <m/>
    <n v="56"/>
    <n v="56"/>
    <m/>
    <m/>
    <m/>
    <n v="518144"/>
    <n v="175553"/>
    <s v="North Richmond"/>
  </r>
  <r>
    <s v="19/0111/FUL"/>
    <x v="3"/>
    <s v="FULL"/>
    <d v="2019-12-12T00:00:00"/>
    <d v="2022-12-12T00:00:00"/>
    <d v="2020-03-30T00:00:00"/>
    <m/>
    <m/>
    <m/>
    <x v="1"/>
    <x v="3"/>
    <m/>
    <m/>
    <m/>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m/>
    <m/>
    <m/>
    <m/>
    <m/>
    <m/>
    <m/>
    <m/>
    <n v="0"/>
    <s v="Y"/>
    <n v="3"/>
    <n v="3"/>
    <m/>
    <m/>
    <m/>
    <m/>
    <m/>
    <m/>
    <n v="6"/>
    <n v="3"/>
    <n v="3"/>
    <n v="0"/>
    <n v="0"/>
    <n v="0"/>
    <n v="0"/>
    <n v="0"/>
    <n v="0"/>
    <n v="6"/>
    <s v="Y"/>
    <m/>
    <m/>
    <n v="3"/>
    <n v="3"/>
    <m/>
    <m/>
    <m/>
    <m/>
    <m/>
    <m/>
    <m/>
    <m/>
    <m/>
    <m/>
    <m/>
    <m/>
    <m/>
    <n v="6"/>
    <n v="6"/>
    <m/>
    <m/>
    <m/>
    <n v="517598"/>
    <n v="169722"/>
    <s v="Hampton Wick &amp; South Teddington"/>
  </r>
  <r>
    <s v="19/0111/FUL"/>
    <x v="3"/>
    <s v="FULL"/>
    <d v="2019-12-12T00:00:00"/>
    <d v="2022-12-12T00:00:00"/>
    <d v="2020-03-30T00:00:00"/>
    <m/>
    <m/>
    <m/>
    <x v="1"/>
    <x v="0"/>
    <m/>
    <m/>
    <m/>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n v="7"/>
    <m/>
    <m/>
    <m/>
    <m/>
    <m/>
    <m/>
    <m/>
    <n v="7"/>
    <m/>
    <n v="2"/>
    <n v="4"/>
    <m/>
    <m/>
    <m/>
    <m/>
    <m/>
    <m/>
    <n v="6"/>
    <n v="-5"/>
    <n v="4"/>
    <n v="0"/>
    <n v="0"/>
    <n v="0"/>
    <n v="0"/>
    <n v="0"/>
    <n v="0"/>
    <n v="-1"/>
    <m/>
    <m/>
    <m/>
    <n v="-0.5"/>
    <n v="-0.5"/>
    <m/>
    <m/>
    <m/>
    <m/>
    <m/>
    <m/>
    <m/>
    <m/>
    <m/>
    <m/>
    <m/>
    <m/>
    <m/>
    <n v="-1"/>
    <n v="-1"/>
    <m/>
    <m/>
    <m/>
    <n v="517598"/>
    <n v="169722"/>
    <s v="Hampton Wick &amp; South Teddington"/>
  </r>
  <r>
    <s v="19/0175/FUL"/>
    <x v="0"/>
    <s v="FULL"/>
    <d v="2019-05-09T00:00:00"/>
    <d v="2022-05-09T00:00:00"/>
    <d v="2020-11-20T00:00:00"/>
    <m/>
    <m/>
    <m/>
    <x v="1"/>
    <x v="0"/>
    <m/>
    <m/>
    <m/>
    <s v="Demolition of existing one-bedroom, two-storey dwelling and construction of one-bedroom, one-person single-storey dwelling."/>
    <s v="The Haven, Eel Pie Island, Twickenham TW1 3DY"/>
    <s v="TW1 3DY"/>
    <m/>
    <n v="1"/>
    <m/>
    <m/>
    <m/>
    <m/>
    <m/>
    <m/>
    <m/>
    <n v="1"/>
    <m/>
    <n v="1"/>
    <m/>
    <m/>
    <m/>
    <m/>
    <m/>
    <m/>
    <m/>
    <n v="1"/>
    <n v="0"/>
    <n v="0"/>
    <n v="0"/>
    <n v="0"/>
    <n v="0"/>
    <n v="0"/>
    <n v="0"/>
    <n v="0"/>
    <n v="0"/>
    <m/>
    <m/>
    <n v="0"/>
    <m/>
    <m/>
    <m/>
    <m/>
    <m/>
    <m/>
    <m/>
    <m/>
    <m/>
    <m/>
    <m/>
    <m/>
    <m/>
    <m/>
    <m/>
    <n v="0"/>
    <n v="0"/>
    <m/>
    <m/>
    <m/>
    <n v="516414"/>
    <n v="173065"/>
    <s v="Twickenham Riverside"/>
  </r>
  <r>
    <s v="19/0691/FUL"/>
    <x v="0"/>
    <s v="FULL"/>
    <d v="2021-07-28T00:00:00"/>
    <d v="2024-07-28T00:00:00"/>
    <d v="2024-02-01T00:00:00"/>
    <m/>
    <m/>
    <m/>
    <x v="1"/>
    <x v="0"/>
    <m/>
    <m/>
    <m/>
    <s v="Demolition of 38 garages including vehicle repair garage and the erection of six residential units (2x 3 bed and 4 x 2 bed), incorporating two commercial (B1a offices) units (totalling 152 sq.m), with amenity space, 14 off-street car parking spaces and associated works."/>
    <s v="Land Rear Of 127 - 147 Kingsway, Mortlake SW14 7HN"/>
    <s v="SW14 7HN"/>
    <m/>
    <m/>
    <m/>
    <m/>
    <m/>
    <m/>
    <m/>
    <m/>
    <m/>
    <n v="0"/>
    <m/>
    <m/>
    <n v="4"/>
    <n v="2"/>
    <m/>
    <m/>
    <m/>
    <m/>
    <m/>
    <n v="6"/>
    <n v="0"/>
    <n v="4"/>
    <n v="2"/>
    <n v="0"/>
    <n v="0"/>
    <n v="0"/>
    <n v="0"/>
    <n v="0"/>
    <n v="6"/>
    <m/>
    <m/>
    <m/>
    <n v="3"/>
    <n v="3"/>
    <m/>
    <m/>
    <m/>
    <m/>
    <m/>
    <m/>
    <m/>
    <m/>
    <m/>
    <m/>
    <m/>
    <m/>
    <m/>
    <n v="6"/>
    <n v="6"/>
    <m/>
    <m/>
    <m/>
    <n v="519806"/>
    <n v="175640"/>
    <s v="North Richmond"/>
  </r>
  <r>
    <s v="19/0911/FUL"/>
    <x v="2"/>
    <s v="FULL"/>
    <d v="2020-02-05T00:00:00"/>
    <d v="2023-02-05T00:00:00"/>
    <d v="2023-02-03T00:00:00"/>
    <m/>
    <m/>
    <m/>
    <x v="1"/>
    <x v="0"/>
    <m/>
    <m/>
    <m/>
    <s v="Proposed construction of additional floor level to create 2 no. additional two bed flats, together with a three storey side extension in the form of a bay window, change to existing fenestration and addition of 8 no. balconies at first and second floor level and associated hard and soft landscaping, 2 no. parking, refuse and cycle stores."/>
    <s v="Wick House, 10 Station Road, Hampton Wick KT1 4HF"/>
    <s v="KT2 4HF"/>
    <m/>
    <m/>
    <m/>
    <m/>
    <m/>
    <m/>
    <m/>
    <m/>
    <m/>
    <n v="0"/>
    <m/>
    <m/>
    <n v="2"/>
    <m/>
    <m/>
    <m/>
    <m/>
    <m/>
    <m/>
    <n v="2"/>
    <n v="0"/>
    <n v="2"/>
    <n v="0"/>
    <n v="0"/>
    <n v="0"/>
    <n v="0"/>
    <n v="0"/>
    <n v="0"/>
    <n v="2"/>
    <m/>
    <m/>
    <m/>
    <n v="1"/>
    <n v="1"/>
    <m/>
    <m/>
    <m/>
    <m/>
    <m/>
    <m/>
    <m/>
    <m/>
    <m/>
    <m/>
    <m/>
    <m/>
    <m/>
    <n v="2"/>
    <n v="2"/>
    <m/>
    <m/>
    <m/>
    <n v="517543"/>
    <n v="169767"/>
    <s v="Hampton Wick &amp; South Teddington"/>
  </r>
  <r>
    <s v="19/0954/VRC"/>
    <x v="0"/>
    <s v="VRC"/>
    <d v="2019-10-16T00:00:00"/>
    <d v="2022-10-16T00:00:00"/>
    <d v="2021-07-06T00:00:00"/>
    <m/>
    <m/>
    <m/>
    <x v="1"/>
    <x v="0"/>
    <m/>
    <m/>
    <m/>
    <s v="Minor material amendment to application ref 16/3290/FUL (Partial demolition of an existing building and the creation of 3 new dwelling houses and associated works) by variation of appeal decision condition 2 (approved drawing numbers) to allow for external and internal changes"/>
    <s v="45 The Vineyard, Richmond TW10 6AS"/>
    <s v="TW10 6AS"/>
    <m/>
    <m/>
    <n v="2"/>
    <n v="1"/>
    <m/>
    <m/>
    <m/>
    <m/>
    <m/>
    <n v="3"/>
    <m/>
    <m/>
    <m/>
    <m/>
    <n v="3"/>
    <m/>
    <m/>
    <m/>
    <m/>
    <n v="3"/>
    <n v="0"/>
    <n v="-2"/>
    <n v="-1"/>
    <n v="3"/>
    <n v="0"/>
    <n v="0"/>
    <n v="0"/>
    <n v="0"/>
    <n v="0"/>
    <m/>
    <m/>
    <n v="0"/>
    <m/>
    <m/>
    <m/>
    <m/>
    <m/>
    <m/>
    <m/>
    <m/>
    <m/>
    <m/>
    <m/>
    <m/>
    <m/>
    <m/>
    <m/>
    <n v="0"/>
    <n v="0"/>
    <m/>
    <m/>
    <m/>
    <n v="518209"/>
    <n v="174625"/>
    <s v="South Richmond"/>
  </r>
  <r>
    <s v="19/1065/VRC"/>
    <x v="0"/>
    <s v="VRC"/>
    <d v="2019-07-10T00:00:00"/>
    <d v="2022-07-10T00:00:00"/>
    <d v="2020-05-21T00:00:00"/>
    <m/>
    <m/>
    <m/>
    <x v="1"/>
    <x v="0"/>
    <m/>
    <m/>
    <m/>
    <s v="Minor material amendment to planning permission 17/4358/VRC (which varied/removed approved conditions attached to planning permission ref: 08/1760/EXT dated 30.06.2017) and as further amended by 17/4358/NMA to enable minor changes to Block A of the staff accommodation as originally approved U53177 - Approved Plans and amendments to the wording of conditions U50070 NS51 (formerly 21909) - Finished ground floor level, U50083 NS08 - CHP Energy efficiency blocks A, B, C, U50119 NS46 (formerly U21903) - Boundary treatment, U50120 NS48 (formerly U21905) - Hard/soft landscaping and for partial discharge of U50114 NS42 (formerly U21898)  - Site investigation strategy in relation to the site investigation works undertaken for Phase A."/>
    <s v="St Pauls School, Lonsdale Road, Barnes SW13 9JT_x000a_"/>
    <s v="SW13 9JT"/>
    <m/>
    <n v="8"/>
    <n v="2"/>
    <n v="4"/>
    <n v="2"/>
    <m/>
    <m/>
    <m/>
    <m/>
    <n v="16"/>
    <m/>
    <n v="7"/>
    <n v="5"/>
    <n v="6"/>
    <m/>
    <m/>
    <m/>
    <m/>
    <m/>
    <n v="18"/>
    <n v="-1"/>
    <n v="3"/>
    <n v="2"/>
    <n v="-2"/>
    <n v="0"/>
    <n v="0"/>
    <n v="0"/>
    <n v="0"/>
    <n v="2"/>
    <s v="Y"/>
    <m/>
    <m/>
    <n v="1"/>
    <n v="1"/>
    <m/>
    <m/>
    <m/>
    <m/>
    <m/>
    <m/>
    <m/>
    <m/>
    <m/>
    <m/>
    <m/>
    <m/>
    <m/>
    <n v="2"/>
    <n v="2"/>
    <m/>
    <m/>
    <m/>
    <n v="522472"/>
    <n v="177999"/>
    <s v="Barnes"/>
  </r>
  <r>
    <s v="19/1162/FUL"/>
    <x v="3"/>
    <s v="FULL"/>
    <d v="2020-03-20T00:00:00"/>
    <d v="2023-03-20T00:00:00"/>
    <d v="2020-10-01T00:00:00"/>
    <m/>
    <m/>
    <m/>
    <x v="1"/>
    <x v="0"/>
    <m/>
    <m/>
    <m/>
    <s v="Part change of use of ground floor and rear garden from A1 to C3 (residential use) and replacement window on ground floor rear elevation to facilitate the conversion of existing 1 x 3 bed flat into 2 x 2 bed flats and associated cycle and refuse stores"/>
    <s v="82 - 84 Hill Rise, Richmond"/>
    <s v="TW10 6UB"/>
    <m/>
    <m/>
    <m/>
    <n v="1"/>
    <m/>
    <m/>
    <m/>
    <m/>
    <m/>
    <n v="1"/>
    <m/>
    <m/>
    <n v="2"/>
    <m/>
    <m/>
    <m/>
    <m/>
    <m/>
    <m/>
    <n v="2"/>
    <n v="0"/>
    <n v="2"/>
    <n v="-1"/>
    <n v="0"/>
    <n v="0"/>
    <n v="0"/>
    <n v="0"/>
    <n v="0"/>
    <n v="1"/>
    <m/>
    <m/>
    <n v="1"/>
    <m/>
    <m/>
    <m/>
    <m/>
    <m/>
    <m/>
    <m/>
    <m/>
    <m/>
    <m/>
    <m/>
    <m/>
    <m/>
    <m/>
    <m/>
    <n v="1"/>
    <n v="1"/>
    <m/>
    <m/>
    <m/>
    <n v="517949"/>
    <n v="174506"/>
    <s v="South Richmond"/>
  </r>
  <r>
    <s v="19/1182/FUL"/>
    <x v="0"/>
    <s v="FULL"/>
    <d v="2019-07-03T00:00:00"/>
    <d v="2023-06-19T00:00:00"/>
    <d v="2023-04-03T00:00:00"/>
    <m/>
    <m/>
    <d v="2025-07-01T00:00:00"/>
    <x v="1"/>
    <x v="0"/>
    <m/>
    <m/>
    <m/>
    <s v="Erection of a three-bedroom single-storey dwellinghouse (with basement level), with associated access, parking, hard and soft landscaping and cycle and refuse stores."/>
    <s v="Land Rear Of 3 - 7 Third Cross Road, Twickenham"/>
    <s v="TW2"/>
    <m/>
    <m/>
    <m/>
    <m/>
    <m/>
    <m/>
    <m/>
    <m/>
    <m/>
    <n v="0"/>
    <m/>
    <m/>
    <m/>
    <n v="1"/>
    <m/>
    <m/>
    <m/>
    <m/>
    <m/>
    <n v="1"/>
    <n v="0"/>
    <n v="0"/>
    <n v="1"/>
    <n v="0"/>
    <n v="0"/>
    <n v="0"/>
    <n v="0"/>
    <n v="0"/>
    <n v="1"/>
    <m/>
    <m/>
    <n v="1"/>
    <m/>
    <m/>
    <m/>
    <m/>
    <m/>
    <m/>
    <m/>
    <m/>
    <m/>
    <m/>
    <m/>
    <m/>
    <m/>
    <m/>
    <m/>
    <n v="1"/>
    <n v="1"/>
    <m/>
    <m/>
    <m/>
    <n v="515054"/>
    <n v="172751"/>
    <s v="West Twickenham"/>
  </r>
  <r>
    <s v="19/1890/FUL"/>
    <x v="0"/>
    <s v="FULL"/>
    <d v="2020-06-08T00:00:00"/>
    <d v="2023-06-08T00:00:00"/>
    <d v="2022-04-16T00:00:00"/>
    <m/>
    <m/>
    <m/>
    <x v="1"/>
    <x v="0"/>
    <m/>
    <m/>
    <m/>
    <s v="Erection of two pairs of semi-detached 4 bedroom dwellings and associated parking and landscaping following the demolition of the existing property."/>
    <s v="224 Hospital Bridge Road, Twickenham TW2 6LF"/>
    <s v="TW2 6LF"/>
    <m/>
    <m/>
    <m/>
    <n v="1"/>
    <m/>
    <m/>
    <m/>
    <m/>
    <m/>
    <n v="1"/>
    <m/>
    <m/>
    <m/>
    <m/>
    <n v="4"/>
    <m/>
    <m/>
    <m/>
    <m/>
    <n v="4"/>
    <n v="0"/>
    <n v="0"/>
    <n v="-1"/>
    <n v="4"/>
    <n v="0"/>
    <n v="0"/>
    <n v="0"/>
    <n v="0"/>
    <n v="3"/>
    <m/>
    <m/>
    <n v="3"/>
    <m/>
    <m/>
    <m/>
    <m/>
    <m/>
    <m/>
    <m/>
    <m/>
    <m/>
    <m/>
    <m/>
    <m/>
    <m/>
    <m/>
    <m/>
    <n v="3"/>
    <n v="3"/>
    <m/>
    <m/>
    <m/>
    <n v="513614"/>
    <n v="173545"/>
    <s v="Heathfield"/>
  </r>
  <r>
    <s v="19/2199/FUL"/>
    <x v="0"/>
    <s v="FULL"/>
    <d v="2021-01-13T00:00:00"/>
    <d v="2024-01-13T00:00:00"/>
    <d v="2023-06-12T00:00:00"/>
    <m/>
    <m/>
    <d v="2025-07-14T00:00:00"/>
    <x v="1"/>
    <x v="0"/>
    <m/>
    <m/>
    <m/>
    <s v="Erection of a two-storey building with a basement level providing a commercial unit (Flexible Use Class B1 or D1) on part ground floor and basement levels and two flats (2 x 2-beds) on ground and upper floors.  Associated cycle and refuse stores."/>
    <s v="14 St Leonards Road, East Sheen SW14 7LY"/>
    <s v="SW14 7LY"/>
    <m/>
    <m/>
    <m/>
    <m/>
    <m/>
    <m/>
    <m/>
    <m/>
    <m/>
    <n v="0"/>
    <m/>
    <m/>
    <n v="2"/>
    <m/>
    <m/>
    <m/>
    <m/>
    <m/>
    <m/>
    <n v="2"/>
    <n v="0"/>
    <n v="2"/>
    <n v="0"/>
    <n v="0"/>
    <n v="0"/>
    <n v="0"/>
    <n v="0"/>
    <n v="0"/>
    <n v="2"/>
    <m/>
    <m/>
    <n v="2"/>
    <m/>
    <m/>
    <m/>
    <m/>
    <m/>
    <m/>
    <m/>
    <m/>
    <m/>
    <m/>
    <m/>
    <m/>
    <m/>
    <m/>
    <m/>
    <n v="2"/>
    <n v="2"/>
    <m/>
    <m/>
    <m/>
    <n v="520451"/>
    <n v="175621"/>
    <s v="East Sheen"/>
  </r>
  <r>
    <s v="19/2404/FUL"/>
    <x v="0"/>
    <s v="FULL"/>
    <d v="2021-06-30T00:00:00"/>
    <d v="2024-06-30T00:00:00"/>
    <d v="2023-12-02T00:00:00"/>
    <m/>
    <m/>
    <d v="2025-11-21T00:00:00"/>
    <x v="1"/>
    <x v="3"/>
    <m/>
    <m/>
    <m/>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4"/>
    <m/>
    <m/>
    <m/>
    <m/>
    <m/>
    <m/>
    <m/>
    <n v="4"/>
    <n v="4"/>
    <n v="0"/>
    <n v="0"/>
    <n v="0"/>
    <n v="0"/>
    <n v="0"/>
    <n v="0"/>
    <n v="0"/>
    <n v="4"/>
    <s v="Y"/>
    <m/>
    <n v="4"/>
    <m/>
    <m/>
    <m/>
    <m/>
    <m/>
    <m/>
    <m/>
    <m/>
    <m/>
    <m/>
    <m/>
    <m/>
    <m/>
    <m/>
    <m/>
    <n v="4"/>
    <n v="4"/>
    <m/>
    <m/>
    <m/>
    <n v="518792"/>
    <n v="174254"/>
    <s v="South Richmond"/>
  </r>
  <r>
    <s v="19/2404/FUL"/>
    <x v="0"/>
    <s v="FULL"/>
    <d v="2021-06-30T00:00:00"/>
    <d v="2024-06-30T00:00:00"/>
    <d v="2023-12-02T00:00:00"/>
    <m/>
    <m/>
    <d v="2025-11-21T00:00:00"/>
    <x v="1"/>
    <x v="1"/>
    <m/>
    <m/>
    <m/>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7"/>
    <n v="1"/>
    <m/>
    <m/>
    <m/>
    <m/>
    <m/>
    <m/>
    <n v="8"/>
    <n v="7"/>
    <n v="1"/>
    <n v="0"/>
    <n v="0"/>
    <n v="0"/>
    <n v="0"/>
    <n v="0"/>
    <n v="0"/>
    <n v="8"/>
    <s v="Y"/>
    <m/>
    <n v="8"/>
    <m/>
    <m/>
    <m/>
    <m/>
    <m/>
    <m/>
    <m/>
    <m/>
    <m/>
    <m/>
    <m/>
    <m/>
    <m/>
    <m/>
    <m/>
    <n v="8"/>
    <n v="8"/>
    <m/>
    <m/>
    <m/>
    <n v="518792"/>
    <n v="174254"/>
    <s v="South Richmond"/>
  </r>
  <r>
    <s v="19/2414/FUL"/>
    <x v="0"/>
    <s v="FULL"/>
    <d v="2020-07-08T00:00:00"/>
    <d v="2023-07-08T00:00:00"/>
    <d v="2023-07-06T00:00:00"/>
    <m/>
    <m/>
    <m/>
    <x v="1"/>
    <x v="0"/>
    <m/>
    <m/>
    <m/>
    <s v="Erection of a single storey one-bed dwelling, associated parking provision, cycle and refuse stores and landscaping."/>
    <s v="Rear Of 54 Heathside, Whitton"/>
    <s v="TW4 5NN"/>
    <m/>
    <m/>
    <m/>
    <m/>
    <m/>
    <m/>
    <m/>
    <m/>
    <m/>
    <n v="0"/>
    <m/>
    <n v="1"/>
    <m/>
    <m/>
    <m/>
    <m/>
    <m/>
    <m/>
    <m/>
    <n v="1"/>
    <n v="1"/>
    <n v="0"/>
    <n v="0"/>
    <n v="0"/>
    <n v="0"/>
    <n v="0"/>
    <n v="0"/>
    <n v="0"/>
    <n v="1"/>
    <m/>
    <m/>
    <m/>
    <n v="1"/>
    <m/>
    <m/>
    <m/>
    <m/>
    <m/>
    <m/>
    <m/>
    <m/>
    <m/>
    <m/>
    <m/>
    <m/>
    <m/>
    <m/>
    <n v="1"/>
    <n v="1"/>
    <m/>
    <m/>
    <m/>
    <n v="512957"/>
    <n v="173546"/>
    <s v="Heathfield"/>
  </r>
  <r>
    <s v="19/2789/FUL"/>
    <x v="0"/>
    <s v="FULL"/>
    <d v="2020-06-19T00:00:00"/>
    <d v="2023-06-19T00:00:00"/>
    <d v="2023-06-09T00:00:00"/>
    <m/>
    <m/>
    <m/>
    <x v="1"/>
    <x v="4"/>
    <m/>
    <m/>
    <m/>
    <s v="Demolition of existing commercial building and erection of building to provide 15 affordable residential units, together with 12 parking spaces and communal amenity space."/>
    <s v="Lockcorp House, 75 Norcutt Road, Twickenham TW2 6SR"/>
    <s v="TW2 6SR"/>
    <m/>
    <m/>
    <m/>
    <m/>
    <m/>
    <m/>
    <m/>
    <m/>
    <m/>
    <n v="0"/>
    <s v="Y"/>
    <n v="6"/>
    <n v="6"/>
    <n v="3"/>
    <m/>
    <m/>
    <m/>
    <m/>
    <m/>
    <n v="15"/>
    <n v="6"/>
    <n v="6"/>
    <n v="3"/>
    <n v="0"/>
    <n v="0"/>
    <n v="0"/>
    <n v="0"/>
    <n v="0"/>
    <n v="15"/>
    <s v="Y"/>
    <m/>
    <m/>
    <n v="7.5"/>
    <n v="7.5"/>
    <m/>
    <m/>
    <m/>
    <m/>
    <m/>
    <m/>
    <m/>
    <m/>
    <m/>
    <m/>
    <m/>
    <m/>
    <m/>
    <n v="15"/>
    <n v="15"/>
    <m/>
    <m/>
    <m/>
    <n v="515296"/>
    <n v="173304"/>
    <s v="South Twickenham"/>
  </r>
  <r>
    <s v="19/3490/FUL"/>
    <x v="2"/>
    <s v="FULL"/>
    <d v="2020-09-18T00:00:00"/>
    <d v="2023-09-18T00:00:00"/>
    <d v="2023-03-31T00:00:00"/>
    <m/>
    <m/>
    <m/>
    <x v="1"/>
    <x v="0"/>
    <m/>
    <m/>
    <m/>
    <s v="Part two-storey/part single-storey rear extension to provide 1no. additional dwelling, including associated alterations to fenestration, following demolition of existing single-storey rear extension."/>
    <s v="81 High Street, Hampton Wick KT1 4DG"/>
    <s v="KT1 4DG"/>
    <m/>
    <m/>
    <m/>
    <m/>
    <m/>
    <m/>
    <m/>
    <m/>
    <m/>
    <n v="0"/>
    <m/>
    <n v="1"/>
    <m/>
    <m/>
    <m/>
    <m/>
    <m/>
    <m/>
    <m/>
    <n v="1"/>
    <n v="1"/>
    <n v="0"/>
    <n v="0"/>
    <n v="0"/>
    <n v="0"/>
    <n v="0"/>
    <n v="0"/>
    <n v="0"/>
    <n v="1"/>
    <m/>
    <m/>
    <n v="1"/>
    <m/>
    <m/>
    <m/>
    <m/>
    <m/>
    <m/>
    <m/>
    <m/>
    <m/>
    <m/>
    <m/>
    <m/>
    <m/>
    <m/>
    <m/>
    <n v="1"/>
    <n v="1"/>
    <m/>
    <m/>
    <m/>
    <n v="517423"/>
    <n v="169711"/>
    <s v="Hampton Wick &amp; South Teddington"/>
  </r>
  <r>
    <s v="19/3616/FUL"/>
    <x v="0"/>
    <s v="FULL"/>
    <d v="2021-03-03T00:00:00"/>
    <d v="2024-03-03T00:00:00"/>
    <d v="2024-01-10T00:00:00"/>
    <m/>
    <m/>
    <m/>
    <x v="1"/>
    <x v="5"/>
    <m/>
    <m/>
    <m/>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s v="Y"/>
    <n v="10"/>
    <m/>
    <m/>
    <m/>
    <m/>
    <m/>
    <m/>
    <m/>
    <n v="10"/>
    <n v="10"/>
    <n v="0"/>
    <n v="0"/>
    <n v="0"/>
    <n v="0"/>
    <n v="0"/>
    <n v="0"/>
    <n v="0"/>
    <n v="10"/>
    <s v="Y"/>
    <m/>
    <m/>
    <m/>
    <m/>
    <n v="5"/>
    <n v="5"/>
    <m/>
    <m/>
    <m/>
    <m/>
    <m/>
    <m/>
    <m/>
    <m/>
    <m/>
    <m/>
    <m/>
    <n v="10"/>
    <n v="10"/>
    <m/>
    <m/>
    <m/>
    <n v="516060"/>
    <n v="173599"/>
    <s v="Twickenham Riverside"/>
  </r>
  <r>
    <s v="19/3616/FUL"/>
    <x v="0"/>
    <s v="FULL"/>
    <d v="2021-03-03T00:00:00"/>
    <d v="2024-03-03T00:00:00"/>
    <d v="2024-01-10T00:00:00"/>
    <m/>
    <m/>
    <m/>
    <x v="1"/>
    <x v="0"/>
    <m/>
    <m/>
    <m/>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m/>
    <n v="28"/>
    <n v="8"/>
    <m/>
    <m/>
    <m/>
    <m/>
    <m/>
    <m/>
    <n v="36"/>
    <n v="28"/>
    <n v="8"/>
    <n v="0"/>
    <n v="0"/>
    <n v="0"/>
    <n v="0"/>
    <n v="0"/>
    <n v="0"/>
    <n v="36"/>
    <s v="Y"/>
    <m/>
    <m/>
    <m/>
    <m/>
    <n v="18"/>
    <n v="18"/>
    <m/>
    <m/>
    <m/>
    <m/>
    <m/>
    <m/>
    <m/>
    <m/>
    <m/>
    <m/>
    <m/>
    <n v="36"/>
    <n v="36"/>
    <m/>
    <m/>
    <m/>
    <n v="516060"/>
    <n v="173599"/>
    <s v="Twickenham Riverside"/>
  </r>
  <r>
    <s v="19/3632/FUL"/>
    <x v="2"/>
    <s v="FULL"/>
    <d v="2020-11-02T00:00:00"/>
    <d v="2023-11-02T00:00:00"/>
    <d v="2023-11-01T00:00:00"/>
    <m/>
    <m/>
    <m/>
    <x v="1"/>
    <x v="0"/>
    <m/>
    <m/>
    <m/>
    <s v="Loft conversion to no. 1 and no. 3 Cromwell Road to provide 2 x 1 person studios with external extensions (side dormer roof extensions) and alterations with internal remodeling and ancillary cycle and refuse storage."/>
    <s v="1 - 3 Cromwell Road, Teddington"/>
    <s v="TW11 9EQ"/>
    <m/>
    <m/>
    <m/>
    <m/>
    <m/>
    <m/>
    <m/>
    <m/>
    <m/>
    <n v="0"/>
    <m/>
    <n v="2"/>
    <m/>
    <m/>
    <m/>
    <m/>
    <m/>
    <m/>
    <m/>
    <n v="2"/>
    <n v="2"/>
    <n v="0"/>
    <n v="0"/>
    <n v="0"/>
    <n v="0"/>
    <n v="0"/>
    <n v="0"/>
    <n v="0"/>
    <n v="2"/>
    <m/>
    <m/>
    <n v="1"/>
    <n v="1"/>
    <m/>
    <m/>
    <m/>
    <m/>
    <m/>
    <m/>
    <m/>
    <m/>
    <m/>
    <m/>
    <m/>
    <m/>
    <m/>
    <m/>
    <n v="2"/>
    <n v="2"/>
    <m/>
    <m/>
    <m/>
    <n v="516132"/>
    <n v="170736"/>
    <s v="Teddington"/>
  </r>
  <r>
    <s v="19/3905/FUL"/>
    <x v="2"/>
    <s v="FULL"/>
    <d v="2020-10-22T00:00:00"/>
    <d v="2023-10-22T00:00:00"/>
    <d v="2022-02-01T00:00:00"/>
    <m/>
    <m/>
    <d v="2026-01-07T00:00:00"/>
    <x v="1"/>
    <x v="0"/>
    <m/>
    <m/>
    <m/>
    <s v="Replacement shopfront, replacement windows, 2 no. rooflights on front roof slope, new basement level with lightwells and rear staircase ground floor side/rear extension and 3 rear dormer roof extension to facilitate the provision of 1 no. retail unit and 7 no. flats (5 x studio flats and 2 x 1 bed flats) with associated hard and soft landscaping, cycle and refuse stores."/>
    <s v="422 Upper Richmond Road West, East Sheen"/>
    <s v="TW10 5DY"/>
    <m/>
    <m/>
    <m/>
    <m/>
    <m/>
    <m/>
    <m/>
    <m/>
    <m/>
    <n v="0"/>
    <m/>
    <n v="4"/>
    <m/>
    <m/>
    <m/>
    <m/>
    <m/>
    <m/>
    <m/>
    <n v="4"/>
    <n v="4"/>
    <n v="0"/>
    <n v="0"/>
    <n v="0"/>
    <n v="0"/>
    <n v="0"/>
    <n v="0"/>
    <n v="0"/>
    <n v="4"/>
    <m/>
    <m/>
    <n v="4"/>
    <m/>
    <m/>
    <m/>
    <m/>
    <m/>
    <m/>
    <m/>
    <m/>
    <m/>
    <m/>
    <m/>
    <m/>
    <m/>
    <m/>
    <m/>
    <n v="4"/>
    <n v="4"/>
    <m/>
    <m/>
    <m/>
    <n v="519849"/>
    <n v="175357"/>
    <s v="North Richmond"/>
  </r>
  <r>
    <s v="20/0145/FUL"/>
    <x v="4"/>
    <s v="FULL"/>
    <d v="2020-10-05T00:00:00"/>
    <d v="2023-10-05T00:00:00"/>
    <d v="2023-10-05T00:00:00"/>
    <m/>
    <m/>
    <m/>
    <x v="1"/>
    <x v="0"/>
    <m/>
    <m/>
    <m/>
    <s v="3,2m rear extension and division of a single flat into 2 flats."/>
    <s v="133A Percy Road, Twickenham TW2 6HT"/>
    <s v="TW2 6HT"/>
    <m/>
    <m/>
    <m/>
    <m/>
    <n v="1"/>
    <m/>
    <m/>
    <m/>
    <m/>
    <n v="1"/>
    <m/>
    <n v="1"/>
    <n v="1"/>
    <m/>
    <m/>
    <m/>
    <m/>
    <m/>
    <m/>
    <n v="2"/>
    <n v="1"/>
    <n v="1"/>
    <n v="0"/>
    <n v="-1"/>
    <n v="0"/>
    <n v="0"/>
    <n v="0"/>
    <n v="0"/>
    <n v="1"/>
    <m/>
    <m/>
    <n v="1"/>
    <m/>
    <m/>
    <m/>
    <m/>
    <m/>
    <m/>
    <m/>
    <m/>
    <m/>
    <m/>
    <m/>
    <m/>
    <m/>
    <m/>
    <m/>
    <n v="1"/>
    <n v="1"/>
    <m/>
    <m/>
    <m/>
    <n v="514206"/>
    <n v="173520"/>
    <s v="Heathfield"/>
  </r>
  <r>
    <s v="20/0539/FUL"/>
    <x v="0"/>
    <s v="FULL"/>
    <d v="2022-04-04T00:00:00"/>
    <d v="2025-04-04T00:00:00"/>
    <d v="2023-03-10T00:00:00"/>
    <m/>
    <m/>
    <m/>
    <x v="1"/>
    <x v="2"/>
    <m/>
    <m/>
    <m/>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A"/>
    <m/>
    <m/>
    <m/>
    <m/>
    <m/>
    <m/>
    <m/>
    <m/>
    <n v="0"/>
    <s v="Y"/>
    <n v="2"/>
    <n v="4"/>
    <m/>
    <m/>
    <m/>
    <m/>
    <m/>
    <m/>
    <n v="6"/>
    <n v="2"/>
    <n v="4"/>
    <n v="0"/>
    <n v="0"/>
    <n v="0"/>
    <n v="0"/>
    <n v="0"/>
    <n v="0"/>
    <n v="6"/>
    <s v="Y"/>
    <m/>
    <m/>
    <m/>
    <m/>
    <n v="3"/>
    <n v="3"/>
    <m/>
    <m/>
    <m/>
    <m/>
    <m/>
    <m/>
    <m/>
    <m/>
    <m/>
    <m/>
    <m/>
    <n v="6"/>
    <n v="6"/>
    <m/>
    <m/>
    <m/>
    <n v="515141"/>
    <n v="171791"/>
    <s v="Fulwell &amp; Hampton Hill"/>
  </r>
  <r>
    <s v="20/0539/FUL"/>
    <x v="0"/>
    <s v="FULL"/>
    <d v="2022-04-04T00:00:00"/>
    <d v="2025-04-04T00:00:00"/>
    <d v="2023-03-10T00:00:00"/>
    <m/>
    <m/>
    <m/>
    <x v="1"/>
    <x v="3"/>
    <m/>
    <m/>
    <m/>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B"/>
    <m/>
    <m/>
    <m/>
    <m/>
    <m/>
    <m/>
    <m/>
    <m/>
    <n v="0"/>
    <s v="Y"/>
    <n v="4"/>
    <n v="13"/>
    <n v="7"/>
    <m/>
    <m/>
    <m/>
    <m/>
    <m/>
    <n v="24"/>
    <n v="4"/>
    <n v="13"/>
    <n v="7"/>
    <n v="0"/>
    <n v="0"/>
    <n v="0"/>
    <n v="0"/>
    <n v="0"/>
    <n v="24"/>
    <s v="Y"/>
    <m/>
    <m/>
    <m/>
    <m/>
    <n v="12"/>
    <n v="12"/>
    <m/>
    <m/>
    <m/>
    <m/>
    <m/>
    <m/>
    <m/>
    <m/>
    <m/>
    <m/>
    <m/>
    <n v="24"/>
    <n v="24"/>
    <m/>
    <m/>
    <m/>
    <n v="515141"/>
    <n v="171791"/>
    <s v="Fulwell &amp; Hampton Hill"/>
  </r>
  <r>
    <s v="20/0595/FUL"/>
    <x v="3"/>
    <s v="FULL"/>
    <d v="2020-09-24T00:00:00"/>
    <d v="2023-09-24T00:00:00"/>
    <d v="2023-09-01T00:00:00"/>
    <m/>
    <m/>
    <m/>
    <x v="1"/>
    <x v="0"/>
    <m/>
    <m/>
    <m/>
    <s v="Demolition of existing outbuilding.  Single storey side/rear extension to facilitate change of use of rear part of ground floor (A1 (Retail)) to residential use (Class C3) to create 1 x 1 bed flat with associated cycle and refuse store."/>
    <s v="64 White Hart Lane, Barnes SW13 0PZ"/>
    <s v="SW13 0PZ"/>
    <m/>
    <m/>
    <m/>
    <m/>
    <m/>
    <m/>
    <m/>
    <m/>
    <m/>
    <n v="0"/>
    <m/>
    <n v="1"/>
    <m/>
    <m/>
    <m/>
    <m/>
    <m/>
    <m/>
    <m/>
    <n v="1"/>
    <n v="1"/>
    <n v="0"/>
    <n v="0"/>
    <n v="0"/>
    <n v="0"/>
    <n v="0"/>
    <n v="0"/>
    <n v="0"/>
    <n v="1"/>
    <m/>
    <m/>
    <n v="1"/>
    <m/>
    <m/>
    <m/>
    <m/>
    <m/>
    <m/>
    <m/>
    <m/>
    <m/>
    <m/>
    <m/>
    <m/>
    <m/>
    <m/>
    <m/>
    <n v="1"/>
    <n v="1"/>
    <m/>
    <m/>
    <m/>
    <n v="521318"/>
    <n v="175834"/>
    <s v="Mortlake &amp; Barnes Common"/>
  </r>
  <r>
    <s v="20/1846/FUL"/>
    <x v="3"/>
    <s v="FULL"/>
    <d v="2021-02-12T00:00:00"/>
    <d v="2024-02-12T00:00:00"/>
    <d v="2023-09-04T00:00:00"/>
    <m/>
    <m/>
    <m/>
    <x v="1"/>
    <x v="0"/>
    <m/>
    <m/>
    <m/>
    <s v="Ground and basement extensions to facilitate change of use of basement and part change of use of ground floor from A1 to C3 to provide a one- bedroom residential unit"/>
    <s v="4 The Broadway, Barnes SW13 0NY"/>
    <s v="SW13 0NY"/>
    <m/>
    <m/>
    <m/>
    <m/>
    <m/>
    <m/>
    <m/>
    <m/>
    <m/>
    <n v="0"/>
    <m/>
    <n v="1"/>
    <m/>
    <m/>
    <m/>
    <m/>
    <m/>
    <m/>
    <m/>
    <n v="1"/>
    <n v="1"/>
    <n v="0"/>
    <n v="0"/>
    <n v="0"/>
    <n v="0"/>
    <n v="0"/>
    <n v="0"/>
    <n v="0"/>
    <n v="1"/>
    <m/>
    <m/>
    <n v="1"/>
    <m/>
    <m/>
    <m/>
    <m/>
    <m/>
    <m/>
    <m/>
    <m/>
    <m/>
    <m/>
    <m/>
    <m/>
    <m/>
    <m/>
    <m/>
    <n v="1"/>
    <n v="1"/>
    <m/>
    <m/>
    <m/>
    <n v="521239"/>
    <n v="176042"/>
    <s v="Mortlake &amp; Barnes Common"/>
  </r>
  <r>
    <s v="20/2345/FUL"/>
    <x v="0"/>
    <s v="FULL"/>
    <d v="2021-08-02T00:00:00"/>
    <d v="2024-08-02T00:00:00"/>
    <d v="2022-08-31T00:00:00"/>
    <m/>
    <m/>
    <m/>
    <x v="1"/>
    <x v="0"/>
    <m/>
    <m/>
    <m/>
    <s v="Erection of a new 3 bedroom disabled dwelling with mezzanine, dormer room and carers' accommodation and retrospective permission for the demolition of fire destroyed bungalow."/>
    <s v="31A Whitton Waye, Whitton TW3 2LT_x000a_"/>
    <s v="TW3 2LT"/>
    <m/>
    <m/>
    <m/>
    <n v="1"/>
    <m/>
    <m/>
    <m/>
    <m/>
    <m/>
    <n v="1"/>
    <m/>
    <m/>
    <m/>
    <m/>
    <m/>
    <n v="1"/>
    <m/>
    <m/>
    <m/>
    <n v="1"/>
    <n v="0"/>
    <n v="0"/>
    <n v="-1"/>
    <n v="0"/>
    <n v="1"/>
    <n v="0"/>
    <n v="0"/>
    <n v="0"/>
    <n v="0"/>
    <m/>
    <m/>
    <n v="0"/>
    <m/>
    <m/>
    <m/>
    <m/>
    <m/>
    <m/>
    <m/>
    <m/>
    <m/>
    <m/>
    <m/>
    <m/>
    <m/>
    <m/>
    <m/>
    <n v="0"/>
    <n v="0"/>
    <m/>
    <m/>
    <m/>
    <n v="513403"/>
    <n v="174165"/>
    <s v="Heathfield"/>
  </r>
  <r>
    <s v="20/2358/FUL"/>
    <x v="1"/>
    <s v="FULL"/>
    <d v="2020-10-30T00:00:00"/>
    <d v="2024-09-23T00:00:00"/>
    <d v="2022-05-01T00:00:00"/>
    <m/>
    <m/>
    <d v="2025-11-19T00:00:00"/>
    <x v="1"/>
    <x v="0"/>
    <m/>
    <m/>
    <m/>
    <s v="Change of use for conversion of an office designed as a live work one-bedroom residential property to a two-bedroom residential property, with associated landscaping."/>
    <s v="19 Thames Street, Hampton TW12 2EW_x000a_"/>
    <s v="TW12 2EW"/>
    <m/>
    <n v="1"/>
    <m/>
    <m/>
    <m/>
    <m/>
    <m/>
    <m/>
    <m/>
    <n v="1"/>
    <m/>
    <m/>
    <n v="1"/>
    <m/>
    <m/>
    <m/>
    <m/>
    <m/>
    <m/>
    <n v="1"/>
    <n v="-1"/>
    <n v="1"/>
    <n v="0"/>
    <n v="0"/>
    <n v="0"/>
    <n v="0"/>
    <n v="0"/>
    <n v="0"/>
    <n v="0"/>
    <m/>
    <m/>
    <n v="0"/>
    <m/>
    <m/>
    <m/>
    <m/>
    <m/>
    <m/>
    <m/>
    <m/>
    <m/>
    <m/>
    <m/>
    <m/>
    <m/>
    <m/>
    <m/>
    <n v="0"/>
    <n v="0"/>
    <m/>
    <m/>
    <m/>
    <n v="513893"/>
    <n v="169502"/>
    <s v="Hampton"/>
  </r>
  <r>
    <s v="20/3489/FUL"/>
    <x v="3"/>
    <s v="FULL"/>
    <d v="2022-03-04T00:00:00"/>
    <d v="2025-03-04T00:00:00"/>
    <d v="2025-02-17T00:00:00"/>
    <s v="Y"/>
    <m/>
    <m/>
    <x v="1"/>
    <x v="0"/>
    <m/>
    <m/>
    <m/>
    <s v="Erection of hip to gable roof extension to No. 7. Subdivision of garden plot, first floor side and rear extension, rear dormer, front ground and first floor bay windows to facilitate the provision of 1 x 3 bed house adjoining 7 Dorset Way with associated hard and soft landscaping."/>
    <s v="7 Dorset Way, Twickenham TW2 6NB"/>
    <s v="TW2 6NB"/>
    <m/>
    <m/>
    <m/>
    <m/>
    <m/>
    <m/>
    <m/>
    <m/>
    <m/>
    <n v="0"/>
    <m/>
    <m/>
    <m/>
    <n v="1"/>
    <m/>
    <m/>
    <m/>
    <m/>
    <m/>
    <n v="1"/>
    <n v="0"/>
    <n v="0"/>
    <n v="1"/>
    <n v="0"/>
    <n v="0"/>
    <n v="0"/>
    <n v="0"/>
    <n v="0"/>
    <n v="1"/>
    <m/>
    <m/>
    <n v="0.5"/>
    <n v="0.5"/>
    <m/>
    <m/>
    <m/>
    <m/>
    <m/>
    <m/>
    <m/>
    <m/>
    <m/>
    <m/>
    <m/>
    <m/>
    <m/>
    <m/>
    <n v="1"/>
    <n v="1"/>
    <m/>
    <m/>
    <m/>
    <n v="514523"/>
    <n v="173247"/>
    <s v="West Twickenham"/>
  </r>
  <r>
    <s v="20/3495/FUL"/>
    <x v="1"/>
    <s v="FULL"/>
    <d v="2021-03-08T00:00:00"/>
    <d v="2024-03-08T00:00:00"/>
    <d v="2024-01-24T00:00:00"/>
    <m/>
    <m/>
    <m/>
    <x v="1"/>
    <x v="0"/>
    <m/>
    <m/>
    <m/>
    <s v="Conversion of existing ancillary residential accommodation to a single-family dwelling house with minor external alterations, associated parking, refuse and cycle enclosures."/>
    <s v="Land To Rear Of 24 Marchmont Road, Richmond TW10 6HQ"/>
    <s v="TW10 6HQ"/>
    <m/>
    <m/>
    <m/>
    <m/>
    <m/>
    <m/>
    <m/>
    <m/>
    <m/>
    <n v="0"/>
    <m/>
    <n v="1"/>
    <m/>
    <m/>
    <m/>
    <m/>
    <m/>
    <m/>
    <m/>
    <n v="1"/>
    <n v="1"/>
    <n v="0"/>
    <n v="0"/>
    <n v="0"/>
    <n v="0"/>
    <n v="0"/>
    <n v="0"/>
    <n v="0"/>
    <n v="1"/>
    <m/>
    <m/>
    <n v="1"/>
    <m/>
    <m/>
    <m/>
    <m/>
    <m/>
    <m/>
    <m/>
    <m/>
    <m/>
    <m/>
    <m/>
    <m/>
    <m/>
    <m/>
    <m/>
    <n v="1"/>
    <n v="1"/>
    <m/>
    <m/>
    <m/>
    <n v="518831"/>
    <n v="174557"/>
    <s v="South Richmond"/>
  </r>
  <r>
    <s v="21/0129/PS192"/>
    <x v="1"/>
    <s v="S192"/>
    <d v="2021-02-16T00:00:00"/>
    <d v="2024-02-16T00:00:00"/>
    <d v="2021-12-01T00:00:00"/>
    <m/>
    <m/>
    <d v="2025-07-02T00:00:00"/>
    <x v="1"/>
    <x v="0"/>
    <m/>
    <m/>
    <m/>
    <s v="Conversion of the existing 4-storey Use Class A2 unit to mixed-use, comprising an A2 unit at ground floor and two residential flats above on the second, third, and fourth floors."/>
    <s v="1 London Road, Twickenham TW1 3SX"/>
    <s v="TW1 3SX"/>
    <m/>
    <m/>
    <m/>
    <m/>
    <m/>
    <m/>
    <m/>
    <m/>
    <m/>
    <n v="0"/>
    <m/>
    <n v="1"/>
    <n v="1"/>
    <m/>
    <m/>
    <m/>
    <m/>
    <m/>
    <m/>
    <n v="2"/>
    <n v="1"/>
    <n v="1"/>
    <n v="0"/>
    <n v="0"/>
    <n v="0"/>
    <n v="0"/>
    <n v="0"/>
    <n v="0"/>
    <n v="2"/>
    <m/>
    <m/>
    <n v="2"/>
    <m/>
    <m/>
    <m/>
    <m/>
    <m/>
    <m/>
    <m/>
    <m/>
    <m/>
    <m/>
    <m/>
    <m/>
    <m/>
    <m/>
    <m/>
    <n v="2"/>
    <n v="2"/>
    <m/>
    <m/>
    <m/>
    <n v="516260"/>
    <n v="173296"/>
    <s v="Twickenham Riverside"/>
  </r>
  <r>
    <s v="21/0699/FUL"/>
    <x v="2"/>
    <s v="FULL"/>
    <d v="2021-08-03T00:00:00"/>
    <d v="2024-08-03T00:00:00"/>
    <d v="2024-06-03T00:00:00"/>
    <s v="Y"/>
    <m/>
    <d v="2025-10-15T00:00:00"/>
    <x v="1"/>
    <x v="0"/>
    <m/>
    <m/>
    <m/>
    <s v="Upward roof extension to provide for one flat, and alter elevations, and associated works"/>
    <s v="47 Crown Road, Twickenham TW1 3EJ"/>
    <s v="TW1 3EJ"/>
    <m/>
    <m/>
    <m/>
    <m/>
    <m/>
    <m/>
    <m/>
    <m/>
    <m/>
    <n v="0"/>
    <m/>
    <m/>
    <n v="1"/>
    <m/>
    <m/>
    <m/>
    <m/>
    <m/>
    <m/>
    <n v="1"/>
    <n v="0"/>
    <n v="1"/>
    <n v="0"/>
    <n v="0"/>
    <n v="0"/>
    <n v="0"/>
    <n v="0"/>
    <n v="0"/>
    <n v="1"/>
    <m/>
    <m/>
    <n v="1"/>
    <m/>
    <m/>
    <m/>
    <m/>
    <m/>
    <m/>
    <m/>
    <m/>
    <m/>
    <m/>
    <m/>
    <m/>
    <m/>
    <m/>
    <m/>
    <n v="1"/>
    <n v="1"/>
    <m/>
    <m/>
    <m/>
    <n v="516925"/>
    <n v="174069"/>
    <s v="St. Margarets &amp; North Twickenham"/>
  </r>
  <r>
    <s v="21/0754/GPD15"/>
    <x v="1"/>
    <s v="PA"/>
    <d v="2021-04-12T00:00:00"/>
    <d v="2024-04-12T00:00:00"/>
    <d v="2022-01-17T00:00:00"/>
    <m/>
    <m/>
    <m/>
    <x v="1"/>
    <x v="0"/>
    <m/>
    <m/>
    <m/>
    <s v="Change of use from existing offices in building of 63-65 High Street to 12 residential flats (including retention of 3 existing self-contained flats on second floor)."/>
    <s v="63 - 65 High Street, Hampton Hill"/>
    <s v="TW12 1NH"/>
    <m/>
    <m/>
    <m/>
    <m/>
    <m/>
    <m/>
    <m/>
    <m/>
    <m/>
    <n v="0"/>
    <m/>
    <n v="4"/>
    <n v="8"/>
    <m/>
    <m/>
    <m/>
    <m/>
    <m/>
    <m/>
    <n v="12"/>
    <n v="4"/>
    <n v="8"/>
    <n v="0"/>
    <n v="0"/>
    <n v="0"/>
    <n v="0"/>
    <n v="0"/>
    <n v="0"/>
    <n v="12"/>
    <s v="Y"/>
    <m/>
    <n v="12"/>
    <m/>
    <m/>
    <m/>
    <m/>
    <m/>
    <m/>
    <m/>
    <m/>
    <m/>
    <m/>
    <m/>
    <m/>
    <m/>
    <m/>
    <m/>
    <n v="12"/>
    <n v="12"/>
    <m/>
    <m/>
    <m/>
    <n v="514247"/>
    <n v="170821"/>
    <s v="Fulwell &amp; Hampton Hill"/>
  </r>
  <r>
    <s v="21/1174/FUL"/>
    <x v="0"/>
    <s v="FULL"/>
    <d v="2023-12-21T00:00:00"/>
    <d v="2026-12-21T00:00:00"/>
    <d v="2024-01-15T00:00:00"/>
    <m/>
    <m/>
    <m/>
    <x v="1"/>
    <x v="0"/>
    <m/>
    <m/>
    <m/>
    <s v="Single storey rear extension to existing dwelling. New attached two-storey dwelling with habitable roof space, 2No. parking spaces, associated landscaping and re-located crossover."/>
    <s v="21 River Way, Twickenham TW2 5JP"/>
    <s v="TW2 5JP"/>
    <m/>
    <m/>
    <m/>
    <m/>
    <m/>
    <m/>
    <m/>
    <m/>
    <m/>
    <n v="0"/>
    <m/>
    <m/>
    <m/>
    <n v="1"/>
    <m/>
    <m/>
    <m/>
    <m/>
    <m/>
    <n v="1"/>
    <n v="0"/>
    <n v="0"/>
    <n v="1"/>
    <n v="0"/>
    <n v="0"/>
    <n v="0"/>
    <n v="0"/>
    <n v="0"/>
    <n v="1"/>
    <m/>
    <m/>
    <n v="1"/>
    <m/>
    <m/>
    <m/>
    <m/>
    <m/>
    <m/>
    <m/>
    <m/>
    <m/>
    <m/>
    <m/>
    <m/>
    <m/>
    <m/>
    <m/>
    <n v="1"/>
    <n v="1"/>
    <m/>
    <m/>
    <m/>
    <n v="513620"/>
    <n v="172514"/>
    <s v="West Twickenham"/>
  </r>
  <r>
    <s v="21/1328/FUL"/>
    <x v="0"/>
    <s v="FULL"/>
    <d v="2022-04-21T00:00:00"/>
    <d v="2025-04-21T00:00:00"/>
    <d v="2024-01-26T00:00:00"/>
    <m/>
    <m/>
    <m/>
    <x v="1"/>
    <x v="0"/>
    <m/>
    <m/>
    <m/>
    <s v="Part three storey part single storey extension to provide an additional retail unit (Class E) at ground floor and 1 x residential dwelling on upper floors.  Alterations to bay windows at 171 Ashburnham Road.  Associated hard and soft landscaping works inc"/>
    <s v="Land South Of 171 And 171 Ashburnham Road, Ham"/>
    <s v="TW10 7NR"/>
    <m/>
    <m/>
    <m/>
    <m/>
    <m/>
    <m/>
    <m/>
    <m/>
    <m/>
    <n v="0"/>
    <m/>
    <m/>
    <n v="1"/>
    <m/>
    <m/>
    <m/>
    <m/>
    <m/>
    <m/>
    <n v="1"/>
    <n v="0"/>
    <n v="1"/>
    <n v="0"/>
    <n v="0"/>
    <n v="0"/>
    <n v="0"/>
    <n v="0"/>
    <n v="0"/>
    <n v="1"/>
    <m/>
    <m/>
    <n v="0.5"/>
    <n v="0.5"/>
    <m/>
    <m/>
    <m/>
    <m/>
    <m/>
    <m/>
    <m/>
    <m/>
    <m/>
    <m/>
    <m/>
    <m/>
    <m/>
    <m/>
    <n v="1"/>
    <n v="1"/>
    <m/>
    <m/>
    <m/>
    <n v="516850"/>
    <n v="172139"/>
    <s v="Ham, Petersham &amp; Richmond Riverside"/>
  </r>
  <r>
    <s v="21/1841/FUL"/>
    <x v="3"/>
    <s v="FULL"/>
    <d v="2023-02-16T00:00:00"/>
    <d v="2026-02-16T00:00:00"/>
    <d v="2023-06-01T00:00:00"/>
    <m/>
    <m/>
    <d v="2025-09-18T00:00:00"/>
    <x v="1"/>
    <x v="0"/>
    <m/>
    <m/>
    <m/>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m/>
    <m/>
    <n v="2"/>
    <m/>
    <m/>
    <m/>
    <m/>
    <m/>
    <m/>
    <m/>
    <m/>
    <m/>
    <m/>
    <m/>
    <m/>
    <m/>
    <m/>
    <m/>
    <n v="2"/>
    <n v="2"/>
    <m/>
    <m/>
    <m/>
    <n v="513825"/>
    <n v="169567"/>
    <s v="Hampton"/>
  </r>
  <r>
    <s v="21/1864/FUL"/>
    <x v="4"/>
    <s v="FULL"/>
    <d v="2022-03-31T00:00:00"/>
    <d v="2025-03-31T00:00:00"/>
    <d v="2025-03-01T00:00:00"/>
    <s v="Y"/>
    <m/>
    <m/>
    <x v="1"/>
    <x v="0"/>
    <m/>
    <m/>
    <m/>
    <s v="Extension of existing house and reversion of two (33 and 35) plots into one and associated hard and soft landscaping"/>
    <s v="33 Ham Farm Road, Ham, Richmond TW10 5NA"/>
    <s v="TW10 5NA"/>
    <m/>
    <n v="1"/>
    <n v="1"/>
    <m/>
    <m/>
    <m/>
    <m/>
    <m/>
    <m/>
    <n v="2"/>
    <m/>
    <m/>
    <m/>
    <m/>
    <n v="1"/>
    <m/>
    <m/>
    <m/>
    <m/>
    <n v="1"/>
    <n v="-1"/>
    <n v="-1"/>
    <n v="0"/>
    <n v="1"/>
    <n v="0"/>
    <n v="0"/>
    <n v="0"/>
    <n v="0"/>
    <n v="-1"/>
    <m/>
    <m/>
    <n v="-1"/>
    <m/>
    <m/>
    <m/>
    <m/>
    <m/>
    <m/>
    <m/>
    <m/>
    <m/>
    <m/>
    <m/>
    <m/>
    <m/>
    <m/>
    <m/>
    <n v="-1"/>
    <n v="-1"/>
    <m/>
    <m/>
    <m/>
    <n v="518104"/>
    <n v="171628"/>
    <s v="Ham, Petersham &amp; Richmond Riverside"/>
  </r>
  <r>
    <s v="21/2208/FUL"/>
    <x v="0"/>
    <s v="FULL"/>
    <d v="2023-04-05T00:00:00"/>
    <d v="2026-04-05T00:00:00"/>
    <d v="2024-01-07T00:00:00"/>
    <m/>
    <m/>
    <d v="2025-07-31T00:00:00"/>
    <x v="1"/>
    <x v="5"/>
    <m/>
    <m/>
    <m/>
    <s v="Erection of three-storey building comprising six residential apartments (3 x 1 bed/1 person, 2 x 1 bed/2 person, 1 x 1 person M(4)3);  landscaping including private amenity space and ecological enhancement; secure cycle and refuse storage structures."/>
    <s v="Potterill Court, Harlequin Road, Teddington"/>
    <s v="TW11 9BY"/>
    <m/>
    <m/>
    <m/>
    <m/>
    <m/>
    <m/>
    <m/>
    <m/>
    <m/>
    <n v="0"/>
    <s v="Y"/>
    <n v="6"/>
    <m/>
    <m/>
    <m/>
    <m/>
    <m/>
    <m/>
    <m/>
    <n v="6"/>
    <n v="6"/>
    <n v="0"/>
    <n v="0"/>
    <n v="0"/>
    <n v="0"/>
    <n v="0"/>
    <n v="0"/>
    <n v="0"/>
    <n v="6"/>
    <m/>
    <m/>
    <n v="6"/>
    <m/>
    <m/>
    <m/>
    <m/>
    <m/>
    <m/>
    <m/>
    <m/>
    <m/>
    <m/>
    <m/>
    <m/>
    <m/>
    <m/>
    <m/>
    <n v="6"/>
    <n v="6"/>
    <m/>
    <m/>
    <m/>
    <n v="516721"/>
    <n v="170449"/>
    <s v="Hampton Wick &amp; South Teddington"/>
  </r>
  <r>
    <s v="21/2282/FUL"/>
    <x v="0"/>
    <s v="FULL"/>
    <d v="2023-01-30T00:00:00"/>
    <d v="2026-01-30T00:00:00"/>
    <d v="2023-12-15T00:00:00"/>
    <m/>
    <m/>
    <d v="2025-10-01T00:00:00"/>
    <x v="1"/>
    <x v="5"/>
    <m/>
    <m/>
    <m/>
    <s v="Erection of a two-storey building comprising 4 residential apartments ( 3 x 1 bed/1 person units and 1 x 1 bed/1 person M(4)3 unit); landscaping including private amenity space and ecological enhancement; secure cycle and refuse storage structures."/>
    <s v="Land Adjacent 12 Willow Avenue, Barnes"/>
    <s v="SW13 0LT"/>
    <m/>
    <m/>
    <m/>
    <m/>
    <m/>
    <m/>
    <m/>
    <m/>
    <m/>
    <n v="0"/>
    <s v="Y"/>
    <n v="4"/>
    <m/>
    <m/>
    <m/>
    <m/>
    <m/>
    <m/>
    <m/>
    <n v="4"/>
    <n v="4"/>
    <n v="0"/>
    <n v="0"/>
    <n v="0"/>
    <n v="0"/>
    <n v="0"/>
    <n v="0"/>
    <n v="0"/>
    <n v="4"/>
    <m/>
    <m/>
    <n v="4"/>
    <m/>
    <m/>
    <m/>
    <m/>
    <m/>
    <m/>
    <m/>
    <m/>
    <m/>
    <m/>
    <m/>
    <m/>
    <m/>
    <m/>
    <m/>
    <n v="4"/>
    <n v="4"/>
    <m/>
    <m/>
    <m/>
    <n v="521874"/>
    <n v="176054"/>
    <s v="Mortlake &amp; Barnes Common"/>
  </r>
  <r>
    <s v="21/2441/FUL"/>
    <x v="1"/>
    <s v="FULL"/>
    <d v="2022-08-23T00:00:00"/>
    <d v="2025-08-23T00:00:00"/>
    <d v="2022-09-01T00:00:00"/>
    <m/>
    <m/>
    <d v="2025-10-01T00:00:00"/>
    <x v="1"/>
    <x v="0"/>
    <m/>
    <m/>
    <m/>
    <s v="Change of use (to C3) of former Royal Oak Public House. Alterations and extension to ground floor, and alterations to existing facades to create 1 x 3 bedroom dwellinghouse with 2 x off-street parking spaces and associated cycle parking."/>
    <s v="The Royal Oak, Ham Street, Ham, Richmond TW10 7HN"/>
    <s v="TW10 7HN"/>
    <m/>
    <m/>
    <m/>
    <m/>
    <m/>
    <m/>
    <m/>
    <m/>
    <m/>
    <n v="0"/>
    <m/>
    <m/>
    <m/>
    <n v="1"/>
    <m/>
    <m/>
    <m/>
    <m/>
    <m/>
    <n v="1"/>
    <n v="0"/>
    <n v="0"/>
    <n v="1"/>
    <n v="0"/>
    <n v="0"/>
    <n v="0"/>
    <n v="0"/>
    <n v="0"/>
    <n v="1"/>
    <m/>
    <m/>
    <n v="0.5"/>
    <n v="0.5"/>
    <m/>
    <m/>
    <m/>
    <m/>
    <m/>
    <m/>
    <m/>
    <m/>
    <m/>
    <m/>
    <m/>
    <m/>
    <m/>
    <m/>
    <n v="1"/>
    <n v="1"/>
    <m/>
    <m/>
    <m/>
    <n v="517302"/>
    <n v="172516"/>
    <s v="Ham, Petersham &amp; Richmond Riverside"/>
  </r>
  <r>
    <s v="21/2533/FUL"/>
    <x v="0"/>
    <s v="FULL"/>
    <d v="2022-06-23T00:00:00"/>
    <d v="2025-06-23T00:00:00"/>
    <d v="2024-06-03T00:00:00"/>
    <s v="Y"/>
    <m/>
    <m/>
    <x v="1"/>
    <x v="2"/>
    <m/>
    <m/>
    <m/>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
    <n v="2"/>
    <m/>
    <m/>
    <m/>
    <m/>
    <m/>
    <m/>
    <n v="3"/>
    <n v="1"/>
    <n v="2"/>
    <n v="0"/>
    <n v="0"/>
    <n v="0"/>
    <n v="0"/>
    <n v="0"/>
    <n v="0"/>
    <n v="3"/>
    <s v="Y"/>
    <m/>
    <m/>
    <m/>
    <n v="1.5"/>
    <n v="1.5"/>
    <m/>
    <m/>
    <m/>
    <m/>
    <m/>
    <m/>
    <m/>
    <m/>
    <m/>
    <m/>
    <m/>
    <m/>
    <n v="3"/>
    <n v="3"/>
    <m/>
    <m/>
    <m/>
    <n v="515712"/>
    <n v="170847"/>
    <s v="Teddington"/>
  </r>
  <r>
    <s v="21/2533/FUL"/>
    <x v="0"/>
    <s v="FULL"/>
    <d v="2022-06-23T00:00:00"/>
    <d v="2025-06-23T00:00:00"/>
    <d v="2024-06-03T00:00:00"/>
    <s v="Y"/>
    <m/>
    <m/>
    <x v="1"/>
    <x v="6"/>
    <m/>
    <m/>
    <m/>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3"/>
    <m/>
    <m/>
    <m/>
    <m/>
    <m/>
    <m/>
    <m/>
    <n v="13"/>
    <n v="13"/>
    <n v="0"/>
    <n v="0"/>
    <n v="0"/>
    <n v="0"/>
    <n v="0"/>
    <n v="0"/>
    <n v="0"/>
    <n v="13"/>
    <s v="Y"/>
    <m/>
    <m/>
    <m/>
    <n v="6.5"/>
    <n v="6.5"/>
    <m/>
    <m/>
    <m/>
    <m/>
    <m/>
    <m/>
    <m/>
    <m/>
    <m/>
    <m/>
    <m/>
    <m/>
    <n v="13"/>
    <n v="13"/>
    <m/>
    <m/>
    <m/>
    <n v="515712"/>
    <n v="170847"/>
    <s v="Teddington"/>
  </r>
  <r>
    <s v="21/2729/FUL"/>
    <x v="4"/>
    <s v="FULL"/>
    <d v="2021-10-20T00:00:00"/>
    <d v="2025-04-29T00:00:00"/>
    <d v="2025-03-17T00:00:00"/>
    <m/>
    <m/>
    <m/>
    <x v="1"/>
    <x v="0"/>
    <m/>
    <m/>
    <m/>
    <s v="Renovation, rear single storey extension, new gable roof extension and rear basement to existing building to form six apartments."/>
    <s v="85 Connaught Road, Teddington"/>
    <s v="TW11 0QQ"/>
    <m/>
    <m/>
    <n v="1"/>
    <n v="1"/>
    <m/>
    <m/>
    <m/>
    <m/>
    <m/>
    <n v="2"/>
    <m/>
    <n v="4"/>
    <n v="2"/>
    <m/>
    <m/>
    <m/>
    <m/>
    <m/>
    <m/>
    <n v="6"/>
    <n v="4"/>
    <n v="1"/>
    <n v="-1"/>
    <n v="0"/>
    <n v="0"/>
    <n v="0"/>
    <n v="0"/>
    <n v="0"/>
    <n v="4"/>
    <m/>
    <m/>
    <m/>
    <n v="2"/>
    <n v="2"/>
    <m/>
    <m/>
    <m/>
    <m/>
    <m/>
    <m/>
    <m/>
    <m/>
    <m/>
    <m/>
    <m/>
    <m/>
    <m/>
    <n v="4"/>
    <n v="4"/>
    <m/>
    <m/>
    <m/>
    <n v="514630"/>
    <n v="171361"/>
    <s v="Fulwell &amp; Hampton Hill"/>
  </r>
  <r>
    <s v="21/2965/FUL"/>
    <x v="1"/>
    <s v="FULL"/>
    <d v="2022-03-02T00:00:00"/>
    <d v="2025-03-02T00:00:00"/>
    <d v="2025-03-01T00:00:00"/>
    <s v="Y"/>
    <m/>
    <m/>
    <x v="1"/>
    <x v="0"/>
    <m/>
    <m/>
    <m/>
    <s v="Change of use of basement from mixed storage to self-contained 2 bed dwelling,  single storey extension, extension to existing basement, creation  new side entrance on the eastern elevation, extension of rear terrace,  new pitched roof on the front elevation, side extension . Alterations  to the existing boundary fence."/>
    <s v="2 Montrose Avenue, Twickenham TW2 6HB"/>
    <s v="TW2 6HB"/>
    <m/>
    <m/>
    <m/>
    <m/>
    <m/>
    <m/>
    <m/>
    <m/>
    <m/>
    <n v="0"/>
    <m/>
    <m/>
    <n v="1"/>
    <m/>
    <m/>
    <m/>
    <m/>
    <m/>
    <m/>
    <n v="1"/>
    <n v="0"/>
    <n v="1"/>
    <n v="0"/>
    <n v="0"/>
    <n v="0"/>
    <n v="0"/>
    <n v="0"/>
    <n v="0"/>
    <n v="1"/>
    <m/>
    <m/>
    <n v="1"/>
    <m/>
    <m/>
    <m/>
    <m/>
    <m/>
    <m/>
    <m/>
    <m/>
    <m/>
    <m/>
    <m/>
    <m/>
    <m/>
    <m/>
    <m/>
    <n v="1"/>
    <n v="1"/>
    <m/>
    <m/>
    <m/>
    <n v="514165"/>
    <n v="173531"/>
    <s v="Heathfield"/>
  </r>
  <r>
    <s v="21/3136/FUL"/>
    <x v="0"/>
    <s v="FULL"/>
    <d v="2023-02-28T00:00:00"/>
    <d v="2026-02-28T00:00:00"/>
    <d v="2024-03-03T00:00:00"/>
    <m/>
    <m/>
    <m/>
    <x v="1"/>
    <x v="1"/>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8"/>
    <n v="13"/>
    <n v="7"/>
    <m/>
    <m/>
    <m/>
    <m/>
    <m/>
    <n v="28"/>
    <n v="8"/>
    <n v="13"/>
    <n v="7"/>
    <n v="0"/>
    <n v="0"/>
    <n v="0"/>
    <n v="0"/>
    <n v="0"/>
    <n v="28"/>
    <s v="Y"/>
    <m/>
    <m/>
    <n v="14"/>
    <n v="14"/>
    <m/>
    <m/>
    <m/>
    <m/>
    <m/>
    <m/>
    <m/>
    <m/>
    <m/>
    <m/>
    <m/>
    <m/>
    <m/>
    <n v="28"/>
    <n v="28"/>
    <m/>
    <m/>
    <m/>
    <n v="515278"/>
    <n v="173797"/>
    <s v="St. Margarets &amp; North Twickenham"/>
  </r>
  <r>
    <s v="21/3136/FUL"/>
    <x v="0"/>
    <s v="FULL"/>
    <d v="2023-02-28T00:00:00"/>
    <d v="2026-02-28T00:00:00"/>
    <d v="2024-03-03T00:00:00"/>
    <m/>
    <m/>
    <m/>
    <x v="1"/>
    <x v="2"/>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29"/>
    <n v="41"/>
    <n v="10"/>
    <m/>
    <m/>
    <m/>
    <m/>
    <m/>
    <n v="80"/>
    <n v="29"/>
    <n v="41"/>
    <n v="10"/>
    <n v="0"/>
    <n v="0"/>
    <n v="0"/>
    <n v="0"/>
    <n v="0"/>
    <n v="80"/>
    <s v="Y"/>
    <m/>
    <m/>
    <n v="40"/>
    <n v="40"/>
    <m/>
    <m/>
    <m/>
    <m/>
    <m/>
    <m/>
    <m/>
    <m/>
    <m/>
    <m/>
    <m/>
    <m/>
    <m/>
    <n v="80"/>
    <n v="80"/>
    <m/>
    <m/>
    <m/>
    <n v="515278"/>
    <n v="173797"/>
    <s v="St. Margarets &amp; North Twickenham"/>
  </r>
  <r>
    <s v="21/3136/FUL"/>
    <x v="0"/>
    <s v="FULL"/>
    <d v="2023-02-28T00:00:00"/>
    <d v="2026-02-28T00:00:00"/>
    <d v="2024-03-03T00:00:00"/>
    <m/>
    <m/>
    <m/>
    <x v="1"/>
    <x v="0"/>
    <m/>
    <m/>
    <m/>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m/>
    <n v="39"/>
    <n v="31"/>
    <n v="26"/>
    <n v="8"/>
    <m/>
    <m/>
    <m/>
    <m/>
    <n v="104"/>
    <n v="39"/>
    <n v="31"/>
    <n v="26"/>
    <n v="8"/>
    <n v="0"/>
    <n v="0"/>
    <n v="0"/>
    <n v="0"/>
    <n v="104"/>
    <s v="Y"/>
    <m/>
    <m/>
    <n v="52"/>
    <n v="52"/>
    <m/>
    <m/>
    <m/>
    <m/>
    <m/>
    <m/>
    <m/>
    <m/>
    <m/>
    <m/>
    <m/>
    <m/>
    <m/>
    <n v="104"/>
    <n v="104"/>
    <m/>
    <m/>
    <m/>
    <n v="515278"/>
    <n v="173797"/>
    <s v="St. Margarets &amp; North Twickenham"/>
  </r>
  <r>
    <s v="21/3188/FUL"/>
    <x v="0"/>
    <s v="FULL"/>
    <d v="2022-08-22T00:00:00"/>
    <d v="2025-08-26T00:00:00"/>
    <d v="2023-09-04T00:00:00"/>
    <m/>
    <m/>
    <m/>
    <x v="1"/>
    <x v="0"/>
    <m/>
    <m/>
    <m/>
    <s v="Erection of 7 residential units (4 x 1 and 2 bed flats and 3 x 3 bed houses) with ground floor Class E commercial business and service space (73.3m2) including associated works."/>
    <s v="Adjacent To 118 Kneller Road, Twickenham TW2 7DX"/>
    <s v="TW10 6UB"/>
    <m/>
    <m/>
    <m/>
    <m/>
    <m/>
    <m/>
    <m/>
    <m/>
    <m/>
    <n v="0"/>
    <m/>
    <n v="2"/>
    <n v="2"/>
    <n v="3"/>
    <m/>
    <m/>
    <m/>
    <m/>
    <m/>
    <n v="7"/>
    <n v="2"/>
    <n v="2"/>
    <n v="3"/>
    <n v="0"/>
    <n v="0"/>
    <n v="0"/>
    <n v="0"/>
    <n v="0"/>
    <n v="7"/>
    <m/>
    <m/>
    <m/>
    <n v="3.5"/>
    <n v="3.5"/>
    <m/>
    <m/>
    <m/>
    <m/>
    <m/>
    <m/>
    <m/>
    <m/>
    <m/>
    <m/>
    <m/>
    <m/>
    <m/>
    <n v="7"/>
    <n v="7"/>
    <m/>
    <m/>
    <m/>
    <n v="514497"/>
    <n v="174249"/>
    <s v="Whitton"/>
  </r>
  <r>
    <s v="21/3820/FUL"/>
    <x v="1"/>
    <s v="FULL"/>
    <d v="2022-05-20T00:00:00"/>
    <d v="2025-05-20T00:00:00"/>
    <d v="2024-08-30T00:00:00"/>
    <s v="Y"/>
    <m/>
    <m/>
    <x v="1"/>
    <x v="0"/>
    <m/>
    <m/>
    <m/>
    <s v="Single storey rear extension, with a change of use of part of a derelict retail unit and residential unit to a one bedroom flat and the erection of an overhead shutter door to the rear yard."/>
    <s v="95 Stanley Road, Teddington TW11 8UB"/>
    <s v="TW11 8UB"/>
    <m/>
    <m/>
    <m/>
    <m/>
    <m/>
    <m/>
    <m/>
    <m/>
    <m/>
    <n v="0"/>
    <m/>
    <n v="1"/>
    <m/>
    <m/>
    <m/>
    <m/>
    <m/>
    <m/>
    <m/>
    <n v="1"/>
    <n v="1"/>
    <n v="0"/>
    <n v="0"/>
    <n v="0"/>
    <n v="0"/>
    <n v="0"/>
    <n v="0"/>
    <n v="0"/>
    <n v="1"/>
    <m/>
    <m/>
    <n v="1"/>
    <m/>
    <m/>
    <m/>
    <m/>
    <m/>
    <m/>
    <m/>
    <m/>
    <m/>
    <m/>
    <m/>
    <m/>
    <m/>
    <m/>
    <m/>
    <n v="1"/>
    <n v="1"/>
    <m/>
    <m/>
    <m/>
    <n v="515093"/>
    <n v="171528"/>
    <s v="Fulwell &amp; Hampton Hill"/>
  </r>
  <r>
    <s v="21/4038/FUL"/>
    <x v="1"/>
    <s v="FULL"/>
    <d v="2022-07-12T00:00:00"/>
    <d v="2025-07-12T00:00:00"/>
    <d v="2023-05-01T00:00:00"/>
    <m/>
    <m/>
    <d v="2025-08-29T00:00:00"/>
    <x v="1"/>
    <x v="0"/>
    <m/>
    <m/>
    <m/>
    <s v="Change of use of ground floor and basement of the former Old Kings Head public house to a Mixed Use Community Cycle Hub comprising Cafe (Use Class E(b)), Training Area (Use Class F2(b)) and Treatment Room/Medical (Use Class E(e)) and 1No. 1-bedroom  apartment.   Alterations and conversion of the first and second floors to replace existing staff accommodation with 3No. 2-bedroom apartments.  External Alterations to include the replacement of French doors with balconies and a roof terrace on the first floor western and southern elevations, the installation of 2 no. conservation-style rooflights on the southern and western roof slopes and a bike enclosure to the rear at ground floor."/>
    <s v="The Old Kings Head, Hampton Court Road, Hampton Wick KT1 4AE"/>
    <s v="KT1 4AE"/>
    <m/>
    <m/>
    <m/>
    <m/>
    <m/>
    <m/>
    <m/>
    <m/>
    <m/>
    <n v="0"/>
    <m/>
    <n v="1"/>
    <n v="3"/>
    <m/>
    <m/>
    <m/>
    <m/>
    <m/>
    <m/>
    <n v="4"/>
    <n v="1"/>
    <n v="3"/>
    <n v="0"/>
    <n v="0"/>
    <n v="0"/>
    <n v="0"/>
    <n v="0"/>
    <n v="0"/>
    <n v="4"/>
    <m/>
    <m/>
    <n v="4"/>
    <m/>
    <m/>
    <m/>
    <m/>
    <m/>
    <m/>
    <m/>
    <m/>
    <m/>
    <m/>
    <m/>
    <m/>
    <m/>
    <m/>
    <m/>
    <n v="4"/>
    <n v="4"/>
    <m/>
    <m/>
    <m/>
    <n v="517498"/>
    <n v="169337"/>
    <s v="Hampton Wick &amp; South Teddington"/>
  </r>
  <r>
    <s v="21/4119/FUL"/>
    <x v="0"/>
    <s v="FULL"/>
    <d v="2022-08-05T00:00:00"/>
    <d v="2025-08-05T00:00:00"/>
    <d v="2023-03-01T00:00:00"/>
    <m/>
    <m/>
    <d v="2025-07-22T00:00:00"/>
    <x v="1"/>
    <x v="0"/>
    <m/>
    <m/>
    <m/>
    <s v="Construction of new detached family home following demolition of existing detached bungalow."/>
    <s v="92 Sandy Lane, Teddington TW11 0DF"/>
    <s v="TW11 0DF"/>
    <m/>
    <m/>
    <m/>
    <n v="1"/>
    <m/>
    <m/>
    <m/>
    <m/>
    <m/>
    <n v="1"/>
    <m/>
    <m/>
    <m/>
    <m/>
    <n v="1"/>
    <m/>
    <m/>
    <m/>
    <m/>
    <n v="1"/>
    <n v="0"/>
    <n v="0"/>
    <n v="-1"/>
    <n v="1"/>
    <n v="0"/>
    <n v="0"/>
    <n v="0"/>
    <n v="0"/>
    <n v="0"/>
    <m/>
    <m/>
    <n v="0"/>
    <m/>
    <m/>
    <m/>
    <m/>
    <m/>
    <m/>
    <m/>
    <m/>
    <m/>
    <m/>
    <m/>
    <m/>
    <m/>
    <m/>
    <m/>
    <n v="0"/>
    <n v="0"/>
    <m/>
    <m/>
    <m/>
    <n v="516237"/>
    <n v="170397"/>
    <s v="Teddington"/>
  </r>
  <r>
    <s v="22/0153/GPD26"/>
    <x v="1"/>
    <s v="PA"/>
    <d v="2022-03-22T00:00:00"/>
    <d v="2025-03-22T00:00:00"/>
    <d v="2024-09-01T00:00:00"/>
    <s v="Y"/>
    <m/>
    <d v="2025-06-26T00:00:00"/>
    <x v="1"/>
    <x v="0"/>
    <m/>
    <m/>
    <m/>
    <s v="Change of use of part of ground floor and first floor from restaurant to C3 residential use to provide 1 additional first floor flat"/>
    <s v="29 Kew Road, Richmond TW9 2NQ"/>
    <s v="TW9 2NQ"/>
    <m/>
    <m/>
    <m/>
    <m/>
    <m/>
    <m/>
    <m/>
    <m/>
    <m/>
    <n v="0"/>
    <m/>
    <n v="1"/>
    <m/>
    <m/>
    <m/>
    <m/>
    <m/>
    <m/>
    <m/>
    <n v="1"/>
    <n v="1"/>
    <n v="0"/>
    <n v="0"/>
    <n v="0"/>
    <n v="0"/>
    <n v="0"/>
    <n v="0"/>
    <n v="0"/>
    <n v="1"/>
    <m/>
    <m/>
    <n v="1"/>
    <m/>
    <m/>
    <m/>
    <m/>
    <m/>
    <m/>
    <m/>
    <m/>
    <m/>
    <m/>
    <m/>
    <m/>
    <m/>
    <m/>
    <m/>
    <n v="1"/>
    <n v="1"/>
    <m/>
    <m/>
    <m/>
    <n v="518059"/>
    <n v="175250"/>
    <s v="South Richmond"/>
  </r>
  <r>
    <s v="22/0399/FUL"/>
    <x v="0"/>
    <m/>
    <d v="2022-11-07T00:00:00"/>
    <d v="2025-11-07T00:00:00"/>
    <d v="2024-03-01T00:00:00"/>
    <m/>
    <m/>
    <m/>
    <x v="1"/>
    <x v="0"/>
    <m/>
    <m/>
    <m/>
    <s v="Construction of a part 1/2/3 storey building including basement level to provide 14 co-living units (sui generis) and associated hard and soft landscaping, cycle and refuse stores"/>
    <s v="47A 47 And 49 Lower Mortlake Road, Richmond"/>
    <s v="TW9 2LW"/>
    <m/>
    <m/>
    <m/>
    <m/>
    <m/>
    <m/>
    <m/>
    <m/>
    <m/>
    <n v="0"/>
    <m/>
    <n v="14"/>
    <m/>
    <m/>
    <m/>
    <m/>
    <m/>
    <m/>
    <m/>
    <n v="14"/>
    <n v="14"/>
    <n v="0"/>
    <n v="0"/>
    <n v="0"/>
    <n v="0"/>
    <n v="0"/>
    <n v="0"/>
    <n v="0"/>
    <n v="14"/>
    <m/>
    <m/>
    <m/>
    <n v="7"/>
    <n v="7"/>
    <m/>
    <m/>
    <m/>
    <m/>
    <m/>
    <m/>
    <m/>
    <m/>
    <m/>
    <m/>
    <m/>
    <m/>
    <m/>
    <m/>
    <m/>
    <m/>
    <m/>
    <m/>
    <n v="518345"/>
    <n v="175429"/>
    <s v="North Richmond"/>
  </r>
  <r>
    <s v="22/0754/FUL"/>
    <x v="0"/>
    <s v="FULL"/>
    <d v="2022-08-26T00:00:00"/>
    <d v="2025-08-26T00:00:00"/>
    <d v="2023-02-24T00:00:00"/>
    <m/>
    <m/>
    <d v="2025-11-10T00:00:00"/>
    <x v="1"/>
    <x v="0"/>
    <m/>
    <m/>
    <m/>
    <s v="Demolition and reconstruction of a terraced property with basement, ground and loft extensions."/>
    <s v="28 Westfields Avenue, Barnes SW13 0AU"/>
    <s v="SW13 0AU"/>
    <m/>
    <m/>
    <m/>
    <n v="1"/>
    <m/>
    <m/>
    <m/>
    <m/>
    <m/>
    <n v="1"/>
    <m/>
    <m/>
    <m/>
    <n v="1"/>
    <m/>
    <m/>
    <m/>
    <m/>
    <m/>
    <n v="1"/>
    <n v="0"/>
    <n v="0"/>
    <n v="0"/>
    <n v="0"/>
    <n v="0"/>
    <n v="0"/>
    <n v="0"/>
    <n v="0"/>
    <n v="0"/>
    <m/>
    <m/>
    <n v="0"/>
    <m/>
    <m/>
    <m/>
    <m/>
    <m/>
    <m/>
    <m/>
    <m/>
    <m/>
    <m/>
    <m/>
    <m/>
    <m/>
    <m/>
    <m/>
    <n v="0"/>
    <n v="0"/>
    <m/>
    <m/>
    <m/>
    <n v="521430"/>
    <n v="175853"/>
    <s v="Mortlake &amp; Barnes Common"/>
  </r>
  <r>
    <s v="22/0901/FUL"/>
    <x v="0"/>
    <s v="FULL"/>
    <d v="2023-05-02T00:00:00"/>
    <d v="2026-05-02T00:00:00"/>
    <d v="2024-06-01T00:00:00"/>
    <s v="Y"/>
    <m/>
    <m/>
    <x v="1"/>
    <x v="0"/>
    <m/>
    <m/>
    <m/>
    <s v="Demolition of existing garages and greenhouses and redevelopment to provide a single detached residential property with basement"/>
    <s v="Land Rear Of 130 Castelnau, Barnes"/>
    <s v="SW13 9ET"/>
    <m/>
    <m/>
    <m/>
    <m/>
    <m/>
    <m/>
    <m/>
    <m/>
    <m/>
    <n v="0"/>
    <m/>
    <m/>
    <m/>
    <m/>
    <n v="1"/>
    <m/>
    <m/>
    <m/>
    <m/>
    <n v="1"/>
    <n v="0"/>
    <n v="0"/>
    <n v="0"/>
    <n v="1"/>
    <n v="0"/>
    <n v="0"/>
    <n v="0"/>
    <n v="0"/>
    <n v="1"/>
    <m/>
    <m/>
    <n v="1"/>
    <m/>
    <m/>
    <m/>
    <m/>
    <m/>
    <m/>
    <m/>
    <m/>
    <m/>
    <m/>
    <m/>
    <m/>
    <m/>
    <m/>
    <m/>
    <n v="1"/>
    <n v="1"/>
    <m/>
    <m/>
    <m/>
    <n v="522676"/>
    <n v="177493"/>
    <s v="Barnes"/>
  </r>
  <r>
    <s v="22/0934/FUL"/>
    <x v="0"/>
    <s v="FULL"/>
    <d v="2022-05-26T00:00:00"/>
    <d v="2026-04-28T00:00:00"/>
    <d v="2024-03-01T00:00:00"/>
    <m/>
    <m/>
    <d v="2025-10-21T00:00:00"/>
    <x v="1"/>
    <x v="0"/>
    <m/>
    <m/>
    <m/>
    <s v="Demolition of existing dwelling house and construction of replacement single storey dwellinghouse and associated hard and soft landscaping"/>
    <s v="25 Ham Farm Road, Ham, Richmond TW10 5NA"/>
    <s v="TW10 5NA"/>
    <m/>
    <m/>
    <m/>
    <n v="1"/>
    <m/>
    <m/>
    <m/>
    <m/>
    <m/>
    <n v="1"/>
    <m/>
    <m/>
    <m/>
    <n v="1"/>
    <m/>
    <m/>
    <m/>
    <m/>
    <m/>
    <n v="1"/>
    <n v="0"/>
    <n v="0"/>
    <n v="0"/>
    <n v="0"/>
    <n v="0"/>
    <n v="0"/>
    <n v="0"/>
    <n v="0"/>
    <n v="0"/>
    <m/>
    <m/>
    <n v="0"/>
    <m/>
    <m/>
    <m/>
    <m/>
    <m/>
    <m/>
    <m/>
    <m/>
    <m/>
    <m/>
    <m/>
    <m/>
    <m/>
    <m/>
    <m/>
    <n v="0"/>
    <n v="0"/>
    <m/>
    <m/>
    <m/>
    <n v="518051"/>
    <n v="171688"/>
    <s v="Ham, Petersham &amp; Richmond Riverside"/>
  </r>
  <r>
    <s v="22/1214/GPD26"/>
    <x v="1"/>
    <s v="PA"/>
    <d v="2022-06-14T00:00:00"/>
    <d v="2025-06-14T00:00:00"/>
    <d v="2024-08-01T00:00:00"/>
    <s v="Y"/>
    <m/>
    <d v="2025-06-13T00:00:00"/>
    <x v="1"/>
    <x v="0"/>
    <m/>
    <m/>
    <m/>
    <s v="Change of use of first and second floors to C3 (residential) use to facilitate the creation of 2x 2-bed 3-person flats."/>
    <s v="First And Second Floors, 41 Broad Street, Teddington TW11 8QZ"/>
    <s v="TW11 8QZ"/>
    <m/>
    <m/>
    <m/>
    <m/>
    <m/>
    <m/>
    <m/>
    <m/>
    <m/>
    <n v="0"/>
    <m/>
    <m/>
    <n v="2"/>
    <m/>
    <m/>
    <m/>
    <m/>
    <m/>
    <m/>
    <n v="2"/>
    <n v="0"/>
    <n v="2"/>
    <n v="0"/>
    <n v="0"/>
    <n v="0"/>
    <n v="0"/>
    <n v="0"/>
    <n v="0"/>
    <n v="2"/>
    <m/>
    <m/>
    <n v="2"/>
    <m/>
    <m/>
    <m/>
    <m/>
    <m/>
    <m/>
    <m/>
    <m/>
    <m/>
    <m/>
    <m/>
    <m/>
    <m/>
    <m/>
    <m/>
    <n v="2"/>
    <n v="2"/>
    <m/>
    <m/>
    <m/>
    <n v="515645"/>
    <n v="170997"/>
    <s v="Teddington"/>
  </r>
  <r>
    <s v="22/1278/GPD26"/>
    <x v="1"/>
    <s v="PA"/>
    <d v="2022-06-20T00:00:00"/>
    <d v="2025-06-20T00:00:00"/>
    <d v="2024-09-02T00:00:00"/>
    <s v="Y"/>
    <m/>
    <m/>
    <x v="1"/>
    <x v="0"/>
    <m/>
    <m/>
    <m/>
    <s v="Change of use from offices in building of 67-71 High Street to seven residential flats (three 1-bed, three 2-bed, one 3-bed)"/>
    <s v="67 - 71 High Street, Hampton Hill, Hampton TW12 1NH"/>
    <s v="TW12 1NH"/>
    <m/>
    <m/>
    <m/>
    <m/>
    <m/>
    <m/>
    <m/>
    <m/>
    <m/>
    <n v="0"/>
    <m/>
    <n v="3"/>
    <n v="3"/>
    <n v="1"/>
    <m/>
    <m/>
    <m/>
    <m/>
    <m/>
    <n v="7"/>
    <n v="3"/>
    <n v="3"/>
    <n v="1"/>
    <n v="0"/>
    <n v="0"/>
    <n v="0"/>
    <n v="0"/>
    <n v="0"/>
    <n v="7"/>
    <m/>
    <m/>
    <n v="7"/>
    <m/>
    <m/>
    <m/>
    <m/>
    <m/>
    <m/>
    <m/>
    <m/>
    <m/>
    <m/>
    <m/>
    <m/>
    <m/>
    <m/>
    <m/>
    <n v="7"/>
    <n v="7"/>
    <m/>
    <m/>
    <m/>
    <n v="514266"/>
    <n v="170834"/>
    <s v="Fulwell &amp; Hampton Hill"/>
  </r>
  <r>
    <s v="22/1442/FUL"/>
    <x v="0"/>
    <s v="FULL"/>
    <d v="2023-03-22T00:00:00"/>
    <d v="2026-03-22T00:00:00"/>
    <d v="2024-04-03T00:00:00"/>
    <s v="Y"/>
    <m/>
    <m/>
    <x v="1"/>
    <x v="1"/>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n v="6"/>
    <m/>
    <n v="5"/>
    <m/>
    <m/>
    <m/>
    <m/>
    <m/>
    <n v="11"/>
    <s v="Y"/>
    <m/>
    <m/>
    <m/>
    <m/>
    <m/>
    <m/>
    <m/>
    <m/>
    <n v="0"/>
    <n v="-6"/>
    <n v="0"/>
    <n v="-5"/>
    <n v="0"/>
    <n v="0"/>
    <n v="0"/>
    <n v="0"/>
    <n v="0"/>
    <n v="-11"/>
    <s v="Y"/>
    <m/>
    <n v="-11"/>
    <m/>
    <m/>
    <m/>
    <m/>
    <m/>
    <m/>
    <m/>
    <m/>
    <m/>
    <m/>
    <m/>
    <m/>
    <m/>
    <m/>
    <m/>
    <n v="-11"/>
    <n v="-11"/>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m/>
    <m/>
    <n v="1"/>
    <m/>
    <m/>
    <m/>
    <m/>
    <m/>
    <n v="1"/>
    <m/>
    <m/>
    <m/>
    <m/>
    <m/>
    <m/>
    <m/>
    <m/>
    <m/>
    <n v="0"/>
    <n v="0"/>
    <n v="0"/>
    <n v="-1"/>
    <n v="0"/>
    <n v="0"/>
    <n v="0"/>
    <n v="0"/>
    <n v="0"/>
    <n v="-1"/>
    <s v="Y"/>
    <m/>
    <n v="-1"/>
    <m/>
    <m/>
    <m/>
    <m/>
    <m/>
    <m/>
    <m/>
    <m/>
    <m/>
    <m/>
    <m/>
    <m/>
    <m/>
    <m/>
    <m/>
    <n v="-1"/>
    <n v="-1"/>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m/>
    <n v="2"/>
    <n v="3"/>
    <n v="2"/>
    <m/>
    <m/>
    <m/>
    <m/>
    <m/>
    <n v="7"/>
    <n v="2"/>
    <n v="3"/>
    <n v="2"/>
    <n v="0"/>
    <n v="0"/>
    <n v="0"/>
    <n v="0"/>
    <n v="0"/>
    <n v="7"/>
    <s v="Y"/>
    <m/>
    <m/>
    <n v="7"/>
    <m/>
    <m/>
    <m/>
    <m/>
    <m/>
    <m/>
    <m/>
    <m/>
    <m/>
    <m/>
    <m/>
    <m/>
    <m/>
    <m/>
    <n v="7"/>
    <n v="7"/>
    <m/>
    <m/>
    <m/>
    <n v="517121"/>
    <n v="172297"/>
    <s v="Ham, Petersham &amp; Richmond Riverside"/>
  </r>
  <r>
    <s v="22/1442/FUL"/>
    <x v="0"/>
    <s v="FULL"/>
    <d v="2023-03-22T00:00:00"/>
    <d v="2026-03-22T00:00:00"/>
    <d v="2024-04-03T00:00:00"/>
    <s v="Y"/>
    <m/>
    <m/>
    <x v="1"/>
    <x v="6"/>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s v="Y"/>
    <n v="35"/>
    <n v="18"/>
    <n v="10"/>
    <m/>
    <m/>
    <m/>
    <m/>
    <m/>
    <n v="63"/>
    <n v="35"/>
    <n v="18"/>
    <n v="10"/>
    <n v="0"/>
    <n v="0"/>
    <n v="0"/>
    <n v="0"/>
    <n v="0"/>
    <n v="63"/>
    <s v="Y"/>
    <m/>
    <m/>
    <n v="63"/>
    <m/>
    <m/>
    <m/>
    <m/>
    <m/>
    <m/>
    <m/>
    <m/>
    <m/>
    <m/>
    <m/>
    <m/>
    <m/>
    <m/>
    <n v="63"/>
    <n v="63"/>
    <m/>
    <m/>
    <m/>
    <n v="517121"/>
    <n v="172297"/>
    <s v="Ham, Petersham &amp; Richmond Riverside"/>
  </r>
  <r>
    <s v="22/1442/FUL"/>
    <x v="0"/>
    <s v="FULL"/>
    <d v="2023-03-22T00:00:00"/>
    <d v="2026-03-22T00:00:00"/>
    <d v="2024-04-03T00:00:00"/>
    <s v="Y"/>
    <m/>
    <m/>
    <x v="1"/>
    <x v="1"/>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14"/>
    <n v="20"/>
    <n v="3"/>
    <m/>
    <m/>
    <m/>
    <m/>
    <m/>
    <n v="37"/>
    <s v="Y"/>
    <m/>
    <m/>
    <m/>
    <m/>
    <m/>
    <m/>
    <m/>
    <m/>
    <n v="0"/>
    <n v="-14"/>
    <n v="-20"/>
    <n v="-3"/>
    <n v="0"/>
    <n v="0"/>
    <n v="0"/>
    <n v="0"/>
    <n v="0"/>
    <n v="-37"/>
    <s v="Y"/>
    <m/>
    <m/>
    <m/>
    <n v="-37"/>
    <m/>
    <m/>
    <m/>
    <m/>
    <m/>
    <m/>
    <m/>
    <m/>
    <m/>
    <m/>
    <m/>
    <m/>
    <m/>
    <n v="-37"/>
    <n v="-37"/>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2"/>
    <n v="8"/>
    <n v="1"/>
    <m/>
    <m/>
    <m/>
    <m/>
    <m/>
    <n v="11"/>
    <m/>
    <m/>
    <m/>
    <m/>
    <m/>
    <m/>
    <m/>
    <m/>
    <m/>
    <n v="0"/>
    <n v="-2"/>
    <n v="-8"/>
    <n v="-1"/>
    <n v="0"/>
    <n v="0"/>
    <n v="0"/>
    <n v="0"/>
    <n v="0"/>
    <n v="-11"/>
    <s v="Y"/>
    <m/>
    <m/>
    <m/>
    <n v="-11"/>
    <m/>
    <m/>
    <m/>
    <m/>
    <m/>
    <m/>
    <m/>
    <m/>
    <m/>
    <m/>
    <m/>
    <m/>
    <m/>
    <n v="-11"/>
    <n v="-11"/>
    <m/>
    <m/>
    <m/>
    <n v="517121"/>
    <n v="172297"/>
    <s v="Ham, Petersham &amp; Richmond Riverside"/>
  </r>
  <r>
    <s v="22/1442/FUL"/>
    <x v="0"/>
    <s v="FULL"/>
    <d v="2023-03-22T00:00:00"/>
    <d v="2026-03-22T00:00:00"/>
    <d v="2024-04-03T00:00:00"/>
    <s v="Y"/>
    <m/>
    <m/>
    <x v="1"/>
    <x v="3"/>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2"/>
    <m/>
    <m/>
    <m/>
    <m/>
    <m/>
    <m/>
    <m/>
    <n v="2"/>
    <n v="2"/>
    <n v="0"/>
    <n v="0"/>
    <n v="0"/>
    <n v="0"/>
    <n v="0"/>
    <n v="0"/>
    <n v="0"/>
    <n v="2"/>
    <s v="Y"/>
    <m/>
    <m/>
    <m/>
    <m/>
    <m/>
    <n v="2"/>
    <m/>
    <m/>
    <m/>
    <m/>
    <m/>
    <m/>
    <m/>
    <m/>
    <m/>
    <m/>
    <m/>
    <n v="2"/>
    <n v="2"/>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m/>
    <n v="50"/>
    <n v="26"/>
    <n v="2"/>
    <m/>
    <m/>
    <m/>
    <m/>
    <m/>
    <n v="78"/>
    <n v="50"/>
    <n v="26"/>
    <n v="2"/>
    <n v="0"/>
    <n v="0"/>
    <n v="0"/>
    <n v="0"/>
    <n v="0"/>
    <n v="78"/>
    <s v="Y"/>
    <m/>
    <m/>
    <m/>
    <m/>
    <m/>
    <n v="78"/>
    <m/>
    <m/>
    <m/>
    <m/>
    <m/>
    <m/>
    <m/>
    <m/>
    <m/>
    <m/>
    <m/>
    <n v="78"/>
    <n v="78"/>
    <m/>
    <m/>
    <m/>
    <n v="517121"/>
    <n v="172297"/>
    <s v="Ham, Petersham &amp; Richmond Riverside"/>
  </r>
  <r>
    <s v="22/1442/FUL"/>
    <x v="0"/>
    <s v="FULL"/>
    <d v="2023-03-22T00:00:00"/>
    <d v="2026-03-22T00:00:00"/>
    <d v="2024-04-03T00:00:00"/>
    <s v="Y"/>
    <m/>
    <m/>
    <x v="1"/>
    <x v="6"/>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58"/>
    <n v="19"/>
    <n v="3"/>
    <m/>
    <m/>
    <m/>
    <m/>
    <m/>
    <n v="80"/>
    <n v="58"/>
    <n v="19"/>
    <n v="3"/>
    <n v="0"/>
    <n v="0"/>
    <n v="0"/>
    <n v="0"/>
    <n v="0"/>
    <n v="80"/>
    <s v="Y"/>
    <m/>
    <m/>
    <m/>
    <m/>
    <m/>
    <n v="80"/>
    <m/>
    <m/>
    <m/>
    <m/>
    <m/>
    <m/>
    <m/>
    <m/>
    <m/>
    <m/>
    <m/>
    <n v="80"/>
    <n v="80"/>
    <m/>
    <m/>
    <m/>
    <n v="517121"/>
    <n v="172297"/>
    <s v="Ham, Petersham &amp; Richmond Riverside"/>
  </r>
  <r>
    <s v="22/1442/FUL"/>
    <x v="0"/>
    <s v="FULL"/>
    <d v="2023-03-22T00:00:00"/>
    <d v="2026-03-22T00:00:00"/>
    <d v="2024-04-03T00:00:00"/>
    <s v="Y"/>
    <m/>
    <m/>
    <x v="1"/>
    <x v="1"/>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70"/>
    <n v="19"/>
    <n v="6"/>
    <m/>
    <m/>
    <m/>
    <m/>
    <m/>
    <n v="95"/>
    <s v="Y"/>
    <m/>
    <m/>
    <m/>
    <m/>
    <m/>
    <m/>
    <m/>
    <m/>
    <n v="0"/>
    <n v="-70"/>
    <n v="-19"/>
    <n v="-6"/>
    <n v="0"/>
    <n v="0"/>
    <n v="0"/>
    <n v="0"/>
    <n v="0"/>
    <n v="-95"/>
    <s v="Y"/>
    <m/>
    <m/>
    <m/>
    <m/>
    <m/>
    <m/>
    <n v="-95"/>
    <m/>
    <m/>
    <m/>
    <m/>
    <m/>
    <m/>
    <m/>
    <m/>
    <m/>
    <m/>
    <n v="0"/>
    <n v="-95"/>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16"/>
    <n v="16"/>
    <n v="5"/>
    <m/>
    <m/>
    <m/>
    <m/>
    <m/>
    <n v="37"/>
    <m/>
    <m/>
    <m/>
    <m/>
    <m/>
    <m/>
    <m/>
    <m/>
    <m/>
    <n v="0"/>
    <n v="-16"/>
    <n v="-16"/>
    <n v="-5"/>
    <n v="0"/>
    <n v="0"/>
    <n v="0"/>
    <n v="0"/>
    <n v="0"/>
    <n v="-37"/>
    <s v="Y"/>
    <m/>
    <m/>
    <m/>
    <m/>
    <m/>
    <m/>
    <n v="-37"/>
    <m/>
    <m/>
    <m/>
    <m/>
    <m/>
    <m/>
    <m/>
    <m/>
    <m/>
    <m/>
    <n v="0"/>
    <n v="-37"/>
    <m/>
    <m/>
    <m/>
    <n v="517121"/>
    <n v="172297"/>
    <s v="Ham, Petersham &amp; Richmond Riverside"/>
  </r>
  <r>
    <s v="22/1442/FUL"/>
    <x v="0"/>
    <s v="FULL"/>
    <d v="2023-03-22T00:00:00"/>
    <d v="2026-03-22T00:00:00"/>
    <d v="2024-04-03T00:00:00"/>
    <s v="Y"/>
    <m/>
    <m/>
    <x v="1"/>
    <x v="3"/>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6"/>
    <n v="10"/>
    <n v="3"/>
    <m/>
    <m/>
    <m/>
    <m/>
    <m/>
    <n v="19"/>
    <n v="6"/>
    <n v="10"/>
    <n v="3"/>
    <n v="0"/>
    <n v="0"/>
    <n v="0"/>
    <n v="0"/>
    <n v="0"/>
    <n v="19"/>
    <s v="Y"/>
    <m/>
    <m/>
    <m/>
    <m/>
    <m/>
    <m/>
    <m/>
    <m/>
    <n v="19"/>
    <m/>
    <m/>
    <m/>
    <m/>
    <m/>
    <m/>
    <m/>
    <m/>
    <n v="0"/>
    <n v="19"/>
    <m/>
    <m/>
    <m/>
    <n v="517121"/>
    <n v="172297"/>
    <s v="Ham, Petersham &amp; Richmond Riverside"/>
  </r>
  <r>
    <s v="22/1442/FUL"/>
    <x v="0"/>
    <s v="FULL"/>
    <d v="2023-03-22T00:00:00"/>
    <d v="2026-03-22T00:00:00"/>
    <d v="2024-04-03T00:00:00"/>
    <s v="Y"/>
    <m/>
    <m/>
    <x v="1"/>
    <x v="5"/>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7"/>
    <n v="3"/>
    <m/>
    <m/>
    <m/>
    <m/>
    <m/>
    <m/>
    <n v="10"/>
    <n v="7"/>
    <n v="3"/>
    <n v="0"/>
    <n v="0"/>
    <n v="0"/>
    <n v="0"/>
    <n v="0"/>
    <n v="0"/>
    <n v="10"/>
    <s v="Y"/>
    <m/>
    <m/>
    <m/>
    <m/>
    <m/>
    <m/>
    <m/>
    <m/>
    <n v="10"/>
    <m/>
    <m/>
    <m/>
    <m/>
    <m/>
    <m/>
    <m/>
    <m/>
    <n v="0"/>
    <n v="10"/>
    <m/>
    <m/>
    <m/>
    <n v="517121"/>
    <n v="172297"/>
    <s v="Ham, Petersham &amp; Richmond Riverside"/>
  </r>
  <r>
    <s v="22/1442/FUL"/>
    <x v="0"/>
    <s v="FULL"/>
    <d v="2023-03-22T00:00:00"/>
    <d v="2026-03-22T00:00:00"/>
    <d v="2024-04-03T00:00:00"/>
    <s v="Y"/>
    <m/>
    <m/>
    <x v="1"/>
    <x v="0"/>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m/>
    <n v="42"/>
    <n v="62"/>
    <m/>
    <n v="34"/>
    <n v="8"/>
    <m/>
    <m/>
    <m/>
    <n v="146"/>
    <n v="42"/>
    <n v="62"/>
    <n v="0"/>
    <n v="34"/>
    <n v="8"/>
    <n v="0"/>
    <n v="0"/>
    <n v="0"/>
    <n v="146"/>
    <s v="Y"/>
    <m/>
    <m/>
    <m/>
    <m/>
    <m/>
    <m/>
    <m/>
    <n v="35"/>
    <n v="73"/>
    <n v="38"/>
    <m/>
    <m/>
    <m/>
    <m/>
    <m/>
    <m/>
    <m/>
    <n v="0"/>
    <n v="146"/>
    <m/>
    <m/>
    <m/>
    <n v="517121"/>
    <n v="172297"/>
    <s v="Ham, Petersham &amp; Richmond Riverside"/>
  </r>
  <r>
    <s v="22/1442/FUL"/>
    <x v="0"/>
    <s v="FULL"/>
    <d v="2023-03-22T00:00:00"/>
    <d v="2026-03-22T00:00:00"/>
    <d v="2024-04-03T00:00:00"/>
    <s v="Y"/>
    <m/>
    <m/>
    <x v="1"/>
    <x v="4"/>
    <m/>
    <m/>
    <m/>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22"/>
    <n v="24"/>
    <n v="1"/>
    <m/>
    <m/>
    <m/>
    <m/>
    <m/>
    <n v="47"/>
    <n v="22"/>
    <n v="24"/>
    <n v="1"/>
    <n v="0"/>
    <n v="0"/>
    <n v="0"/>
    <n v="0"/>
    <n v="0"/>
    <n v="47"/>
    <s v="Y"/>
    <m/>
    <m/>
    <m/>
    <m/>
    <m/>
    <m/>
    <m/>
    <m/>
    <n v="47"/>
    <m/>
    <m/>
    <m/>
    <m/>
    <m/>
    <m/>
    <m/>
    <m/>
    <n v="0"/>
    <n v="47"/>
    <m/>
    <m/>
    <m/>
    <n v="517121"/>
    <n v="172297"/>
    <s v="Ham, Petersham &amp; Richmond Riverside"/>
  </r>
  <r>
    <s v="22/1497/FUL"/>
    <x v="0"/>
    <s v="FULL"/>
    <d v="2023-02-10T00:00:00"/>
    <d v="2026-02-10T00:00:00"/>
    <d v="2024-05-14T00:00:00"/>
    <s v="Y"/>
    <m/>
    <m/>
    <x v="1"/>
    <x v="0"/>
    <m/>
    <m/>
    <m/>
    <s v="The demolition of the existing dwelling house and 22 garages and the construction of 5 x new residential dwellings (Class C3) with associated hard and soft landscaping, parking and associated infrastructure."/>
    <s v="32 Haverfield Gardens, Kew, Richmond TW9 3DD"/>
    <s v="TW9 3DD"/>
    <m/>
    <m/>
    <m/>
    <m/>
    <n v="1"/>
    <m/>
    <m/>
    <m/>
    <m/>
    <n v="1"/>
    <m/>
    <m/>
    <m/>
    <n v="5"/>
    <m/>
    <m/>
    <m/>
    <m/>
    <m/>
    <n v="5"/>
    <n v="0"/>
    <n v="0"/>
    <n v="5"/>
    <n v="-1"/>
    <n v="0"/>
    <n v="0"/>
    <n v="0"/>
    <n v="0"/>
    <n v="4"/>
    <m/>
    <m/>
    <m/>
    <n v="4"/>
    <m/>
    <m/>
    <m/>
    <m/>
    <m/>
    <m/>
    <m/>
    <m/>
    <m/>
    <m/>
    <m/>
    <m/>
    <m/>
    <m/>
    <n v="4"/>
    <n v="4"/>
    <m/>
    <m/>
    <m/>
    <n v="519166"/>
    <n v="177465"/>
    <s v="Kew"/>
  </r>
  <r>
    <s v="22/1513/FUL"/>
    <x v="0"/>
    <s v="FULL"/>
    <d v="2022-09-16T00:00:00"/>
    <d v="2025-09-16T00:00:00"/>
    <d v="2024-12-02T00:00:00"/>
    <s v="Y"/>
    <m/>
    <d v="2025-10-01T00:00:00"/>
    <x v="1"/>
    <x v="0"/>
    <m/>
    <m/>
    <m/>
    <s v="Erection of a new dwelling with associated parking and landscaping."/>
    <s v="2A Courtlands Avenue, Hampton TW12 3NT"/>
    <s v="TW12 3NT"/>
    <m/>
    <m/>
    <m/>
    <m/>
    <m/>
    <m/>
    <m/>
    <m/>
    <m/>
    <n v="0"/>
    <m/>
    <m/>
    <m/>
    <m/>
    <n v="1"/>
    <m/>
    <m/>
    <m/>
    <m/>
    <n v="1"/>
    <n v="0"/>
    <n v="0"/>
    <n v="0"/>
    <n v="1"/>
    <n v="0"/>
    <n v="0"/>
    <n v="0"/>
    <n v="0"/>
    <n v="1"/>
    <m/>
    <m/>
    <n v="1"/>
    <m/>
    <m/>
    <m/>
    <m/>
    <m/>
    <m/>
    <m/>
    <m/>
    <m/>
    <m/>
    <m/>
    <m/>
    <m/>
    <m/>
    <m/>
    <n v="1"/>
    <n v="1"/>
    <m/>
    <m/>
    <m/>
    <n v="512954"/>
    <n v="170628"/>
    <s v="Hampton North"/>
  </r>
  <r>
    <s v="22/2360/FUL"/>
    <x v="0"/>
    <s v="FULL"/>
    <d v="2023-08-08T00:00:00"/>
    <d v="2026-08-08T00:00:00"/>
    <d v="2023-08-08T00:00:00"/>
    <m/>
    <m/>
    <d v="2026-02-03T00:00:00"/>
    <x v="1"/>
    <x v="0"/>
    <m/>
    <m/>
    <m/>
    <s v="Demolition of the existing buildings. Erection of a three storey mixed-use building on Priests Bridge (comprising Use Class E and 7 x residential units on first and second floor (three 1-bedroom flats, four 2-bedrooms flats)).  Erection of a part-one, part-two storey mixed-use building to rear (comprising Use Class E and 2 x residential units (two-bedrooms flats) with associated parking, cycle and refuse stores, hard and soft landscaping."/>
    <s v="26-28 Priests Bridge, East Sheen SW14 8TA"/>
    <s v="SW14 8TA"/>
    <m/>
    <m/>
    <m/>
    <m/>
    <m/>
    <m/>
    <m/>
    <m/>
    <m/>
    <n v="0"/>
    <m/>
    <n v="3"/>
    <n v="6"/>
    <m/>
    <m/>
    <m/>
    <m/>
    <m/>
    <m/>
    <n v="9"/>
    <n v="3"/>
    <n v="6"/>
    <n v="0"/>
    <n v="0"/>
    <n v="0"/>
    <n v="0"/>
    <n v="0"/>
    <n v="0"/>
    <n v="9"/>
    <m/>
    <m/>
    <n v="9"/>
    <m/>
    <m/>
    <m/>
    <m/>
    <m/>
    <m/>
    <m/>
    <m/>
    <m/>
    <m/>
    <m/>
    <m/>
    <m/>
    <m/>
    <m/>
    <n v="9"/>
    <n v="9"/>
    <m/>
    <m/>
    <m/>
    <n v="521492"/>
    <n v="175545"/>
    <s v="Mortlake &amp; Barnes Common"/>
  </r>
  <r>
    <s v="22/2556/FUL"/>
    <x v="0"/>
    <s v="FULL"/>
    <d v="2024-06-14T00:00:00"/>
    <d v="2027-06-14T00:00:00"/>
    <d v="2024-11-04T00:00:00"/>
    <s v="Y"/>
    <s v="Y"/>
    <m/>
    <x v="1"/>
    <x v="0"/>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n v="1"/>
    <m/>
    <m/>
    <m/>
    <m/>
    <m/>
    <m/>
    <n v="1"/>
    <m/>
    <n v="4"/>
    <n v="11"/>
    <n v="39"/>
    <n v="4"/>
    <m/>
    <m/>
    <m/>
    <m/>
    <n v="58"/>
    <n v="4"/>
    <n v="10"/>
    <n v="39"/>
    <n v="4"/>
    <n v="0"/>
    <n v="0"/>
    <n v="0"/>
    <n v="0"/>
    <n v="57"/>
    <s v="Y"/>
    <m/>
    <m/>
    <n v="57"/>
    <m/>
    <m/>
    <m/>
    <m/>
    <m/>
    <m/>
    <m/>
    <m/>
    <m/>
    <m/>
    <m/>
    <m/>
    <m/>
    <m/>
    <n v="57"/>
    <n v="57"/>
    <m/>
    <m/>
    <m/>
    <n v="515321"/>
    <n v="173342"/>
    <s v="South Twickenham"/>
  </r>
  <r>
    <s v="22/2556/FUL"/>
    <x v="0"/>
    <s v="FULL"/>
    <d v="2024-06-14T00:00:00"/>
    <d v="2027-06-14T00:00:00"/>
    <d v="2024-11-04T00:00:00"/>
    <s v="Y"/>
    <s v="Y"/>
    <m/>
    <x v="1"/>
    <x v="4"/>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6"/>
    <n v="5"/>
    <m/>
    <m/>
    <m/>
    <m/>
    <m/>
    <m/>
    <n v="11"/>
    <n v="6"/>
    <n v="5"/>
    <n v="0"/>
    <n v="0"/>
    <n v="0"/>
    <n v="0"/>
    <n v="0"/>
    <n v="0"/>
    <n v="11"/>
    <s v="Y"/>
    <m/>
    <m/>
    <n v="11"/>
    <m/>
    <m/>
    <m/>
    <m/>
    <m/>
    <m/>
    <m/>
    <m/>
    <m/>
    <m/>
    <m/>
    <m/>
    <m/>
    <m/>
    <n v="11"/>
    <n v="11"/>
    <m/>
    <m/>
    <m/>
    <n v="515321"/>
    <n v="173342"/>
    <s v="South Twickenham"/>
  </r>
  <r>
    <s v="22/2556/FUL"/>
    <x v="0"/>
    <s v="FULL"/>
    <d v="2024-06-14T00:00:00"/>
    <d v="2027-06-14T00:00:00"/>
    <d v="2024-11-04T00:00:00"/>
    <s v="Y"/>
    <s v="Y"/>
    <m/>
    <x v="1"/>
    <x v="6"/>
    <m/>
    <m/>
    <m/>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23"/>
    <n v="17"/>
    <n v="7"/>
    <m/>
    <m/>
    <m/>
    <m/>
    <m/>
    <n v="47"/>
    <n v="23"/>
    <n v="17"/>
    <n v="7"/>
    <n v="0"/>
    <n v="0"/>
    <n v="0"/>
    <n v="0"/>
    <n v="0"/>
    <n v="47"/>
    <s v="Y"/>
    <m/>
    <m/>
    <n v="47"/>
    <m/>
    <m/>
    <m/>
    <m/>
    <m/>
    <m/>
    <m/>
    <m/>
    <m/>
    <m/>
    <m/>
    <m/>
    <m/>
    <m/>
    <n v="47"/>
    <n v="47"/>
    <m/>
    <m/>
    <m/>
    <n v="515321"/>
    <n v="173342"/>
    <s v="South Twickenham"/>
  </r>
  <r>
    <s v="22/3193/FUL"/>
    <x v="1"/>
    <s v="FULL"/>
    <d v="2023-07-14T00:00:00"/>
    <d v="2026-07-14T00:00:00"/>
    <d v="2024-10-30T00:00:00"/>
    <s v="Y"/>
    <m/>
    <m/>
    <x v="1"/>
    <x v="0"/>
    <m/>
    <m/>
    <m/>
    <s v="Conversion of Ground Floor Commercial unit (Use Class E) to 3 No. Self Contained 1-bed units (Use Class C3), a single storey rear extension and alterations to fenestrations. Demolition of existing rear garage and provision of 2 rear car parking spaces, re"/>
    <s v="1 - 5  Bridge Parade, Wensleydale Road, Hampton"/>
    <s v="TW12 2LP"/>
    <m/>
    <m/>
    <m/>
    <m/>
    <m/>
    <m/>
    <m/>
    <m/>
    <m/>
    <n v="0"/>
    <m/>
    <n v="3"/>
    <m/>
    <m/>
    <m/>
    <m/>
    <m/>
    <m/>
    <m/>
    <n v="3"/>
    <n v="3"/>
    <n v="0"/>
    <n v="0"/>
    <n v="0"/>
    <n v="0"/>
    <n v="0"/>
    <n v="0"/>
    <n v="0"/>
    <n v="3"/>
    <m/>
    <m/>
    <n v="1.5"/>
    <n v="1.5"/>
    <m/>
    <m/>
    <m/>
    <m/>
    <m/>
    <m/>
    <m/>
    <m/>
    <m/>
    <m/>
    <m/>
    <m/>
    <m/>
    <m/>
    <n v="3"/>
    <n v="3"/>
    <m/>
    <m/>
    <m/>
    <n v="513452"/>
    <n v="169954"/>
    <s v="Hampton"/>
  </r>
  <r>
    <s v="22/3397/GPD26"/>
    <x v="1"/>
    <s v="PA"/>
    <d v="2022-12-15T00:00:00"/>
    <d v="2025-12-15T00:00:00"/>
    <d v="2025-01-13T00:00:00"/>
    <s v="Y"/>
    <m/>
    <d v="2025-10-16T00:00:00"/>
    <x v="1"/>
    <x v="0"/>
    <m/>
    <m/>
    <m/>
    <s v="Change of use of the building from Use Class E (Office) to C3 (Residential) single dwelling."/>
    <s v="33A Milton Road, Hampton TW12 2LL"/>
    <s v="TW12 2LL"/>
    <m/>
    <m/>
    <m/>
    <m/>
    <m/>
    <m/>
    <m/>
    <m/>
    <m/>
    <n v="0"/>
    <m/>
    <m/>
    <n v="1"/>
    <m/>
    <m/>
    <m/>
    <m/>
    <m/>
    <m/>
    <n v="1"/>
    <n v="0"/>
    <n v="1"/>
    <n v="0"/>
    <n v="0"/>
    <n v="0"/>
    <n v="0"/>
    <n v="0"/>
    <n v="0"/>
    <n v="1"/>
    <m/>
    <m/>
    <n v="1"/>
    <m/>
    <m/>
    <m/>
    <m/>
    <m/>
    <m/>
    <m/>
    <m/>
    <m/>
    <m/>
    <m/>
    <m/>
    <m/>
    <m/>
    <m/>
    <n v="1"/>
    <n v="1"/>
    <m/>
    <m/>
    <m/>
    <n v="513402"/>
    <n v="169963"/>
    <s v="Hampton"/>
  </r>
  <r>
    <s v="22/3810/FUL"/>
    <x v="0"/>
    <s v="FULL"/>
    <d v="2023-12-21T00:00:00"/>
    <d v="2026-12-21T00:00:00"/>
    <d v="2024-03-01T00:00:00"/>
    <m/>
    <m/>
    <m/>
    <x v="1"/>
    <x v="0"/>
    <m/>
    <m/>
    <m/>
    <s v="Erection of a single storey, detached, two-bedroom dwelling finished with green roof and associated cycle parking, refuse storage and landscaping."/>
    <s v="Land Rear Of 185 Waldegrave Road, Teddington"/>
    <s v="TW11 8LU"/>
    <m/>
    <m/>
    <m/>
    <m/>
    <m/>
    <m/>
    <m/>
    <m/>
    <m/>
    <n v="0"/>
    <m/>
    <m/>
    <n v="1"/>
    <m/>
    <m/>
    <m/>
    <m/>
    <m/>
    <m/>
    <n v="1"/>
    <n v="0"/>
    <n v="1"/>
    <n v="0"/>
    <n v="0"/>
    <n v="0"/>
    <n v="0"/>
    <n v="0"/>
    <n v="0"/>
    <n v="1"/>
    <m/>
    <m/>
    <n v="1"/>
    <m/>
    <m/>
    <m/>
    <m/>
    <m/>
    <m/>
    <m/>
    <m/>
    <m/>
    <m/>
    <m/>
    <m/>
    <m/>
    <m/>
    <m/>
    <n v="1"/>
    <n v="1"/>
    <m/>
    <m/>
    <m/>
    <n v="515563"/>
    <n v="171630"/>
    <s v="Teddington"/>
  </r>
  <r>
    <s v="23/0197/FUL"/>
    <x v="0"/>
    <s v="FULL"/>
    <d v="2023-06-14T00:00:00"/>
    <d v="2026-06-14T00:00:00"/>
    <d v="2024-10-11T00:00:00"/>
    <s v="Y"/>
    <m/>
    <m/>
    <x v="1"/>
    <x v="0"/>
    <m/>
    <m/>
    <m/>
    <s v="Demolition of existing detached house and erection of new detached house containing 5 bedrooms"/>
    <s v="64 Ormond Avenue, Hampton TW12 2RX"/>
    <s v="TW12 2RX"/>
    <m/>
    <m/>
    <m/>
    <n v="1"/>
    <m/>
    <m/>
    <m/>
    <m/>
    <m/>
    <n v="1"/>
    <m/>
    <m/>
    <m/>
    <m/>
    <m/>
    <n v="1"/>
    <m/>
    <m/>
    <m/>
    <n v="1"/>
    <n v="0"/>
    <n v="0"/>
    <n v="-1"/>
    <n v="0"/>
    <n v="1"/>
    <n v="0"/>
    <n v="0"/>
    <n v="0"/>
    <n v="0"/>
    <m/>
    <m/>
    <n v="0"/>
    <m/>
    <m/>
    <m/>
    <m/>
    <m/>
    <m/>
    <m/>
    <m/>
    <m/>
    <m/>
    <m/>
    <m/>
    <m/>
    <m/>
    <m/>
    <n v="0"/>
    <n v="0"/>
    <m/>
    <m/>
    <m/>
    <n v="513712"/>
    <n v="169851"/>
    <s v="Hampton"/>
  </r>
  <r>
    <s v="23/0291/FUL"/>
    <x v="0"/>
    <s v="FULL"/>
    <d v="2023-08-03T00:00:00"/>
    <d v="2026-08-03T00:00:00"/>
    <d v="2024-06-17T00:00:00"/>
    <s v="Y"/>
    <m/>
    <d v="2025-11-21T00:00:00"/>
    <x v="1"/>
    <x v="0"/>
    <m/>
    <m/>
    <m/>
    <s v="Demolition of existing Boot House and erection of new two-storey dwelling with porch and rear dormer. Bin store to front garden and front boundary wall. Cycle storage to rear garden. Instillation of air source heat pump and photovoltaic panels."/>
    <s v="25 Kentwode Green, Barnes SW13 9AD"/>
    <s v="SW13 9AD"/>
    <m/>
    <m/>
    <n v="1"/>
    <m/>
    <m/>
    <m/>
    <m/>
    <m/>
    <m/>
    <n v="1"/>
    <m/>
    <m/>
    <m/>
    <n v="1"/>
    <m/>
    <m/>
    <m/>
    <m/>
    <m/>
    <n v="1"/>
    <n v="0"/>
    <n v="-1"/>
    <n v="1"/>
    <n v="0"/>
    <n v="0"/>
    <n v="0"/>
    <n v="0"/>
    <n v="0"/>
    <n v="0"/>
    <m/>
    <m/>
    <n v="0"/>
    <m/>
    <m/>
    <m/>
    <m/>
    <m/>
    <m/>
    <m/>
    <m/>
    <m/>
    <m/>
    <m/>
    <m/>
    <m/>
    <m/>
    <m/>
    <n v="0"/>
    <n v="0"/>
    <m/>
    <m/>
    <m/>
    <n v="522197"/>
    <n v="177398"/>
    <s v="Barnes"/>
  </r>
  <r>
    <s v="23/0970/FUL"/>
    <x v="1"/>
    <s v="FULL"/>
    <d v="2023-07-04T00:00:00"/>
    <d v="2026-07-04T00:00:00"/>
    <d v="2025-04-01T00:00:00"/>
    <m/>
    <m/>
    <d v="2025-05-01T00:00:00"/>
    <x v="1"/>
    <x v="0"/>
    <m/>
    <m/>
    <m/>
    <s v="Change of use of second floor staff flat to ancillary office space and staff rest space to the use class F1(a) education use."/>
    <s v="30 Cumberland Road, Kew"/>
    <s v="TW9 3HQ"/>
    <m/>
    <n v="1"/>
    <m/>
    <m/>
    <m/>
    <m/>
    <m/>
    <m/>
    <m/>
    <n v="1"/>
    <m/>
    <m/>
    <m/>
    <m/>
    <m/>
    <m/>
    <m/>
    <m/>
    <m/>
    <n v="0"/>
    <n v="-1"/>
    <n v="0"/>
    <n v="0"/>
    <n v="0"/>
    <n v="0"/>
    <n v="0"/>
    <n v="0"/>
    <n v="0"/>
    <n v="-1"/>
    <m/>
    <m/>
    <n v="-1"/>
    <m/>
    <m/>
    <m/>
    <m/>
    <m/>
    <m/>
    <m/>
    <m/>
    <m/>
    <m/>
    <m/>
    <m/>
    <m/>
    <m/>
    <m/>
    <n v="-1"/>
    <n v="-1"/>
    <m/>
    <m/>
    <m/>
    <n v="519234"/>
    <n v="177167"/>
    <s v="Kew"/>
  </r>
  <r>
    <s v="23/1060/FUL"/>
    <x v="1"/>
    <s v="FULL"/>
    <d v="2023-07-05T00:00:00"/>
    <d v="2026-07-05T00:00:00"/>
    <d v="2025-04-01T00:00:00"/>
    <m/>
    <m/>
    <d v="2025-05-01T00:00:00"/>
    <x v="1"/>
    <x v="0"/>
    <m/>
    <m/>
    <m/>
    <s v="Use of Second Floor of 24-26 Cumberland Road (staff flat) for education purposes Class F1[a]."/>
    <s v="Kew College, 24 Cumberland Road, Kew, Richmond TW9 3HQ"/>
    <s v="TW9 3HQ"/>
    <m/>
    <n v="1"/>
    <m/>
    <m/>
    <m/>
    <m/>
    <m/>
    <m/>
    <m/>
    <n v="1"/>
    <m/>
    <m/>
    <m/>
    <m/>
    <m/>
    <m/>
    <m/>
    <m/>
    <m/>
    <n v="0"/>
    <n v="-1"/>
    <n v="0"/>
    <n v="0"/>
    <n v="0"/>
    <n v="0"/>
    <n v="0"/>
    <n v="0"/>
    <n v="0"/>
    <n v="-1"/>
    <m/>
    <m/>
    <n v="-1"/>
    <m/>
    <m/>
    <m/>
    <m/>
    <m/>
    <m/>
    <m/>
    <m/>
    <m/>
    <m/>
    <m/>
    <m/>
    <m/>
    <m/>
    <m/>
    <n v="-1"/>
    <n v="-1"/>
    <m/>
    <m/>
    <m/>
    <n v="519219"/>
    <n v="177132"/>
    <s v="Kew"/>
  </r>
  <r>
    <s v="23/1154/FUL"/>
    <x v="3"/>
    <s v="FULL"/>
    <d v="2024-01-30T00:00:00"/>
    <d v="2027-01-30T00:00:00"/>
    <d v="2024-01-30T00:00:00"/>
    <m/>
    <m/>
    <m/>
    <x v="1"/>
    <x v="0"/>
    <m/>
    <m/>
    <m/>
    <s v="Proposed single storey extensions, single storey roof canopy &amp; roof space conversion to existing workshop to rear (part-retrospective); 3 No. residential unit infill over access road to front; adjustment to access point with dropped kerb; plus cycle parking, waste and recycling storage and hard &amp; soft landscaping"/>
    <s v="31 Stanley Road, Teddington TW11 8TP"/>
    <s v="TW11 8TP"/>
    <m/>
    <m/>
    <m/>
    <m/>
    <m/>
    <m/>
    <m/>
    <m/>
    <m/>
    <n v="0"/>
    <m/>
    <n v="2"/>
    <m/>
    <n v="1"/>
    <m/>
    <m/>
    <m/>
    <m/>
    <m/>
    <n v="3"/>
    <n v="2"/>
    <n v="0"/>
    <n v="1"/>
    <n v="0"/>
    <n v="0"/>
    <n v="0"/>
    <n v="0"/>
    <n v="0"/>
    <n v="3"/>
    <m/>
    <m/>
    <m/>
    <n v="1.5"/>
    <n v="1.5"/>
    <m/>
    <m/>
    <m/>
    <m/>
    <m/>
    <m/>
    <m/>
    <m/>
    <m/>
    <m/>
    <m/>
    <m/>
    <m/>
    <n v="3"/>
    <n v="3"/>
    <m/>
    <m/>
    <m/>
    <n v="515296"/>
    <n v="171228"/>
    <s v="Fulwell &amp; Hampton Hill"/>
  </r>
  <r>
    <s v="23/1485/FUL"/>
    <x v="1"/>
    <s v="FULL"/>
    <d v="2024-05-29T00:00:00"/>
    <d v="2027-05-29T00:00:00"/>
    <d v="2025-02-14T00:00:00"/>
    <s v="Y"/>
    <s v="Y"/>
    <d v="2025-11-14T00:00:00"/>
    <x v="1"/>
    <x v="0"/>
    <m/>
    <m/>
    <m/>
    <s v="Change of use from Use Class E (office) to Use Class C3 (residential) to provide 1 x 3 bedroom maisonette and provision of one Air-source heat pump at first-floor level on the rear elevation and replacement windows and rooflight at the rear."/>
    <s v="12 - 14 Hill Street, Richmond TW9 1TN"/>
    <s v="TW9 1TN"/>
    <m/>
    <m/>
    <m/>
    <m/>
    <m/>
    <m/>
    <m/>
    <m/>
    <m/>
    <n v="0"/>
    <m/>
    <m/>
    <m/>
    <n v="1"/>
    <m/>
    <m/>
    <m/>
    <m/>
    <m/>
    <n v="1"/>
    <n v="0"/>
    <n v="0"/>
    <n v="1"/>
    <n v="0"/>
    <n v="0"/>
    <n v="0"/>
    <n v="0"/>
    <n v="0"/>
    <n v="1"/>
    <m/>
    <m/>
    <n v="1"/>
    <m/>
    <m/>
    <m/>
    <m/>
    <m/>
    <m/>
    <m/>
    <m/>
    <m/>
    <m/>
    <m/>
    <m/>
    <m/>
    <m/>
    <m/>
    <n v="1"/>
    <n v="1"/>
    <m/>
    <m/>
    <m/>
    <n v="517790"/>
    <n v="174728"/>
    <s v="South Richmond"/>
  </r>
  <r>
    <s v="23/1869/FUL"/>
    <x v="4"/>
    <s v="FULL"/>
    <d v="2024-01-16T00:00:00"/>
    <d v="2027-01-16T00:00:00"/>
    <d v="2024-10-01T00:00:00"/>
    <s v="Y"/>
    <m/>
    <d v="2025-07-31T00:00:00"/>
    <x v="1"/>
    <x v="0"/>
    <m/>
    <m/>
    <m/>
    <s v="The subdivision of a two-storey maisonette flat into two separate flats and loft extension to the third flat including a flat roof dormer to the rear."/>
    <s v="391 Upper Richmond Road West, East Sheen SW14 7NX"/>
    <s v="SW14 7NX"/>
    <m/>
    <m/>
    <m/>
    <n v="1"/>
    <m/>
    <m/>
    <m/>
    <m/>
    <m/>
    <n v="1"/>
    <m/>
    <n v="3"/>
    <m/>
    <m/>
    <m/>
    <m/>
    <m/>
    <m/>
    <m/>
    <n v="3"/>
    <n v="3"/>
    <n v="0"/>
    <n v="-1"/>
    <n v="0"/>
    <n v="0"/>
    <n v="0"/>
    <n v="0"/>
    <n v="0"/>
    <n v="2"/>
    <m/>
    <m/>
    <n v="2"/>
    <m/>
    <m/>
    <m/>
    <m/>
    <m/>
    <m/>
    <m/>
    <m/>
    <m/>
    <m/>
    <m/>
    <m/>
    <m/>
    <m/>
    <m/>
    <n v="2"/>
    <n v="2"/>
    <m/>
    <m/>
    <m/>
    <n v="520411"/>
    <n v="175345"/>
    <s v="East Sheen"/>
  </r>
  <r>
    <s v="23/2146/FUL"/>
    <x v="0"/>
    <s v="FULL"/>
    <d v="2024-03-26T00:00:00"/>
    <d v="2027-03-26T00:00:00"/>
    <d v="2024-11-30T00:00:00"/>
    <s v="Y"/>
    <m/>
    <m/>
    <x v="1"/>
    <x v="0"/>
    <m/>
    <m/>
    <m/>
    <s v="Demolition of the existing dwelling at Little Orchard and the erection of a new dwelling maintaining the existing access off Bute Avenue and associated refuse/cycle storage and amendments to boundary treatment"/>
    <s v="Little Orchard, Sudbrook Lane, Petersham TW10 7AT"/>
    <s v="TW10 7AT"/>
    <m/>
    <m/>
    <m/>
    <m/>
    <n v="1"/>
    <m/>
    <m/>
    <m/>
    <m/>
    <n v="1"/>
    <m/>
    <m/>
    <m/>
    <m/>
    <n v="1"/>
    <m/>
    <m/>
    <m/>
    <m/>
    <n v="1"/>
    <n v="0"/>
    <n v="0"/>
    <n v="0"/>
    <n v="0"/>
    <n v="0"/>
    <n v="0"/>
    <n v="0"/>
    <n v="0"/>
    <n v="0"/>
    <m/>
    <m/>
    <n v="0"/>
    <m/>
    <m/>
    <m/>
    <m/>
    <m/>
    <m/>
    <m/>
    <m/>
    <m/>
    <m/>
    <m/>
    <m/>
    <m/>
    <m/>
    <m/>
    <n v="0"/>
    <n v="0"/>
    <m/>
    <m/>
    <m/>
    <n v="518142"/>
    <n v="172937"/>
    <s v="Ham, Petersham &amp; Richmond Riverside"/>
  </r>
  <r>
    <s v="23/2944/GPD26"/>
    <x v="1"/>
    <s v="PA"/>
    <d v="2023-12-22T00:00:00"/>
    <d v="2026-12-22T00:00:00"/>
    <d v="2024-02-01T00:00:00"/>
    <m/>
    <m/>
    <d v="2025-12-04T00:00:00"/>
    <x v="1"/>
    <x v="0"/>
    <m/>
    <m/>
    <m/>
    <s v="Change of Use of Existing Ground Floor Class Use E (Office) to Class Use C3 (Dwelling)."/>
    <s v="44 Church Road, Teddington TW11 8PB"/>
    <s v="TW11 8PB"/>
    <m/>
    <m/>
    <m/>
    <m/>
    <m/>
    <m/>
    <m/>
    <m/>
    <m/>
    <n v="0"/>
    <m/>
    <m/>
    <n v="1"/>
    <m/>
    <m/>
    <m/>
    <m/>
    <m/>
    <m/>
    <n v="1"/>
    <n v="0"/>
    <n v="1"/>
    <n v="0"/>
    <n v="0"/>
    <n v="0"/>
    <n v="0"/>
    <n v="0"/>
    <n v="0"/>
    <n v="1"/>
    <m/>
    <m/>
    <n v="1"/>
    <m/>
    <m/>
    <m/>
    <m/>
    <m/>
    <m/>
    <m/>
    <m/>
    <m/>
    <m/>
    <m/>
    <m/>
    <m/>
    <m/>
    <m/>
    <n v="1"/>
    <n v="1"/>
    <m/>
    <m/>
    <m/>
    <n v="515687"/>
    <n v="171148"/>
    <s v="Teddington"/>
  </r>
  <r>
    <s v="23/3457/FUL"/>
    <x v="0"/>
    <s v="FULL"/>
    <d v="2024-07-26T00:00:00"/>
    <d v="2027-07-26T00:00:00"/>
    <d v="2025-03-18T00:00:00"/>
    <s v="Y"/>
    <s v="Y"/>
    <m/>
    <x v="1"/>
    <x v="0"/>
    <m/>
    <m/>
    <m/>
    <s v="New three-bedroom house to the side of 16 Tayben Avenue; alterations to No.16 Tayben Avenue including new driveway and landscaping and roof extensions as per Lawful Development Certificate ref. 23/2302/PS192"/>
    <s v="16 Tayben Avenue, Twickenham TW2 7RA"/>
    <s v="TW2 7RA"/>
    <m/>
    <m/>
    <m/>
    <m/>
    <m/>
    <m/>
    <m/>
    <m/>
    <m/>
    <n v="0"/>
    <m/>
    <m/>
    <m/>
    <n v="1"/>
    <m/>
    <m/>
    <m/>
    <m/>
    <m/>
    <n v="1"/>
    <n v="0"/>
    <n v="0"/>
    <n v="1"/>
    <n v="0"/>
    <n v="0"/>
    <n v="0"/>
    <n v="0"/>
    <n v="0"/>
    <n v="1"/>
    <m/>
    <m/>
    <n v="1"/>
    <m/>
    <m/>
    <m/>
    <m/>
    <m/>
    <m/>
    <m/>
    <m/>
    <m/>
    <m/>
    <m/>
    <m/>
    <m/>
    <m/>
    <m/>
    <n v="1"/>
    <n v="1"/>
    <m/>
    <m/>
    <m/>
    <n v="515338"/>
    <n v="174026"/>
    <s v="St. Margarets &amp; North Twickenham"/>
  </r>
  <r>
    <s v="24/0811/FUL"/>
    <x v="0"/>
    <s v="FULL"/>
    <d v="2024-11-06T00:00:00"/>
    <d v="2027-11-06T00:00:00"/>
    <d v="2024-11-06T00:00:00"/>
    <s v="Y"/>
    <s v="Y"/>
    <d v="2025-06-09T00:00:00"/>
    <x v="1"/>
    <x v="0"/>
    <m/>
    <m/>
    <m/>
    <s v="Demolition of existing dwelling, construction of single dwelling with associated refuse and cycle store. ASHP and EV charging point."/>
    <s v="2 West Temple Sheen, East Sheen SW14 7RT"/>
    <s v="SW14 7RT"/>
    <m/>
    <m/>
    <n v="1"/>
    <m/>
    <m/>
    <m/>
    <m/>
    <m/>
    <m/>
    <n v="1"/>
    <m/>
    <m/>
    <m/>
    <m/>
    <n v="1"/>
    <m/>
    <m/>
    <m/>
    <m/>
    <n v="1"/>
    <n v="0"/>
    <n v="-1"/>
    <n v="0"/>
    <n v="1"/>
    <n v="0"/>
    <n v="0"/>
    <n v="0"/>
    <n v="0"/>
    <n v="0"/>
    <m/>
    <m/>
    <n v="0"/>
    <m/>
    <m/>
    <m/>
    <m/>
    <m/>
    <m/>
    <m/>
    <m/>
    <m/>
    <m/>
    <m/>
    <m/>
    <m/>
    <m/>
    <m/>
    <n v="0"/>
    <n v="0"/>
    <m/>
    <m/>
    <m/>
    <n v="519882"/>
    <n v="175037"/>
    <s v="East Sheen"/>
  </r>
  <r>
    <s v="24/1631/GPD26"/>
    <x v="1"/>
    <s v="PA"/>
    <d v="2024-08-15T00:00:00"/>
    <d v="2027-08-15T00:00:00"/>
    <d v="2025-03-03T00:00:00"/>
    <s v="Y"/>
    <s v="Y"/>
    <m/>
    <x v="1"/>
    <x v="0"/>
    <m/>
    <m/>
    <m/>
    <s v="Conversion of part of ground floor from Class E to a 1 bed flat."/>
    <s v="398 Richmond Road, Twickenham TW1 2DY"/>
    <s v="TW1 2DY"/>
    <m/>
    <m/>
    <m/>
    <m/>
    <m/>
    <m/>
    <m/>
    <m/>
    <m/>
    <n v="0"/>
    <m/>
    <n v="1"/>
    <m/>
    <m/>
    <m/>
    <m/>
    <m/>
    <m/>
    <m/>
    <n v="1"/>
    <n v="1"/>
    <n v="0"/>
    <n v="0"/>
    <n v="0"/>
    <n v="0"/>
    <n v="0"/>
    <n v="0"/>
    <n v="0"/>
    <n v="1"/>
    <m/>
    <m/>
    <n v="1"/>
    <m/>
    <m/>
    <m/>
    <m/>
    <m/>
    <m/>
    <m/>
    <m/>
    <m/>
    <m/>
    <m/>
    <m/>
    <m/>
    <m/>
    <m/>
    <n v="1"/>
    <n v="1"/>
    <m/>
    <m/>
    <m/>
    <n v="517552"/>
    <n v="174330"/>
    <s v="Twickenham Riverside"/>
  </r>
  <r>
    <s v="24/1784/FUL"/>
    <x v="4"/>
    <s v="FULL"/>
    <d v="2024-11-14T00:00:00"/>
    <d v="2027-11-14T00:00:00"/>
    <d v="2025-03-03T00:00:00"/>
    <s v="Y"/>
    <s v="Y"/>
    <m/>
    <x v="1"/>
    <x v="0"/>
    <m/>
    <m/>
    <m/>
    <s v="Reduction in depth of existing rear extension and rebuilding rear wall. Insertion of new windows, door and rooflights and removal of existing extension into internal lightwell. Subdivision of 2no. existing flats at 1st and 2nd floor level to create 4no. flats."/>
    <s v="398 Richmond Road, Twickenham TW1 2DY"/>
    <s v="TW1 2DY"/>
    <m/>
    <m/>
    <n v="2"/>
    <m/>
    <m/>
    <m/>
    <m/>
    <m/>
    <m/>
    <n v="2"/>
    <m/>
    <n v="4"/>
    <m/>
    <m/>
    <m/>
    <m/>
    <m/>
    <m/>
    <m/>
    <n v="4"/>
    <n v="4"/>
    <n v="-2"/>
    <n v="0"/>
    <n v="0"/>
    <n v="0"/>
    <n v="0"/>
    <n v="0"/>
    <n v="0"/>
    <n v="2"/>
    <m/>
    <m/>
    <n v="2"/>
    <m/>
    <m/>
    <m/>
    <m/>
    <m/>
    <m/>
    <m/>
    <m/>
    <m/>
    <m/>
    <m/>
    <m/>
    <m/>
    <m/>
    <m/>
    <n v="2"/>
    <n v="2"/>
    <m/>
    <m/>
    <m/>
    <n v="517552"/>
    <n v="174330"/>
    <s v="Twickenham Riverside"/>
  </r>
  <r>
    <s v="24/1812/GPD26"/>
    <x v="1"/>
    <s v="PA"/>
    <d v="2024-09-04T00:00:00"/>
    <d v="2027-09-04T00:00:00"/>
    <d v="2025-02-01T00:00:00"/>
    <s v="Y"/>
    <s v="Y"/>
    <d v="2025-08-12T00:00:00"/>
    <x v="1"/>
    <x v="0"/>
    <m/>
    <m/>
    <m/>
    <s v="Conversion of property from use Class E(g)(i) to Use Class C3 to provide one dwelling."/>
    <s v="The Old Fire Station, 123 Mortlake High Street, Mortlake SW14 8SN"/>
    <s v="SW14 8SN"/>
    <m/>
    <m/>
    <m/>
    <m/>
    <m/>
    <m/>
    <m/>
    <m/>
    <m/>
    <n v="0"/>
    <m/>
    <m/>
    <m/>
    <n v="1"/>
    <m/>
    <m/>
    <m/>
    <m/>
    <m/>
    <n v="1"/>
    <n v="0"/>
    <n v="0"/>
    <n v="1"/>
    <n v="0"/>
    <n v="0"/>
    <n v="0"/>
    <n v="0"/>
    <n v="0"/>
    <n v="1"/>
    <m/>
    <m/>
    <n v="1"/>
    <m/>
    <m/>
    <m/>
    <m/>
    <m/>
    <m/>
    <m/>
    <m/>
    <m/>
    <m/>
    <m/>
    <m/>
    <m/>
    <m/>
    <m/>
    <n v="1"/>
    <n v="1"/>
    <m/>
    <m/>
    <m/>
    <n v="521146"/>
    <n v="176059"/>
    <s v="Mortlake &amp; Barnes Common"/>
  </r>
  <r>
    <s v="24/2018/PS192"/>
    <x v="1"/>
    <s v="S192"/>
    <d v="2024-09-26T00:00:00"/>
    <d v="2027-09-26T00:00:00"/>
    <d v="2024-11-01T00:00:00"/>
    <s v="Y"/>
    <s v="Y"/>
    <d v="2025-07-02T00:00:00"/>
    <x v="1"/>
    <x v="0"/>
    <m/>
    <m/>
    <m/>
    <s v="Change of use from HMO C4 to Single Dwelling C3."/>
    <s v="63 Priory Road, Kew TW9 3DH"/>
    <s v="TW9 3DH"/>
    <m/>
    <m/>
    <m/>
    <m/>
    <m/>
    <m/>
    <n v="1"/>
    <m/>
    <m/>
    <n v="1"/>
    <m/>
    <m/>
    <m/>
    <m/>
    <m/>
    <n v="1"/>
    <m/>
    <m/>
    <m/>
    <n v="1"/>
    <n v="0"/>
    <n v="0"/>
    <n v="0"/>
    <n v="0"/>
    <n v="1"/>
    <n v="-1"/>
    <n v="0"/>
    <n v="0"/>
    <n v="0"/>
    <m/>
    <m/>
    <n v="0"/>
    <m/>
    <m/>
    <m/>
    <m/>
    <m/>
    <m/>
    <m/>
    <m/>
    <m/>
    <m/>
    <m/>
    <m/>
    <m/>
    <m/>
    <m/>
    <n v="0"/>
    <n v="0"/>
    <m/>
    <m/>
    <s v="Y"/>
    <n v="519351"/>
    <n v="177424"/>
    <s v="Kew"/>
  </r>
  <r>
    <s v="24/2209/FUL"/>
    <x v="0"/>
    <s v="FULL"/>
    <d v="2024-11-06T00:00:00"/>
    <d v="2027-11-06T00:00:00"/>
    <d v="2024-07-01T00:00:00"/>
    <s v="Y"/>
    <s v="Y"/>
    <m/>
    <x v="1"/>
    <x v="0"/>
    <m/>
    <m/>
    <m/>
    <s v="Demolition of existing and construction of 2 storey, 3 bed replacement dwelling with rear and side extensions and front porch. Associated works including solar panels, air source heat pump, bike shed in rear garden."/>
    <s v="26 Washington Road, Barnes SW13 9BH"/>
    <s v="SW13 9BH"/>
    <m/>
    <m/>
    <m/>
    <n v="1"/>
    <m/>
    <m/>
    <m/>
    <m/>
    <m/>
    <n v="1"/>
    <m/>
    <m/>
    <m/>
    <n v="1"/>
    <m/>
    <m/>
    <m/>
    <m/>
    <m/>
    <n v="1"/>
    <n v="0"/>
    <n v="0"/>
    <n v="0"/>
    <n v="0"/>
    <n v="0"/>
    <n v="0"/>
    <n v="0"/>
    <n v="0"/>
    <n v="0"/>
    <m/>
    <m/>
    <n v="0"/>
    <m/>
    <m/>
    <m/>
    <m/>
    <m/>
    <m/>
    <m/>
    <m/>
    <m/>
    <m/>
    <m/>
    <m/>
    <m/>
    <m/>
    <m/>
    <n v="0"/>
    <n v="0"/>
    <m/>
    <m/>
    <m/>
    <n v="522350"/>
    <n v="177310"/>
    <s v="Barnes"/>
  </r>
  <r>
    <s v="24/2431/GPD26"/>
    <x v="1"/>
    <s v="PA"/>
    <d v="2024-12-19T00:00:00"/>
    <d v="2027-12-19T00:00:00"/>
    <d v="2024-12-19T00:00:00"/>
    <s v="Y"/>
    <s v="Y"/>
    <m/>
    <x v="1"/>
    <x v="0"/>
    <m/>
    <m/>
    <m/>
    <s v="Change of use from premises in light industrial use (Class B1(c)) to C3, including internal alterations."/>
    <s v="Unit 1, Sheen Stables Rear Of 119 Sheen Lane, East Sheen"/>
    <s v="SW14 8AE"/>
    <m/>
    <m/>
    <m/>
    <m/>
    <m/>
    <m/>
    <m/>
    <m/>
    <m/>
    <n v="0"/>
    <m/>
    <m/>
    <n v="1"/>
    <m/>
    <m/>
    <m/>
    <m/>
    <m/>
    <m/>
    <n v="1"/>
    <n v="0"/>
    <n v="1"/>
    <n v="0"/>
    <n v="0"/>
    <n v="0"/>
    <n v="0"/>
    <n v="0"/>
    <n v="0"/>
    <n v="1"/>
    <m/>
    <m/>
    <n v="0.5"/>
    <n v="0.5"/>
    <m/>
    <m/>
    <m/>
    <m/>
    <m/>
    <m/>
    <m/>
    <m/>
    <m/>
    <m/>
    <m/>
    <m/>
    <m/>
    <m/>
    <n v="1"/>
    <n v="1"/>
    <m/>
    <m/>
    <m/>
    <n v="520517"/>
    <n v="175511"/>
    <s v="East Sheen"/>
  </r>
  <r>
    <s v="24/2655/GPD26"/>
    <x v="1"/>
    <s v="PA"/>
    <d v="2024-12-20T00:00:00"/>
    <d v="2027-12-20T00:00:00"/>
    <d v="2025-03-01T00:00:00"/>
    <s v="Y"/>
    <s v="Y"/>
    <m/>
    <x v="1"/>
    <x v="0"/>
    <m/>
    <m/>
    <m/>
    <s v="Change of Use of an office (Use Class E(g)(i)) to form 3no. dwellinghouses (Use Class C3)"/>
    <s v="1 Rocks Lane, Barnes"/>
    <s v="SW9 0DB"/>
    <m/>
    <m/>
    <m/>
    <m/>
    <m/>
    <m/>
    <m/>
    <m/>
    <m/>
    <n v="0"/>
    <m/>
    <n v="1"/>
    <n v="2"/>
    <m/>
    <m/>
    <m/>
    <m/>
    <m/>
    <m/>
    <n v="3"/>
    <n v="1"/>
    <n v="2"/>
    <n v="0"/>
    <n v="0"/>
    <n v="0"/>
    <n v="0"/>
    <n v="0"/>
    <n v="0"/>
    <n v="3"/>
    <m/>
    <m/>
    <n v="3"/>
    <m/>
    <m/>
    <m/>
    <m/>
    <m/>
    <m/>
    <m/>
    <m/>
    <m/>
    <m/>
    <m/>
    <m/>
    <m/>
    <m/>
    <m/>
    <n v="3"/>
    <n v="3"/>
    <m/>
    <m/>
    <m/>
    <n v="522378"/>
    <n v="176584"/>
    <s v="Barnes"/>
  </r>
  <r>
    <s v="24/2720/FUL"/>
    <x v="2"/>
    <s v="FULL"/>
    <d v="2025-02-11T00:00:00"/>
    <d v="2028-02-11T00:00:00"/>
    <d v="2025-03-03T00:00:00"/>
    <s v="Y"/>
    <s v="Y"/>
    <m/>
    <x v="1"/>
    <x v="0"/>
    <m/>
    <m/>
    <m/>
    <s v="Mansard roof extension to create 1no. flat with associated bin and cycle storage.  New shop front and external alterations to include replacement windows and doors together with a reduction in the depth of the single storey rear extension and associated external alterations"/>
    <s v="398 Richmond Road, Twickenham TW1 2DY"/>
    <s v="TW1 2DY"/>
    <m/>
    <m/>
    <m/>
    <m/>
    <m/>
    <m/>
    <m/>
    <m/>
    <m/>
    <n v="0"/>
    <m/>
    <m/>
    <n v="1"/>
    <m/>
    <m/>
    <m/>
    <m/>
    <m/>
    <m/>
    <n v="1"/>
    <n v="0"/>
    <n v="1"/>
    <n v="0"/>
    <n v="0"/>
    <n v="0"/>
    <n v="0"/>
    <n v="0"/>
    <n v="0"/>
    <n v="1"/>
    <m/>
    <m/>
    <n v="1"/>
    <m/>
    <m/>
    <m/>
    <m/>
    <m/>
    <m/>
    <m/>
    <m/>
    <m/>
    <m/>
    <m/>
    <m/>
    <m/>
    <m/>
    <m/>
    <n v="1"/>
    <n v="1"/>
    <m/>
    <m/>
    <m/>
    <n v="517552"/>
    <n v="174330"/>
    <s v="Twickenham Riverside"/>
  </r>
  <r>
    <s v="24/3195/GPD26"/>
    <x v="1"/>
    <s v="PA"/>
    <d v="2025-02-11T00:00:00"/>
    <d v="2028-02-11T00:00:00"/>
    <d v="2025-03-31T00:00:00"/>
    <s v="Y"/>
    <s v="Y"/>
    <m/>
    <x v="1"/>
    <x v="0"/>
    <m/>
    <m/>
    <m/>
    <s v="Change of use from offices (Class E) to a four bedroom dwelling (Class C3)."/>
    <s v="21 Park Lane, Richmond TW9 2RA"/>
    <s v="TW9 2RA"/>
    <m/>
    <m/>
    <m/>
    <m/>
    <m/>
    <m/>
    <m/>
    <m/>
    <m/>
    <n v="0"/>
    <m/>
    <m/>
    <m/>
    <m/>
    <n v="1"/>
    <m/>
    <m/>
    <m/>
    <m/>
    <n v="1"/>
    <n v="0"/>
    <n v="0"/>
    <n v="0"/>
    <n v="1"/>
    <n v="0"/>
    <n v="0"/>
    <n v="0"/>
    <n v="0"/>
    <n v="1"/>
    <m/>
    <m/>
    <n v="0.5"/>
    <n v="0.5"/>
    <m/>
    <m/>
    <m/>
    <m/>
    <m/>
    <m/>
    <m/>
    <m/>
    <m/>
    <m/>
    <m/>
    <m/>
    <m/>
    <m/>
    <n v="1"/>
    <n v="1"/>
    <m/>
    <m/>
    <m/>
    <n v="517913"/>
    <n v="175202"/>
    <s v="South Richmond"/>
  </r>
  <r>
    <s v="18/0693/FUL"/>
    <x v="0"/>
    <s v="FULL"/>
    <d v="2023-10-27T00:00:00"/>
    <d v="2026-10-27T00:00:00"/>
    <m/>
    <m/>
    <m/>
    <m/>
    <x v="2"/>
    <x v="0"/>
    <m/>
    <m/>
    <m/>
    <s v="Erection of a two storey house with additional rooms in the roof at the corner of St James's Road and Park Road (currently part of the plot of 59 Park Road). Alterations to boundary wall to facilitate the creation of new access from St James Road together with associated hard and soft landscaping, cycle and refuse stores and 2 x off-street parking."/>
    <s v="59 Park Road, Hampton Hill TW12 1HX"/>
    <s v="TW12 1HX"/>
    <m/>
    <m/>
    <m/>
    <m/>
    <m/>
    <m/>
    <m/>
    <m/>
    <m/>
    <n v="0"/>
    <m/>
    <m/>
    <m/>
    <m/>
    <m/>
    <n v="1"/>
    <m/>
    <m/>
    <m/>
    <n v="1"/>
    <n v="0"/>
    <n v="0"/>
    <n v="0"/>
    <n v="0"/>
    <n v="1"/>
    <n v="0"/>
    <n v="0"/>
    <n v="0"/>
    <n v="1"/>
    <m/>
    <m/>
    <n v="0.25"/>
    <n v="0.25"/>
    <n v="0.25"/>
    <n v="0.25"/>
    <m/>
    <m/>
    <m/>
    <m/>
    <m/>
    <m/>
    <m/>
    <m/>
    <m/>
    <m/>
    <m/>
    <m/>
    <n v="1"/>
    <n v="1"/>
    <m/>
    <m/>
    <m/>
    <n v="513964"/>
    <n v="171432"/>
    <s v="Fulwell &amp; Hampton Hill"/>
  </r>
  <r>
    <s v="18/3575/FUL"/>
    <x v="0"/>
    <s v="FULL"/>
    <d v="2023-08-31T00:00:00"/>
    <d v="2026-08-31T00:00:00"/>
    <m/>
    <m/>
    <m/>
    <m/>
    <x v="2"/>
    <x v="0"/>
    <m/>
    <m/>
    <m/>
    <s v="Demolition of existing garage. Erection of two x 2 storey five bed single-family dwellings with basement and associated hard and soft landscaping, new boundary treatment and refuse and cycle provision. Creation of dropped kerbs to facilitate provision of off-street parking."/>
    <s v="Land Rear Of 272-278 St Margarets Road, Twickenham"/>
    <s v="TW1"/>
    <m/>
    <m/>
    <m/>
    <m/>
    <m/>
    <m/>
    <m/>
    <m/>
    <m/>
    <n v="0"/>
    <m/>
    <m/>
    <m/>
    <m/>
    <m/>
    <n v="2"/>
    <m/>
    <m/>
    <m/>
    <n v="2"/>
    <n v="0"/>
    <n v="0"/>
    <n v="0"/>
    <n v="0"/>
    <n v="2"/>
    <n v="0"/>
    <n v="0"/>
    <n v="0"/>
    <n v="2"/>
    <m/>
    <m/>
    <n v="0.5"/>
    <n v="0.5"/>
    <n v="0.5"/>
    <n v="0.5"/>
    <m/>
    <m/>
    <m/>
    <m/>
    <m/>
    <m/>
    <m/>
    <m/>
    <m/>
    <m/>
    <m/>
    <m/>
    <n v="2"/>
    <n v="2"/>
    <m/>
    <m/>
    <m/>
    <n v="516610"/>
    <n v="174980"/>
    <s v="St. Margarets &amp; North Twickenham"/>
  </r>
  <r>
    <s v="19/0404/FUL"/>
    <x v="0"/>
    <s v="FULL"/>
    <d v="2022-06-30T00:00:00"/>
    <d v="2025-06-30T00:00:00"/>
    <d v="2025-04-28T00:00:00"/>
    <m/>
    <m/>
    <m/>
    <x v="2"/>
    <x v="0"/>
    <m/>
    <m/>
    <m/>
    <s v="Proposed construction of 2 bedroom dwellinghouse with 1No car parking space; secure storage for 2No cycles; refuse &amp; recycling storage; replacement of part of existing boundary wall with gates, piers &amp; railings to provide new pedestrian &amp; vehicular access"/>
    <s v="Land Adjacent To 53 Old Deer Park Gardens, Richmond"/>
    <s v="TW9 2T"/>
    <m/>
    <m/>
    <m/>
    <m/>
    <m/>
    <m/>
    <m/>
    <m/>
    <m/>
    <n v="0"/>
    <m/>
    <m/>
    <n v="1"/>
    <m/>
    <m/>
    <m/>
    <m/>
    <m/>
    <m/>
    <n v="1"/>
    <n v="0"/>
    <n v="1"/>
    <n v="0"/>
    <n v="0"/>
    <n v="0"/>
    <n v="0"/>
    <n v="0"/>
    <n v="0"/>
    <n v="1"/>
    <m/>
    <m/>
    <n v="0.5"/>
    <n v="0.5"/>
    <m/>
    <m/>
    <m/>
    <m/>
    <m/>
    <m/>
    <m/>
    <m/>
    <m/>
    <m/>
    <m/>
    <m/>
    <m/>
    <m/>
    <n v="1"/>
    <n v="1"/>
    <m/>
    <m/>
    <m/>
    <n v="518193"/>
    <n v="175740"/>
    <s v="North Richmond"/>
  </r>
  <r>
    <s v="19/0510/FUL"/>
    <x v="0"/>
    <s v="FULL"/>
    <d v="2024-05-23T00:00:00"/>
    <d v="2027-05-23T00:00:00"/>
    <m/>
    <m/>
    <s v="Y"/>
    <m/>
    <x v="2"/>
    <x v="3"/>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31"/>
    <n v="57"/>
    <n v="15"/>
    <m/>
    <m/>
    <m/>
    <m/>
    <m/>
    <n v="103"/>
    <n v="31"/>
    <n v="57"/>
    <n v="15"/>
    <n v="0"/>
    <n v="0"/>
    <n v="0"/>
    <n v="0"/>
    <n v="0"/>
    <n v="103"/>
    <s v="Y"/>
    <m/>
    <m/>
    <m/>
    <m/>
    <n v="51.5"/>
    <n v="51.5"/>
    <m/>
    <m/>
    <m/>
    <m/>
    <m/>
    <m/>
    <m/>
    <m/>
    <m/>
    <m/>
    <m/>
    <n v="103"/>
    <n v="103"/>
    <m/>
    <m/>
    <m/>
    <n v="518903"/>
    <n v="175424"/>
    <s v="North Richmond"/>
  </r>
  <r>
    <s v="19/0510/FUL"/>
    <x v="0"/>
    <s v="FULL"/>
    <d v="2024-05-23T00:00:00"/>
    <d v="2027-05-23T00:00:00"/>
    <m/>
    <m/>
    <s v="Y"/>
    <m/>
    <x v="2"/>
    <x v="5"/>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25"/>
    <n v="11"/>
    <m/>
    <m/>
    <m/>
    <m/>
    <m/>
    <m/>
    <n v="36"/>
    <n v="25"/>
    <n v="11"/>
    <n v="0"/>
    <n v="0"/>
    <n v="0"/>
    <n v="0"/>
    <n v="0"/>
    <n v="0"/>
    <n v="36"/>
    <s v="Y"/>
    <m/>
    <m/>
    <m/>
    <m/>
    <n v="18"/>
    <n v="18"/>
    <m/>
    <m/>
    <m/>
    <m/>
    <m/>
    <m/>
    <m/>
    <m/>
    <m/>
    <m/>
    <m/>
    <n v="36"/>
    <n v="36"/>
    <m/>
    <m/>
    <m/>
    <n v="518903"/>
    <n v="175424"/>
    <s v="North Richmond"/>
  </r>
  <r>
    <s v="19/0510/FUL"/>
    <x v="0"/>
    <s v="FULL"/>
    <d v="2024-05-23T00:00:00"/>
    <d v="2027-05-23T00:00:00"/>
    <m/>
    <m/>
    <s v="Y"/>
    <m/>
    <x v="2"/>
    <x v="0"/>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m/>
    <n v="116"/>
    <n v="145"/>
    <n v="19"/>
    <m/>
    <m/>
    <m/>
    <m/>
    <m/>
    <n v="280"/>
    <n v="116"/>
    <n v="145"/>
    <n v="19"/>
    <n v="0"/>
    <n v="0"/>
    <n v="0"/>
    <n v="0"/>
    <n v="0"/>
    <n v="280"/>
    <s v="Y"/>
    <m/>
    <m/>
    <m/>
    <m/>
    <n v="140"/>
    <n v="140"/>
    <m/>
    <m/>
    <m/>
    <m/>
    <m/>
    <m/>
    <m/>
    <m/>
    <m/>
    <m/>
    <m/>
    <n v="280"/>
    <n v="280"/>
    <m/>
    <m/>
    <m/>
    <n v="518903"/>
    <n v="175424"/>
    <s v="North Richmond"/>
  </r>
  <r>
    <s v="19/0510/FUL"/>
    <x v="0"/>
    <s v="FULL"/>
    <d v="2024-05-23T00:00:00"/>
    <d v="2027-05-23T00:00:00"/>
    <m/>
    <m/>
    <s v="Y"/>
    <m/>
    <x v="2"/>
    <x v="4"/>
    <m/>
    <m/>
    <m/>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1"/>
    <n v="33"/>
    <m/>
    <m/>
    <m/>
    <m/>
    <m/>
    <m/>
    <n v="34"/>
    <n v="1"/>
    <n v="33"/>
    <n v="0"/>
    <n v="0"/>
    <n v="0"/>
    <n v="0"/>
    <n v="0"/>
    <n v="0"/>
    <n v="34"/>
    <s v="Y"/>
    <m/>
    <m/>
    <m/>
    <m/>
    <n v="17"/>
    <n v="17"/>
    <m/>
    <m/>
    <m/>
    <m/>
    <m/>
    <m/>
    <m/>
    <m/>
    <m/>
    <m/>
    <m/>
    <n v="34"/>
    <n v="34"/>
    <m/>
    <m/>
    <m/>
    <n v="518903"/>
    <n v="175424"/>
    <s v="North Richmond"/>
  </r>
  <r>
    <s v="19/3053/FUL"/>
    <x v="0"/>
    <s v="FULL"/>
    <d v="2023-07-10T00:00:00"/>
    <d v="2026-07-10T00:00:00"/>
    <m/>
    <m/>
    <m/>
    <m/>
    <x v="2"/>
    <x v="0"/>
    <m/>
    <m/>
    <m/>
    <s v="Erection of a detached building comprising 7 self contained flats and a single family dwelling with associated access, parking and landscaping."/>
    <s v="217 Kingston Road, Teddington TW11 9JN"/>
    <s v="TW11 9JN"/>
    <m/>
    <m/>
    <m/>
    <m/>
    <m/>
    <m/>
    <m/>
    <m/>
    <m/>
    <n v="0"/>
    <m/>
    <n v="3"/>
    <n v="5"/>
    <m/>
    <m/>
    <m/>
    <m/>
    <m/>
    <m/>
    <n v="8"/>
    <n v="3"/>
    <n v="5"/>
    <n v="0"/>
    <n v="0"/>
    <n v="0"/>
    <n v="0"/>
    <n v="0"/>
    <n v="0"/>
    <n v="8"/>
    <m/>
    <m/>
    <m/>
    <n v="2"/>
    <n v="2"/>
    <n v="2"/>
    <n v="2"/>
    <m/>
    <m/>
    <m/>
    <m/>
    <m/>
    <m/>
    <m/>
    <m/>
    <m/>
    <m/>
    <m/>
    <n v="8"/>
    <n v="8"/>
    <m/>
    <m/>
    <m/>
    <n v="516986"/>
    <n v="170503"/>
    <s v="Hampton Wick &amp; South Teddington"/>
  </r>
  <r>
    <s v="20/0969/FUL"/>
    <x v="0"/>
    <s v="FULL"/>
    <d v="2021-11-29T00:00:00"/>
    <d v="2025-11-10T00:00:00"/>
    <m/>
    <m/>
    <m/>
    <m/>
    <x v="2"/>
    <x v="0"/>
    <m/>
    <m/>
    <m/>
    <s v="The demolition of an existing garage and ancillary outbuildings on garden land and the construction of 2 new detached houses."/>
    <s v="Land Rear Of 256 To 258, Kingston Road, Teddington"/>
    <s v="TW11"/>
    <m/>
    <m/>
    <m/>
    <m/>
    <m/>
    <m/>
    <m/>
    <m/>
    <m/>
    <n v="0"/>
    <m/>
    <m/>
    <n v="2"/>
    <m/>
    <m/>
    <m/>
    <m/>
    <m/>
    <m/>
    <n v="2"/>
    <n v="0"/>
    <n v="2"/>
    <n v="0"/>
    <n v="0"/>
    <n v="0"/>
    <n v="0"/>
    <n v="0"/>
    <n v="0"/>
    <n v="2"/>
    <m/>
    <m/>
    <m/>
    <n v="0.5"/>
    <n v="0.5"/>
    <n v="0.5"/>
    <n v="0.5"/>
    <m/>
    <m/>
    <m/>
    <m/>
    <m/>
    <m/>
    <m/>
    <m/>
    <m/>
    <m/>
    <m/>
    <n v="2"/>
    <n v="2"/>
    <m/>
    <m/>
    <m/>
    <n v="517060"/>
    <n v="170217"/>
    <s v="Hampton Wick &amp; South Teddington"/>
  </r>
  <r>
    <s v="20/1871/FUL"/>
    <x v="0"/>
    <s v="FULL"/>
    <d v="2022-10-20T00:00:00"/>
    <d v="2025-10-20T00:00:00"/>
    <m/>
    <m/>
    <m/>
    <m/>
    <x v="2"/>
    <x v="0"/>
    <m/>
    <m/>
    <m/>
    <s v="Demolition of two blocks of lock-up garages and construction of 3 x 2 bed dwellings with associated structures and landscaping works."/>
    <s v="Land R/O 8 To 18 Atbara Road, Teddington"/>
    <s v="TW11"/>
    <m/>
    <m/>
    <m/>
    <m/>
    <m/>
    <m/>
    <m/>
    <m/>
    <m/>
    <n v="0"/>
    <m/>
    <m/>
    <n v="3"/>
    <m/>
    <m/>
    <m/>
    <m/>
    <m/>
    <m/>
    <n v="3"/>
    <n v="0"/>
    <n v="3"/>
    <n v="0"/>
    <n v="0"/>
    <n v="0"/>
    <n v="0"/>
    <n v="0"/>
    <n v="0"/>
    <n v="3"/>
    <m/>
    <m/>
    <n v="0.75"/>
    <n v="0.75"/>
    <n v="0.75"/>
    <n v="0.75"/>
    <m/>
    <m/>
    <m/>
    <m/>
    <m/>
    <m/>
    <m/>
    <m/>
    <m/>
    <m/>
    <m/>
    <m/>
    <n v="3"/>
    <n v="3"/>
    <m/>
    <m/>
    <m/>
    <n v="516900"/>
    <n v="170739"/>
    <s v="Hampton Wick &amp; South Teddington"/>
  </r>
  <r>
    <s v="20/3061/FUL"/>
    <x v="3"/>
    <s v="FULL"/>
    <d v="2024-08-22T00:00:00"/>
    <d v="2027-08-22T00:00:00"/>
    <m/>
    <m/>
    <s v="Y"/>
    <m/>
    <x v="2"/>
    <x v="0"/>
    <m/>
    <m/>
    <m/>
    <s v="Proposed rear ground floor and first floor extension with addition of a rear dormer and external alterations, creation of 2 x 2 bedroom units and 2 x studio units"/>
    <s v="58 Wellington Road, Hampton TW12 1JT"/>
    <s v="TW12 1JT"/>
    <m/>
    <n v="1"/>
    <m/>
    <n v="1"/>
    <m/>
    <m/>
    <m/>
    <m/>
    <m/>
    <n v="2"/>
    <m/>
    <n v="2"/>
    <n v="2"/>
    <m/>
    <m/>
    <m/>
    <m/>
    <m/>
    <m/>
    <n v="4"/>
    <n v="1"/>
    <n v="2"/>
    <n v="-1"/>
    <n v="0"/>
    <n v="0"/>
    <n v="0"/>
    <n v="0"/>
    <n v="0"/>
    <n v="2"/>
    <m/>
    <m/>
    <n v="0.5"/>
    <n v="0.5"/>
    <n v="0.5"/>
    <n v="0.5"/>
    <m/>
    <m/>
    <m/>
    <m/>
    <m/>
    <m/>
    <m/>
    <m/>
    <m/>
    <m/>
    <m/>
    <m/>
    <n v="2"/>
    <n v="2"/>
    <m/>
    <m/>
    <m/>
    <n v="514662"/>
    <n v="171708"/>
    <s v="Fulwell &amp; Hampton Hill"/>
  </r>
  <r>
    <s v="21/0586/FUL"/>
    <x v="3"/>
    <s v="FULL"/>
    <d v="2023-11-09T00:00:00"/>
    <d v="2026-11-09T00:00:00"/>
    <m/>
    <m/>
    <m/>
    <m/>
    <x v="2"/>
    <x v="0"/>
    <m/>
    <m/>
    <m/>
    <s v="Demolition of Nos. 29 and 29b High Street and associated outbuildings, and erection of 8no. dwellings and 536.5sqm of Class E floorspace with associated works including the provision of 24 cycle spaces and 5 car parking spaces."/>
    <s v="29 To 31 High Street And Land To Rear Of High Street, Hampton Wick"/>
    <s v="KT1 4DA"/>
    <m/>
    <n v="1"/>
    <m/>
    <m/>
    <m/>
    <m/>
    <m/>
    <m/>
    <m/>
    <n v="1"/>
    <m/>
    <n v="7"/>
    <m/>
    <n v="1"/>
    <m/>
    <m/>
    <m/>
    <m/>
    <m/>
    <n v="8"/>
    <n v="6"/>
    <n v="0"/>
    <n v="1"/>
    <n v="0"/>
    <n v="0"/>
    <n v="0"/>
    <n v="0"/>
    <n v="0"/>
    <n v="7"/>
    <m/>
    <m/>
    <m/>
    <n v="3.5"/>
    <n v="3.5"/>
    <m/>
    <m/>
    <m/>
    <m/>
    <m/>
    <m/>
    <m/>
    <m/>
    <m/>
    <m/>
    <m/>
    <m/>
    <m/>
    <n v="7"/>
    <n v="7"/>
    <m/>
    <m/>
    <m/>
    <n v="517534"/>
    <n v="169493"/>
    <s v="Hampton Wick &amp; South Teddington"/>
  </r>
  <r>
    <s v="21/1528/FUL"/>
    <x v="2"/>
    <s v="FULL"/>
    <d v="2023-01-13T00:00:00"/>
    <d v="2026-01-13T00:00:00"/>
    <m/>
    <m/>
    <m/>
    <m/>
    <x v="2"/>
    <x v="0"/>
    <m/>
    <m/>
    <m/>
    <s v="Second floor extension to create one additional one bed dwelling, together with car parking, cycle parking and associated landscaping works"/>
    <s v="Junction Court, 127 Station Road, Hampton"/>
    <s v="TW12 2AL"/>
    <m/>
    <m/>
    <m/>
    <m/>
    <m/>
    <m/>
    <m/>
    <m/>
    <m/>
    <n v="0"/>
    <m/>
    <n v="1"/>
    <m/>
    <m/>
    <m/>
    <m/>
    <m/>
    <m/>
    <m/>
    <n v="1"/>
    <n v="1"/>
    <n v="0"/>
    <n v="0"/>
    <n v="0"/>
    <n v="0"/>
    <n v="0"/>
    <n v="0"/>
    <n v="0"/>
    <n v="1"/>
    <m/>
    <m/>
    <n v="0.25"/>
    <n v="0.25"/>
    <n v="0.25"/>
    <n v="0.25"/>
    <m/>
    <m/>
    <m/>
    <m/>
    <m/>
    <m/>
    <m/>
    <m/>
    <m/>
    <m/>
    <m/>
    <m/>
    <n v="1"/>
    <n v="1"/>
    <m/>
    <m/>
    <m/>
    <n v="513359"/>
    <n v="169765"/>
    <s v="Hampton"/>
  </r>
  <r>
    <s v="21/1616/FUL"/>
    <x v="2"/>
    <s v="FULL"/>
    <d v="2024-01-11T00:00:00"/>
    <d v="2027-01-11T00:00:00"/>
    <m/>
    <m/>
    <m/>
    <m/>
    <x v="2"/>
    <x v="0"/>
    <m/>
    <m/>
    <m/>
    <s v="Erection of 2nd floor roof extension to provide 4 flats (3 x one bedroom and 1 x two bedroom)"/>
    <s v="52 - 64 Heath Road, Twickenham"/>
    <s v="TW1 4BX"/>
    <m/>
    <m/>
    <m/>
    <m/>
    <m/>
    <m/>
    <m/>
    <m/>
    <m/>
    <n v="0"/>
    <m/>
    <n v="3"/>
    <n v="1"/>
    <m/>
    <m/>
    <m/>
    <m/>
    <m/>
    <m/>
    <n v="4"/>
    <n v="3"/>
    <n v="1"/>
    <n v="0"/>
    <n v="0"/>
    <n v="0"/>
    <n v="0"/>
    <n v="0"/>
    <n v="0"/>
    <n v="4"/>
    <m/>
    <m/>
    <m/>
    <n v="1"/>
    <n v="1"/>
    <n v="1"/>
    <n v="1"/>
    <m/>
    <m/>
    <m/>
    <m/>
    <m/>
    <m/>
    <m/>
    <m/>
    <m/>
    <m/>
    <m/>
    <n v="4"/>
    <n v="4"/>
    <m/>
    <m/>
    <m/>
    <n v="515974"/>
    <n v="173142"/>
    <s v="Twickenham Riverside"/>
  </r>
  <r>
    <s v="21/1907/FUL"/>
    <x v="0"/>
    <s v="FULL"/>
    <d v="2022-09-13T00:00:00"/>
    <d v="2025-09-13T00:00:00"/>
    <d v="2025-04-01T00:00:00"/>
    <m/>
    <m/>
    <m/>
    <x v="2"/>
    <x v="0"/>
    <m/>
    <m/>
    <m/>
    <s v="Demolition of Existing Two (2) Storey Detached Dwelling and Construction of New Two (2) Storey Detached Dwelling with Habitable Roof Space."/>
    <s v="42 Ormond Crescent, Hampton TW12 2TH"/>
    <s v="TW12 2TH"/>
    <m/>
    <m/>
    <m/>
    <n v="1"/>
    <m/>
    <m/>
    <m/>
    <m/>
    <m/>
    <n v="1"/>
    <m/>
    <m/>
    <m/>
    <m/>
    <m/>
    <n v="1"/>
    <m/>
    <m/>
    <m/>
    <n v="1"/>
    <n v="0"/>
    <n v="0"/>
    <n v="-1"/>
    <n v="0"/>
    <n v="1"/>
    <n v="0"/>
    <n v="0"/>
    <n v="0"/>
    <n v="0"/>
    <m/>
    <m/>
    <n v="0"/>
    <m/>
    <m/>
    <m/>
    <m/>
    <m/>
    <m/>
    <m/>
    <m/>
    <m/>
    <m/>
    <m/>
    <m/>
    <m/>
    <m/>
    <m/>
    <n v="0"/>
    <n v="0"/>
    <m/>
    <m/>
    <m/>
    <n v="513868"/>
    <n v="169976"/>
    <s v="Hampton"/>
  </r>
  <r>
    <s v="21/2209/FUL"/>
    <x v="3"/>
    <s v="FULL"/>
    <d v="2022-09-12T00:00:00"/>
    <d v="2025-09-12T00:00:00"/>
    <d v="2025-09-11T00:00:00"/>
    <m/>
    <m/>
    <m/>
    <x v="2"/>
    <x v="0"/>
    <m/>
    <m/>
    <m/>
    <s v="Extension and subdivision of existing end of terrace house to form two maisonette flats."/>
    <s v="155 Priory Road, Hampton TW12 2PT"/>
    <s v="TW12 2PT"/>
    <m/>
    <m/>
    <m/>
    <n v="1"/>
    <m/>
    <m/>
    <m/>
    <m/>
    <m/>
    <n v="1"/>
    <m/>
    <m/>
    <n v="1"/>
    <n v="1"/>
    <m/>
    <m/>
    <m/>
    <m/>
    <m/>
    <n v="2"/>
    <n v="0"/>
    <n v="1"/>
    <n v="0"/>
    <n v="0"/>
    <n v="0"/>
    <n v="0"/>
    <n v="0"/>
    <n v="0"/>
    <n v="1"/>
    <m/>
    <m/>
    <n v="0.5"/>
    <n v="0.5"/>
    <m/>
    <m/>
    <m/>
    <m/>
    <m/>
    <m/>
    <m/>
    <m/>
    <m/>
    <m/>
    <m/>
    <m/>
    <m/>
    <m/>
    <n v="1"/>
    <n v="1"/>
    <m/>
    <m/>
    <m/>
    <n v="512620"/>
    <n v="170020"/>
    <s v="Hampton"/>
  </r>
  <r>
    <s v="21/2225/FUL"/>
    <x v="0"/>
    <s v="FULL"/>
    <d v="2022-04-21T00:00:00"/>
    <d v="2025-04-21T00:00:00"/>
    <m/>
    <m/>
    <m/>
    <m/>
    <x v="2"/>
    <x v="0"/>
    <m/>
    <m/>
    <m/>
    <s v="Demolition of existing building and erection of replacement 5 bedroom dwelling including associated hard and soft landscaping, cycle store and outbuilding"/>
    <s v="22 Parke Road, Barnes SW13 9NG"/>
    <s v="SW13 9NG"/>
    <m/>
    <m/>
    <m/>
    <m/>
    <n v="1"/>
    <m/>
    <m/>
    <m/>
    <m/>
    <n v="1"/>
    <m/>
    <m/>
    <m/>
    <m/>
    <m/>
    <n v="1"/>
    <m/>
    <m/>
    <m/>
    <n v="1"/>
    <n v="0"/>
    <n v="0"/>
    <n v="0"/>
    <n v="-1"/>
    <n v="1"/>
    <n v="0"/>
    <n v="0"/>
    <n v="0"/>
    <n v="0"/>
    <m/>
    <m/>
    <n v="0"/>
    <m/>
    <m/>
    <m/>
    <m/>
    <m/>
    <m/>
    <m/>
    <m/>
    <m/>
    <m/>
    <m/>
    <m/>
    <m/>
    <m/>
    <m/>
    <n v="0"/>
    <n v="0"/>
    <m/>
    <m/>
    <m/>
    <n v="522088"/>
    <n v="177109"/>
    <s v="Barnes"/>
  </r>
  <r>
    <s v="21/2758/FUL"/>
    <x v="0"/>
    <s v="FULL"/>
    <d v="2022-12-21T00:00:00"/>
    <d v="2025-12-21T00:00:00"/>
    <d v="2025-09-30T00:00:00"/>
    <m/>
    <m/>
    <m/>
    <x v="2"/>
    <x v="1"/>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9"/>
    <n v="7"/>
    <n v="1"/>
    <m/>
    <m/>
    <m/>
    <m/>
    <m/>
    <n v="17"/>
    <n v="9"/>
    <n v="7"/>
    <n v="1"/>
    <n v="0"/>
    <n v="0"/>
    <n v="0"/>
    <n v="0"/>
    <n v="0"/>
    <n v="17"/>
    <s v="Y"/>
    <m/>
    <m/>
    <m/>
    <n v="17"/>
    <m/>
    <m/>
    <m/>
    <m/>
    <m/>
    <m/>
    <m/>
    <m/>
    <m/>
    <m/>
    <m/>
    <m/>
    <m/>
    <n v="17"/>
    <n v="17"/>
    <m/>
    <m/>
    <m/>
    <n v="516311"/>
    <n v="173216"/>
    <s v="Twickenham Riverside"/>
  </r>
  <r>
    <s v="21/2758/FUL"/>
    <x v="0"/>
    <s v="FULL"/>
    <d v="2022-12-21T00:00:00"/>
    <d v="2025-12-21T00:00:00"/>
    <d v="2025-09-30T00:00:00"/>
    <m/>
    <m/>
    <m/>
    <x v="2"/>
    <x v="2"/>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2"/>
    <n v="2"/>
    <m/>
    <m/>
    <m/>
    <m/>
    <m/>
    <m/>
    <n v="4"/>
    <n v="2"/>
    <n v="2"/>
    <n v="0"/>
    <n v="0"/>
    <n v="0"/>
    <n v="0"/>
    <n v="0"/>
    <n v="0"/>
    <n v="4"/>
    <s v="Y"/>
    <m/>
    <m/>
    <m/>
    <n v="4"/>
    <m/>
    <m/>
    <m/>
    <m/>
    <m/>
    <m/>
    <m/>
    <m/>
    <m/>
    <m/>
    <m/>
    <m/>
    <m/>
    <n v="4"/>
    <n v="4"/>
    <m/>
    <m/>
    <m/>
    <n v="516311"/>
    <n v="173216"/>
    <s v="Twickenham Riverside"/>
  </r>
  <r>
    <s v="21/2758/FUL"/>
    <x v="0"/>
    <s v="FULL"/>
    <d v="2022-12-21T00:00:00"/>
    <d v="2025-12-21T00:00:00"/>
    <d v="2025-09-30T00:00:00"/>
    <m/>
    <m/>
    <m/>
    <x v="2"/>
    <x v="0"/>
    <m/>
    <m/>
    <m/>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harf Lane"/>
    <m/>
    <m/>
    <m/>
    <m/>
    <m/>
    <m/>
    <m/>
    <m/>
    <n v="0"/>
    <m/>
    <n v="14"/>
    <n v="10"/>
    <m/>
    <m/>
    <m/>
    <m/>
    <m/>
    <m/>
    <n v="24"/>
    <n v="14"/>
    <n v="10"/>
    <n v="0"/>
    <n v="0"/>
    <n v="0"/>
    <n v="0"/>
    <n v="0"/>
    <n v="0"/>
    <n v="24"/>
    <s v="Y"/>
    <m/>
    <m/>
    <m/>
    <n v="24"/>
    <m/>
    <m/>
    <m/>
    <m/>
    <m/>
    <m/>
    <m/>
    <m/>
    <m/>
    <m/>
    <m/>
    <m/>
    <m/>
    <n v="24"/>
    <n v="24"/>
    <m/>
    <m/>
    <m/>
    <n v="516311"/>
    <n v="173216"/>
    <s v="Twickenham Riverside"/>
  </r>
  <r>
    <s v="21/2764/FUL"/>
    <x v="1"/>
    <s v="FULL"/>
    <d v="2022-06-28T00:00:00"/>
    <d v="2025-06-28T00:00:00"/>
    <m/>
    <m/>
    <m/>
    <m/>
    <x v="2"/>
    <x v="0"/>
    <m/>
    <m/>
    <m/>
    <s v="Change of use of ground floor to create mixed Class E and C3 uses to provide a retail unit at ground floor, a separately accessed office in the basement and the replacement of the former tyre fitting bay and parking area with a building comprising two residential units"/>
    <s v="311 Upper Richmond Road West, East Sheen SW14 8QR"/>
    <s v="SW14 8QR"/>
    <m/>
    <m/>
    <m/>
    <m/>
    <m/>
    <m/>
    <m/>
    <m/>
    <m/>
    <n v="0"/>
    <m/>
    <n v="1"/>
    <n v="1"/>
    <m/>
    <m/>
    <m/>
    <m/>
    <m/>
    <m/>
    <n v="2"/>
    <n v="1"/>
    <n v="1"/>
    <n v="0"/>
    <n v="0"/>
    <n v="0"/>
    <n v="0"/>
    <n v="0"/>
    <n v="0"/>
    <n v="2"/>
    <m/>
    <m/>
    <n v="0.5"/>
    <n v="0.5"/>
    <n v="0.5"/>
    <n v="0.5"/>
    <m/>
    <m/>
    <m/>
    <m/>
    <m/>
    <m/>
    <m/>
    <m/>
    <m/>
    <m/>
    <m/>
    <m/>
    <n v="2"/>
    <n v="2"/>
    <m/>
    <m/>
    <m/>
    <n v="520700"/>
    <n v="175411"/>
    <s v="East Sheen"/>
  </r>
  <r>
    <s v="21/2788/FUL"/>
    <x v="4"/>
    <s v="FULL"/>
    <d v="2022-12-16T00:00:00"/>
    <d v="2025-12-16T00:00:00"/>
    <m/>
    <m/>
    <m/>
    <m/>
    <x v="2"/>
    <x v="0"/>
    <m/>
    <m/>
    <m/>
    <s v="Convert the building containing 9no. flats to 4no flats (Use Class C3) , car parking, extension to existing basement, two storey rear extension, replacement fenestrations at front of the property, replacement and new fenestrations  to rear and rear patio."/>
    <s v="13 Manor Road, Twickenham"/>
    <s v="TW2 5DF"/>
    <m/>
    <n v="9"/>
    <m/>
    <m/>
    <m/>
    <m/>
    <m/>
    <m/>
    <m/>
    <n v="9"/>
    <m/>
    <n v="1"/>
    <n v="3"/>
    <m/>
    <m/>
    <m/>
    <m/>
    <m/>
    <m/>
    <n v="4"/>
    <n v="-8"/>
    <n v="3"/>
    <n v="0"/>
    <n v="0"/>
    <n v="0"/>
    <n v="0"/>
    <n v="0"/>
    <n v="0"/>
    <n v="-5"/>
    <m/>
    <m/>
    <m/>
    <n v="-1.25"/>
    <n v="-1.25"/>
    <n v="-1.25"/>
    <n v="-1.25"/>
    <m/>
    <m/>
    <m/>
    <m/>
    <m/>
    <m/>
    <m/>
    <m/>
    <m/>
    <m/>
    <m/>
    <n v="-5"/>
    <n v="-5"/>
    <m/>
    <m/>
    <m/>
    <n v="514541"/>
    <n v="172794"/>
    <s v="West Twickenham"/>
  </r>
  <r>
    <s v="21/2970/FUL"/>
    <x v="3"/>
    <s v="FULL"/>
    <d v="2022-04-20T00:00:00"/>
    <d v="2025-04-20T00:00:00"/>
    <m/>
    <m/>
    <m/>
    <m/>
    <x v="2"/>
    <x v="0"/>
    <m/>
    <m/>
    <m/>
    <s v="Change of use from retail (Use Class E) on first and second floors at no 19 to create a new, three bed maisonette; First floor side/rear extension and PV panels to existing roof of No.19; change of use and extension of roof space (Use Class E) at no. 19a, including rooflights, raising the roof eaves/ridge and a dormer extension to create a new Studio flat; New shop frontage, including separate residential access to No.19a."/>
    <s v="19 - 19A King Street, Richmond"/>
    <s v="TW9 1ND"/>
    <m/>
    <m/>
    <m/>
    <m/>
    <m/>
    <m/>
    <m/>
    <m/>
    <m/>
    <n v="0"/>
    <m/>
    <n v="1"/>
    <m/>
    <n v="1"/>
    <m/>
    <m/>
    <m/>
    <m/>
    <m/>
    <n v="2"/>
    <n v="1"/>
    <n v="0"/>
    <n v="1"/>
    <n v="0"/>
    <n v="0"/>
    <n v="0"/>
    <n v="0"/>
    <n v="0"/>
    <n v="2"/>
    <m/>
    <m/>
    <n v="0.5"/>
    <n v="0.5"/>
    <n v="0.5"/>
    <n v="0.5"/>
    <m/>
    <m/>
    <m/>
    <m/>
    <m/>
    <m/>
    <m/>
    <m/>
    <m/>
    <m/>
    <m/>
    <m/>
    <n v="2"/>
    <n v="2"/>
    <m/>
    <m/>
    <m/>
    <n v="517711"/>
    <n v="174824"/>
    <s v="South Richmond"/>
  </r>
  <r>
    <s v="21/4201/FUL"/>
    <x v="0"/>
    <s v="FULL"/>
    <d v="2022-10-21T00:00:00"/>
    <d v="2025-10-21T00:00:00"/>
    <m/>
    <m/>
    <m/>
    <m/>
    <x v="2"/>
    <x v="0"/>
    <m/>
    <m/>
    <m/>
    <s v="Erection of a new dwellinghouse with associated parking and landscaping following the demolition of the existing house."/>
    <s v="5 Monmouth Avenue, Hampton Wick KT1 4HR"/>
    <s v="KT1 4HR"/>
    <m/>
    <m/>
    <m/>
    <n v="1"/>
    <m/>
    <m/>
    <m/>
    <m/>
    <m/>
    <n v="1"/>
    <m/>
    <m/>
    <m/>
    <m/>
    <n v="1"/>
    <m/>
    <m/>
    <m/>
    <m/>
    <n v="1"/>
    <n v="0"/>
    <n v="0"/>
    <n v="-1"/>
    <n v="1"/>
    <n v="0"/>
    <n v="0"/>
    <n v="0"/>
    <n v="0"/>
    <n v="0"/>
    <m/>
    <m/>
    <n v="0"/>
    <m/>
    <m/>
    <m/>
    <m/>
    <m/>
    <m/>
    <m/>
    <m/>
    <m/>
    <m/>
    <m/>
    <m/>
    <m/>
    <m/>
    <m/>
    <n v="0"/>
    <n v="0"/>
    <m/>
    <m/>
    <m/>
    <n v="517494"/>
    <n v="170095"/>
    <s v="Hampton Wick &amp; South Teddington"/>
  </r>
  <r>
    <s v="21/4257/FUL"/>
    <x v="0"/>
    <s v="FULL"/>
    <d v="2022-09-05T00:00:00"/>
    <d v="2025-09-05T00:00:00"/>
    <d v="2025-08-25T00:00:00"/>
    <m/>
    <m/>
    <m/>
    <x v="2"/>
    <x v="0"/>
    <m/>
    <m/>
    <m/>
    <s v="Demolition of Existing House and Garaging and Erection of New Replacement Two Storey House with Part Basement, Additional Accommodation within the Roof Space, Attached Garages and External Works."/>
    <s v="Denbigh, 34 Lower Teddington Road, Hampton Wick KT1 4HJ"/>
    <s v="KT1 4HJ"/>
    <m/>
    <m/>
    <m/>
    <m/>
    <m/>
    <n v="1"/>
    <m/>
    <m/>
    <m/>
    <n v="1"/>
    <m/>
    <m/>
    <m/>
    <m/>
    <m/>
    <n v="1"/>
    <m/>
    <m/>
    <m/>
    <n v="1"/>
    <n v="0"/>
    <n v="0"/>
    <n v="0"/>
    <n v="0"/>
    <n v="0"/>
    <n v="0"/>
    <n v="0"/>
    <n v="0"/>
    <n v="0"/>
    <m/>
    <m/>
    <n v="0"/>
    <m/>
    <m/>
    <m/>
    <m/>
    <m/>
    <m/>
    <m/>
    <m/>
    <m/>
    <m/>
    <m/>
    <m/>
    <m/>
    <m/>
    <m/>
    <n v="0"/>
    <n v="0"/>
    <m/>
    <m/>
    <m/>
    <n v="517694"/>
    <n v="170046"/>
    <s v="Hampton Wick &amp; South Teddington"/>
  </r>
  <r>
    <s v="21/4262/FUL"/>
    <x v="1"/>
    <s v="FULL"/>
    <d v="2023-03-13T00:00:00"/>
    <d v="2026-03-13T00:00:00"/>
    <m/>
    <m/>
    <m/>
    <m/>
    <x v="2"/>
    <x v="0"/>
    <m/>
    <m/>
    <m/>
    <s v="A new window opening to the rear and change of use of existing office to C3 (residential) use to provide one bedroom flat"/>
    <s v="41 Barnes High Street, Barnes SW13 9LN"/>
    <s v="SW13 9LN"/>
    <m/>
    <m/>
    <m/>
    <m/>
    <m/>
    <m/>
    <m/>
    <m/>
    <m/>
    <n v="0"/>
    <m/>
    <n v="1"/>
    <m/>
    <m/>
    <m/>
    <m/>
    <m/>
    <m/>
    <m/>
    <n v="1"/>
    <n v="1"/>
    <n v="0"/>
    <n v="0"/>
    <n v="0"/>
    <n v="0"/>
    <n v="0"/>
    <n v="0"/>
    <n v="0"/>
    <n v="1"/>
    <m/>
    <m/>
    <n v="0.25"/>
    <n v="0.25"/>
    <n v="0.25"/>
    <n v="0.25"/>
    <m/>
    <m/>
    <m/>
    <m/>
    <m/>
    <m/>
    <m/>
    <m/>
    <m/>
    <m/>
    <m/>
    <m/>
    <n v="1"/>
    <n v="1"/>
    <m/>
    <m/>
    <m/>
    <n v="521585"/>
    <n v="176415"/>
    <s v="Barnes"/>
  </r>
  <r>
    <s v="21/4417/FUL"/>
    <x v="2"/>
    <s v="FULL"/>
    <d v="2024-09-26T00:00:00"/>
    <d v="2027-09-26T00:00:00"/>
    <m/>
    <m/>
    <s v="Y"/>
    <m/>
    <x v="2"/>
    <x v="0"/>
    <m/>
    <m/>
    <m/>
    <s v="Part extension to rear at first floor level and additional floor to facilitate the creation of 6 new residential flats including alterations/extensions to existing first floor flats and addition of external terraces."/>
    <s v="36 And 38 And 40 York Street, Twickenham"/>
    <s v="TW1 3LJ"/>
    <m/>
    <m/>
    <m/>
    <m/>
    <m/>
    <m/>
    <m/>
    <m/>
    <m/>
    <n v="0"/>
    <m/>
    <n v="5"/>
    <n v="1"/>
    <m/>
    <m/>
    <m/>
    <m/>
    <m/>
    <m/>
    <n v="6"/>
    <n v="5"/>
    <n v="1"/>
    <n v="0"/>
    <n v="0"/>
    <n v="0"/>
    <n v="0"/>
    <n v="0"/>
    <n v="0"/>
    <n v="6"/>
    <m/>
    <m/>
    <m/>
    <n v="1.5"/>
    <n v="1.5"/>
    <n v="1.5"/>
    <n v="1.5"/>
    <m/>
    <m/>
    <m/>
    <m/>
    <m/>
    <m/>
    <m/>
    <m/>
    <m/>
    <m/>
    <m/>
    <n v="6"/>
    <n v="6"/>
    <m/>
    <m/>
    <m/>
    <n v="516375"/>
    <n v="173378"/>
    <s v="Twickenham Riverside"/>
  </r>
  <r>
    <s v="22/0208/FUL"/>
    <x v="0"/>
    <s v="FULL"/>
    <d v="2022-09-02T00:00:00"/>
    <d v="2025-09-02T00:00:00"/>
    <m/>
    <m/>
    <m/>
    <m/>
    <x v="2"/>
    <x v="0"/>
    <m/>
    <m/>
    <m/>
    <s v="Construction of two-storey house with basement."/>
    <s v="3 Bridle Lane, Twickenham TW1 3EG"/>
    <s v="TW1 3EG"/>
    <m/>
    <m/>
    <m/>
    <m/>
    <m/>
    <m/>
    <m/>
    <m/>
    <m/>
    <n v="0"/>
    <m/>
    <m/>
    <n v="1"/>
    <m/>
    <m/>
    <m/>
    <m/>
    <m/>
    <m/>
    <n v="1"/>
    <n v="0"/>
    <n v="1"/>
    <n v="0"/>
    <n v="0"/>
    <n v="0"/>
    <n v="0"/>
    <n v="0"/>
    <n v="0"/>
    <n v="1"/>
    <m/>
    <m/>
    <n v="0.25"/>
    <n v="0.25"/>
    <n v="0.25"/>
    <n v="0.25"/>
    <m/>
    <m/>
    <m/>
    <m/>
    <m/>
    <m/>
    <m/>
    <m/>
    <m/>
    <m/>
    <m/>
    <m/>
    <n v="1"/>
    <n v="1"/>
    <m/>
    <m/>
    <m/>
    <n v="516814"/>
    <n v="174183"/>
    <s v="St. Margarets &amp; North Twickenham"/>
  </r>
  <r>
    <s v="22/0252/HOT"/>
    <x v="0"/>
    <m/>
    <d v="2022-09-14T00:00:00"/>
    <d v="2026-09-28T00:00:00"/>
    <m/>
    <m/>
    <m/>
    <m/>
    <x v="2"/>
    <x v="0"/>
    <m/>
    <m/>
    <m/>
    <s v="Construction of new 2 storey house in garden."/>
    <s v="39 Second Cross Road, Twickenham TW2 5QY"/>
    <s v="TW2 5QY"/>
    <m/>
    <m/>
    <m/>
    <m/>
    <m/>
    <m/>
    <m/>
    <m/>
    <m/>
    <n v="0"/>
    <m/>
    <m/>
    <n v="1"/>
    <m/>
    <m/>
    <m/>
    <m/>
    <m/>
    <m/>
    <n v="1"/>
    <n v="0"/>
    <n v="1"/>
    <n v="0"/>
    <n v="0"/>
    <n v="0"/>
    <n v="0"/>
    <n v="0"/>
    <n v="0"/>
    <n v="1"/>
    <m/>
    <m/>
    <n v="0.25"/>
    <n v="0.25"/>
    <n v="0.25"/>
    <n v="0.25"/>
    <m/>
    <m/>
    <m/>
    <m/>
    <m/>
    <m/>
    <m/>
    <m/>
    <m/>
    <m/>
    <m/>
    <m/>
    <n v="1"/>
    <n v="1"/>
    <m/>
    <m/>
    <m/>
    <n v="515083"/>
    <n v="172833"/>
    <s v="West Twickenham"/>
  </r>
  <r>
    <s v="22/1001/FUL"/>
    <x v="0"/>
    <s v="FULL"/>
    <d v="2023-08-08T00:00:00"/>
    <d v="2026-08-08T00:00:00"/>
    <m/>
    <m/>
    <m/>
    <m/>
    <x v="2"/>
    <x v="0"/>
    <m/>
    <m/>
    <m/>
    <s v="Erection of a one and a half storey, three-bedroom house in the rear garden of No. 33 (including land to the rear of No. 35-35a) Wensleydale Road, with accommodation at basement level, associated hard and soft landscaping, 4 no. parking, refuse/recycling"/>
    <s v="33 Wensleydale Road, Hampton TW12 2LP"/>
    <s v="TW12 2LP"/>
    <m/>
    <m/>
    <m/>
    <m/>
    <m/>
    <m/>
    <m/>
    <m/>
    <m/>
    <n v="0"/>
    <m/>
    <m/>
    <m/>
    <n v="1"/>
    <m/>
    <m/>
    <m/>
    <m/>
    <m/>
    <n v="1"/>
    <n v="0"/>
    <n v="0"/>
    <n v="1"/>
    <n v="0"/>
    <n v="0"/>
    <n v="0"/>
    <n v="0"/>
    <n v="0"/>
    <n v="1"/>
    <m/>
    <m/>
    <n v="0.25"/>
    <n v="0.25"/>
    <n v="0.25"/>
    <n v="0.25"/>
    <m/>
    <m/>
    <m/>
    <m/>
    <m/>
    <m/>
    <m/>
    <m/>
    <m/>
    <m/>
    <m/>
    <m/>
    <n v="1"/>
    <n v="1"/>
    <m/>
    <m/>
    <m/>
    <n v="513515"/>
    <n v="170047"/>
    <s v="Hampton"/>
  </r>
  <r>
    <s v="22/1029/FUL"/>
    <x v="1"/>
    <s v="FULL"/>
    <d v="2024-04-26T00:00:00"/>
    <d v="2027-04-26T00:00:00"/>
    <m/>
    <m/>
    <s v="Y"/>
    <m/>
    <x v="2"/>
    <x v="0"/>
    <m/>
    <m/>
    <m/>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m/>
    <n v="46"/>
    <n v="14"/>
    <n v="6"/>
    <m/>
    <m/>
    <m/>
    <m/>
    <m/>
    <n v="66"/>
    <n v="46"/>
    <n v="14"/>
    <n v="6"/>
    <n v="0"/>
    <n v="0"/>
    <n v="0"/>
    <n v="0"/>
    <n v="0"/>
    <n v="66"/>
    <s v="Y"/>
    <m/>
    <m/>
    <n v="33"/>
    <n v="33"/>
    <m/>
    <m/>
    <m/>
    <m/>
    <m/>
    <m/>
    <m/>
    <m/>
    <m/>
    <m/>
    <m/>
    <m/>
    <m/>
    <n v="66"/>
    <n v="66"/>
    <m/>
    <m/>
    <m/>
    <n v="517487"/>
    <n v="169400"/>
    <s v="Hampton Wick &amp; South Teddington"/>
  </r>
  <r>
    <s v="22/1029/FUL"/>
    <x v="1"/>
    <s v="FULL"/>
    <d v="2024-04-26T00:00:00"/>
    <d v="2027-04-26T00:00:00"/>
    <m/>
    <m/>
    <s v="Y"/>
    <m/>
    <x v="2"/>
    <x v="6"/>
    <m/>
    <m/>
    <m/>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s v="Y"/>
    <n v="2"/>
    <n v="1"/>
    <n v="1"/>
    <m/>
    <m/>
    <m/>
    <m/>
    <m/>
    <n v="4"/>
    <n v="2"/>
    <n v="1"/>
    <n v="1"/>
    <n v="0"/>
    <n v="0"/>
    <n v="0"/>
    <n v="0"/>
    <n v="0"/>
    <n v="4"/>
    <s v="Y"/>
    <m/>
    <m/>
    <n v="2"/>
    <n v="2"/>
    <m/>
    <m/>
    <m/>
    <m/>
    <m/>
    <m/>
    <m/>
    <m/>
    <m/>
    <m/>
    <m/>
    <m/>
    <m/>
    <n v="4"/>
    <n v="4"/>
    <m/>
    <m/>
    <m/>
    <n v="517487"/>
    <n v="169400"/>
    <s v="Hampton Wick &amp; South Teddington"/>
  </r>
  <r>
    <s v="22/1075/FUL"/>
    <x v="1"/>
    <s v="FULL"/>
    <d v="2023-02-07T00:00:00"/>
    <d v="2026-02-07T00:00:00"/>
    <d v="2024-07-25T00:00:00"/>
    <m/>
    <m/>
    <d v="2025-05-14T00:00:00"/>
    <x v="2"/>
    <x v="0"/>
    <m/>
    <m/>
    <m/>
    <s v="Change of use of first floor from self-contained residential flat to office. Internal alterations including, upgrading the fire escape route, refurbishment of the kitchen to a tea room and WC facilities . Painting and decorating all rooms and corridors throughout the new offices and stair well to the private entrance."/>
    <s v="First Floor Flat, Teddington District Library, Waldegrave Road, Teddington TW11 8NY"/>
    <s v="TW11 8NY"/>
    <m/>
    <m/>
    <n v="1"/>
    <m/>
    <m/>
    <m/>
    <m/>
    <m/>
    <m/>
    <n v="1"/>
    <m/>
    <m/>
    <m/>
    <m/>
    <m/>
    <m/>
    <m/>
    <m/>
    <m/>
    <n v="0"/>
    <n v="0"/>
    <n v="-1"/>
    <n v="0"/>
    <n v="0"/>
    <n v="0"/>
    <n v="0"/>
    <n v="0"/>
    <n v="0"/>
    <n v="-1"/>
    <m/>
    <m/>
    <n v="-1"/>
    <m/>
    <m/>
    <m/>
    <m/>
    <m/>
    <m/>
    <m/>
    <m/>
    <m/>
    <m/>
    <m/>
    <m/>
    <m/>
    <m/>
    <m/>
    <n v="-1"/>
    <n v="-1"/>
    <m/>
    <m/>
    <m/>
    <n v="515895"/>
    <n v="171171"/>
    <s v="Teddington"/>
  </r>
  <r>
    <s v="22/1082/FUL"/>
    <x v="0"/>
    <s v="FULL"/>
    <d v="2022-06-09T00:00:00"/>
    <d v="2026-06-20T00:00:00"/>
    <m/>
    <m/>
    <m/>
    <m/>
    <x v="2"/>
    <x v="0"/>
    <m/>
    <m/>
    <m/>
    <s v="Redevelopment of existing vacant car parking site to provide a two-storey one-bedroom detached dwellinghouse."/>
    <s v="Land Off Taylor Close, Hampton Hill"/>
    <s v="TW12 1HL"/>
    <m/>
    <m/>
    <m/>
    <m/>
    <m/>
    <m/>
    <m/>
    <m/>
    <m/>
    <n v="0"/>
    <m/>
    <n v="1"/>
    <m/>
    <m/>
    <m/>
    <m/>
    <m/>
    <m/>
    <m/>
    <n v="1"/>
    <n v="1"/>
    <n v="0"/>
    <n v="0"/>
    <n v="0"/>
    <n v="0"/>
    <n v="0"/>
    <n v="0"/>
    <n v="0"/>
    <n v="1"/>
    <m/>
    <m/>
    <n v="0.25"/>
    <n v="0.25"/>
    <n v="0.25"/>
    <n v="0.25"/>
    <m/>
    <m/>
    <m/>
    <m/>
    <m/>
    <m/>
    <m/>
    <m/>
    <m/>
    <m/>
    <m/>
    <m/>
    <n v="1"/>
    <n v="1"/>
    <m/>
    <m/>
    <m/>
    <n v="514372"/>
    <n v="171120"/>
    <s v="Fulwell &amp; Hampton Hill"/>
  </r>
  <r>
    <s v="22/1106/GPD26"/>
    <x v="1"/>
    <s v="PA"/>
    <d v="2022-05-30T00:00:00"/>
    <d v="2025-05-30T00:00:00"/>
    <m/>
    <m/>
    <m/>
    <m/>
    <x v="2"/>
    <x v="0"/>
    <m/>
    <m/>
    <m/>
    <s v="Conversion of a shop to single family dwelling house."/>
    <s v="1 Station Road, Teddington TW11 9AA"/>
    <s v="TW11 9AA"/>
    <m/>
    <m/>
    <m/>
    <m/>
    <m/>
    <m/>
    <m/>
    <m/>
    <m/>
    <n v="0"/>
    <m/>
    <m/>
    <n v="1"/>
    <m/>
    <m/>
    <m/>
    <m/>
    <m/>
    <m/>
    <n v="1"/>
    <n v="0"/>
    <n v="1"/>
    <n v="0"/>
    <n v="0"/>
    <n v="0"/>
    <n v="0"/>
    <n v="0"/>
    <n v="0"/>
    <n v="1"/>
    <m/>
    <m/>
    <n v="0.25"/>
    <n v="0.25"/>
    <n v="0.25"/>
    <n v="0.25"/>
    <m/>
    <m/>
    <m/>
    <m/>
    <m/>
    <m/>
    <m/>
    <m/>
    <m/>
    <m/>
    <m/>
    <m/>
    <n v="1"/>
    <n v="1"/>
    <m/>
    <m/>
    <m/>
    <n v="515985"/>
    <n v="171070"/>
    <s v="Teddington"/>
  </r>
  <r>
    <s v="22/1219/FUL"/>
    <x v="4"/>
    <s v="FULL"/>
    <d v="2023-09-28T00:00:00"/>
    <d v="2026-09-28T00:00:00"/>
    <m/>
    <m/>
    <m/>
    <m/>
    <x v="2"/>
    <x v="0"/>
    <m/>
    <m/>
    <m/>
    <s v="Subdivision of the existing dwelling into 2no. self-contained flats along with the construction of a rear extension, single storey infill extensions and 2x dormer windows with associated parking and amenity space."/>
    <s v="602 Hanworth Road, Whitton TW4 5LJ"/>
    <s v="TW4 5LJ"/>
    <m/>
    <m/>
    <m/>
    <n v="1"/>
    <m/>
    <m/>
    <m/>
    <m/>
    <m/>
    <n v="1"/>
    <m/>
    <m/>
    <n v="2"/>
    <m/>
    <m/>
    <m/>
    <m/>
    <m/>
    <m/>
    <n v="2"/>
    <n v="0"/>
    <n v="2"/>
    <n v="-1"/>
    <n v="0"/>
    <n v="0"/>
    <n v="0"/>
    <n v="0"/>
    <n v="0"/>
    <n v="1"/>
    <m/>
    <m/>
    <n v="0.25"/>
    <n v="0.25"/>
    <n v="0.25"/>
    <n v="0.25"/>
    <m/>
    <m/>
    <m/>
    <m/>
    <m/>
    <m/>
    <m/>
    <m/>
    <m/>
    <m/>
    <m/>
    <m/>
    <n v="1"/>
    <n v="1"/>
    <m/>
    <m/>
    <m/>
    <n v="512958"/>
    <n v="173983"/>
    <s v="Heathfield"/>
  </r>
  <r>
    <s v="22/1285/GPD26"/>
    <x v="1"/>
    <s v="PA"/>
    <d v="2022-05-31T00:00:00"/>
    <d v="2025-05-31T00:00:00"/>
    <d v="2025-04-01T00:00:00"/>
    <m/>
    <m/>
    <m/>
    <x v="2"/>
    <x v="0"/>
    <m/>
    <m/>
    <m/>
    <s v="Change of Use to Single Dwelling House"/>
    <s v="5 Bridle Lane, Twickenham TW1 3EG"/>
    <s v="TW1 3EG"/>
    <m/>
    <m/>
    <m/>
    <m/>
    <m/>
    <m/>
    <m/>
    <m/>
    <m/>
    <n v="0"/>
    <m/>
    <m/>
    <n v="1"/>
    <m/>
    <m/>
    <m/>
    <m/>
    <m/>
    <m/>
    <n v="1"/>
    <n v="0"/>
    <n v="1"/>
    <n v="0"/>
    <n v="0"/>
    <n v="0"/>
    <n v="0"/>
    <n v="0"/>
    <n v="0"/>
    <n v="1"/>
    <m/>
    <m/>
    <n v="1"/>
    <m/>
    <m/>
    <m/>
    <m/>
    <m/>
    <m/>
    <m/>
    <m/>
    <m/>
    <m/>
    <m/>
    <m/>
    <m/>
    <m/>
    <m/>
    <n v="1"/>
    <n v="1"/>
    <m/>
    <m/>
    <m/>
    <n v="516837"/>
    <n v="174180"/>
    <s v="St. Margarets &amp; North Twickenham"/>
  </r>
  <r>
    <s v="22/1486/FUL"/>
    <x v="0"/>
    <s v="FULL"/>
    <d v="2023-09-20T00:00:00"/>
    <d v="2026-09-20T00:00:00"/>
    <m/>
    <m/>
    <m/>
    <m/>
    <x v="2"/>
    <x v="0"/>
    <m/>
    <m/>
    <m/>
    <s v="Demolition of garage block and redevelopment of the site for two three storey four bed townhouses (Class C3) with associated amenity space, car and cycle parking and refuse stores"/>
    <s v="Garages Adjacent 11 Ferrymoor, Ham"/>
    <s v="TW10 7SD"/>
    <m/>
    <m/>
    <m/>
    <m/>
    <m/>
    <m/>
    <m/>
    <m/>
    <m/>
    <n v="0"/>
    <m/>
    <m/>
    <m/>
    <m/>
    <n v="2"/>
    <m/>
    <m/>
    <m/>
    <m/>
    <n v="2"/>
    <n v="0"/>
    <n v="0"/>
    <n v="0"/>
    <n v="2"/>
    <n v="0"/>
    <n v="0"/>
    <n v="0"/>
    <n v="0"/>
    <n v="2"/>
    <m/>
    <m/>
    <n v="0.5"/>
    <n v="0.5"/>
    <n v="0.5"/>
    <n v="0.5"/>
    <m/>
    <m/>
    <m/>
    <m/>
    <m/>
    <m/>
    <m/>
    <m/>
    <m/>
    <m/>
    <m/>
    <m/>
    <n v="2"/>
    <n v="2"/>
    <m/>
    <m/>
    <m/>
    <n v="516805"/>
    <n v="172149"/>
    <s v="Ham, Petersham &amp; Richmond Riverside"/>
  </r>
  <r>
    <s v="22/1575/FUL"/>
    <x v="0"/>
    <s v="FULL"/>
    <d v="2023-01-09T00:00:00"/>
    <d v="2026-01-09T00:00:00"/>
    <m/>
    <m/>
    <m/>
    <m/>
    <x v="2"/>
    <x v="0"/>
    <m/>
    <m/>
    <m/>
    <s v="Proposed two-storey 2-bedroom mews house with accommodation in the roof including parking, bicycle and bin storage and private amenity space"/>
    <s v="Land To Rear Of 177 High Street, Hampton Hill"/>
    <s v="TW12 1NL"/>
    <m/>
    <m/>
    <m/>
    <m/>
    <m/>
    <m/>
    <m/>
    <m/>
    <m/>
    <n v="0"/>
    <m/>
    <m/>
    <n v="1"/>
    <m/>
    <m/>
    <m/>
    <m/>
    <m/>
    <m/>
    <n v="1"/>
    <n v="0"/>
    <n v="1"/>
    <n v="0"/>
    <n v="0"/>
    <n v="0"/>
    <n v="0"/>
    <n v="0"/>
    <n v="0"/>
    <n v="1"/>
    <m/>
    <m/>
    <n v="0.25"/>
    <n v="0.25"/>
    <n v="0.25"/>
    <n v="0.25"/>
    <m/>
    <m/>
    <m/>
    <m/>
    <m/>
    <m/>
    <m/>
    <m/>
    <m/>
    <m/>
    <m/>
    <m/>
    <n v="1"/>
    <n v="1"/>
    <m/>
    <m/>
    <m/>
    <n v="514428"/>
    <n v="171230"/>
    <s v="Fulwell &amp; Hampton Hill"/>
  </r>
  <r>
    <s v="22/1769/GPD26"/>
    <x v="1"/>
    <s v="PA"/>
    <d v="2022-07-25T00:00:00"/>
    <d v="2025-09-18T00:00:00"/>
    <m/>
    <m/>
    <m/>
    <m/>
    <x v="2"/>
    <x v="0"/>
    <m/>
    <m/>
    <m/>
    <s v="Part change of use of the ground floor of the building from commercial premises (Use Class E) to 2 residential apartments (Use Class C3)."/>
    <s v="112 - 114 High Street, Whitton"/>
    <s v="TW2 7LD"/>
    <m/>
    <m/>
    <m/>
    <m/>
    <m/>
    <m/>
    <m/>
    <m/>
    <m/>
    <n v="0"/>
    <m/>
    <n v="2"/>
    <m/>
    <m/>
    <m/>
    <m/>
    <m/>
    <m/>
    <m/>
    <n v="2"/>
    <n v="2"/>
    <n v="0"/>
    <n v="0"/>
    <n v="0"/>
    <n v="0"/>
    <n v="0"/>
    <n v="0"/>
    <n v="0"/>
    <n v="2"/>
    <m/>
    <m/>
    <n v="0.5"/>
    <n v="0.5"/>
    <n v="0.5"/>
    <n v="0.5"/>
    <m/>
    <m/>
    <m/>
    <m/>
    <m/>
    <m/>
    <m/>
    <m/>
    <m/>
    <m/>
    <m/>
    <m/>
    <n v="2"/>
    <n v="2"/>
    <m/>
    <m/>
    <m/>
    <n v="514180"/>
    <n v="173646"/>
    <s v="Whitton"/>
  </r>
  <r>
    <s v="22/1825/FUL"/>
    <x v="0"/>
    <s v="FULL"/>
    <d v="2022-11-07T00:00:00"/>
    <d v="2025-11-07T00:00:00"/>
    <m/>
    <m/>
    <m/>
    <m/>
    <x v="2"/>
    <x v="6"/>
    <m/>
    <m/>
    <m/>
    <s v="Demolition of existing dwelling and associated outbuildings, and erection of 4no. new 1bed and 2bed affordable flats, with associated landscaping, cycle and refuse stores"/>
    <s v="88 Richmond Road, Twickenham TW1 3BB"/>
    <s v="TW1 3BB"/>
    <m/>
    <m/>
    <m/>
    <n v="1"/>
    <m/>
    <m/>
    <m/>
    <m/>
    <m/>
    <n v="1"/>
    <s v="Y"/>
    <n v="3"/>
    <n v="1"/>
    <m/>
    <m/>
    <m/>
    <m/>
    <m/>
    <m/>
    <n v="4"/>
    <n v="3"/>
    <n v="1"/>
    <n v="-1"/>
    <n v="0"/>
    <n v="0"/>
    <n v="0"/>
    <n v="0"/>
    <n v="0"/>
    <n v="3"/>
    <m/>
    <m/>
    <n v="0.75"/>
    <n v="0.75"/>
    <n v="0.75"/>
    <n v="0.75"/>
    <m/>
    <m/>
    <m/>
    <m/>
    <m/>
    <m/>
    <m/>
    <m/>
    <m/>
    <m/>
    <m/>
    <m/>
    <n v="3"/>
    <n v="3"/>
    <m/>
    <m/>
    <m/>
    <n v="516734"/>
    <n v="173647"/>
    <s v="Twickenham Riverside"/>
  </r>
  <r>
    <s v="22/1831/FUL"/>
    <x v="0"/>
    <s v="FULL"/>
    <d v="2023-04-28T00:00:00"/>
    <d v="2026-04-28T00:00:00"/>
    <d v="2025-04-01T00:00:00"/>
    <m/>
    <m/>
    <m/>
    <x v="2"/>
    <x v="0"/>
    <m/>
    <m/>
    <m/>
    <s v="Erection of 2 detached dwellings with associated off street parking &amp; private amenity space which accommodates refuse and cycle storage."/>
    <s v="Willowdene, Millfield Road, Whitton TW4 5PN"/>
    <s v="TW4 5PN"/>
    <m/>
    <m/>
    <m/>
    <m/>
    <m/>
    <m/>
    <m/>
    <m/>
    <m/>
    <n v="0"/>
    <m/>
    <m/>
    <n v="1"/>
    <m/>
    <n v="1"/>
    <m/>
    <m/>
    <m/>
    <m/>
    <n v="2"/>
    <n v="0"/>
    <n v="1"/>
    <n v="0"/>
    <n v="1"/>
    <n v="0"/>
    <n v="0"/>
    <n v="0"/>
    <n v="0"/>
    <n v="2"/>
    <m/>
    <m/>
    <m/>
    <n v="1"/>
    <n v="1"/>
    <m/>
    <m/>
    <m/>
    <m/>
    <m/>
    <m/>
    <m/>
    <m/>
    <m/>
    <m/>
    <m/>
    <m/>
    <m/>
    <n v="2"/>
    <n v="2"/>
    <m/>
    <m/>
    <m/>
    <n v="512514"/>
    <n v="173445"/>
    <s v="Heathfield"/>
  </r>
  <r>
    <s v="22/1916/FUL"/>
    <x v="0"/>
    <s v="FULL"/>
    <d v="2022-10-12T00:00:00"/>
    <d v="2025-10-12T00:00:00"/>
    <m/>
    <m/>
    <m/>
    <m/>
    <x v="2"/>
    <x v="0"/>
    <m/>
    <m/>
    <m/>
    <s v="Demolition of an existing detached residence and construction of a replacement 2 storey 5 bedroom house and associated hard and soft landscaping, refuse and cycle parking facilities"/>
    <s v="32 Sandy Lane, Petersham, Richmond TW10 7EL"/>
    <s v="TW10 7EL"/>
    <m/>
    <m/>
    <m/>
    <n v="1"/>
    <m/>
    <m/>
    <m/>
    <m/>
    <m/>
    <n v="1"/>
    <m/>
    <m/>
    <m/>
    <m/>
    <m/>
    <n v="1"/>
    <m/>
    <m/>
    <m/>
    <n v="1"/>
    <n v="0"/>
    <n v="0"/>
    <n v="-1"/>
    <n v="0"/>
    <n v="1"/>
    <n v="0"/>
    <n v="0"/>
    <n v="0"/>
    <n v="0"/>
    <m/>
    <m/>
    <n v="0"/>
    <m/>
    <m/>
    <m/>
    <m/>
    <m/>
    <m/>
    <m/>
    <m/>
    <m/>
    <m/>
    <m/>
    <m/>
    <m/>
    <m/>
    <m/>
    <n v="0"/>
    <n v="0"/>
    <m/>
    <m/>
    <m/>
    <n v="517777"/>
    <n v="172645"/>
    <s v="Ham, Petersham &amp; Richmond Riverside"/>
  </r>
  <r>
    <s v="22/2399/FUL"/>
    <x v="4"/>
    <s v="FULL"/>
    <d v="2022-12-13T00:00:00"/>
    <d v="2025-12-13T00:00:00"/>
    <d v="2025-11-25T00:00:00"/>
    <m/>
    <m/>
    <m/>
    <x v="2"/>
    <x v="0"/>
    <m/>
    <m/>
    <m/>
    <s v="Single storey rear extension, side dormer roof extension with solar panels, rooflights on front and side roof slopes, replacement fenestration and associated bin store to facilitate the conversion of two flats into a single dwellinghouse."/>
    <s v="92 Palewell Park, East Sheen SW14 8JH"/>
    <s v="SW14 8JH"/>
    <m/>
    <n v="1"/>
    <n v="1"/>
    <m/>
    <m/>
    <m/>
    <m/>
    <m/>
    <m/>
    <n v="2"/>
    <m/>
    <m/>
    <m/>
    <m/>
    <n v="1"/>
    <m/>
    <m/>
    <m/>
    <m/>
    <n v="1"/>
    <n v="-1"/>
    <n v="-1"/>
    <n v="0"/>
    <n v="1"/>
    <n v="0"/>
    <n v="0"/>
    <n v="0"/>
    <n v="0"/>
    <n v="-1"/>
    <m/>
    <m/>
    <m/>
    <n v="-0.5"/>
    <n v="-0.5"/>
    <m/>
    <m/>
    <m/>
    <m/>
    <m/>
    <m/>
    <m/>
    <m/>
    <m/>
    <m/>
    <m/>
    <m/>
    <m/>
    <n v="-1"/>
    <n v="-1"/>
    <m/>
    <m/>
    <m/>
    <n v="520649"/>
    <n v="175098"/>
    <s v="East Sheen"/>
  </r>
  <r>
    <s v="22/2416/FUL"/>
    <x v="0"/>
    <s v="FULL"/>
    <d v="2023-07-11T00:00:00"/>
    <d v="2026-07-11T00:00:00"/>
    <m/>
    <m/>
    <m/>
    <m/>
    <x v="2"/>
    <x v="0"/>
    <m/>
    <m/>
    <m/>
    <s v="Demolition of an existing single storey bungalow on the site, followed by the construction of a new single family residential dwelling."/>
    <s v="40 Twickenham Road, Teddington TW11 8AW"/>
    <s v="TW11 8AW"/>
    <m/>
    <m/>
    <m/>
    <n v="1"/>
    <m/>
    <m/>
    <m/>
    <m/>
    <m/>
    <n v="1"/>
    <m/>
    <m/>
    <m/>
    <m/>
    <m/>
    <m/>
    <n v="1"/>
    <m/>
    <m/>
    <n v="1"/>
    <n v="0"/>
    <n v="0"/>
    <n v="-1"/>
    <n v="0"/>
    <n v="0"/>
    <n v="1"/>
    <n v="0"/>
    <n v="0"/>
    <n v="0"/>
    <m/>
    <m/>
    <n v="0"/>
    <m/>
    <m/>
    <m/>
    <m/>
    <m/>
    <m/>
    <m/>
    <m/>
    <m/>
    <m/>
    <m/>
    <m/>
    <m/>
    <m/>
    <m/>
    <n v="0"/>
    <n v="0"/>
    <m/>
    <m/>
    <m/>
    <n v="516358"/>
    <n v="171680"/>
    <s v="Teddington"/>
  </r>
  <r>
    <s v="22/2662/FUL"/>
    <x v="0"/>
    <s v="FULL"/>
    <d v="2024-10-04T00:00:00"/>
    <d v="2027-10-04T00:00:00"/>
    <m/>
    <m/>
    <s v="Y"/>
    <m/>
    <x v="2"/>
    <x v="0"/>
    <m/>
    <m/>
    <m/>
    <s v="Erection of a 1 bedroom chalet/bungalow with the provision of amenity space and parking at rear of property."/>
    <s v="214 Hampton Road, Twickenham TW2 5NJ"/>
    <s v="TW2 5NJ"/>
    <m/>
    <m/>
    <m/>
    <m/>
    <m/>
    <m/>
    <m/>
    <m/>
    <m/>
    <n v="0"/>
    <m/>
    <n v="1"/>
    <m/>
    <m/>
    <m/>
    <m/>
    <m/>
    <m/>
    <m/>
    <n v="1"/>
    <n v="1"/>
    <n v="0"/>
    <n v="0"/>
    <n v="0"/>
    <n v="0"/>
    <n v="0"/>
    <n v="0"/>
    <n v="0"/>
    <n v="1"/>
    <m/>
    <m/>
    <n v="0.25"/>
    <n v="0.25"/>
    <n v="0.25"/>
    <n v="0.25"/>
    <m/>
    <m/>
    <m/>
    <m/>
    <m/>
    <m/>
    <m/>
    <m/>
    <m/>
    <m/>
    <m/>
    <m/>
    <n v="1"/>
    <n v="1"/>
    <m/>
    <m/>
    <m/>
    <n v="514736"/>
    <n v="172131"/>
    <s v="West Twickenham"/>
  </r>
  <r>
    <s v="22/2843/FUL"/>
    <x v="0"/>
    <s v="FULL"/>
    <d v="2023-02-08T00:00:00"/>
    <d v="2026-02-08T00:00:00"/>
    <m/>
    <m/>
    <m/>
    <m/>
    <x v="2"/>
    <x v="0"/>
    <m/>
    <m/>
    <m/>
    <s v="Demolition of existing dwelling and replacement with a pair of two storey with basement semi-detached dwellings.  Alterations to boundary wall and assoicated hard and soft landscaping, cycle and refuse stores."/>
    <s v="62 Derby Road, East Sheen SW14 7DP"/>
    <s v="SW14 7DP"/>
    <m/>
    <m/>
    <m/>
    <m/>
    <n v="1"/>
    <m/>
    <m/>
    <m/>
    <m/>
    <n v="1"/>
    <m/>
    <m/>
    <m/>
    <n v="2"/>
    <m/>
    <m/>
    <m/>
    <m/>
    <m/>
    <n v="2"/>
    <n v="0"/>
    <n v="0"/>
    <n v="2"/>
    <n v="-1"/>
    <n v="0"/>
    <n v="0"/>
    <n v="0"/>
    <n v="0"/>
    <n v="1"/>
    <m/>
    <m/>
    <n v="0.25"/>
    <n v="0.25"/>
    <n v="0.25"/>
    <n v="0.25"/>
    <m/>
    <m/>
    <m/>
    <m/>
    <m/>
    <m/>
    <m/>
    <m/>
    <m/>
    <m/>
    <m/>
    <m/>
    <n v="1"/>
    <n v="1"/>
    <m/>
    <m/>
    <m/>
    <n v="519780"/>
    <n v="175098"/>
    <s v="East Sheen"/>
  </r>
  <r>
    <s v="22/2876/GPD26"/>
    <x v="1"/>
    <s v="PA"/>
    <d v="2022-12-12T00:00:00"/>
    <d v="2025-12-12T00:00:00"/>
    <m/>
    <m/>
    <m/>
    <m/>
    <x v="2"/>
    <x v="0"/>
    <m/>
    <m/>
    <m/>
    <s v="Change of use of vacant office building to two flats"/>
    <s v="Mega House, 159A High Street, Hampton Hill, Hampton TW12 1NL"/>
    <s v="TW12 1NL"/>
    <m/>
    <m/>
    <m/>
    <m/>
    <m/>
    <m/>
    <m/>
    <m/>
    <m/>
    <n v="0"/>
    <m/>
    <m/>
    <n v="2"/>
    <m/>
    <m/>
    <m/>
    <m/>
    <m/>
    <m/>
    <n v="2"/>
    <n v="0"/>
    <n v="2"/>
    <n v="0"/>
    <n v="0"/>
    <n v="0"/>
    <n v="0"/>
    <n v="0"/>
    <n v="0"/>
    <n v="2"/>
    <m/>
    <m/>
    <n v="0.5"/>
    <n v="0.5"/>
    <n v="0.5"/>
    <n v="0.5"/>
    <m/>
    <m/>
    <m/>
    <m/>
    <m/>
    <m/>
    <m/>
    <m/>
    <m/>
    <m/>
    <m/>
    <m/>
    <n v="2"/>
    <n v="2"/>
    <m/>
    <m/>
    <m/>
    <n v="514405"/>
    <n v="171101"/>
    <s v="Fulwell &amp; Hampton Hill"/>
  </r>
  <r>
    <s v="22/3043/GPD24"/>
    <x v="1"/>
    <s v="PA"/>
    <d v="2022-11-30T00:00:00"/>
    <d v="2025-11-30T00:00:00"/>
    <m/>
    <m/>
    <m/>
    <m/>
    <x v="2"/>
    <x v="0"/>
    <m/>
    <m/>
    <m/>
    <s v="Change of use from Class E (commercial, business and service) to Mixed Use Class E (commercial, business and service) and Class C3 (dwellinghouses) to provide 1x self-contained dwelling."/>
    <s v="357 Upper Richmond Road West, East Sheen SW14 8QN"/>
    <s v="SW14 8QN"/>
    <m/>
    <m/>
    <m/>
    <m/>
    <m/>
    <m/>
    <m/>
    <m/>
    <m/>
    <n v="0"/>
    <m/>
    <n v="1"/>
    <m/>
    <m/>
    <m/>
    <m/>
    <m/>
    <m/>
    <m/>
    <n v="1"/>
    <n v="1"/>
    <n v="0"/>
    <n v="0"/>
    <n v="0"/>
    <n v="0"/>
    <n v="0"/>
    <n v="0"/>
    <n v="0"/>
    <n v="1"/>
    <m/>
    <m/>
    <n v="0.25"/>
    <n v="0.25"/>
    <n v="0.25"/>
    <n v="0.25"/>
    <m/>
    <m/>
    <m/>
    <m/>
    <m/>
    <m/>
    <m/>
    <m/>
    <m/>
    <m/>
    <m/>
    <m/>
    <n v="1"/>
    <n v="1"/>
    <m/>
    <m/>
    <m/>
    <n v="520553"/>
    <n v="175393"/>
    <s v="East Sheen"/>
  </r>
  <r>
    <s v="22/3049/FUL"/>
    <x v="1"/>
    <s v="FULL"/>
    <d v="2023-11-14T00:00:00"/>
    <d v="2026-11-14T00:00:00"/>
    <m/>
    <m/>
    <m/>
    <m/>
    <x v="2"/>
    <x v="0"/>
    <m/>
    <m/>
    <m/>
    <s v="Change of use of first floor from former financial services floorspace to 2 x one bedroom flats. Alterations to rear elevation and reinstatement of first floor roof terrace."/>
    <s v="256 Upper Richmond Road West, East Sheen SW14 7JF"/>
    <s v="SW14 7JF"/>
    <m/>
    <m/>
    <m/>
    <m/>
    <m/>
    <m/>
    <m/>
    <m/>
    <m/>
    <n v="0"/>
    <m/>
    <n v="2"/>
    <m/>
    <m/>
    <m/>
    <m/>
    <m/>
    <m/>
    <m/>
    <n v="2"/>
    <n v="2"/>
    <n v="0"/>
    <n v="0"/>
    <n v="0"/>
    <n v="0"/>
    <n v="0"/>
    <n v="0"/>
    <n v="0"/>
    <n v="2"/>
    <m/>
    <m/>
    <n v="0.5"/>
    <n v="0.5"/>
    <n v="0.5"/>
    <n v="0.5"/>
    <m/>
    <m/>
    <m/>
    <m/>
    <m/>
    <m/>
    <m/>
    <m/>
    <m/>
    <m/>
    <m/>
    <m/>
    <n v="2"/>
    <n v="2"/>
    <m/>
    <m/>
    <m/>
    <n v="520486"/>
    <n v="175416"/>
    <s v="East Sheen"/>
  </r>
  <r>
    <s v="22/3112/FUL"/>
    <x v="0"/>
    <s v="FULL"/>
    <d v="2023-09-14T00:00:00"/>
    <d v="2026-09-14T00:00:00"/>
    <m/>
    <m/>
    <m/>
    <m/>
    <x v="2"/>
    <x v="5"/>
    <m/>
    <m/>
    <m/>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2"/>
    <n v="3"/>
    <m/>
    <m/>
    <m/>
    <m/>
    <m/>
    <m/>
    <n v="5"/>
    <n v="2"/>
    <n v="3"/>
    <n v="0"/>
    <n v="0"/>
    <n v="0"/>
    <n v="0"/>
    <n v="0"/>
    <n v="0"/>
    <n v="5"/>
    <s v="Y"/>
    <m/>
    <m/>
    <m/>
    <n v="2.5"/>
    <n v="2.5"/>
    <m/>
    <m/>
    <m/>
    <m/>
    <m/>
    <m/>
    <m/>
    <m/>
    <m/>
    <m/>
    <m/>
    <m/>
    <n v="5"/>
    <n v="5"/>
    <m/>
    <m/>
    <m/>
    <n v="518385"/>
    <n v="174928"/>
    <s v="South Richmond"/>
  </r>
  <r>
    <s v="22/3112/FUL"/>
    <x v="0"/>
    <s v="FULL"/>
    <d v="2023-09-14T00:00:00"/>
    <d v="2026-09-14T00:00:00"/>
    <m/>
    <m/>
    <m/>
    <m/>
    <x v="2"/>
    <x v="6"/>
    <m/>
    <m/>
    <m/>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7"/>
    <m/>
    <m/>
    <m/>
    <m/>
    <m/>
    <m/>
    <m/>
    <n v="7"/>
    <n v="7"/>
    <n v="0"/>
    <n v="0"/>
    <n v="0"/>
    <n v="0"/>
    <n v="0"/>
    <n v="0"/>
    <n v="0"/>
    <n v="7"/>
    <s v="Y"/>
    <m/>
    <m/>
    <m/>
    <n v="3.5"/>
    <n v="3.5"/>
    <m/>
    <m/>
    <m/>
    <m/>
    <m/>
    <m/>
    <m/>
    <m/>
    <m/>
    <m/>
    <m/>
    <m/>
    <n v="7"/>
    <n v="7"/>
    <m/>
    <s v="Y"/>
    <m/>
    <n v="518385"/>
    <n v="174928"/>
    <s v="South Richmond"/>
  </r>
  <r>
    <s v="22/3141/FUL"/>
    <x v="4"/>
    <s v="FULL"/>
    <d v="2022-12-19T00:00:00"/>
    <d v="2025-12-19T00:00:00"/>
    <d v="2026-01-06T00:00:00"/>
    <m/>
    <m/>
    <m/>
    <x v="2"/>
    <x v="0"/>
    <m/>
    <m/>
    <m/>
    <s v="Rear dormer roof extension to facilitate the conversion of existing 2 bed maisonette into 2 flats (1 x 1 bed and 1 x 2 bed). Solar PV panels to rear pitched and flat roofs. 2no. Velux roof lights to front roof slope."/>
    <s v="23 Colston Road, East Sheen SW14 7PQ"/>
    <s v="SW14 7PQ"/>
    <m/>
    <m/>
    <n v="1"/>
    <m/>
    <m/>
    <m/>
    <m/>
    <m/>
    <m/>
    <n v="1"/>
    <m/>
    <n v="1"/>
    <n v="1"/>
    <m/>
    <m/>
    <m/>
    <m/>
    <m/>
    <m/>
    <n v="2"/>
    <n v="1"/>
    <n v="0"/>
    <n v="0"/>
    <n v="0"/>
    <n v="0"/>
    <n v="0"/>
    <n v="0"/>
    <n v="0"/>
    <n v="1"/>
    <m/>
    <m/>
    <m/>
    <n v="0.5"/>
    <n v="0.5"/>
    <m/>
    <m/>
    <m/>
    <m/>
    <m/>
    <m/>
    <m/>
    <m/>
    <m/>
    <m/>
    <m/>
    <m/>
    <m/>
    <n v="1"/>
    <n v="1"/>
    <m/>
    <m/>
    <m/>
    <n v="520360"/>
    <n v="175325"/>
    <s v="East Sheen"/>
  </r>
  <r>
    <s v="22/3165/FUL"/>
    <x v="0"/>
    <s v="FULL"/>
    <d v="2025-02-17T00:00:00"/>
    <d v="2028-02-17T00:00:00"/>
    <d v="2025-05-01T00:00:00"/>
    <m/>
    <s v="Y"/>
    <m/>
    <x v="2"/>
    <x v="0"/>
    <m/>
    <m/>
    <m/>
    <s v="Demolition of existing commercial building and erection of mixed use part two, three and part four storey building comprising replacement commercial (Class E) floorspace and residential units (Class C3) including cycle parking, refuse storage, hard and soft landscaping, amendments to site access and other associated works."/>
    <s v="Clifford House, 424 Upper Richmond Road West, East Sheen SW14 7JX"/>
    <s v="SW14 7JX"/>
    <m/>
    <m/>
    <m/>
    <m/>
    <m/>
    <m/>
    <m/>
    <m/>
    <m/>
    <n v="0"/>
    <m/>
    <n v="4"/>
    <n v="4"/>
    <m/>
    <m/>
    <m/>
    <m/>
    <m/>
    <m/>
    <n v="8"/>
    <n v="4"/>
    <n v="4"/>
    <n v="0"/>
    <n v="0"/>
    <n v="0"/>
    <n v="0"/>
    <n v="0"/>
    <n v="0"/>
    <n v="8"/>
    <m/>
    <m/>
    <m/>
    <n v="4"/>
    <n v="4"/>
    <m/>
    <m/>
    <m/>
    <m/>
    <m/>
    <m/>
    <m/>
    <m/>
    <m/>
    <m/>
    <m/>
    <m/>
    <m/>
    <n v="8"/>
    <n v="8"/>
    <m/>
    <m/>
    <m/>
    <n v="519842"/>
    <n v="175358"/>
    <s v="North Richmond"/>
  </r>
  <r>
    <s v="22/3228/FUL"/>
    <x v="4"/>
    <s v="FULL"/>
    <d v="2024-01-15T00:00:00"/>
    <d v="2027-01-15T00:00:00"/>
    <m/>
    <m/>
    <m/>
    <m/>
    <x v="2"/>
    <x v="0"/>
    <m/>
    <m/>
    <m/>
    <s v="Conversion of dwelling into two residential properties, alterations to elevations, and associated works."/>
    <s v="154 Broad Lane, Hampton TW12 3BW"/>
    <s v="TW12 3BW"/>
    <m/>
    <m/>
    <m/>
    <m/>
    <n v="1"/>
    <m/>
    <m/>
    <m/>
    <m/>
    <n v="1"/>
    <m/>
    <m/>
    <n v="2"/>
    <m/>
    <m/>
    <m/>
    <m/>
    <m/>
    <m/>
    <n v="2"/>
    <n v="0"/>
    <n v="2"/>
    <n v="0"/>
    <n v="-1"/>
    <n v="0"/>
    <n v="0"/>
    <n v="0"/>
    <n v="0"/>
    <n v="1"/>
    <m/>
    <m/>
    <n v="0.25"/>
    <n v="0.25"/>
    <n v="0.25"/>
    <n v="0.25"/>
    <m/>
    <m/>
    <m/>
    <m/>
    <m/>
    <m/>
    <m/>
    <m/>
    <m/>
    <m/>
    <m/>
    <m/>
    <n v="1"/>
    <n v="1"/>
    <m/>
    <m/>
    <m/>
    <n v="512727"/>
    <n v="170496"/>
    <s v="Hampton North"/>
  </r>
  <r>
    <s v="22/3304/FUL"/>
    <x v="0"/>
    <s v="FULL"/>
    <d v="2023-04-25T00:00:00"/>
    <d v="2026-04-25T00:00:00"/>
    <m/>
    <m/>
    <m/>
    <m/>
    <x v="2"/>
    <x v="0"/>
    <m/>
    <m/>
    <m/>
    <s v="Single storey rear extension, hip to gable and rear dormer roof extension and rooflights to front roof slope and associated cycle and refuse store and hard and soft landscaping and outbuilding to no. 2.  Demolition of existing single storey side extension to facilitate the erection of two storey dwelling house and associated cycle and refuse stores, replacement boundary fence, hard and soft landscaping and outbuilding."/>
    <s v="2 West Hall Road, Kew, Richmond TW9 4EE"/>
    <s v="TW9 4EE"/>
    <m/>
    <m/>
    <m/>
    <m/>
    <m/>
    <m/>
    <m/>
    <m/>
    <m/>
    <n v="0"/>
    <m/>
    <m/>
    <m/>
    <n v="1"/>
    <m/>
    <m/>
    <m/>
    <m/>
    <m/>
    <n v="1"/>
    <n v="0"/>
    <n v="0"/>
    <n v="1"/>
    <n v="0"/>
    <n v="0"/>
    <n v="0"/>
    <n v="0"/>
    <n v="0"/>
    <n v="1"/>
    <m/>
    <m/>
    <n v="0.25"/>
    <n v="0.25"/>
    <n v="0.25"/>
    <n v="0.25"/>
    <m/>
    <m/>
    <m/>
    <m/>
    <m/>
    <m/>
    <m/>
    <m/>
    <m/>
    <m/>
    <m/>
    <m/>
    <n v="1"/>
    <n v="1"/>
    <m/>
    <m/>
    <m/>
    <n v="519594"/>
    <n v="176510"/>
    <s v="Kew"/>
  </r>
  <r>
    <s v="22/3468/FUL"/>
    <x v="4"/>
    <s v="FULL"/>
    <d v="2024-02-26T00:00:00"/>
    <d v="2027-02-26T00:00:00"/>
    <m/>
    <m/>
    <m/>
    <m/>
    <x v="2"/>
    <x v="0"/>
    <m/>
    <m/>
    <m/>
    <s v="Subdivision of no 446 to create 1 no. dwellinghouse and 1 no. 2 bed flat. Alterations to fenestration/doors. Installation of vehicle gates. Installation of a new garden fence."/>
    <s v="446 Upper Richmond Road, Barnes SW15 5RQ"/>
    <s v="SW15 5RQ"/>
    <m/>
    <m/>
    <m/>
    <m/>
    <m/>
    <m/>
    <m/>
    <m/>
    <m/>
    <n v="0"/>
    <m/>
    <m/>
    <n v="1"/>
    <m/>
    <m/>
    <m/>
    <m/>
    <m/>
    <m/>
    <n v="1"/>
    <n v="0"/>
    <n v="1"/>
    <n v="0"/>
    <n v="0"/>
    <n v="0"/>
    <n v="0"/>
    <n v="0"/>
    <n v="0"/>
    <n v="1"/>
    <m/>
    <m/>
    <n v="0.25"/>
    <n v="0.25"/>
    <n v="0.25"/>
    <n v="0.25"/>
    <m/>
    <m/>
    <m/>
    <m/>
    <m/>
    <m/>
    <m/>
    <m/>
    <m/>
    <m/>
    <m/>
    <m/>
    <n v="1"/>
    <n v="1"/>
    <m/>
    <m/>
    <m/>
    <n v="522411"/>
    <n v="175485"/>
    <s v="Mortlake &amp; Barnes Common"/>
  </r>
  <r>
    <s v="22/3474/FUL"/>
    <x v="1"/>
    <s v="FULL"/>
    <d v="2025-03-03T00:00:00"/>
    <d v="2028-03-03T00:00:00"/>
    <m/>
    <m/>
    <s v="Y"/>
    <m/>
    <x v="2"/>
    <x v="0"/>
    <m/>
    <m/>
    <m/>
    <s v="Change of use from Use Class F1(a) - Provision of Education to a 2-bed 3-person flat including minor external changes and associated works"/>
    <s v="The Lodge, 69 The Green, Twickenham"/>
    <s v="TW2 5TU"/>
    <m/>
    <m/>
    <m/>
    <m/>
    <m/>
    <m/>
    <m/>
    <m/>
    <m/>
    <n v="0"/>
    <m/>
    <m/>
    <n v="1"/>
    <m/>
    <m/>
    <m/>
    <m/>
    <m/>
    <m/>
    <n v="1"/>
    <n v="0"/>
    <n v="1"/>
    <n v="0"/>
    <n v="0"/>
    <n v="0"/>
    <n v="0"/>
    <n v="0"/>
    <n v="0"/>
    <n v="1"/>
    <m/>
    <m/>
    <n v="0.25"/>
    <n v="0.25"/>
    <n v="0.25"/>
    <n v="0.25"/>
    <m/>
    <m/>
    <m/>
    <m/>
    <m/>
    <m/>
    <m/>
    <m/>
    <m/>
    <m/>
    <m/>
    <m/>
    <n v="1"/>
    <n v="1"/>
    <m/>
    <m/>
    <m/>
    <n v="515259"/>
    <n v="172781"/>
    <s v="South Twickenham"/>
  </r>
  <r>
    <s v="22/3573/FUL"/>
    <x v="4"/>
    <s v="FULL"/>
    <d v="2023-05-26T00:00:00"/>
    <d v="2026-05-26T00:00:00"/>
    <m/>
    <m/>
    <m/>
    <m/>
    <x v="2"/>
    <x v="0"/>
    <m/>
    <m/>
    <m/>
    <s v="Conversion of 15A and 15B from 2 no. residential flats to 3 no. residential flats. Alterations to fenestration. Alteration to west elevation. Insertion of courtyards. Alterations to bin store and cycle store."/>
    <s v="13 - 17 White Hart Lane, Barnes SW13 0PX"/>
    <s v="SW13 0PX"/>
    <m/>
    <m/>
    <n v="1"/>
    <n v="1"/>
    <m/>
    <m/>
    <m/>
    <m/>
    <m/>
    <n v="2"/>
    <m/>
    <m/>
    <n v="3"/>
    <m/>
    <m/>
    <m/>
    <m/>
    <m/>
    <m/>
    <n v="3"/>
    <n v="0"/>
    <n v="2"/>
    <n v="-1"/>
    <n v="0"/>
    <n v="0"/>
    <n v="0"/>
    <n v="0"/>
    <n v="0"/>
    <n v="1"/>
    <m/>
    <m/>
    <n v="0.25"/>
    <n v="0.25"/>
    <n v="0.25"/>
    <n v="0.25"/>
    <m/>
    <m/>
    <m/>
    <m/>
    <m/>
    <m/>
    <m/>
    <m/>
    <m/>
    <m/>
    <m/>
    <m/>
    <n v="1"/>
    <n v="1"/>
    <m/>
    <m/>
    <m/>
    <n v="521299"/>
    <n v="176041"/>
    <s v="Mortlake &amp; Barnes Common"/>
  </r>
  <r>
    <s v="22/3577/FUL"/>
    <x v="1"/>
    <s v="FULL"/>
    <d v="2024-06-25T00:00:00"/>
    <d v="2027-06-25T00:00:00"/>
    <m/>
    <m/>
    <s v="Y"/>
    <m/>
    <x v="2"/>
    <x v="0"/>
    <m/>
    <m/>
    <m/>
    <s v="Change of use of part ground floor and part first floor to form 4No. 1-bedroom flats and 2No. 2-bedroom flats."/>
    <s v="Units 3 And 15 Cross Deep Court, Heath Road, Twickenham TW1 1AG"/>
    <s v="TW1 1AG"/>
    <m/>
    <m/>
    <m/>
    <m/>
    <m/>
    <m/>
    <m/>
    <m/>
    <m/>
    <n v="0"/>
    <m/>
    <n v="4"/>
    <n v="2"/>
    <m/>
    <m/>
    <m/>
    <m/>
    <m/>
    <m/>
    <n v="6"/>
    <n v="4"/>
    <n v="2"/>
    <n v="0"/>
    <n v="0"/>
    <n v="0"/>
    <n v="0"/>
    <n v="0"/>
    <n v="0"/>
    <n v="6"/>
    <m/>
    <m/>
    <m/>
    <n v="1.5"/>
    <n v="1.5"/>
    <n v="1.5"/>
    <n v="1.5"/>
    <m/>
    <m/>
    <m/>
    <m/>
    <m/>
    <m/>
    <m/>
    <m/>
    <m/>
    <m/>
    <m/>
    <n v="6"/>
    <n v="6"/>
    <m/>
    <m/>
    <m/>
    <n v="516137"/>
    <n v="173134"/>
    <s v="South Twickenham"/>
  </r>
  <r>
    <s v="22/3799/FUL"/>
    <x v="3"/>
    <s v="FULL"/>
    <d v="2023-11-07T00:00:00"/>
    <d v="2026-11-07T00:00:00"/>
    <m/>
    <m/>
    <m/>
    <m/>
    <x v="2"/>
    <x v="0"/>
    <m/>
    <m/>
    <m/>
    <s v="Proposed rear dormer roof extension and 2no. skylights on front roof slope. Conversion of existing flat into 3no. studio flats. Provision of cycle storage, bin and refuse storage areas."/>
    <s v="21 Colston Road, East Sheen SW14 7PQ"/>
    <s v="SW14 7PQ"/>
    <m/>
    <m/>
    <m/>
    <m/>
    <n v="1"/>
    <m/>
    <m/>
    <m/>
    <m/>
    <n v="1"/>
    <m/>
    <n v="3"/>
    <m/>
    <m/>
    <m/>
    <m/>
    <m/>
    <m/>
    <m/>
    <n v="3"/>
    <n v="3"/>
    <n v="0"/>
    <n v="0"/>
    <n v="-1"/>
    <n v="0"/>
    <n v="0"/>
    <n v="0"/>
    <n v="0"/>
    <n v="2"/>
    <m/>
    <m/>
    <n v="0.5"/>
    <n v="0.5"/>
    <n v="0.5"/>
    <n v="0.5"/>
    <m/>
    <m/>
    <m/>
    <m/>
    <m/>
    <m/>
    <m/>
    <m/>
    <m/>
    <m/>
    <m/>
    <m/>
    <n v="2"/>
    <n v="2"/>
    <m/>
    <m/>
    <m/>
    <n v="520370"/>
    <n v="175330"/>
    <s v="East Sheen"/>
  </r>
  <r>
    <s v="23/0093/FUL"/>
    <x v="2"/>
    <s v="FULL"/>
    <d v="2024-02-02T00:00:00"/>
    <d v="2027-02-02T00:00:00"/>
    <m/>
    <m/>
    <m/>
    <m/>
    <x v="2"/>
    <x v="0"/>
    <m/>
    <m/>
    <m/>
    <s v="Conversion of maisonette flat into two self-contained flats, including alterations &amp; loft extension, by replacing annex hip roof with Mansard roof"/>
    <s v="74A Richmond Road, Twickenham TW1 3BE"/>
    <s v="TW1 3BE"/>
    <m/>
    <m/>
    <m/>
    <m/>
    <n v="1"/>
    <m/>
    <m/>
    <m/>
    <m/>
    <n v="1"/>
    <m/>
    <n v="1"/>
    <m/>
    <n v="1"/>
    <m/>
    <m/>
    <m/>
    <m/>
    <m/>
    <n v="2"/>
    <n v="1"/>
    <n v="0"/>
    <n v="1"/>
    <n v="-1"/>
    <n v="0"/>
    <n v="0"/>
    <n v="0"/>
    <n v="0"/>
    <n v="1"/>
    <m/>
    <m/>
    <n v="0.25"/>
    <n v="0.25"/>
    <n v="0.25"/>
    <n v="0.25"/>
    <m/>
    <m/>
    <m/>
    <m/>
    <m/>
    <m/>
    <m/>
    <m/>
    <m/>
    <m/>
    <m/>
    <m/>
    <n v="1"/>
    <n v="1"/>
    <m/>
    <m/>
    <m/>
    <n v="516676"/>
    <n v="173608"/>
    <s v="Twickenham Riverside"/>
  </r>
  <r>
    <s v="23/0145/FUL"/>
    <x v="0"/>
    <s v="FULL"/>
    <d v="2023-06-13T00:00:00"/>
    <d v="2026-06-13T00:00:00"/>
    <d v="2025-10-06T00:00:00"/>
    <m/>
    <m/>
    <m/>
    <x v="2"/>
    <x v="0"/>
    <m/>
    <m/>
    <m/>
    <s v="Demolish existing end of terrace 3 bedroom house and create new 4 bedroom end of terrace house."/>
    <s v="2 Everdon Road, Barnes SW13 9AH"/>
    <s v="SW13 9AH"/>
    <m/>
    <m/>
    <m/>
    <n v="1"/>
    <m/>
    <m/>
    <m/>
    <m/>
    <m/>
    <n v="1"/>
    <m/>
    <m/>
    <m/>
    <m/>
    <n v="1"/>
    <m/>
    <m/>
    <m/>
    <m/>
    <n v="1"/>
    <n v="0"/>
    <n v="0"/>
    <n v="-1"/>
    <n v="1"/>
    <n v="0"/>
    <n v="0"/>
    <n v="0"/>
    <n v="0"/>
    <n v="0"/>
    <m/>
    <m/>
    <n v="0"/>
    <m/>
    <m/>
    <m/>
    <m/>
    <m/>
    <m/>
    <m/>
    <m/>
    <m/>
    <m/>
    <m/>
    <m/>
    <m/>
    <m/>
    <m/>
    <n v="0"/>
    <n v="0"/>
    <m/>
    <m/>
    <m/>
    <n v="522220"/>
    <n v="177505"/>
    <s v="Barnes"/>
  </r>
  <r>
    <s v="23/0260/FUL"/>
    <x v="0"/>
    <s v="FULL"/>
    <d v="2024-02-01T00:00:00"/>
    <d v="2027-02-01T00:00:00"/>
    <d v="2026-02-02T00:00:00"/>
    <m/>
    <m/>
    <m/>
    <x v="2"/>
    <x v="6"/>
    <m/>
    <m/>
    <m/>
    <s v="The erection of 7 part single, part two-storey residential dwellings; 8 car parking spaces (including 1 disabled parking space); landscaping incorporating communal amenity space and ecological enhancement area; secure cycle and refuse storage."/>
    <s v="The Mereway Centre, Mereway Road, Twickenham"/>
    <s v="TW2"/>
    <m/>
    <m/>
    <m/>
    <m/>
    <m/>
    <m/>
    <m/>
    <m/>
    <m/>
    <n v="0"/>
    <s v="Y"/>
    <m/>
    <m/>
    <n v="4"/>
    <n v="3"/>
    <m/>
    <m/>
    <m/>
    <m/>
    <n v="7"/>
    <n v="0"/>
    <n v="0"/>
    <n v="4"/>
    <n v="3"/>
    <n v="0"/>
    <n v="0"/>
    <n v="0"/>
    <n v="0"/>
    <n v="7"/>
    <m/>
    <m/>
    <m/>
    <m/>
    <n v="7"/>
    <m/>
    <m/>
    <m/>
    <m/>
    <m/>
    <m/>
    <m/>
    <m/>
    <m/>
    <m/>
    <m/>
    <m/>
    <m/>
    <n v="7"/>
    <n v="7"/>
    <m/>
    <m/>
    <m/>
    <n v="515033"/>
    <n v="173287"/>
    <s v="South Twickenham"/>
  </r>
  <r>
    <s v="23/0946/GPD26"/>
    <x v="1"/>
    <s v="PA"/>
    <d v="2023-05-24T00:00:00"/>
    <d v="2026-05-24T00:00:00"/>
    <m/>
    <m/>
    <m/>
    <m/>
    <x v="2"/>
    <x v="0"/>
    <m/>
    <m/>
    <m/>
    <s v="Change of use of ground floor from Use Class E to 1no. flat (Use Class C3)"/>
    <s v="145 White Hart Lane, Barnes SW13 0JP"/>
    <s v="SW13 0JP"/>
    <m/>
    <m/>
    <m/>
    <m/>
    <m/>
    <m/>
    <m/>
    <m/>
    <m/>
    <n v="0"/>
    <m/>
    <n v="1"/>
    <m/>
    <m/>
    <m/>
    <m/>
    <m/>
    <m/>
    <m/>
    <n v="1"/>
    <n v="1"/>
    <n v="0"/>
    <n v="0"/>
    <n v="0"/>
    <n v="0"/>
    <n v="0"/>
    <n v="0"/>
    <n v="0"/>
    <n v="1"/>
    <m/>
    <m/>
    <n v="0.25"/>
    <n v="0.25"/>
    <n v="0.25"/>
    <n v="0.25"/>
    <m/>
    <m/>
    <m/>
    <m/>
    <m/>
    <m/>
    <m/>
    <m/>
    <m/>
    <m/>
    <m/>
    <m/>
    <n v="1"/>
    <n v="1"/>
    <m/>
    <m/>
    <m/>
    <n v="521457"/>
    <n v="175623"/>
    <s v="Mortlake &amp; Barnes Common"/>
  </r>
  <r>
    <s v="23/1101/FUL"/>
    <x v="0"/>
    <s v="FULL"/>
    <d v="2024-04-02T00:00:00"/>
    <d v="2027-04-02T00:00:00"/>
    <m/>
    <m/>
    <s v="Y"/>
    <m/>
    <x v="2"/>
    <x v="0"/>
    <m/>
    <m/>
    <m/>
    <s v="Demolition of existing dwelling and construction of 2 no. semi detached dwellings, associated car parking, cycle and refuse storage and landscaping."/>
    <s v="22 Broad Lane, Hampton TW12 3AZ"/>
    <s v="TW12 3AZ"/>
    <m/>
    <m/>
    <m/>
    <m/>
    <n v="1"/>
    <m/>
    <m/>
    <m/>
    <m/>
    <n v="1"/>
    <m/>
    <m/>
    <m/>
    <m/>
    <n v="2"/>
    <m/>
    <m/>
    <m/>
    <m/>
    <n v="2"/>
    <n v="0"/>
    <n v="0"/>
    <n v="0"/>
    <n v="1"/>
    <n v="0"/>
    <n v="0"/>
    <n v="0"/>
    <n v="0"/>
    <n v="1"/>
    <m/>
    <m/>
    <n v="0.25"/>
    <n v="0.25"/>
    <n v="0.25"/>
    <n v="0.25"/>
    <m/>
    <m/>
    <m/>
    <m/>
    <m/>
    <m/>
    <m/>
    <m/>
    <m/>
    <m/>
    <m/>
    <m/>
    <n v="1"/>
    <n v="1"/>
    <m/>
    <m/>
    <m/>
    <n v="513617"/>
    <n v="170628"/>
    <s v="Hampton North"/>
  </r>
  <r>
    <s v="23/1127/FUL"/>
    <x v="0"/>
    <s v="FULL"/>
    <d v="2024-01-26T00:00:00"/>
    <d v="2027-01-26T00:00:00"/>
    <d v="2025-04-01T00:00:00"/>
    <m/>
    <m/>
    <m/>
    <x v="2"/>
    <x v="0"/>
    <m/>
    <m/>
    <m/>
    <s v="Demolition of existing dwelling and construction of 2no. semi detached dwellings and associated parking and landscaping."/>
    <s v="6 Wensleydale Road, Hampton TW12 2LW"/>
    <s v="TW12 2LW"/>
    <m/>
    <m/>
    <m/>
    <n v="1"/>
    <m/>
    <m/>
    <m/>
    <m/>
    <m/>
    <n v="1"/>
    <m/>
    <m/>
    <m/>
    <n v="2"/>
    <m/>
    <m/>
    <m/>
    <m/>
    <m/>
    <n v="2"/>
    <n v="0"/>
    <n v="0"/>
    <n v="1"/>
    <n v="0"/>
    <n v="0"/>
    <n v="0"/>
    <n v="0"/>
    <n v="0"/>
    <n v="1"/>
    <m/>
    <m/>
    <m/>
    <n v="1"/>
    <m/>
    <m/>
    <m/>
    <m/>
    <m/>
    <m/>
    <m/>
    <m/>
    <m/>
    <m/>
    <m/>
    <m/>
    <m/>
    <m/>
    <n v="1"/>
    <n v="1"/>
    <m/>
    <m/>
    <m/>
    <n v="513480"/>
    <n v="169902"/>
    <s v="Hampton"/>
  </r>
  <r>
    <s v="23/1140/FUL"/>
    <x v="0"/>
    <s v="FULL"/>
    <d v="2024-05-02T00:00:00"/>
    <d v="2027-05-02T00:00:00"/>
    <d v="2025-08-04T00:00:00"/>
    <m/>
    <s v="Y"/>
    <m/>
    <x v="2"/>
    <x v="0"/>
    <m/>
    <m/>
    <m/>
    <s v="The demolition of existing house and the building of a new six bedroom house, over 3 above ground floors; ground, first and second (loft) floor and a basement level."/>
    <s v="291A Sheen Road, Richmond TW10 5AW"/>
    <s v="TW10 5AW"/>
    <m/>
    <m/>
    <m/>
    <m/>
    <n v="1"/>
    <m/>
    <m/>
    <m/>
    <m/>
    <n v="1"/>
    <m/>
    <m/>
    <m/>
    <m/>
    <m/>
    <m/>
    <n v="1"/>
    <m/>
    <m/>
    <n v="1"/>
    <n v="0"/>
    <n v="0"/>
    <n v="0"/>
    <n v="-1"/>
    <n v="0"/>
    <n v="1"/>
    <n v="0"/>
    <n v="0"/>
    <n v="0"/>
    <m/>
    <m/>
    <n v="0"/>
    <m/>
    <m/>
    <m/>
    <m/>
    <m/>
    <m/>
    <m/>
    <m/>
    <m/>
    <m/>
    <m/>
    <m/>
    <m/>
    <m/>
    <m/>
    <n v="0"/>
    <n v="0"/>
    <m/>
    <m/>
    <m/>
    <n v="519278"/>
    <n v="175104"/>
    <s v="South Richmond"/>
  </r>
  <r>
    <s v="23/1175/FUL"/>
    <x v="1"/>
    <s v="FULL"/>
    <d v="2024-06-20T00:00:00"/>
    <d v="2027-06-20T00:00:00"/>
    <d v="2025-04-01T00:00:00"/>
    <m/>
    <s v="Y"/>
    <m/>
    <x v="2"/>
    <x v="0"/>
    <m/>
    <m/>
    <m/>
    <s v="Change of use from mixed use comprising ground floor car motor garage (B2) and ancillary first floor flat(C3) to residential (C3) including alterations to the front and rear facades, the construction of front and rear extensions and the conversion of the roofspace to provide additional accommodation to create 4 no. flats, rear roof extension,  rear roof dormer, 8 rooflights,  alterations to the existing crossover, two active electric charging points, alterations to the existing rear garage to accommodate car and cycle parking, landscaping and waste storage."/>
    <s v="14-16 Tudor Road, Hampton TW12 2NQ"/>
    <s v="TW12 2NQ"/>
    <m/>
    <m/>
    <n v="1"/>
    <m/>
    <m/>
    <m/>
    <m/>
    <m/>
    <m/>
    <n v="1"/>
    <m/>
    <n v="3"/>
    <m/>
    <n v="1"/>
    <m/>
    <m/>
    <m/>
    <m/>
    <m/>
    <n v="4"/>
    <n v="3"/>
    <n v="-1"/>
    <n v="1"/>
    <n v="0"/>
    <n v="0"/>
    <n v="0"/>
    <n v="0"/>
    <n v="0"/>
    <n v="3"/>
    <m/>
    <m/>
    <m/>
    <n v="3"/>
    <m/>
    <m/>
    <m/>
    <m/>
    <m/>
    <m/>
    <m/>
    <m/>
    <m/>
    <m/>
    <m/>
    <m/>
    <m/>
    <m/>
    <n v="3"/>
    <n v="3"/>
    <m/>
    <m/>
    <m/>
    <n v="513441"/>
    <n v="170019"/>
    <s v="Hampton"/>
  </r>
  <r>
    <s v="23/1413/GPH01"/>
    <x v="2"/>
    <s v="PA"/>
    <d v="2023-07-17T00:00:00"/>
    <d v="2026-07-17T00:00:00"/>
    <m/>
    <m/>
    <m/>
    <m/>
    <x v="2"/>
    <x v="0"/>
    <m/>
    <m/>
    <m/>
    <s v="Construction of an additional storey containing 3no. flats immediately above the existing topmost residential storey, and recreation of the existing roof shape; addition of 2no. off-street parking spaces along with secure bike and bin storage."/>
    <s v="Heritage House, 145 London Road Twickenham"/>
    <s v="TW1 1EF"/>
    <m/>
    <m/>
    <m/>
    <m/>
    <m/>
    <m/>
    <m/>
    <m/>
    <m/>
    <n v="0"/>
    <m/>
    <n v="6"/>
    <m/>
    <m/>
    <m/>
    <m/>
    <m/>
    <m/>
    <m/>
    <n v="6"/>
    <n v="6"/>
    <n v="0"/>
    <n v="0"/>
    <n v="0"/>
    <n v="0"/>
    <n v="0"/>
    <n v="0"/>
    <n v="0"/>
    <n v="6"/>
    <m/>
    <m/>
    <m/>
    <n v="1.5"/>
    <n v="1.5"/>
    <n v="1.5"/>
    <n v="1.5"/>
    <m/>
    <m/>
    <m/>
    <m/>
    <m/>
    <m/>
    <m/>
    <m/>
    <m/>
    <m/>
    <m/>
    <n v="6"/>
    <n v="6"/>
    <m/>
    <m/>
    <m/>
    <n v="516098"/>
    <n v="173924"/>
    <s v="St. Margarets &amp; North Twickenham"/>
  </r>
  <r>
    <s v="23/1565/OUT"/>
    <x v="0"/>
    <s v="OUT"/>
    <d v="2024-09-16T00:00:00"/>
    <d v="2027-09-16T00:00:00"/>
    <m/>
    <m/>
    <s v="Y"/>
    <m/>
    <x v="2"/>
    <x v="0"/>
    <m/>
    <m/>
    <m/>
    <s v="Outline application for demolition of existing garages and erection of 4 x 2 bedroom flats and 1 x 2 bedroom house with associated hard and soft landscaping, parking and cycle and refuse store. Landscaping to form part of the reserved matters."/>
    <s v="Garages And Land Adjacent Railway, South Worple Way, East Sheen"/>
    <s v="SW14"/>
    <m/>
    <m/>
    <m/>
    <m/>
    <m/>
    <m/>
    <m/>
    <m/>
    <m/>
    <n v="0"/>
    <m/>
    <m/>
    <n v="5"/>
    <m/>
    <m/>
    <m/>
    <m/>
    <m/>
    <m/>
    <n v="5"/>
    <n v="0"/>
    <n v="5"/>
    <n v="0"/>
    <n v="0"/>
    <n v="0"/>
    <n v="0"/>
    <n v="0"/>
    <n v="0"/>
    <n v="5"/>
    <m/>
    <m/>
    <m/>
    <n v="1.25"/>
    <n v="1.25"/>
    <n v="1.25"/>
    <n v="1.25"/>
    <m/>
    <m/>
    <m/>
    <m/>
    <m/>
    <m/>
    <m/>
    <m/>
    <m/>
    <m/>
    <m/>
    <n v="5"/>
    <n v="5"/>
    <m/>
    <m/>
    <m/>
    <n v="520619"/>
    <n v="175749"/>
    <s v="East Sheen"/>
  </r>
  <r>
    <s v="23/1615/GPD26"/>
    <x v="1"/>
    <s v="PA"/>
    <d v="2023-08-14T00:00:00"/>
    <d v="2026-08-14T00:00:00"/>
    <d v="2025-07-11T00:00:00"/>
    <m/>
    <m/>
    <d v="2025-10-19T00:00:00"/>
    <x v="2"/>
    <x v="0"/>
    <m/>
    <m/>
    <m/>
    <s v="Conversion of existing ground floor offices (Class E) to residential (class C3). Retention of existing rear garden including secure cycle storage unit and recycling bin area."/>
    <s v="15 Nelson Road, Twickenham TW2 7AR"/>
    <s v="TW2 7AR"/>
    <m/>
    <m/>
    <m/>
    <m/>
    <m/>
    <m/>
    <m/>
    <m/>
    <m/>
    <n v="0"/>
    <m/>
    <n v="1"/>
    <m/>
    <m/>
    <m/>
    <m/>
    <m/>
    <m/>
    <m/>
    <n v="1"/>
    <n v="1"/>
    <n v="0"/>
    <n v="0"/>
    <n v="0"/>
    <n v="0"/>
    <n v="0"/>
    <n v="0"/>
    <n v="0"/>
    <n v="1"/>
    <m/>
    <m/>
    <n v="1"/>
    <m/>
    <m/>
    <m/>
    <m/>
    <m/>
    <m/>
    <m/>
    <m/>
    <m/>
    <m/>
    <m/>
    <m/>
    <m/>
    <m/>
    <m/>
    <n v="1"/>
    <n v="1"/>
    <m/>
    <m/>
    <m/>
    <n v="514480"/>
    <n v="174190"/>
    <s v="Whitton"/>
  </r>
  <r>
    <s v="23/1618/GPD26"/>
    <x v="1"/>
    <s v="PA"/>
    <d v="2023-07-28T00:00:00"/>
    <d v="2026-07-28T00:00:00"/>
    <m/>
    <m/>
    <m/>
    <m/>
    <x v="2"/>
    <x v="0"/>
    <m/>
    <m/>
    <m/>
    <s v="Conversion of office space into a single dwelling with associated cycle parking and refuse and recycling provision."/>
    <s v="Station Point, 121 Sandycombe Road, Richmond"/>
    <s v="TW9 2AD"/>
    <m/>
    <m/>
    <m/>
    <m/>
    <m/>
    <m/>
    <m/>
    <m/>
    <m/>
    <n v="0"/>
    <m/>
    <m/>
    <n v="1"/>
    <m/>
    <m/>
    <m/>
    <m/>
    <m/>
    <m/>
    <n v="1"/>
    <n v="0"/>
    <n v="1"/>
    <n v="0"/>
    <n v="0"/>
    <n v="0"/>
    <n v="0"/>
    <n v="0"/>
    <n v="0"/>
    <n v="1"/>
    <m/>
    <m/>
    <n v="0.25"/>
    <n v="0.25"/>
    <n v="0.25"/>
    <n v="0.25"/>
    <m/>
    <m/>
    <m/>
    <m/>
    <m/>
    <m/>
    <m/>
    <m/>
    <m/>
    <m/>
    <m/>
    <m/>
    <n v="1"/>
    <n v="1"/>
    <m/>
    <m/>
    <m/>
    <n v="519072"/>
    <n v="176048"/>
    <s v="Kew"/>
  </r>
  <r>
    <s v="23/1619/FUL"/>
    <x v="1"/>
    <s v="FULL"/>
    <d v="2023-08-14T00:00:00"/>
    <d v="2027-07-15T00:00:00"/>
    <m/>
    <m/>
    <m/>
    <m/>
    <x v="2"/>
    <x v="0"/>
    <m/>
    <m/>
    <m/>
    <s v="Change of Use from the Residential (C3) use into Hotel (C1) and a Listed Building Consent for removal of kitchen and pantry furniture and fixtures, and installation of en-suite shower room &amp; free-standing bath in Suite 1 (long room)."/>
    <s v="1 Palace Gate, Hampton Court Road, Hampton KT8 9BN"/>
    <s v="KT8 9BN"/>
    <m/>
    <m/>
    <m/>
    <n v="1"/>
    <m/>
    <m/>
    <m/>
    <m/>
    <m/>
    <n v="1"/>
    <m/>
    <m/>
    <m/>
    <m/>
    <m/>
    <m/>
    <m/>
    <m/>
    <m/>
    <n v="0"/>
    <n v="0"/>
    <n v="0"/>
    <n v="-1"/>
    <n v="0"/>
    <n v="0"/>
    <n v="0"/>
    <n v="0"/>
    <n v="0"/>
    <n v="-1"/>
    <m/>
    <m/>
    <n v="-0.25"/>
    <n v="-0.25"/>
    <n v="-0.25"/>
    <n v="-0.25"/>
    <m/>
    <m/>
    <m/>
    <m/>
    <m/>
    <m/>
    <m/>
    <m/>
    <m/>
    <m/>
    <m/>
    <m/>
    <n v="-1"/>
    <n v="-1"/>
    <m/>
    <m/>
    <m/>
    <n v="515409"/>
    <n v="168615"/>
    <s v="Hampton"/>
  </r>
  <r>
    <s v="23/1623/FUL"/>
    <x v="1"/>
    <s v="FULL"/>
    <d v="2024-08-13T00:00:00"/>
    <d v="2027-08-13T00:00:00"/>
    <d v="2025-04-01T00:00:00"/>
    <m/>
    <s v="Y"/>
    <m/>
    <x v="2"/>
    <x v="0"/>
    <m/>
    <m/>
    <m/>
    <s v="Change of use from student accommodation to C3 residential use, side extension, erection of a part width rear extension to the lower and upper ground floor) and the creation of vehicular access to No. 23 Queens Road with alterations and improvements to the front boundary walls and landscaping of both no. 23 and no.21 Queens Road"/>
    <s v="21 - 23 Queens Road, Richmond"/>
    <s v="TW10 6JW"/>
    <m/>
    <m/>
    <m/>
    <m/>
    <m/>
    <m/>
    <m/>
    <m/>
    <m/>
    <n v="0"/>
    <m/>
    <m/>
    <m/>
    <m/>
    <m/>
    <m/>
    <m/>
    <n v="1"/>
    <m/>
    <n v="1"/>
    <n v="0"/>
    <n v="0"/>
    <n v="0"/>
    <n v="0"/>
    <n v="0"/>
    <n v="0"/>
    <n v="1"/>
    <n v="0"/>
    <n v="1"/>
    <m/>
    <m/>
    <n v="1"/>
    <m/>
    <m/>
    <m/>
    <m/>
    <m/>
    <m/>
    <m/>
    <m/>
    <m/>
    <m/>
    <m/>
    <m/>
    <m/>
    <m/>
    <m/>
    <n v="1"/>
    <n v="1"/>
    <m/>
    <m/>
    <m/>
    <n v="518603"/>
    <n v="174156"/>
    <s v="South Richmond"/>
  </r>
  <r>
    <s v="23/1812/FUL"/>
    <x v="0"/>
    <s v="FULL"/>
    <d v="2023-09-07T00:00:00"/>
    <d v="2026-09-07T00:00:00"/>
    <m/>
    <m/>
    <m/>
    <m/>
    <x v="2"/>
    <x v="0"/>
    <m/>
    <m/>
    <m/>
    <s v="Demolition of existing dwelling and erection of a replacement two storey dwelling."/>
    <s v="14 Cedar Heights, Petersham, Richmond TW10 7AE"/>
    <s v="TW10 7AE"/>
    <m/>
    <m/>
    <m/>
    <n v="1"/>
    <m/>
    <m/>
    <m/>
    <m/>
    <m/>
    <n v="1"/>
    <m/>
    <m/>
    <m/>
    <m/>
    <m/>
    <n v="1"/>
    <m/>
    <m/>
    <m/>
    <n v="1"/>
    <n v="0"/>
    <n v="0"/>
    <n v="-1"/>
    <n v="0"/>
    <n v="1"/>
    <n v="0"/>
    <n v="0"/>
    <n v="0"/>
    <n v="0"/>
    <m/>
    <m/>
    <n v="0"/>
    <m/>
    <m/>
    <m/>
    <m/>
    <m/>
    <m/>
    <m/>
    <m/>
    <m/>
    <m/>
    <m/>
    <m/>
    <m/>
    <m/>
    <m/>
    <n v="0"/>
    <n v="0"/>
    <m/>
    <m/>
    <m/>
    <n v="518160"/>
    <n v="173124"/>
    <s v="Ham, Petersham &amp; Richmond Riverside"/>
  </r>
  <r>
    <s v="23/1819/FUL"/>
    <x v="3"/>
    <s v="FULL"/>
    <d v="2023-09-18T00:00:00"/>
    <d v="2026-09-18T00:00:00"/>
    <m/>
    <m/>
    <m/>
    <m/>
    <x v="2"/>
    <x v="0"/>
    <m/>
    <m/>
    <m/>
    <s v="Ground floor conversion from commercial to two 1B1P self-contained dwellings. Single storey rear extension to accommodate one new 2B4P self-contained dwelling. First floor extension to allow the sub-division of the existing 3 bedroom first floor flat to form 2No. 1-bedroom flats and the construction of a mansard style roof extension to provide a further 2No. 1 bedroom flats at second floor level. Re-siting of existing front doors at ground floor level of the residential units."/>
    <s v="3 - 4 New Broadway, Hampton Hill"/>
    <s v="TW12 1JG"/>
    <m/>
    <m/>
    <m/>
    <n v="1"/>
    <m/>
    <m/>
    <m/>
    <m/>
    <m/>
    <n v="1"/>
    <m/>
    <n v="8"/>
    <m/>
    <m/>
    <m/>
    <m/>
    <m/>
    <m/>
    <m/>
    <n v="8"/>
    <n v="8"/>
    <n v="0"/>
    <n v="-1"/>
    <n v="0"/>
    <n v="0"/>
    <n v="0"/>
    <n v="0"/>
    <n v="0"/>
    <n v="7"/>
    <m/>
    <m/>
    <m/>
    <n v="3.5"/>
    <n v="3.5"/>
    <m/>
    <m/>
    <m/>
    <m/>
    <m/>
    <m/>
    <m/>
    <m/>
    <m/>
    <m/>
    <m/>
    <m/>
    <m/>
    <n v="7"/>
    <n v="7"/>
    <m/>
    <m/>
    <m/>
    <n v="514554"/>
    <n v="171260"/>
    <s v="Fulwell &amp; Hampton Hill"/>
  </r>
  <r>
    <s v="23/2090/FUL"/>
    <x v="4"/>
    <s v="FULL"/>
    <d v="2024-04-09T00:00:00"/>
    <d v="2027-04-09T00:00:00"/>
    <m/>
    <m/>
    <s v="Y"/>
    <m/>
    <x v="2"/>
    <x v="0"/>
    <m/>
    <m/>
    <m/>
    <s v="Change of use of existing building from use as hobbyist workshop to 1 bed studio apartment (C3) and associated external alterations including to roof and fenestration."/>
    <s v="Land Rear Of 63 Sheen Lane, East Sheen"/>
    <s v="SW14 8AB"/>
    <m/>
    <m/>
    <m/>
    <m/>
    <m/>
    <m/>
    <m/>
    <m/>
    <m/>
    <n v="0"/>
    <m/>
    <n v="1"/>
    <m/>
    <m/>
    <m/>
    <m/>
    <m/>
    <m/>
    <m/>
    <n v="1"/>
    <n v="1"/>
    <n v="0"/>
    <n v="0"/>
    <n v="0"/>
    <n v="0"/>
    <n v="0"/>
    <n v="0"/>
    <n v="0"/>
    <n v="1"/>
    <m/>
    <m/>
    <n v="0.25"/>
    <n v="0.25"/>
    <n v="0.25"/>
    <n v="0.25"/>
    <m/>
    <m/>
    <m/>
    <m/>
    <m/>
    <m/>
    <m/>
    <m/>
    <m/>
    <m/>
    <m/>
    <m/>
    <n v="1"/>
    <n v="1"/>
    <m/>
    <m/>
    <m/>
    <n v="520522"/>
    <n v="175644"/>
    <s v="East Sheen"/>
  </r>
  <r>
    <s v="23/2244/FUL"/>
    <x v="0"/>
    <s v="FULL"/>
    <d v="2023-12-21T00:00:00"/>
    <d v="2026-12-21T00:00:00"/>
    <m/>
    <m/>
    <m/>
    <m/>
    <x v="2"/>
    <x v="0"/>
    <m/>
    <m/>
    <m/>
    <s v="Demolition of the existing detached two-storey dwelling house with accommodation in the roofspace and existing attached single-storey garage and outbuildings, and their replacement with a pair of semi-detached two-storey dwelling houses with associated off-street car parking, cycle parking, bin store areas and landscaping."/>
    <s v="233 Nelson Road, Twickenham TW2 7BQ"/>
    <s v="TW2 7BQ"/>
    <m/>
    <m/>
    <m/>
    <m/>
    <n v="1"/>
    <m/>
    <m/>
    <m/>
    <m/>
    <n v="1"/>
    <m/>
    <m/>
    <m/>
    <n v="2"/>
    <m/>
    <m/>
    <m/>
    <m/>
    <m/>
    <n v="2"/>
    <n v="0"/>
    <n v="0"/>
    <n v="2"/>
    <n v="-1"/>
    <n v="0"/>
    <n v="0"/>
    <n v="0"/>
    <n v="0"/>
    <n v="1"/>
    <m/>
    <m/>
    <n v="0.25"/>
    <n v="0.25"/>
    <n v="0.25"/>
    <n v="0.25"/>
    <m/>
    <m/>
    <m/>
    <m/>
    <m/>
    <m/>
    <m/>
    <m/>
    <m/>
    <m/>
    <m/>
    <m/>
    <n v="1"/>
    <n v="1"/>
    <m/>
    <m/>
    <m/>
    <n v="513815"/>
    <n v="173889"/>
    <s v="Whitton"/>
  </r>
  <r>
    <s v="23/2250/FUL"/>
    <x v="3"/>
    <s v="FULL"/>
    <d v="2024-08-22T00:00:00"/>
    <d v="2027-08-22T00:00:00"/>
    <m/>
    <m/>
    <s v="Y"/>
    <m/>
    <x v="2"/>
    <x v="0"/>
    <m/>
    <m/>
    <m/>
    <s v="The construction of a first and second floor rear extension, erection of a rear dormer window and conversion of the existing two-bedroom flat to create 1No. one-bedroom flat and 1No. two-bedroom flat."/>
    <s v="31A Broad Street, Teddington TW11 8QZ"/>
    <s v="TW11 8QZ"/>
    <m/>
    <n v="1"/>
    <m/>
    <m/>
    <m/>
    <m/>
    <m/>
    <m/>
    <m/>
    <n v="1"/>
    <m/>
    <n v="1"/>
    <n v="1"/>
    <m/>
    <m/>
    <m/>
    <m/>
    <m/>
    <m/>
    <n v="2"/>
    <n v="0"/>
    <n v="1"/>
    <n v="0"/>
    <n v="0"/>
    <n v="0"/>
    <n v="0"/>
    <n v="0"/>
    <n v="0"/>
    <n v="1"/>
    <m/>
    <m/>
    <n v="0.25"/>
    <n v="0.25"/>
    <n v="0.25"/>
    <n v="0.25"/>
    <m/>
    <m/>
    <m/>
    <m/>
    <m/>
    <m/>
    <m/>
    <m/>
    <m/>
    <m/>
    <m/>
    <m/>
    <n v="1"/>
    <n v="1"/>
    <m/>
    <m/>
    <m/>
    <n v="515611"/>
    <n v="170996"/>
    <s v="Teddington"/>
  </r>
  <r>
    <s v="23/2359/FUL"/>
    <x v="0"/>
    <s v="FULL"/>
    <d v="2024-12-06T00:00:00"/>
    <d v="2027-12-06T00:00:00"/>
    <d v="2025-11-06T00:00:00"/>
    <m/>
    <s v="Y"/>
    <m/>
    <x v="2"/>
    <x v="0"/>
    <m/>
    <m/>
    <m/>
    <s v="Demolition of the existing bungalow and replacement with a pair of 2 storey, 3-bedroom semi-detached dwellinghouses with associated parking and landscaping"/>
    <s v="83 Udney Park Road, Teddington TW11 9BB"/>
    <s v="TW11 9BB"/>
    <m/>
    <m/>
    <n v="1"/>
    <m/>
    <m/>
    <m/>
    <m/>
    <m/>
    <m/>
    <n v="1"/>
    <m/>
    <m/>
    <m/>
    <n v="2"/>
    <m/>
    <m/>
    <m/>
    <m/>
    <m/>
    <n v="2"/>
    <n v="0"/>
    <n v="-1"/>
    <n v="2"/>
    <n v="0"/>
    <n v="0"/>
    <n v="0"/>
    <n v="0"/>
    <n v="0"/>
    <n v="1"/>
    <m/>
    <m/>
    <m/>
    <n v="0.5"/>
    <n v="0.5"/>
    <m/>
    <m/>
    <m/>
    <m/>
    <m/>
    <m/>
    <m/>
    <m/>
    <m/>
    <m/>
    <m/>
    <m/>
    <m/>
    <n v="1"/>
    <n v="1"/>
    <m/>
    <m/>
    <m/>
    <n v="516348"/>
    <n v="170774"/>
    <s v="Hampton Wick &amp; South Teddington"/>
  </r>
  <r>
    <s v="23/2413/FUL"/>
    <x v="0"/>
    <s v="FULL"/>
    <d v="2024-03-13T00:00:00"/>
    <d v="2027-03-13T00:00:00"/>
    <d v="2025-05-01T00:00:00"/>
    <m/>
    <m/>
    <m/>
    <x v="2"/>
    <x v="0"/>
    <m/>
    <m/>
    <m/>
    <s v="Demolition of existing outbuilding. Erection of side/rear extension to create office floorspace and 1 x 2 bed flat with associated landscaping, cycle and refuse storage facilities."/>
    <s v="53 Sheen Lane, East Sheen SW14 8AB"/>
    <s v="SW14 8AB"/>
    <m/>
    <m/>
    <m/>
    <m/>
    <m/>
    <m/>
    <m/>
    <m/>
    <m/>
    <n v="0"/>
    <m/>
    <m/>
    <n v="1"/>
    <m/>
    <m/>
    <m/>
    <m/>
    <m/>
    <m/>
    <n v="1"/>
    <n v="0"/>
    <n v="1"/>
    <n v="0"/>
    <n v="0"/>
    <n v="0"/>
    <n v="0"/>
    <n v="0"/>
    <n v="0"/>
    <n v="1"/>
    <m/>
    <m/>
    <n v="0.5"/>
    <n v="0.5"/>
    <m/>
    <m/>
    <m/>
    <m/>
    <m/>
    <m/>
    <m/>
    <m/>
    <m/>
    <m/>
    <m/>
    <m/>
    <m/>
    <m/>
    <n v="1"/>
    <n v="1"/>
    <m/>
    <m/>
    <m/>
    <n v="520508"/>
    <n v="175676"/>
    <s v="East Sheen"/>
  </r>
  <r>
    <s v="23/2478/FUL"/>
    <x v="0"/>
    <s v="FULL"/>
    <d v="2024-07-09T00:00:00"/>
    <d v="2027-07-09T00:00:00"/>
    <d v="2025-12-05T00:00:00"/>
    <m/>
    <s v="Y"/>
    <m/>
    <x v="2"/>
    <x v="0"/>
    <m/>
    <m/>
    <m/>
    <s v="Demolition of the existing garages, erection of a residential dwelling (Use Class C3), parking, landscaping, store, alterations and improvements to the existing rear stair core to 19-23 Friars Stile Road and associated works."/>
    <s v="Rear Of 19-23 Friars Stile Road, Richmond"/>
    <s v="TW10 6QH"/>
    <m/>
    <m/>
    <m/>
    <m/>
    <m/>
    <m/>
    <m/>
    <m/>
    <m/>
    <n v="0"/>
    <m/>
    <m/>
    <m/>
    <n v="1"/>
    <m/>
    <m/>
    <m/>
    <m/>
    <m/>
    <n v="1"/>
    <n v="0"/>
    <n v="0"/>
    <n v="1"/>
    <n v="0"/>
    <n v="0"/>
    <n v="0"/>
    <n v="0"/>
    <n v="0"/>
    <n v="1"/>
    <m/>
    <m/>
    <m/>
    <n v="0.5"/>
    <n v="0.5"/>
    <m/>
    <m/>
    <m/>
    <m/>
    <m/>
    <m/>
    <m/>
    <m/>
    <m/>
    <m/>
    <m/>
    <m/>
    <m/>
    <n v="1"/>
    <n v="1"/>
    <m/>
    <m/>
    <m/>
    <n v="518414"/>
    <n v="174349"/>
    <s v="South Richmond"/>
  </r>
  <r>
    <s v="23/2490/FUL"/>
    <x v="0"/>
    <s v="FULL"/>
    <d v="2024-01-24T00:00:00"/>
    <d v="2027-01-24T00:00:00"/>
    <m/>
    <m/>
    <m/>
    <m/>
    <x v="2"/>
    <x v="0"/>
    <m/>
    <m/>
    <m/>
    <s v="Demolition of Existing Bungalow and the Erection of a Replacement Dwelling"/>
    <s v="84A Hampton Road, Twickenham TW2 5QS"/>
    <s v="TW2 5QS"/>
    <m/>
    <m/>
    <m/>
    <n v="1"/>
    <m/>
    <m/>
    <m/>
    <m/>
    <m/>
    <n v="1"/>
    <m/>
    <m/>
    <m/>
    <m/>
    <n v="1"/>
    <m/>
    <m/>
    <m/>
    <m/>
    <n v="1"/>
    <n v="0"/>
    <n v="0"/>
    <n v="-1"/>
    <n v="1"/>
    <n v="0"/>
    <n v="0"/>
    <n v="0"/>
    <n v="0"/>
    <n v="0"/>
    <m/>
    <m/>
    <n v="0"/>
    <m/>
    <m/>
    <m/>
    <m/>
    <m/>
    <m/>
    <m/>
    <m/>
    <m/>
    <m/>
    <m/>
    <m/>
    <m/>
    <m/>
    <m/>
    <n v="0"/>
    <n v="0"/>
    <m/>
    <m/>
    <m/>
    <n v="514998"/>
    <n v="172653"/>
    <s v="West Twickenham"/>
  </r>
  <r>
    <s v="23/2663/FUL"/>
    <x v="0"/>
    <s v="FULL"/>
    <d v="2024-02-12T00:00:00"/>
    <d v="2027-12-18T00:00:00"/>
    <m/>
    <m/>
    <m/>
    <m/>
    <x v="2"/>
    <x v="0"/>
    <m/>
    <m/>
    <m/>
    <s v="Demolition of existing bungalow and the erection of a three-storey replacement dwelling with basement level"/>
    <s v="23A Hampton Road, Teddington TW11 0JN"/>
    <s v="TW11 0JN"/>
    <m/>
    <m/>
    <m/>
    <n v="1"/>
    <m/>
    <m/>
    <m/>
    <m/>
    <m/>
    <n v="1"/>
    <m/>
    <m/>
    <m/>
    <m/>
    <n v="1"/>
    <m/>
    <m/>
    <m/>
    <m/>
    <n v="1"/>
    <n v="0"/>
    <n v="0"/>
    <n v="-1"/>
    <n v="1"/>
    <n v="0"/>
    <n v="0"/>
    <n v="0"/>
    <n v="0"/>
    <n v="0"/>
    <m/>
    <m/>
    <n v="0"/>
    <m/>
    <m/>
    <m/>
    <m/>
    <m/>
    <m/>
    <m/>
    <m/>
    <m/>
    <m/>
    <m/>
    <m/>
    <m/>
    <m/>
    <m/>
    <n v="0"/>
    <n v="0"/>
    <m/>
    <m/>
    <m/>
    <n v="515364"/>
    <n v="171027"/>
    <s v="Teddington"/>
  </r>
  <r>
    <s v="23/2673/FUL"/>
    <x v="4"/>
    <s v="FULL"/>
    <d v="2023-12-14T00:00:00"/>
    <d v="2026-12-14T00:00:00"/>
    <m/>
    <m/>
    <m/>
    <m/>
    <x v="2"/>
    <x v="0"/>
    <m/>
    <m/>
    <m/>
    <s v="Subdivision of two bed flat to two 1 bed flats with associated refuse storage and cycle parking."/>
    <s v="28 Hill Street, Richmond TW9 1TW"/>
    <s v="TW9 1TW"/>
    <m/>
    <m/>
    <n v="1"/>
    <m/>
    <m/>
    <m/>
    <m/>
    <m/>
    <m/>
    <n v="1"/>
    <m/>
    <n v="2"/>
    <m/>
    <m/>
    <m/>
    <m/>
    <m/>
    <m/>
    <m/>
    <n v="2"/>
    <n v="2"/>
    <n v="-1"/>
    <n v="0"/>
    <n v="0"/>
    <n v="0"/>
    <n v="0"/>
    <n v="0"/>
    <n v="0"/>
    <n v="1"/>
    <m/>
    <m/>
    <n v="0.25"/>
    <n v="0.25"/>
    <n v="0.25"/>
    <n v="0.25"/>
    <m/>
    <m/>
    <m/>
    <m/>
    <m/>
    <m/>
    <m/>
    <m/>
    <m/>
    <m/>
    <m/>
    <m/>
    <n v="1"/>
    <n v="1"/>
    <m/>
    <m/>
    <m/>
    <n v="517804"/>
    <n v="174681"/>
    <s v="South Richmond"/>
  </r>
  <r>
    <s v="23/2841/FUL"/>
    <x v="0"/>
    <s v="FULL"/>
    <d v="2024-07-09T00:00:00"/>
    <d v="2027-07-09T00:00:00"/>
    <m/>
    <m/>
    <s v="Y"/>
    <m/>
    <x v="2"/>
    <x v="0"/>
    <m/>
    <m/>
    <m/>
    <s v="Demolition of the existing detached dwelling and erection of a pair of semi detached dwellings, with associated parking, landscaping cycle and refuse enclosures."/>
    <s v="108 Stanley Road, Teddington TW11 8TX"/>
    <s v="TW11 8TX"/>
    <m/>
    <m/>
    <m/>
    <n v="1"/>
    <m/>
    <m/>
    <m/>
    <m/>
    <m/>
    <n v="1"/>
    <m/>
    <m/>
    <m/>
    <m/>
    <n v="2"/>
    <m/>
    <m/>
    <m/>
    <m/>
    <n v="2"/>
    <n v="0"/>
    <n v="0"/>
    <n v="-1"/>
    <n v="2"/>
    <n v="0"/>
    <n v="0"/>
    <n v="0"/>
    <n v="0"/>
    <n v="1"/>
    <m/>
    <m/>
    <n v="0.25"/>
    <n v="0.25"/>
    <n v="0.25"/>
    <n v="0.25"/>
    <m/>
    <m/>
    <m/>
    <m/>
    <m/>
    <m/>
    <m/>
    <m/>
    <m/>
    <m/>
    <m/>
    <m/>
    <n v="1"/>
    <n v="1"/>
    <m/>
    <m/>
    <m/>
    <n v="515306"/>
    <n v="171319"/>
    <s v="Fulwell &amp; Hampton Hill"/>
  </r>
  <r>
    <s v="23/2872/FUL"/>
    <x v="1"/>
    <s v="FULL"/>
    <d v="2024-11-27T00:00:00"/>
    <d v="2027-11-27T00:00:00"/>
    <m/>
    <m/>
    <s v="Y"/>
    <m/>
    <x v="2"/>
    <x v="0"/>
    <m/>
    <m/>
    <m/>
    <s v="Part change of use to create 1 x self-contained flat on the upper floors."/>
    <s v="Flat Above 10 King Street, Richmond TW9 1ND"/>
    <s v="TW9 1ND"/>
    <m/>
    <m/>
    <m/>
    <m/>
    <m/>
    <m/>
    <m/>
    <m/>
    <m/>
    <n v="0"/>
    <m/>
    <n v="1"/>
    <m/>
    <m/>
    <m/>
    <m/>
    <m/>
    <m/>
    <m/>
    <n v="1"/>
    <n v="1"/>
    <n v="0"/>
    <n v="0"/>
    <n v="0"/>
    <n v="0"/>
    <n v="0"/>
    <n v="0"/>
    <n v="0"/>
    <n v="1"/>
    <m/>
    <m/>
    <n v="0.25"/>
    <n v="0.25"/>
    <n v="0.25"/>
    <n v="0.25"/>
    <m/>
    <m/>
    <m/>
    <m/>
    <m/>
    <m/>
    <m/>
    <m/>
    <m/>
    <m/>
    <m/>
    <m/>
    <n v="1"/>
    <n v="1"/>
    <m/>
    <m/>
    <m/>
    <n v="517717"/>
    <n v="174791"/>
    <s v="South Richmond"/>
  </r>
  <r>
    <s v="23/2885/FUL"/>
    <x v="0"/>
    <s v="FULL"/>
    <d v="2024-04-26T00:00:00"/>
    <d v="2027-04-26T00:00:00"/>
    <m/>
    <m/>
    <s v="Y"/>
    <m/>
    <x v="2"/>
    <x v="0"/>
    <m/>
    <m/>
    <m/>
    <s v="Demolition of existing two storey side extension and replacement with a new two storey terraced house with rear parking, 2No. EVCPs"/>
    <s v="68 Lincoln Avenue, Twickenham TW2 6NQ"/>
    <s v="TW2 6NQ"/>
    <m/>
    <m/>
    <m/>
    <m/>
    <m/>
    <m/>
    <m/>
    <m/>
    <m/>
    <n v="0"/>
    <m/>
    <m/>
    <n v="1"/>
    <m/>
    <m/>
    <m/>
    <m/>
    <m/>
    <m/>
    <n v="1"/>
    <n v="0"/>
    <n v="1"/>
    <n v="0"/>
    <n v="0"/>
    <n v="0"/>
    <n v="0"/>
    <n v="0"/>
    <n v="0"/>
    <n v="1"/>
    <m/>
    <m/>
    <n v="0.25"/>
    <n v="0.25"/>
    <n v="0.25"/>
    <n v="0.25"/>
    <m/>
    <m/>
    <m/>
    <m/>
    <m/>
    <m/>
    <m/>
    <m/>
    <m/>
    <m/>
    <m/>
    <m/>
    <n v="1"/>
    <n v="1"/>
    <m/>
    <m/>
    <m/>
    <n v="514442"/>
    <n v="173117"/>
    <s v="West Twickenham"/>
  </r>
  <r>
    <s v="23/3062/FUL"/>
    <x v="2"/>
    <s v="FULL"/>
    <d v="2024-05-16T00:00:00"/>
    <d v="2027-05-16T00:00:00"/>
    <m/>
    <m/>
    <s v="Y"/>
    <m/>
    <x v="2"/>
    <x v="0"/>
    <m/>
    <m/>
    <m/>
    <s v="Demolition of existing side extension and erection of new 3 bedroom dwelling with associated amenity space, parking, cycle and waste storage."/>
    <s v="224 St Leonards Road, East Sheen SW14 7BN"/>
    <s v="SW14 7BN"/>
    <m/>
    <m/>
    <m/>
    <m/>
    <m/>
    <m/>
    <m/>
    <m/>
    <m/>
    <n v="0"/>
    <m/>
    <m/>
    <m/>
    <n v="1"/>
    <m/>
    <m/>
    <m/>
    <m/>
    <m/>
    <n v="1"/>
    <n v="0"/>
    <n v="0"/>
    <n v="1"/>
    <n v="0"/>
    <n v="0"/>
    <n v="0"/>
    <n v="0"/>
    <n v="0"/>
    <n v="1"/>
    <m/>
    <m/>
    <n v="0.25"/>
    <n v="0.25"/>
    <n v="0.25"/>
    <n v="0.25"/>
    <m/>
    <m/>
    <m/>
    <m/>
    <m/>
    <m/>
    <m/>
    <m/>
    <m/>
    <m/>
    <m/>
    <m/>
    <n v="1"/>
    <n v="1"/>
    <m/>
    <m/>
    <m/>
    <n v="519823"/>
    <n v="175563"/>
    <s v="North Richmond"/>
  </r>
  <r>
    <s v="23/3199/FUL"/>
    <x v="4"/>
    <s v="FULL"/>
    <d v="2024-12-13T00:00:00"/>
    <d v="2027-12-13T00:00:00"/>
    <m/>
    <m/>
    <s v="Y"/>
    <m/>
    <x v="2"/>
    <x v="0"/>
    <m/>
    <m/>
    <m/>
    <s v="2-storey side extensions to the east and west side elevations (reconstruction of existing) and a GF rear extension to the main house. The reinstatement of a self contained dwelling house to the east/ side . The addition of an Outbuilding/ Gym. Amendments to the front boundary wall including new brickwork piers, a straight wall to the crossover and the insertion of new timber entrance gates. First floor rear extension to the main house and roof addition with dormer roof extensions. Provision of PV Panels."/>
    <s v="35 Fife Road, East Sheen SW14 7EJ"/>
    <s v="SW14 7EJ"/>
    <m/>
    <m/>
    <m/>
    <m/>
    <m/>
    <m/>
    <m/>
    <m/>
    <m/>
    <n v="0"/>
    <m/>
    <m/>
    <n v="1"/>
    <m/>
    <m/>
    <m/>
    <m/>
    <m/>
    <m/>
    <n v="1"/>
    <n v="0"/>
    <n v="1"/>
    <n v="0"/>
    <n v="0"/>
    <n v="0"/>
    <n v="0"/>
    <n v="0"/>
    <n v="0"/>
    <n v="1"/>
    <m/>
    <m/>
    <n v="0.25"/>
    <n v="0.25"/>
    <n v="0.25"/>
    <n v="0.25"/>
    <m/>
    <m/>
    <m/>
    <m/>
    <m/>
    <m/>
    <m/>
    <m/>
    <m/>
    <m/>
    <m/>
    <m/>
    <n v="1"/>
    <n v="1"/>
    <m/>
    <m/>
    <m/>
    <n v="520354"/>
    <n v="174562"/>
    <s v="East Sheen"/>
  </r>
  <r>
    <s v="23/3200/FUL"/>
    <x v="4"/>
    <s v="FULL"/>
    <d v="2024-05-09T00:00:00"/>
    <d v="2027-05-09T00:00:00"/>
    <m/>
    <m/>
    <s v="Y"/>
    <m/>
    <x v="2"/>
    <x v="0"/>
    <m/>
    <m/>
    <m/>
    <s v="Conversion from 3.no self-contained flats to a single family dwelling. Associated alterations comprising replacement windows and doors; removal of side entrance/lightwell and steps to existing lower ground floor flat; hard and soft landscaping including the replacement of existing concrete driveway with shingle; and installation of Air Source Heat Pump in rear garden at rear of garages."/>
    <s v="30 St Georges Road, Twickenham TW1 1QR"/>
    <s v="TW1 1QR"/>
    <m/>
    <n v="2"/>
    <n v="1"/>
    <m/>
    <m/>
    <m/>
    <m/>
    <m/>
    <m/>
    <n v="3"/>
    <m/>
    <m/>
    <m/>
    <m/>
    <m/>
    <n v="1"/>
    <m/>
    <m/>
    <m/>
    <n v="1"/>
    <n v="-2"/>
    <n v="-1"/>
    <n v="0"/>
    <n v="0"/>
    <n v="1"/>
    <n v="0"/>
    <n v="0"/>
    <n v="0"/>
    <n v="-2"/>
    <m/>
    <m/>
    <n v="-0.5"/>
    <n v="-0.5"/>
    <n v="-0.5"/>
    <n v="-0.5"/>
    <m/>
    <m/>
    <m/>
    <m/>
    <m/>
    <m/>
    <m/>
    <m/>
    <m/>
    <m/>
    <m/>
    <m/>
    <n v="-2"/>
    <n v="-2"/>
    <m/>
    <m/>
    <m/>
    <n v="516870"/>
    <n v="174825"/>
    <s v="St. Margarets &amp; North Twickenham"/>
  </r>
  <r>
    <s v="23/3288/FUL"/>
    <x v="0"/>
    <s v="FULL"/>
    <d v="2024-11-11T00:00:00"/>
    <d v="2027-11-11T00:00:00"/>
    <m/>
    <m/>
    <s v="Y"/>
    <m/>
    <x v="2"/>
    <x v="0"/>
    <m/>
    <m/>
    <m/>
    <s v="Erection of a terrace of three, 4-bedroom townhouses and associated parking, access and landscaping on a 26-space private car park."/>
    <s v="Car Park Adjacent Elfin Works, Elfin Grove, Teddington"/>
    <s v="TW11"/>
    <m/>
    <m/>
    <m/>
    <m/>
    <m/>
    <m/>
    <m/>
    <m/>
    <m/>
    <n v="0"/>
    <m/>
    <m/>
    <m/>
    <m/>
    <n v="3"/>
    <m/>
    <m/>
    <m/>
    <m/>
    <n v="3"/>
    <n v="0"/>
    <n v="0"/>
    <n v="0"/>
    <n v="3"/>
    <n v="0"/>
    <n v="0"/>
    <n v="0"/>
    <n v="0"/>
    <n v="3"/>
    <m/>
    <m/>
    <n v="0.75"/>
    <n v="0.75"/>
    <n v="0.75"/>
    <n v="0.75"/>
    <m/>
    <m/>
    <m/>
    <m/>
    <m/>
    <m/>
    <m/>
    <m/>
    <m/>
    <m/>
    <m/>
    <m/>
    <n v="3"/>
    <n v="3"/>
    <m/>
    <m/>
    <m/>
    <n v="515674"/>
    <n v="171025"/>
    <s v="Teddington"/>
  </r>
  <r>
    <s v="23/3371/FUL"/>
    <x v="3"/>
    <s v="FULL"/>
    <d v="2024-06-11T00:00:00"/>
    <d v="2027-06-11T00:00:00"/>
    <m/>
    <m/>
    <s v="Y"/>
    <m/>
    <x v="2"/>
    <x v="0"/>
    <m/>
    <m/>
    <m/>
    <s v="Creation of two additional levels of Class C3 accommodation comprising 7no.units, conversion and excavation of the existing Class E basement and part conversion of existing floorspace at basement, ground, first, second, and third floor levels to provide internal access and ancillary residential floorspace with external alterations and associated development."/>
    <s v="Westminster House, Kew Road, Richmond TW9 2ND"/>
    <s v="TW9 2ND"/>
    <m/>
    <m/>
    <m/>
    <m/>
    <m/>
    <m/>
    <m/>
    <m/>
    <m/>
    <n v="0"/>
    <m/>
    <n v="3"/>
    <n v="4"/>
    <m/>
    <m/>
    <m/>
    <m/>
    <m/>
    <m/>
    <n v="7"/>
    <n v="3"/>
    <n v="4"/>
    <n v="0"/>
    <n v="0"/>
    <n v="0"/>
    <n v="0"/>
    <n v="0"/>
    <n v="0"/>
    <n v="7"/>
    <m/>
    <m/>
    <m/>
    <n v="1.75"/>
    <n v="1.75"/>
    <n v="1.75"/>
    <n v="1.75"/>
    <m/>
    <m/>
    <m/>
    <m/>
    <m/>
    <m/>
    <m/>
    <m/>
    <m/>
    <m/>
    <m/>
    <n v="7"/>
    <n v="7"/>
    <m/>
    <m/>
    <m/>
    <n v="518068"/>
    <n v="175208"/>
    <s v="South Richmond"/>
  </r>
  <r>
    <s v="23/3399/GPH01"/>
    <x v="2"/>
    <s v="PA"/>
    <d v="2024-02-05T00:00:00"/>
    <d v="2027-02-05T00:00:00"/>
    <m/>
    <m/>
    <m/>
    <m/>
    <x v="2"/>
    <x v="0"/>
    <m/>
    <m/>
    <m/>
    <s v="A two-storey upward extension creating 8 flats."/>
    <s v="1 - 12 Duke Of Cambridge Close, Whitton"/>
    <s v="TW2 7DG"/>
    <m/>
    <m/>
    <m/>
    <m/>
    <m/>
    <m/>
    <m/>
    <m/>
    <m/>
    <n v="0"/>
    <m/>
    <m/>
    <n v="8"/>
    <m/>
    <m/>
    <m/>
    <m/>
    <m/>
    <m/>
    <n v="8"/>
    <n v="0"/>
    <n v="8"/>
    <n v="0"/>
    <n v="0"/>
    <n v="0"/>
    <n v="0"/>
    <n v="0"/>
    <n v="0"/>
    <n v="8"/>
    <m/>
    <m/>
    <m/>
    <n v="2"/>
    <n v="2"/>
    <n v="2"/>
    <n v="2"/>
    <m/>
    <m/>
    <m/>
    <m/>
    <m/>
    <m/>
    <m/>
    <m/>
    <m/>
    <m/>
    <m/>
    <n v="8"/>
    <n v="8"/>
    <m/>
    <m/>
    <m/>
    <n v="514983"/>
    <n v="174123"/>
    <s v="Whitton"/>
  </r>
  <r>
    <s v="23/3400/GPH01"/>
    <x v="2"/>
    <s v="PA"/>
    <d v="2024-02-05T00:00:00"/>
    <d v="2027-02-05T00:00:00"/>
    <m/>
    <m/>
    <m/>
    <m/>
    <x v="2"/>
    <x v="0"/>
    <m/>
    <m/>
    <m/>
    <s v="A two-storey upward extension creating 8 flats."/>
    <s v="13 - 24 Duke Of Cambridge Close, Whitton"/>
    <s v="TW2 7DG"/>
    <m/>
    <m/>
    <m/>
    <m/>
    <m/>
    <m/>
    <m/>
    <m/>
    <m/>
    <n v="0"/>
    <m/>
    <m/>
    <n v="8"/>
    <m/>
    <m/>
    <m/>
    <m/>
    <m/>
    <m/>
    <n v="8"/>
    <n v="0"/>
    <n v="8"/>
    <n v="0"/>
    <n v="0"/>
    <n v="0"/>
    <n v="0"/>
    <n v="0"/>
    <n v="0"/>
    <n v="8"/>
    <m/>
    <m/>
    <m/>
    <n v="2"/>
    <n v="2"/>
    <n v="2"/>
    <n v="2"/>
    <m/>
    <m/>
    <m/>
    <m/>
    <m/>
    <m/>
    <m/>
    <m/>
    <m/>
    <m/>
    <m/>
    <n v="8"/>
    <n v="8"/>
    <m/>
    <m/>
    <m/>
    <n v="514985"/>
    <n v="174185"/>
    <s v="Whitton"/>
  </r>
  <r>
    <s v="24/0208/FUL"/>
    <x v="0"/>
    <s v="FULL"/>
    <d v="2024-09-02T00:00:00"/>
    <d v="2027-09-02T00:00:00"/>
    <d v="2025-04-01T00:00:00"/>
    <m/>
    <s v="Y"/>
    <m/>
    <x v="2"/>
    <x v="0"/>
    <m/>
    <m/>
    <m/>
    <s v="Demolition of existing 2 storey dwelling house and erection of new 2.5 storey dwelling house plus basement, garden building, landscaping works and ASHP."/>
    <s v="1 Cumberland Road, Barnes SW13 9LY"/>
    <s v="SW13 9LY"/>
    <m/>
    <m/>
    <m/>
    <n v="1"/>
    <m/>
    <m/>
    <m/>
    <m/>
    <m/>
    <n v="1"/>
    <m/>
    <m/>
    <m/>
    <m/>
    <n v="1"/>
    <m/>
    <m/>
    <m/>
    <m/>
    <n v="1"/>
    <n v="0"/>
    <n v="0"/>
    <n v="-1"/>
    <n v="1"/>
    <n v="0"/>
    <n v="0"/>
    <n v="0"/>
    <n v="0"/>
    <n v="0"/>
    <m/>
    <m/>
    <n v="0"/>
    <m/>
    <m/>
    <m/>
    <m/>
    <m/>
    <m/>
    <m/>
    <m/>
    <m/>
    <m/>
    <m/>
    <m/>
    <m/>
    <m/>
    <m/>
    <n v="0"/>
    <n v="0"/>
    <m/>
    <m/>
    <m/>
    <n v="521968"/>
    <n v="176878"/>
    <s v="Barnes"/>
  </r>
  <r>
    <s v="24/0231/FUL"/>
    <x v="0"/>
    <s v="FULL"/>
    <d v="2024-09-05T00:00:00"/>
    <d v="2027-09-05T00:00:00"/>
    <m/>
    <m/>
    <s v="Y"/>
    <m/>
    <x v="2"/>
    <x v="0"/>
    <m/>
    <m/>
    <m/>
    <s v="Demolition of existing garages and erection of new dwelling attached to No.81 Rosslyn Avenue including basement level, landscaping, on plot parking, bin and cycle store. Provision of air source heat pump."/>
    <s v="Land Adjacent To 81 Rosslyn Avenue, Barnes"/>
    <s v="SW13"/>
    <m/>
    <m/>
    <m/>
    <m/>
    <m/>
    <m/>
    <m/>
    <m/>
    <m/>
    <n v="0"/>
    <m/>
    <m/>
    <m/>
    <n v="1"/>
    <m/>
    <m/>
    <m/>
    <m/>
    <m/>
    <n v="1"/>
    <n v="0"/>
    <n v="0"/>
    <n v="1"/>
    <n v="0"/>
    <n v="0"/>
    <n v="0"/>
    <n v="0"/>
    <n v="0"/>
    <n v="1"/>
    <m/>
    <m/>
    <n v="0.25"/>
    <n v="0.25"/>
    <n v="0.25"/>
    <n v="0.25"/>
    <m/>
    <m/>
    <m/>
    <m/>
    <m/>
    <m/>
    <m/>
    <m/>
    <m/>
    <m/>
    <m/>
    <m/>
    <n v="1"/>
    <n v="1"/>
    <m/>
    <m/>
    <m/>
    <n v="521623"/>
    <n v="175758"/>
    <s v="Mortlake &amp; Barnes Common"/>
  </r>
  <r>
    <s v="24/0264/GPD26"/>
    <x v="1"/>
    <s v="PA"/>
    <d v="2024-03-25T00:00:00"/>
    <d v="2027-03-25T00:00:00"/>
    <m/>
    <m/>
    <m/>
    <m/>
    <x v="2"/>
    <x v="0"/>
    <m/>
    <m/>
    <m/>
    <s v="Change of use of part of the ground floor from commercial (use class E) to a single residential dwelling (use class C3)."/>
    <s v="137 Percy Road, Twickenham TW2 6HU"/>
    <s v="TW2 6HU"/>
    <m/>
    <m/>
    <m/>
    <m/>
    <m/>
    <m/>
    <m/>
    <m/>
    <m/>
    <n v="0"/>
    <m/>
    <n v="1"/>
    <m/>
    <m/>
    <m/>
    <m/>
    <m/>
    <m/>
    <m/>
    <n v="1"/>
    <n v="1"/>
    <n v="0"/>
    <n v="0"/>
    <n v="0"/>
    <n v="0"/>
    <n v="0"/>
    <n v="0"/>
    <n v="0"/>
    <n v="1"/>
    <m/>
    <m/>
    <n v="0.25"/>
    <n v="0.25"/>
    <n v="0.25"/>
    <n v="0.25"/>
    <m/>
    <m/>
    <m/>
    <m/>
    <m/>
    <m/>
    <m/>
    <m/>
    <m/>
    <m/>
    <m/>
    <m/>
    <n v="1"/>
    <n v="1"/>
    <m/>
    <m/>
    <m/>
    <n v="514200"/>
    <n v="173509"/>
    <s v="Heathfield"/>
  </r>
  <r>
    <s v="24/0305/FUL"/>
    <x v="4"/>
    <s v="FULL"/>
    <d v="2025-02-26T00:00:00"/>
    <d v="2028-02-26T00:00:00"/>
    <m/>
    <m/>
    <s v="Y"/>
    <d v="2025-10-13T00:00:00"/>
    <x v="2"/>
    <x v="0"/>
    <m/>
    <m/>
    <m/>
    <s v="Subdivision of existing residential unit to create 1 x 1 bedroom flat at first floor, and 1 x retained 1 bed residential unit at 2nd and 3rd floors with associated cycle/refuse stores and rear boundary treatment."/>
    <s v="Flat Front, 366A Upper Richmond Road West, East Sheen SW14 7JU"/>
    <s v="SW14 7JU"/>
    <m/>
    <m/>
    <m/>
    <n v="1"/>
    <m/>
    <m/>
    <m/>
    <m/>
    <m/>
    <n v="1"/>
    <m/>
    <n v="2"/>
    <m/>
    <m/>
    <m/>
    <m/>
    <m/>
    <m/>
    <m/>
    <n v="2"/>
    <n v="2"/>
    <n v="0"/>
    <n v="-1"/>
    <n v="0"/>
    <n v="0"/>
    <n v="0"/>
    <n v="0"/>
    <n v="0"/>
    <n v="1"/>
    <m/>
    <m/>
    <n v="1"/>
    <m/>
    <m/>
    <m/>
    <m/>
    <m/>
    <m/>
    <m/>
    <m/>
    <m/>
    <m/>
    <m/>
    <m/>
    <m/>
    <m/>
    <m/>
    <n v="1"/>
    <n v="1"/>
    <m/>
    <m/>
    <m/>
    <n v="520029"/>
    <n v="175366"/>
    <s v="North Richmond"/>
  </r>
  <r>
    <s v="24/0353/FUL"/>
    <x v="0"/>
    <s v="FULL"/>
    <d v="2024-05-02T00:00:00"/>
    <d v="2027-05-02T00:00:00"/>
    <m/>
    <m/>
    <s v="Y"/>
    <m/>
    <x v="2"/>
    <x v="0"/>
    <m/>
    <m/>
    <m/>
    <s v="Demolition of existing dwelling and construction of replacement dwelling and associated site works."/>
    <s v="92 Boileau Road, Barnes SW13 9BP"/>
    <s v="SW13 9BP"/>
    <m/>
    <m/>
    <m/>
    <n v="1"/>
    <m/>
    <m/>
    <m/>
    <m/>
    <m/>
    <n v="1"/>
    <m/>
    <m/>
    <m/>
    <m/>
    <n v="1"/>
    <m/>
    <m/>
    <m/>
    <m/>
    <n v="1"/>
    <n v="0"/>
    <n v="0"/>
    <n v="-1"/>
    <n v="1"/>
    <n v="0"/>
    <n v="0"/>
    <n v="0"/>
    <n v="0"/>
    <n v="0"/>
    <m/>
    <m/>
    <n v="0"/>
    <m/>
    <m/>
    <m/>
    <m/>
    <m/>
    <m/>
    <m/>
    <m/>
    <m/>
    <m/>
    <m/>
    <m/>
    <m/>
    <m/>
    <m/>
    <n v="0"/>
    <n v="0"/>
    <m/>
    <m/>
    <m/>
    <n v="522561"/>
    <n v="177624"/>
    <s v="Barnes"/>
  </r>
  <r>
    <s v="24/0438/FUL"/>
    <x v="1"/>
    <s v="FULL"/>
    <d v="2024-11-11T00:00:00"/>
    <d v="2027-11-11T00:00:00"/>
    <m/>
    <m/>
    <s v="Y"/>
    <m/>
    <x v="2"/>
    <x v="0"/>
    <m/>
    <m/>
    <m/>
    <s v="Change of use of first and second floors to provide 7 x residential dwellings (Class C3) and associated fenestration alterations"/>
    <s v="47 George Street, Richmond TW9 1HJ"/>
    <s v="TW9 1HJ"/>
    <m/>
    <m/>
    <m/>
    <m/>
    <m/>
    <m/>
    <m/>
    <m/>
    <m/>
    <n v="0"/>
    <m/>
    <n v="4"/>
    <n v="3"/>
    <m/>
    <m/>
    <m/>
    <m/>
    <m/>
    <m/>
    <n v="7"/>
    <n v="4"/>
    <n v="3"/>
    <n v="0"/>
    <n v="0"/>
    <n v="0"/>
    <n v="0"/>
    <n v="0"/>
    <n v="0"/>
    <n v="7"/>
    <m/>
    <m/>
    <m/>
    <n v="1.75"/>
    <n v="1.75"/>
    <n v="1.75"/>
    <n v="1.75"/>
    <m/>
    <m/>
    <m/>
    <m/>
    <m/>
    <m/>
    <m/>
    <m/>
    <m/>
    <m/>
    <m/>
    <n v="7"/>
    <n v="7"/>
    <m/>
    <m/>
    <m/>
    <n v="517897"/>
    <n v="174945"/>
    <s v="South Richmond"/>
  </r>
  <r>
    <s v="24/0555/GPH03"/>
    <x v="2"/>
    <s v="PA"/>
    <d v="2024-04-25T00:00:00"/>
    <d v="2027-04-25T00:00:00"/>
    <m/>
    <m/>
    <s v="Y"/>
    <m/>
    <x v="2"/>
    <x v="0"/>
    <m/>
    <m/>
    <m/>
    <s v="Erection of additional storey to provide for 3 residential units (1 x 1Bed, and 2 x 2Bed) with provision of green roof, new water tank, cycle/refuse and recycling (amended description)."/>
    <s v="Canham House, 17 Heath Road, Twickenham TW1 4AW"/>
    <s v="TW1 4AW"/>
    <m/>
    <m/>
    <m/>
    <m/>
    <m/>
    <m/>
    <m/>
    <m/>
    <m/>
    <n v="0"/>
    <m/>
    <n v="1"/>
    <n v="2"/>
    <m/>
    <m/>
    <m/>
    <m/>
    <m/>
    <m/>
    <n v="3"/>
    <n v="1"/>
    <n v="2"/>
    <n v="0"/>
    <n v="0"/>
    <n v="0"/>
    <n v="0"/>
    <n v="0"/>
    <n v="0"/>
    <n v="3"/>
    <m/>
    <m/>
    <n v="0.75"/>
    <n v="0.75"/>
    <n v="0.75"/>
    <n v="0.75"/>
    <m/>
    <m/>
    <m/>
    <m/>
    <m/>
    <m/>
    <m/>
    <m/>
    <m/>
    <m/>
    <m/>
    <m/>
    <n v="3"/>
    <n v="3"/>
    <m/>
    <m/>
    <m/>
    <n v="516087"/>
    <n v="173122"/>
    <s v="South Twickenham"/>
  </r>
  <r>
    <s v="24/0564/FUL"/>
    <x v="1"/>
    <s v="FULL"/>
    <d v="2024-09-19T00:00:00"/>
    <d v="2027-09-19T00:00:00"/>
    <m/>
    <m/>
    <s v="Y"/>
    <m/>
    <x v="2"/>
    <x v="0"/>
    <m/>
    <m/>
    <m/>
    <s v="Creation of 4no. dwellings on the site through the refurbishment and extension of the existing former substation with associated landscaping, refuse storage, and cycle parking"/>
    <s v="320A And Land To Rear Of 324 Upper Richmond Road West, East Sheen"/>
    <s v="SW14 7JN"/>
    <m/>
    <m/>
    <m/>
    <m/>
    <m/>
    <m/>
    <m/>
    <m/>
    <m/>
    <n v="0"/>
    <m/>
    <m/>
    <n v="1"/>
    <n v="3"/>
    <m/>
    <m/>
    <m/>
    <m/>
    <m/>
    <n v="4"/>
    <n v="0"/>
    <n v="1"/>
    <n v="3"/>
    <n v="0"/>
    <n v="0"/>
    <n v="0"/>
    <n v="0"/>
    <n v="0"/>
    <n v="4"/>
    <m/>
    <m/>
    <m/>
    <n v="1"/>
    <n v="1"/>
    <n v="1"/>
    <n v="1"/>
    <m/>
    <m/>
    <m/>
    <m/>
    <m/>
    <m/>
    <m/>
    <m/>
    <m/>
    <m/>
    <m/>
    <n v="4"/>
    <n v="4"/>
    <m/>
    <m/>
    <m/>
    <n v="520256"/>
    <n v="175337"/>
    <s v="East Sheen"/>
  </r>
  <r>
    <s v="24/0708/FUL"/>
    <x v="0"/>
    <s v="FULL"/>
    <d v="2024-10-23T00:00:00"/>
    <d v="2027-10-23T00:00:00"/>
    <m/>
    <m/>
    <s v="Y"/>
    <m/>
    <x v="2"/>
    <x v="0"/>
    <m/>
    <m/>
    <m/>
    <s v="Demolition of existing two-storey dwelling house and construction of new two-storey dwellinghouse with basement and amendments to front boundary wall access points."/>
    <s v="16 Sandy Lane, Petersham, Richmond TW10 7EL"/>
    <s v="TW10 7EL"/>
    <m/>
    <m/>
    <m/>
    <n v="1"/>
    <m/>
    <m/>
    <m/>
    <m/>
    <m/>
    <n v="1"/>
    <m/>
    <m/>
    <m/>
    <m/>
    <m/>
    <n v="1"/>
    <m/>
    <m/>
    <m/>
    <n v="1"/>
    <n v="0"/>
    <n v="0"/>
    <n v="-1"/>
    <n v="0"/>
    <n v="1"/>
    <n v="0"/>
    <n v="0"/>
    <n v="0"/>
    <n v="0"/>
    <m/>
    <m/>
    <n v="0"/>
    <m/>
    <m/>
    <m/>
    <m/>
    <m/>
    <m/>
    <m/>
    <m/>
    <m/>
    <m/>
    <m/>
    <m/>
    <m/>
    <m/>
    <m/>
    <n v="0"/>
    <n v="0"/>
    <m/>
    <m/>
    <m/>
    <n v="517870"/>
    <n v="172671"/>
    <s v="Ham, Petersham &amp; Richmond Riverside"/>
  </r>
  <r>
    <s v="24/0710/GPD26"/>
    <x v="1"/>
    <s v="PA"/>
    <d v="2024-05-08T00:00:00"/>
    <d v="2027-05-08T00:00:00"/>
    <m/>
    <m/>
    <s v="Y"/>
    <m/>
    <x v="2"/>
    <x v="0"/>
    <m/>
    <m/>
    <m/>
    <s v="Proposed change of use from Class E units to 2No. 1 bed apartments C3 (residential) Use Class."/>
    <s v="3 - 4 New Broadway, Hampton Hill"/>
    <s v="TW12 1JG"/>
    <m/>
    <m/>
    <m/>
    <m/>
    <m/>
    <m/>
    <m/>
    <m/>
    <m/>
    <n v="0"/>
    <m/>
    <n v="2"/>
    <m/>
    <m/>
    <m/>
    <m/>
    <m/>
    <m/>
    <m/>
    <n v="2"/>
    <n v="2"/>
    <n v="0"/>
    <n v="0"/>
    <n v="0"/>
    <n v="0"/>
    <n v="0"/>
    <n v="0"/>
    <n v="0"/>
    <n v="2"/>
    <m/>
    <m/>
    <n v="0.5"/>
    <n v="0.5"/>
    <n v="0.5"/>
    <n v="0.5"/>
    <m/>
    <m/>
    <m/>
    <m/>
    <m/>
    <m/>
    <m/>
    <m/>
    <m/>
    <m/>
    <m/>
    <m/>
    <n v="2"/>
    <n v="2"/>
    <m/>
    <m/>
    <m/>
    <n v="514554"/>
    <n v="171260"/>
    <s v="Fulwell &amp; Hampton Hill"/>
  </r>
  <r>
    <s v="24/0778/FUL"/>
    <x v="1"/>
    <s v="FULL"/>
    <d v="2024-12-09T00:00:00"/>
    <d v="2027-12-09T00:00:00"/>
    <m/>
    <m/>
    <s v="Y"/>
    <m/>
    <x v="2"/>
    <x v="0"/>
    <m/>
    <m/>
    <m/>
    <s v="Change of use of premises from a mixed use (Class A1/E and Class C3) to a residential uses (Class C3) to form a pair of semi-detached houses with associated ASHPs, PV panels and refuse and cycle stores. Removal of shop fronts. Associated fenestration alte"/>
    <s v="561 - 563 Upper Richmond Road West, East Sheen SW14 7ED"/>
    <s v="SW14 7ED"/>
    <m/>
    <m/>
    <m/>
    <n v="1"/>
    <n v="1"/>
    <m/>
    <m/>
    <m/>
    <m/>
    <n v="2"/>
    <m/>
    <m/>
    <m/>
    <m/>
    <n v="2"/>
    <m/>
    <m/>
    <m/>
    <m/>
    <n v="2"/>
    <n v="0"/>
    <n v="0"/>
    <n v="-1"/>
    <n v="1"/>
    <n v="0"/>
    <n v="0"/>
    <n v="0"/>
    <n v="0"/>
    <n v="0"/>
    <m/>
    <m/>
    <n v="0"/>
    <m/>
    <m/>
    <m/>
    <m/>
    <m/>
    <m/>
    <m/>
    <m/>
    <m/>
    <m/>
    <m/>
    <m/>
    <m/>
    <m/>
    <m/>
    <n v="0"/>
    <n v="0"/>
    <m/>
    <m/>
    <m/>
    <n v="519756"/>
    <n v="175319"/>
    <s v="East Sheen"/>
  </r>
  <r>
    <s v="24/0825/FUL"/>
    <x v="0"/>
    <s v="FULL"/>
    <d v="2024-10-29T00:00:00"/>
    <d v="2027-10-29T00:00:00"/>
    <m/>
    <m/>
    <s v="Y"/>
    <m/>
    <x v="2"/>
    <x v="0"/>
    <m/>
    <m/>
    <m/>
    <s v="The erection of a self-build single-storey detached dwelling within the rear garden with associated cycle and refuse stores and 1x ASHP."/>
    <s v="134 St Leonards Road, East Sheen SW14 7NN"/>
    <s v="SW14 7NN"/>
    <m/>
    <m/>
    <m/>
    <m/>
    <m/>
    <m/>
    <m/>
    <m/>
    <m/>
    <n v="0"/>
    <m/>
    <m/>
    <m/>
    <n v="1"/>
    <m/>
    <m/>
    <m/>
    <m/>
    <m/>
    <n v="1"/>
    <n v="0"/>
    <n v="0"/>
    <n v="1"/>
    <n v="0"/>
    <n v="0"/>
    <n v="0"/>
    <n v="0"/>
    <n v="0"/>
    <n v="1"/>
    <m/>
    <m/>
    <n v="0.25"/>
    <n v="0.25"/>
    <n v="0.25"/>
    <n v="0.25"/>
    <m/>
    <m/>
    <m/>
    <m/>
    <m/>
    <m/>
    <m/>
    <m/>
    <m/>
    <m/>
    <m/>
    <m/>
    <n v="1"/>
    <n v="1"/>
    <m/>
    <m/>
    <m/>
    <n v="520076"/>
    <n v="175642"/>
    <s v="North Richmond"/>
  </r>
  <r>
    <s v="24/0848/FUL"/>
    <x v="1"/>
    <s v="FULL"/>
    <d v="2024-11-18T00:00:00"/>
    <d v="2027-11-18T00:00:00"/>
    <m/>
    <m/>
    <s v="Y"/>
    <m/>
    <x v="2"/>
    <x v="0"/>
    <m/>
    <m/>
    <m/>
    <s v="Demolition of single storey garage and annex, remodelling of existing two storey property and change of use from Use Class E to C3 and construction of new two storey extension to form five no. residential apartments. External alterations to form refuse store and amenity spaces."/>
    <s v="179 Upper Richmond Road West, East Sheen SW14 8DU"/>
    <s v="SW14 8DU"/>
    <m/>
    <m/>
    <m/>
    <m/>
    <m/>
    <m/>
    <m/>
    <m/>
    <m/>
    <n v="0"/>
    <m/>
    <n v="3"/>
    <n v="2"/>
    <m/>
    <m/>
    <m/>
    <m/>
    <m/>
    <m/>
    <n v="5"/>
    <n v="3"/>
    <n v="2"/>
    <n v="0"/>
    <n v="0"/>
    <n v="0"/>
    <n v="0"/>
    <n v="0"/>
    <n v="0"/>
    <n v="5"/>
    <m/>
    <m/>
    <m/>
    <n v="1.25"/>
    <n v="1.25"/>
    <n v="1.25"/>
    <n v="1.25"/>
    <m/>
    <m/>
    <m/>
    <m/>
    <m/>
    <m/>
    <m/>
    <m/>
    <m/>
    <m/>
    <m/>
    <n v="5"/>
    <n v="5"/>
    <m/>
    <m/>
    <m/>
    <n v="520965"/>
    <n v="175430"/>
    <s v="East Sheen"/>
  </r>
  <r>
    <s v="24/1039/GPD26"/>
    <x v="1"/>
    <s v="PA"/>
    <d v="2024-06-14T00:00:00"/>
    <d v="2027-06-14T00:00:00"/>
    <m/>
    <m/>
    <s v="Y"/>
    <m/>
    <x v="2"/>
    <x v="0"/>
    <m/>
    <m/>
    <m/>
    <s v="Change of use to 2 separate 2 bedroom dwellings"/>
    <s v="75 Sheen Lane, East Sheen SW14 8AD"/>
    <s v="SW14 8AD"/>
    <m/>
    <m/>
    <m/>
    <m/>
    <m/>
    <m/>
    <m/>
    <m/>
    <m/>
    <n v="0"/>
    <m/>
    <m/>
    <n v="2"/>
    <m/>
    <m/>
    <m/>
    <m/>
    <m/>
    <m/>
    <n v="2"/>
    <n v="0"/>
    <n v="2"/>
    <n v="0"/>
    <n v="0"/>
    <n v="0"/>
    <n v="0"/>
    <n v="0"/>
    <n v="0"/>
    <n v="2"/>
    <m/>
    <m/>
    <n v="0.5"/>
    <n v="0.5"/>
    <n v="0.5"/>
    <n v="0.5"/>
    <m/>
    <m/>
    <m/>
    <m/>
    <m/>
    <m/>
    <m/>
    <m/>
    <m/>
    <m/>
    <m/>
    <m/>
    <n v="2"/>
    <n v="2"/>
    <m/>
    <m/>
    <m/>
    <n v="520495"/>
    <n v="175597"/>
    <s v="East Sheen"/>
  </r>
  <r>
    <s v="24/1053/FUL"/>
    <x v="2"/>
    <s v="FULL"/>
    <d v="2025-01-09T00:00:00"/>
    <d v="2028-01-09T00:00:00"/>
    <m/>
    <m/>
    <s v="Y"/>
    <m/>
    <x v="2"/>
    <x v="0"/>
    <m/>
    <m/>
    <m/>
    <s v="First and second floor rear extension incorporating first floor terrace. Additional window to rear elevation. Removal of front elevation advertising panels at first and second floor."/>
    <s v="37 Kew Road, Richmond TW9 2NQ"/>
    <s v="TW9 2NQ"/>
    <m/>
    <m/>
    <m/>
    <m/>
    <m/>
    <m/>
    <m/>
    <m/>
    <m/>
    <n v="0"/>
    <m/>
    <m/>
    <m/>
    <m/>
    <m/>
    <m/>
    <m/>
    <m/>
    <m/>
    <n v="0"/>
    <n v="0"/>
    <n v="0"/>
    <n v="0"/>
    <n v="0"/>
    <n v="0"/>
    <n v="0"/>
    <n v="0"/>
    <n v="0"/>
    <n v="0"/>
    <m/>
    <m/>
    <n v="0"/>
    <m/>
    <m/>
    <m/>
    <m/>
    <m/>
    <m/>
    <m/>
    <m/>
    <m/>
    <m/>
    <m/>
    <m/>
    <m/>
    <m/>
    <m/>
    <n v="0"/>
    <n v="0"/>
    <m/>
    <m/>
    <m/>
    <n v="518061"/>
    <n v="175273"/>
    <s v="South Richmond"/>
  </r>
  <r>
    <s v="24/1385/FUL"/>
    <x v="3"/>
    <s v="FULL"/>
    <d v="2024-11-01T00:00:00"/>
    <d v="2027-11-01T00:00:00"/>
    <d v="2025-04-01T00:00:00"/>
    <m/>
    <s v="Y"/>
    <m/>
    <x v="2"/>
    <x v="0"/>
    <m/>
    <m/>
    <m/>
    <s v="Conversion of Class E rear storage into Class C3, internal reconfiguration of internal layout, rear first floor extension and changes to shopfront to allow for residential access from street"/>
    <s v="54 The Green, Twickenham TW2 5AB"/>
    <s v="TW2 5AB"/>
    <m/>
    <m/>
    <m/>
    <n v="1"/>
    <m/>
    <m/>
    <m/>
    <m/>
    <m/>
    <n v="1"/>
    <m/>
    <m/>
    <m/>
    <m/>
    <n v="1"/>
    <m/>
    <m/>
    <m/>
    <m/>
    <n v="1"/>
    <n v="0"/>
    <n v="0"/>
    <n v="-1"/>
    <n v="1"/>
    <n v="0"/>
    <n v="0"/>
    <n v="0"/>
    <n v="0"/>
    <n v="0"/>
    <m/>
    <m/>
    <n v="0"/>
    <m/>
    <m/>
    <m/>
    <m/>
    <m/>
    <m/>
    <m/>
    <m/>
    <m/>
    <m/>
    <m/>
    <m/>
    <m/>
    <m/>
    <m/>
    <n v="0"/>
    <n v="0"/>
    <m/>
    <m/>
    <m/>
    <n v="515323"/>
    <n v="173040"/>
    <s v="South Twickenham"/>
  </r>
  <r>
    <s v="24/1402/GPD26"/>
    <x v="1"/>
    <s v="PA"/>
    <d v="2024-07-15T00:00:00"/>
    <d v="2027-07-15T00:00:00"/>
    <m/>
    <m/>
    <s v="Y"/>
    <m/>
    <x v="2"/>
    <x v="0"/>
    <m/>
    <m/>
    <m/>
    <s v="Change of use from Class E (office) to a 2-bedroom dwelling house."/>
    <s v="4 Latimer Road, Teddington TW11 8QA"/>
    <s v="TW11 8QA"/>
    <m/>
    <m/>
    <m/>
    <m/>
    <m/>
    <m/>
    <m/>
    <m/>
    <m/>
    <n v="0"/>
    <m/>
    <m/>
    <n v="1"/>
    <m/>
    <m/>
    <m/>
    <m/>
    <m/>
    <m/>
    <n v="1"/>
    <n v="0"/>
    <n v="1"/>
    <n v="0"/>
    <n v="0"/>
    <n v="0"/>
    <n v="0"/>
    <n v="0"/>
    <n v="0"/>
    <n v="1"/>
    <m/>
    <m/>
    <n v="0.25"/>
    <n v="0.25"/>
    <n v="0.25"/>
    <n v="0.25"/>
    <m/>
    <m/>
    <m/>
    <m/>
    <m/>
    <m/>
    <m/>
    <m/>
    <m/>
    <m/>
    <m/>
    <m/>
    <n v="1"/>
    <n v="1"/>
    <m/>
    <m/>
    <m/>
    <n v="515652"/>
    <n v="171261"/>
    <s v="Teddington"/>
  </r>
  <r>
    <s v="24/1419/FUL"/>
    <x v="3"/>
    <s v="FULL"/>
    <d v="2025-01-16T00:00:00"/>
    <d v="2028-01-16T00:00:00"/>
    <m/>
    <m/>
    <s v="Y"/>
    <m/>
    <x v="2"/>
    <x v="0"/>
    <m/>
    <m/>
    <m/>
    <s v="Change of use of upper floors from Class E to C3 residential, erection of mansard roof extension, first-floor rear extension and use of terraced area at first-floor level to facilitate the creation of 2no. units."/>
    <s v="357 Upper Richmond Road West, East Sheen SW14 8QN"/>
    <s v="SW14 8QN"/>
    <m/>
    <m/>
    <m/>
    <m/>
    <m/>
    <m/>
    <m/>
    <m/>
    <m/>
    <n v="0"/>
    <m/>
    <m/>
    <n v="2"/>
    <m/>
    <m/>
    <m/>
    <m/>
    <m/>
    <m/>
    <n v="2"/>
    <n v="0"/>
    <n v="2"/>
    <n v="0"/>
    <n v="0"/>
    <n v="0"/>
    <n v="0"/>
    <n v="0"/>
    <n v="0"/>
    <n v="2"/>
    <m/>
    <m/>
    <n v="0.5"/>
    <n v="0.5"/>
    <n v="0.5"/>
    <n v="0.5"/>
    <m/>
    <m/>
    <m/>
    <m/>
    <m/>
    <m/>
    <m/>
    <m/>
    <m/>
    <m/>
    <m/>
    <m/>
    <n v="2"/>
    <n v="2"/>
    <m/>
    <m/>
    <m/>
    <n v="520553"/>
    <n v="175393"/>
    <s v="East Sheen"/>
  </r>
  <r>
    <s v="24/1563/GPD26"/>
    <x v="1"/>
    <s v="PA"/>
    <d v="2024-08-19T00:00:00"/>
    <d v="2027-06-25T00:00:00"/>
    <m/>
    <m/>
    <s v="Y"/>
    <m/>
    <x v="2"/>
    <x v="0"/>
    <m/>
    <m/>
    <m/>
    <s v="Proposed change of use from 2No. Class E units to 2No. 1 bed apartments C3 (residential) Use Class."/>
    <s v="3 - 4 New Broadway, Hampton Hill"/>
    <s v="TW12 1JG"/>
    <m/>
    <m/>
    <m/>
    <m/>
    <m/>
    <m/>
    <m/>
    <m/>
    <m/>
    <n v="0"/>
    <m/>
    <n v="2"/>
    <m/>
    <m/>
    <m/>
    <m/>
    <m/>
    <m/>
    <m/>
    <n v="2"/>
    <n v="2"/>
    <n v="0"/>
    <n v="0"/>
    <n v="0"/>
    <n v="0"/>
    <n v="0"/>
    <n v="0"/>
    <n v="0"/>
    <n v="2"/>
    <m/>
    <m/>
    <n v="0.5"/>
    <n v="0.5"/>
    <n v="0.5"/>
    <n v="0.5"/>
    <m/>
    <m/>
    <m/>
    <m/>
    <m/>
    <m/>
    <m/>
    <m/>
    <m/>
    <m/>
    <m/>
    <m/>
    <n v="2"/>
    <n v="2"/>
    <m/>
    <m/>
    <m/>
    <n v="514554"/>
    <n v="171260"/>
    <s v="Fulwell &amp; Hampton Hill"/>
  </r>
  <r>
    <s v="24/1580/GPD24"/>
    <x v="1"/>
    <s v="PA"/>
    <d v="2024-08-14T00:00:00"/>
    <d v="2027-08-14T00:00:00"/>
    <m/>
    <m/>
    <s v="Y"/>
    <m/>
    <x v="2"/>
    <x v="0"/>
    <m/>
    <m/>
    <m/>
    <s v="Change of use of building from a use within Class E (commercial, business and service) of Schedule 2 to the Use Classes Order, to a mixed use for any purpose within that Class and as up to 2 flats. This would principally comprise the conversion of the fir"/>
    <s v="74 Heath Road, Twickenham TW1 4BW"/>
    <s v="TW1 4BW"/>
    <m/>
    <m/>
    <m/>
    <m/>
    <m/>
    <m/>
    <m/>
    <m/>
    <m/>
    <n v="0"/>
    <m/>
    <n v="1"/>
    <m/>
    <m/>
    <m/>
    <m/>
    <m/>
    <m/>
    <m/>
    <n v="1"/>
    <n v="1"/>
    <n v="0"/>
    <n v="0"/>
    <n v="0"/>
    <n v="0"/>
    <n v="0"/>
    <n v="0"/>
    <n v="0"/>
    <n v="1"/>
    <m/>
    <m/>
    <n v="0.25"/>
    <n v="0.25"/>
    <n v="0.25"/>
    <n v="0.25"/>
    <m/>
    <m/>
    <m/>
    <m/>
    <m/>
    <m/>
    <m/>
    <m/>
    <m/>
    <m/>
    <m/>
    <m/>
    <n v="1"/>
    <n v="1"/>
    <m/>
    <m/>
    <m/>
    <n v="515923"/>
    <n v="173141"/>
    <s v="Twickenham Riverside"/>
  </r>
  <r>
    <s v="24/1598/GPD26"/>
    <x v="1"/>
    <s v="PA"/>
    <d v="2024-08-19T00:00:00"/>
    <d v="2027-08-19T00:00:00"/>
    <m/>
    <m/>
    <s v="Y"/>
    <m/>
    <x v="2"/>
    <x v="0"/>
    <m/>
    <m/>
    <m/>
    <s v="Conversion of business premises into a dwelling house"/>
    <s v="Engravers House, 35 Wick Road, Teddington TW11 9DN"/>
    <s v="TW11 9DN"/>
    <m/>
    <m/>
    <m/>
    <m/>
    <m/>
    <m/>
    <m/>
    <m/>
    <m/>
    <n v="0"/>
    <m/>
    <m/>
    <n v="1"/>
    <m/>
    <m/>
    <m/>
    <m/>
    <m/>
    <m/>
    <n v="1"/>
    <n v="0"/>
    <n v="1"/>
    <n v="0"/>
    <n v="0"/>
    <n v="0"/>
    <n v="0"/>
    <n v="0"/>
    <n v="0"/>
    <n v="1"/>
    <m/>
    <m/>
    <n v="0.25"/>
    <n v="0.25"/>
    <n v="0.25"/>
    <n v="0.25"/>
    <m/>
    <m/>
    <m/>
    <m/>
    <m/>
    <m/>
    <m/>
    <m/>
    <m/>
    <m/>
    <m/>
    <m/>
    <n v="1"/>
    <n v="1"/>
    <m/>
    <m/>
    <m/>
    <n v="517024"/>
    <n v="170121"/>
    <s v="Hampton Wick &amp; South Teddington"/>
  </r>
  <r>
    <s v="24/1630/FUL"/>
    <x v="4"/>
    <s v="FULL"/>
    <d v="2025-02-14T00:00:00"/>
    <d v="2028-02-14T00:00:00"/>
    <m/>
    <m/>
    <s v="Y"/>
    <m/>
    <x v="2"/>
    <x v="0"/>
    <m/>
    <m/>
    <m/>
    <s v="Conversion of a 2-storey flat into 2 self-contained flats providing refuse storage, cycling storage and amenity space."/>
    <s v="12A High Street, Hampton Wick KT1 4DB"/>
    <s v="KT1 4DB"/>
    <m/>
    <m/>
    <n v="1"/>
    <m/>
    <m/>
    <m/>
    <m/>
    <m/>
    <m/>
    <n v="1"/>
    <m/>
    <n v="2"/>
    <m/>
    <m/>
    <m/>
    <m/>
    <m/>
    <m/>
    <m/>
    <n v="2"/>
    <n v="2"/>
    <n v="-1"/>
    <n v="0"/>
    <n v="0"/>
    <n v="0"/>
    <n v="0"/>
    <n v="0"/>
    <n v="0"/>
    <n v="1"/>
    <m/>
    <m/>
    <n v="0.25"/>
    <n v="0.25"/>
    <n v="0.25"/>
    <n v="0.25"/>
    <m/>
    <m/>
    <m/>
    <m/>
    <m/>
    <m/>
    <m/>
    <m/>
    <m/>
    <m/>
    <m/>
    <m/>
    <n v="1"/>
    <n v="1"/>
    <m/>
    <m/>
    <m/>
    <n v="517587"/>
    <n v="169488"/>
    <s v="Hampton Wick &amp; South Teddington"/>
  </r>
  <r>
    <s v="24/1704/FUL"/>
    <x v="1"/>
    <s v="FULL"/>
    <d v="2025-01-21T00:00:00"/>
    <d v="2028-01-21T00:00:00"/>
    <d v="2025-07-10T00:00:00"/>
    <m/>
    <s v="Y"/>
    <m/>
    <x v="2"/>
    <x v="0"/>
    <m/>
    <m/>
    <m/>
    <s v="Change of use of first, second and third floors from Use Class E to residential. Addition of rear escape metal staircase, and extension of rear dormers. Removal of internal valley roof and infill the void behind existing feature parapet and addition of 2 conservation roof lights to existing front elevation roof. Fenestration alterations."/>
    <s v="2 - 6 London Road, Twickenham TW1 3RR"/>
    <s v="TW1 3RR"/>
    <m/>
    <m/>
    <m/>
    <m/>
    <m/>
    <m/>
    <m/>
    <m/>
    <m/>
    <n v="0"/>
    <m/>
    <n v="5"/>
    <n v="1"/>
    <m/>
    <m/>
    <m/>
    <m/>
    <m/>
    <m/>
    <n v="6"/>
    <n v="5"/>
    <n v="1"/>
    <n v="0"/>
    <n v="0"/>
    <n v="0"/>
    <n v="0"/>
    <n v="0"/>
    <n v="0"/>
    <n v="6"/>
    <m/>
    <m/>
    <m/>
    <n v="3"/>
    <n v="3"/>
    <m/>
    <m/>
    <m/>
    <m/>
    <m/>
    <m/>
    <m/>
    <m/>
    <m/>
    <m/>
    <m/>
    <m/>
    <m/>
    <n v="6"/>
    <n v="6"/>
    <m/>
    <m/>
    <m/>
    <n v="516277"/>
    <n v="173330"/>
    <s v="Twickenham Riverside"/>
  </r>
  <r>
    <s v="24/1752/GPD26"/>
    <x v="1"/>
    <s v="PA"/>
    <d v="2024-09-02T00:00:00"/>
    <d v="2027-09-02T00:00:00"/>
    <m/>
    <m/>
    <s v="Y"/>
    <m/>
    <x v="2"/>
    <x v="0"/>
    <m/>
    <m/>
    <m/>
    <s v="Change Use of motor repair garage (Use Class E) to a 2-bedroom dwelling (Use Class C3)."/>
    <s v="144 Waldegrave Road, Teddington TW11 8NA"/>
    <s v="TW11 8NA"/>
    <m/>
    <m/>
    <m/>
    <m/>
    <m/>
    <m/>
    <m/>
    <m/>
    <m/>
    <n v="0"/>
    <m/>
    <m/>
    <n v="1"/>
    <m/>
    <m/>
    <m/>
    <m/>
    <m/>
    <m/>
    <n v="1"/>
    <n v="0"/>
    <n v="1"/>
    <n v="0"/>
    <n v="0"/>
    <n v="0"/>
    <n v="0"/>
    <n v="0"/>
    <n v="0"/>
    <n v="1"/>
    <m/>
    <m/>
    <n v="0.25"/>
    <n v="0.25"/>
    <n v="0.25"/>
    <n v="0.25"/>
    <m/>
    <m/>
    <m/>
    <m/>
    <m/>
    <m/>
    <m/>
    <m/>
    <m/>
    <m/>
    <m/>
    <m/>
    <n v="1"/>
    <n v="1"/>
    <m/>
    <m/>
    <m/>
    <n v="515621"/>
    <n v="171705"/>
    <s v="Teddington"/>
  </r>
  <r>
    <s v="24/1789/FUL"/>
    <x v="4"/>
    <s v="FULL"/>
    <d v="2024-10-01T00:00:00"/>
    <d v="2027-10-01T00:00:00"/>
    <d v="2025-06-01T00:00:00"/>
    <m/>
    <s v="Y"/>
    <d v="2025-07-09T00:00:00"/>
    <x v="2"/>
    <x v="0"/>
    <m/>
    <m/>
    <m/>
    <s v="Re-configuration and subdivision of Units 4 and 5 to create three units (net gain of 1 unit), with associated works."/>
    <s v="246 Powder Mill Lane, Twickenham TW2 6EJ"/>
    <s v="TW2 6EJ"/>
    <m/>
    <n v="1"/>
    <m/>
    <n v="1"/>
    <m/>
    <m/>
    <m/>
    <m/>
    <m/>
    <n v="2"/>
    <m/>
    <n v="3"/>
    <m/>
    <m/>
    <m/>
    <m/>
    <m/>
    <m/>
    <m/>
    <n v="3"/>
    <n v="2"/>
    <n v="0"/>
    <n v="-1"/>
    <n v="0"/>
    <n v="0"/>
    <n v="0"/>
    <n v="0"/>
    <n v="0"/>
    <n v="1"/>
    <m/>
    <m/>
    <n v="1"/>
    <m/>
    <m/>
    <m/>
    <m/>
    <m/>
    <m/>
    <m/>
    <m/>
    <m/>
    <m/>
    <m/>
    <m/>
    <m/>
    <m/>
    <m/>
    <n v="1"/>
    <n v="1"/>
    <m/>
    <m/>
    <m/>
    <n v="512713"/>
    <n v="173573"/>
    <s v="Heathfield"/>
  </r>
  <r>
    <s v="24/1843/GPD26"/>
    <x v="1"/>
    <s v="PA"/>
    <d v="2024-09-09T00:00:00"/>
    <d v="2027-09-09T00:00:00"/>
    <m/>
    <m/>
    <s v="Y"/>
    <m/>
    <x v="2"/>
    <x v="0"/>
    <m/>
    <m/>
    <m/>
    <s v="CLASS MA Prior Approval Application for change of use from Class E to Class C3"/>
    <s v="Land At Myrtle Road And 1 High Street, Hampton Hill, Hampton TW12 1NA"/>
    <s v="TW12 1NA"/>
    <m/>
    <m/>
    <m/>
    <m/>
    <m/>
    <m/>
    <m/>
    <m/>
    <m/>
    <n v="0"/>
    <m/>
    <n v="4"/>
    <n v="1"/>
    <m/>
    <m/>
    <m/>
    <m/>
    <m/>
    <m/>
    <n v="5"/>
    <n v="4"/>
    <n v="1"/>
    <n v="0"/>
    <n v="0"/>
    <n v="0"/>
    <n v="0"/>
    <n v="0"/>
    <n v="0"/>
    <n v="5"/>
    <m/>
    <m/>
    <m/>
    <n v="1.25"/>
    <n v="1.25"/>
    <n v="1.25"/>
    <n v="1.25"/>
    <m/>
    <m/>
    <m/>
    <m/>
    <m/>
    <m/>
    <m/>
    <m/>
    <m/>
    <m/>
    <m/>
    <n v="5"/>
    <n v="5"/>
    <m/>
    <m/>
    <m/>
    <n v="514188"/>
    <n v="170550"/>
    <s v="Fulwell &amp; Hampton Hill"/>
  </r>
  <r>
    <s v="24/1844/GPD26"/>
    <x v="1"/>
    <s v="PA"/>
    <d v="2024-10-14T00:00:00"/>
    <d v="2027-10-14T00:00:00"/>
    <m/>
    <m/>
    <s v="Y"/>
    <m/>
    <x v="2"/>
    <x v="0"/>
    <m/>
    <m/>
    <m/>
    <s v="Conversion of an office building (Use Class E) to 6 single-family dwellings (C3) with associated refuse and cycle storage"/>
    <s v="The Puzzle Academy, 1 Messom Mews, Twickenham TW1 4DP"/>
    <s v="TW1 4DP"/>
    <m/>
    <m/>
    <m/>
    <m/>
    <m/>
    <m/>
    <m/>
    <m/>
    <m/>
    <n v="0"/>
    <m/>
    <m/>
    <n v="4"/>
    <n v="2"/>
    <m/>
    <m/>
    <m/>
    <m/>
    <m/>
    <n v="6"/>
    <n v="0"/>
    <n v="4"/>
    <n v="2"/>
    <n v="0"/>
    <n v="0"/>
    <n v="0"/>
    <n v="0"/>
    <n v="0"/>
    <n v="6"/>
    <m/>
    <m/>
    <m/>
    <n v="1.5"/>
    <n v="1.5"/>
    <n v="1.5"/>
    <n v="1.5"/>
    <m/>
    <m/>
    <m/>
    <m/>
    <m/>
    <m/>
    <m/>
    <m/>
    <m/>
    <m/>
    <m/>
    <n v="6"/>
    <n v="6"/>
    <m/>
    <m/>
    <m/>
    <n v="516112"/>
    <n v="173409"/>
    <s v="Twickenham Riverside"/>
  </r>
  <r>
    <s v="24/1881/GPD26"/>
    <x v="1"/>
    <s v="PA"/>
    <d v="2024-09-26T00:00:00"/>
    <d v="2027-09-26T00:00:00"/>
    <m/>
    <m/>
    <s v="Y"/>
    <m/>
    <x v="2"/>
    <x v="0"/>
    <m/>
    <m/>
    <m/>
    <s v="Conversion of existing office buiding into two dwellings."/>
    <s v="60 Glentham Road, Barnes SW13 9JJ"/>
    <s v="SW13 9JJ"/>
    <m/>
    <m/>
    <m/>
    <m/>
    <m/>
    <m/>
    <m/>
    <m/>
    <m/>
    <n v="0"/>
    <m/>
    <m/>
    <n v="2"/>
    <m/>
    <m/>
    <m/>
    <m/>
    <m/>
    <m/>
    <n v="2"/>
    <n v="0"/>
    <n v="2"/>
    <n v="0"/>
    <n v="0"/>
    <n v="0"/>
    <n v="0"/>
    <n v="0"/>
    <n v="0"/>
    <n v="2"/>
    <m/>
    <m/>
    <n v="0.5"/>
    <n v="0.5"/>
    <n v="0.5"/>
    <n v="0.5"/>
    <m/>
    <m/>
    <m/>
    <m/>
    <m/>
    <m/>
    <m/>
    <m/>
    <m/>
    <m/>
    <m/>
    <m/>
    <n v="2"/>
    <n v="2"/>
    <m/>
    <m/>
    <m/>
    <n v="522553"/>
    <n v="177889"/>
    <s v="Barnes"/>
  </r>
  <r>
    <s v="24/1885/GPD26"/>
    <x v="1"/>
    <s v="PA"/>
    <d v="2024-09-24T00:00:00"/>
    <d v="2027-09-24T00:00:00"/>
    <m/>
    <m/>
    <s v="Y"/>
    <m/>
    <x v="2"/>
    <x v="0"/>
    <m/>
    <m/>
    <m/>
    <s v="Conversion of existing workshop/studios into two dwellings"/>
    <s v="Sheen Stables Rear Of 119 Sheen Lane, East Sheen"/>
    <s v="SW14 8AE"/>
    <m/>
    <m/>
    <m/>
    <m/>
    <m/>
    <m/>
    <m/>
    <m/>
    <m/>
    <n v="0"/>
    <m/>
    <n v="2"/>
    <m/>
    <m/>
    <m/>
    <m/>
    <m/>
    <m/>
    <m/>
    <n v="2"/>
    <n v="2"/>
    <n v="0"/>
    <n v="0"/>
    <n v="0"/>
    <n v="0"/>
    <n v="0"/>
    <n v="0"/>
    <n v="0"/>
    <n v="2"/>
    <m/>
    <m/>
    <n v="0.5"/>
    <n v="0.5"/>
    <n v="0.5"/>
    <n v="0.5"/>
    <m/>
    <m/>
    <m/>
    <m/>
    <m/>
    <m/>
    <m/>
    <m/>
    <m/>
    <m/>
    <m/>
    <m/>
    <n v="2"/>
    <n v="2"/>
    <m/>
    <m/>
    <m/>
    <n v="520522"/>
    <n v="175477"/>
    <s v="East Sheen"/>
  </r>
  <r>
    <s v="24/1925/FUL"/>
    <x v="1"/>
    <s v="FULL"/>
    <d v="2024-12-18T00:00:00"/>
    <d v="2027-12-18T00:00:00"/>
    <d v="2025-09-19T00:00:00"/>
    <m/>
    <s v="Y"/>
    <m/>
    <x v="2"/>
    <x v="0"/>
    <m/>
    <m/>
    <m/>
    <s v="Change of use of rear part of property from Class C3 (residential) to Class E (e) (dental practice) to extend an existing NHS dental practice, together with minor external amendments and refuse, recycling, and bicycle storage."/>
    <s v="Surgery And Premises Rear Of 70 - 74 Station Road, Hampton TW2 2AX"/>
    <s v="TW2 2AX"/>
    <m/>
    <m/>
    <n v="1"/>
    <m/>
    <m/>
    <m/>
    <m/>
    <m/>
    <m/>
    <n v="1"/>
    <m/>
    <m/>
    <m/>
    <m/>
    <m/>
    <m/>
    <m/>
    <m/>
    <m/>
    <n v="0"/>
    <n v="0"/>
    <n v="-1"/>
    <n v="0"/>
    <n v="0"/>
    <n v="0"/>
    <n v="0"/>
    <n v="0"/>
    <n v="0"/>
    <n v="-1"/>
    <m/>
    <m/>
    <n v="-0.5"/>
    <n v="-0.5"/>
    <m/>
    <m/>
    <m/>
    <m/>
    <m/>
    <m/>
    <m/>
    <m/>
    <m/>
    <m/>
    <m/>
    <m/>
    <m/>
    <m/>
    <n v="-1"/>
    <n v="-1"/>
    <m/>
    <m/>
    <m/>
    <n v="513727"/>
    <n v="169746"/>
    <s v="Hampton"/>
  </r>
  <r>
    <s v="24/2041/GPD24"/>
    <x v="1"/>
    <s v="PA"/>
    <d v="2024-10-04T00:00:00"/>
    <d v="2027-10-04T00:00:00"/>
    <m/>
    <m/>
    <s v="Y"/>
    <m/>
    <x v="2"/>
    <x v="0"/>
    <m/>
    <m/>
    <m/>
    <s v="Change of use of commercial office floorspace (Class E) to provide 2 x 2 bedroom flats (Class C3) at first floor level."/>
    <s v="15 St Georges Road, Richmond"/>
    <s v="TW9 2LH"/>
    <m/>
    <m/>
    <m/>
    <m/>
    <m/>
    <m/>
    <m/>
    <m/>
    <m/>
    <n v="0"/>
    <m/>
    <m/>
    <n v="2"/>
    <m/>
    <m/>
    <m/>
    <m/>
    <m/>
    <m/>
    <n v="2"/>
    <n v="0"/>
    <n v="2"/>
    <n v="0"/>
    <n v="0"/>
    <n v="0"/>
    <n v="0"/>
    <n v="0"/>
    <n v="0"/>
    <n v="2"/>
    <m/>
    <m/>
    <n v="0.5"/>
    <n v="0.5"/>
    <n v="0.5"/>
    <n v="0.5"/>
    <m/>
    <m/>
    <m/>
    <m/>
    <m/>
    <m/>
    <m/>
    <m/>
    <m/>
    <m/>
    <m/>
    <m/>
    <n v="2"/>
    <n v="2"/>
    <m/>
    <m/>
    <m/>
    <n v="518929"/>
    <n v="175587"/>
    <s v="North Richmond"/>
  </r>
  <r>
    <s v="24/2061/FUL"/>
    <x v="4"/>
    <s v="FULL"/>
    <d v="2025-03-05T00:00:00"/>
    <d v="2028-03-05T00:00:00"/>
    <d v="2025-10-01T00:00:00"/>
    <m/>
    <s v="Y"/>
    <d v="2025-12-19T00:00:00"/>
    <x v="2"/>
    <x v="0"/>
    <m/>
    <m/>
    <m/>
    <s v="Reversion of the lower ground floor flat and upper floor dwelling into a single-family dwelling house with associated cycle and refuse stores, replacement fenestration and heat pump. Removal of vehciular access and associated extension of front boundary t"/>
    <s v="14 Strafford Road, Twickenham TW1 3AE"/>
    <s v="TW1 3AE"/>
    <m/>
    <n v="1"/>
    <m/>
    <m/>
    <m/>
    <n v="1"/>
    <m/>
    <m/>
    <m/>
    <n v="2"/>
    <m/>
    <m/>
    <m/>
    <m/>
    <m/>
    <n v="1"/>
    <m/>
    <m/>
    <m/>
    <n v="1"/>
    <n v="-1"/>
    <n v="0"/>
    <n v="0"/>
    <n v="0"/>
    <n v="0"/>
    <n v="0"/>
    <n v="0"/>
    <n v="0"/>
    <n v="-1"/>
    <m/>
    <m/>
    <n v="-1"/>
    <m/>
    <m/>
    <m/>
    <m/>
    <m/>
    <m/>
    <m/>
    <m/>
    <m/>
    <m/>
    <m/>
    <m/>
    <m/>
    <m/>
    <m/>
    <n v="-1"/>
    <n v="-1"/>
    <m/>
    <m/>
    <m/>
    <n v="516490"/>
    <n v="173705"/>
    <s v="Twickenham Riverside"/>
  </r>
  <r>
    <s v="24/2125/FUL"/>
    <x v="0"/>
    <s v="FULL"/>
    <d v="2024-11-15T00:00:00"/>
    <d v="2027-11-15T00:00:00"/>
    <m/>
    <m/>
    <s v="Y"/>
    <m/>
    <x v="2"/>
    <x v="0"/>
    <m/>
    <m/>
    <m/>
    <s v="Construction of part two storey and part single storey attached dwellinghouse; provision of refuse / recycling storage, and amenity space and associated alterations to 15 Tayben Avenue; (following demolition of existing workshop / storage to 15 Tayben Ave"/>
    <s v="13 - 15 Tayben Avenue, Twickenham"/>
    <s v="TW2 7RA"/>
    <m/>
    <m/>
    <m/>
    <m/>
    <m/>
    <m/>
    <m/>
    <m/>
    <m/>
    <n v="0"/>
    <m/>
    <n v="1"/>
    <m/>
    <m/>
    <m/>
    <m/>
    <m/>
    <m/>
    <m/>
    <n v="1"/>
    <n v="1"/>
    <n v="0"/>
    <n v="0"/>
    <n v="0"/>
    <n v="0"/>
    <n v="0"/>
    <n v="0"/>
    <n v="0"/>
    <n v="1"/>
    <m/>
    <m/>
    <n v="0.25"/>
    <n v="0.25"/>
    <n v="0.25"/>
    <n v="0.25"/>
    <m/>
    <m/>
    <m/>
    <m/>
    <m/>
    <m/>
    <m/>
    <m/>
    <m/>
    <m/>
    <m/>
    <m/>
    <n v="1"/>
    <n v="1"/>
    <m/>
    <m/>
    <m/>
    <n v="515398"/>
    <n v="174060"/>
    <s v="St. Margarets &amp; North Twickenham"/>
  </r>
  <r>
    <s v="24/2479/GPD26"/>
    <x v="1"/>
    <s v="PA"/>
    <d v="2024-11-25T00:00:00"/>
    <d v="2027-11-25T00:00:00"/>
    <m/>
    <m/>
    <s v="Y"/>
    <m/>
    <x v="2"/>
    <x v="0"/>
    <m/>
    <m/>
    <m/>
    <s v="Prior Approval Class MA Change of use from Class E Office to Class C3 residential comprising 2 no. 2 bedroom houses and 1 no. 1 bedroom flat."/>
    <s v="8 Second Cross Road, Twickenham"/>
    <s v="TW2 5RF"/>
    <m/>
    <m/>
    <m/>
    <m/>
    <m/>
    <m/>
    <m/>
    <m/>
    <m/>
    <n v="0"/>
    <m/>
    <n v="1"/>
    <n v="2"/>
    <m/>
    <m/>
    <m/>
    <m/>
    <m/>
    <m/>
    <n v="3"/>
    <n v="1"/>
    <n v="2"/>
    <n v="0"/>
    <n v="0"/>
    <n v="0"/>
    <n v="0"/>
    <n v="0"/>
    <n v="0"/>
    <n v="3"/>
    <m/>
    <m/>
    <n v="0.75"/>
    <n v="0.75"/>
    <n v="0.75"/>
    <n v="0.75"/>
    <m/>
    <m/>
    <m/>
    <m/>
    <m/>
    <m/>
    <m/>
    <m/>
    <m/>
    <m/>
    <m/>
    <m/>
    <n v="3"/>
    <n v="3"/>
    <m/>
    <m/>
    <m/>
    <n v="515110"/>
    <n v="172754"/>
    <s v="West Twickenham"/>
  </r>
  <r>
    <s v="24/2528/GPD26"/>
    <x v="1"/>
    <s v="PA"/>
    <d v="2024-12-02T00:00:00"/>
    <d v="2027-12-02T00:00:00"/>
    <m/>
    <m/>
    <s v="Y"/>
    <m/>
    <x v="2"/>
    <x v="0"/>
    <m/>
    <m/>
    <m/>
    <s v="Conversion of offices into a single dwelling"/>
    <s v="Unit 19 And 20, Station Point, 121 Sandycombe Road, Richmond TW9 2AD"/>
    <s v="TW9 2AD"/>
    <m/>
    <m/>
    <m/>
    <m/>
    <m/>
    <m/>
    <m/>
    <m/>
    <m/>
    <n v="0"/>
    <m/>
    <m/>
    <m/>
    <n v="1"/>
    <m/>
    <m/>
    <m/>
    <m/>
    <m/>
    <n v="1"/>
    <n v="0"/>
    <n v="0"/>
    <n v="1"/>
    <n v="0"/>
    <n v="0"/>
    <n v="0"/>
    <n v="0"/>
    <n v="0"/>
    <n v="1"/>
    <m/>
    <m/>
    <n v="0.25"/>
    <n v="0.25"/>
    <n v="0.25"/>
    <n v="0.25"/>
    <m/>
    <m/>
    <m/>
    <m/>
    <m/>
    <m/>
    <m/>
    <m/>
    <m/>
    <m/>
    <m/>
    <m/>
    <n v="1"/>
    <n v="1"/>
    <m/>
    <m/>
    <m/>
    <n v="519072"/>
    <n v="176048"/>
    <s v="Kew"/>
  </r>
  <r>
    <s v="24/2620/GPD26"/>
    <x v="1"/>
    <s v="PA"/>
    <d v="2024-12-20T00:00:00"/>
    <d v="2027-12-20T00:00:00"/>
    <d v="2025-04-28T00:00:00"/>
    <m/>
    <s v="Y"/>
    <m/>
    <x v="2"/>
    <x v="0"/>
    <m/>
    <m/>
    <m/>
    <s v="Conversion of existing vacant office space to create 1no. 2 bedroom flat at first floor level and 1no. 1 bedroom flat at second floor level."/>
    <s v="First And Second Floors, 1 - 3 Halford Road, Richmond TW10 6AW"/>
    <s v="TW10 6AW"/>
    <m/>
    <m/>
    <m/>
    <m/>
    <m/>
    <m/>
    <m/>
    <m/>
    <m/>
    <n v="0"/>
    <m/>
    <n v="1"/>
    <n v="1"/>
    <m/>
    <m/>
    <m/>
    <m/>
    <m/>
    <m/>
    <n v="2"/>
    <n v="1"/>
    <n v="1"/>
    <n v="0"/>
    <n v="0"/>
    <n v="0"/>
    <n v="0"/>
    <n v="0"/>
    <n v="0"/>
    <n v="2"/>
    <m/>
    <m/>
    <m/>
    <n v="2"/>
    <m/>
    <m/>
    <m/>
    <m/>
    <m/>
    <m/>
    <m/>
    <m/>
    <m/>
    <m/>
    <m/>
    <m/>
    <m/>
    <m/>
    <n v="2"/>
    <n v="2"/>
    <m/>
    <m/>
    <m/>
    <n v="517972"/>
    <n v="174793"/>
    <s v="South Richmond"/>
  </r>
  <r>
    <s v="24/2622/GPD26"/>
    <x v="1"/>
    <s v="PA"/>
    <d v="2024-12-05T00:00:00"/>
    <d v="2027-12-05T00:00:00"/>
    <m/>
    <m/>
    <s v="Y"/>
    <m/>
    <x v="2"/>
    <x v="0"/>
    <m/>
    <m/>
    <m/>
    <s v="Change of use from the existing Use Class E ground floor unit to residential to create 2 x 1-bedroom flats."/>
    <s v="83A Station Road, Hampton TW12 2BJ"/>
    <s v="TW12 2BJ"/>
    <m/>
    <m/>
    <m/>
    <m/>
    <m/>
    <m/>
    <m/>
    <m/>
    <m/>
    <n v="0"/>
    <m/>
    <n v="2"/>
    <m/>
    <m/>
    <m/>
    <m/>
    <m/>
    <m/>
    <m/>
    <n v="2"/>
    <n v="2"/>
    <n v="0"/>
    <n v="0"/>
    <n v="0"/>
    <n v="0"/>
    <n v="0"/>
    <n v="0"/>
    <n v="0"/>
    <n v="2"/>
    <m/>
    <m/>
    <n v="0.5"/>
    <n v="0.5"/>
    <n v="0.5"/>
    <n v="0.5"/>
    <m/>
    <m/>
    <m/>
    <m/>
    <m/>
    <m/>
    <m/>
    <m/>
    <m/>
    <m/>
    <m/>
    <m/>
    <n v="2"/>
    <n v="2"/>
    <m/>
    <m/>
    <m/>
    <n v="513719"/>
    <n v="169668"/>
    <s v="Hampton"/>
  </r>
  <r>
    <s v="24/2653/GPD24"/>
    <x v="1"/>
    <s v="PA"/>
    <d v="2024-11-28T00:00:00"/>
    <d v="2027-11-28T00:00:00"/>
    <m/>
    <m/>
    <s v="Y"/>
    <m/>
    <x v="2"/>
    <x v="0"/>
    <m/>
    <m/>
    <m/>
    <s v="Change of use of the first to fourth floors of the above property from Class E (Commercial) to C3 (dwellinghouses) comprising 2 x self- contained residential units (bin store at ground floor). Application to determine if prior approval is required for a proposed: Change of use from Commercial, Business and Service (Use Class E), or betting office or pay day loan shop to mixed use including up to two flats (Use Class C3)Town and Country Planning (General Permitted Development) (England) Order 2015 (as amended) - Schedule 2, Part 3, Class G"/>
    <s v="Parkway House, Sheen Lane, East Sheen"/>
    <s v="SW14 8LS"/>
    <m/>
    <m/>
    <m/>
    <m/>
    <m/>
    <m/>
    <m/>
    <m/>
    <m/>
    <n v="0"/>
    <m/>
    <m/>
    <m/>
    <m/>
    <m/>
    <m/>
    <n v="2"/>
    <m/>
    <m/>
    <n v="2"/>
    <n v="0"/>
    <n v="0"/>
    <n v="0"/>
    <n v="0"/>
    <n v="0"/>
    <n v="2"/>
    <n v="0"/>
    <n v="0"/>
    <n v="2"/>
    <m/>
    <m/>
    <n v="0.5"/>
    <n v="0.5"/>
    <n v="0.5"/>
    <n v="0.5"/>
    <m/>
    <m/>
    <m/>
    <m/>
    <m/>
    <m/>
    <m/>
    <m/>
    <m/>
    <m/>
    <m/>
    <m/>
    <n v="2"/>
    <n v="2"/>
    <m/>
    <m/>
    <m/>
    <n v="520529"/>
    <n v="175363"/>
    <s v="East Sheen"/>
  </r>
  <r>
    <s v="24/2680/GPD26"/>
    <x v="1"/>
    <s v="PA"/>
    <d v="2024-12-16T00:00:00"/>
    <d v="2027-12-16T00:00:00"/>
    <m/>
    <m/>
    <s v="Y"/>
    <m/>
    <x v="2"/>
    <x v="0"/>
    <m/>
    <m/>
    <m/>
    <s v="Conversion of a ground floor restaurant into a 1-bedroom, 2-person residential flat."/>
    <s v="6 New Broadway, Hampton Hill, Hampton TW12 1JG"/>
    <s v="TW12 1JG"/>
    <m/>
    <m/>
    <m/>
    <m/>
    <m/>
    <m/>
    <m/>
    <m/>
    <m/>
    <n v="0"/>
    <m/>
    <n v="1"/>
    <m/>
    <m/>
    <m/>
    <m/>
    <m/>
    <m/>
    <m/>
    <n v="1"/>
    <n v="1"/>
    <n v="0"/>
    <n v="0"/>
    <n v="0"/>
    <n v="0"/>
    <n v="0"/>
    <n v="0"/>
    <n v="0"/>
    <n v="1"/>
    <m/>
    <m/>
    <n v="0.25"/>
    <n v="0.25"/>
    <n v="0.25"/>
    <n v="0.25"/>
    <m/>
    <m/>
    <m/>
    <m/>
    <m/>
    <m/>
    <m/>
    <m/>
    <m/>
    <m/>
    <m/>
    <m/>
    <n v="1"/>
    <n v="1"/>
    <m/>
    <m/>
    <m/>
    <n v="514567"/>
    <n v="171256"/>
    <s v="Fulwell &amp; Hampton Hill"/>
  </r>
  <r>
    <s v="24/2688/FUL"/>
    <x v="1"/>
    <s v="FULL"/>
    <d v="2025-02-19T00:00:00"/>
    <d v="2028-02-19T00:00:00"/>
    <m/>
    <m/>
    <s v="Y"/>
    <m/>
    <x v="2"/>
    <x v="0"/>
    <m/>
    <m/>
    <m/>
    <s v="Change of use Class E to single dwelling C3 including internal alterations such as removal of modern partitions and lobbies at ground floor."/>
    <s v="9 The Green, Richmond TW9 1PX"/>
    <s v="TW9 1PX"/>
    <m/>
    <m/>
    <m/>
    <m/>
    <m/>
    <m/>
    <m/>
    <m/>
    <m/>
    <n v="0"/>
    <m/>
    <m/>
    <m/>
    <m/>
    <m/>
    <m/>
    <n v="1"/>
    <m/>
    <m/>
    <n v="1"/>
    <n v="0"/>
    <n v="0"/>
    <n v="0"/>
    <n v="0"/>
    <n v="0"/>
    <n v="1"/>
    <n v="0"/>
    <n v="0"/>
    <n v="1"/>
    <m/>
    <m/>
    <n v="0.25"/>
    <n v="0.25"/>
    <n v="0.25"/>
    <n v="0.25"/>
    <m/>
    <m/>
    <m/>
    <m/>
    <m/>
    <m/>
    <m/>
    <m/>
    <m/>
    <m/>
    <m/>
    <m/>
    <n v="1"/>
    <n v="1"/>
    <m/>
    <m/>
    <m/>
    <n v="517842"/>
    <n v="174938"/>
    <s v="South Richmond"/>
  </r>
  <r>
    <s v="24/2729/GPD26"/>
    <x v="1"/>
    <s v="PA"/>
    <d v="2025-01-03T00:00:00"/>
    <d v="2028-01-03T00:00:00"/>
    <m/>
    <m/>
    <s v="Y"/>
    <m/>
    <x v="2"/>
    <x v="0"/>
    <m/>
    <m/>
    <m/>
    <s v="Change of use of building from Class E to 3 x 1 bed flats and 1 x 2 bed flat with associated parking and communal amenity space."/>
    <s v="151 Sheen Lane, East Sheen SW14 8LR"/>
    <s v="SW14 8LR"/>
    <m/>
    <m/>
    <m/>
    <m/>
    <m/>
    <m/>
    <m/>
    <m/>
    <m/>
    <n v="0"/>
    <m/>
    <n v="3"/>
    <n v="1"/>
    <m/>
    <m/>
    <m/>
    <m/>
    <m/>
    <m/>
    <n v="4"/>
    <n v="3"/>
    <n v="1"/>
    <n v="0"/>
    <n v="0"/>
    <n v="0"/>
    <n v="0"/>
    <n v="0"/>
    <n v="0"/>
    <n v="4"/>
    <m/>
    <m/>
    <n v="1"/>
    <n v="1"/>
    <n v="1"/>
    <n v="1"/>
    <m/>
    <m/>
    <m/>
    <m/>
    <m/>
    <m/>
    <m/>
    <m/>
    <m/>
    <m/>
    <m/>
    <m/>
    <n v="4"/>
    <n v="4"/>
    <m/>
    <m/>
    <m/>
    <n v="520488"/>
    <n v="175298"/>
    <s v="East Sheen"/>
  </r>
  <r>
    <s v="24/2797/GPD26"/>
    <x v="1"/>
    <s v="PA"/>
    <d v="2025-01-08T00:00:00"/>
    <d v="2028-01-08T00:00:00"/>
    <m/>
    <m/>
    <s v="Y"/>
    <m/>
    <x v="2"/>
    <x v="0"/>
    <m/>
    <m/>
    <m/>
    <s v="Proposal for conversion of the ground floor rear portion into a studio space and the entire first floor clinic into 2 studios of single person occupancy under class MA of the GPDO."/>
    <s v="46 Sheen Lane, East Sheen SW14 8LP"/>
    <s v="SW14 8LP"/>
    <m/>
    <m/>
    <m/>
    <m/>
    <m/>
    <m/>
    <m/>
    <m/>
    <m/>
    <n v="0"/>
    <m/>
    <n v="3"/>
    <m/>
    <m/>
    <m/>
    <m/>
    <m/>
    <m/>
    <m/>
    <n v="3"/>
    <n v="3"/>
    <n v="0"/>
    <n v="0"/>
    <n v="0"/>
    <n v="0"/>
    <n v="0"/>
    <n v="0"/>
    <n v="0"/>
    <n v="3"/>
    <m/>
    <m/>
    <n v="0.75"/>
    <n v="0.75"/>
    <n v="0.75"/>
    <n v="0.75"/>
    <m/>
    <m/>
    <m/>
    <m/>
    <m/>
    <m/>
    <m/>
    <m/>
    <m/>
    <m/>
    <m/>
    <m/>
    <n v="3"/>
    <n v="3"/>
    <m/>
    <m/>
    <m/>
    <n v="520467"/>
    <n v="175568"/>
    <s v="East Sheen"/>
  </r>
  <r>
    <s v="24/2798/GPD26"/>
    <x v="1"/>
    <s v="PA"/>
    <d v="2025-01-08T00:00:00"/>
    <d v="2028-01-08T00:00:00"/>
    <m/>
    <m/>
    <s v="Y"/>
    <m/>
    <x v="2"/>
    <x v="0"/>
    <s v="N"/>
    <m/>
    <m/>
    <s v="Proposal for conversion of the ground floor rear portion into a studio space and the entire first floor clinic into one 3 bed / 4 person occupancy flat under class MA of the GPDO."/>
    <s v="46 Sheen Lane, East Sheen SW14 8LP"/>
    <s v="SW14 8LP"/>
    <m/>
    <m/>
    <m/>
    <m/>
    <m/>
    <m/>
    <m/>
    <m/>
    <m/>
    <n v="0"/>
    <m/>
    <m/>
    <m/>
    <n v="1"/>
    <m/>
    <m/>
    <m/>
    <m/>
    <m/>
    <n v="1"/>
    <n v="0"/>
    <n v="0"/>
    <n v="1"/>
    <n v="0"/>
    <n v="0"/>
    <n v="0"/>
    <n v="0"/>
    <n v="0"/>
    <n v="1"/>
    <m/>
    <m/>
    <n v="0.25"/>
    <n v="0.25"/>
    <n v="0.25"/>
    <n v="0.25"/>
    <m/>
    <m/>
    <m/>
    <m/>
    <m/>
    <m/>
    <m/>
    <m/>
    <m/>
    <m/>
    <m/>
    <m/>
    <n v="1"/>
    <n v="1"/>
    <m/>
    <m/>
    <m/>
    <n v="520467"/>
    <n v="175568"/>
    <s v="East Sheen"/>
  </r>
  <r>
    <s v="24/2830/FUL"/>
    <x v="4"/>
    <s v="FULL"/>
    <d v="2025-02-24T00:00:00"/>
    <d v="2028-02-24T00:00:00"/>
    <d v="2025-04-01T00:00:00"/>
    <m/>
    <s v="Y"/>
    <m/>
    <x v="2"/>
    <x v="0"/>
    <m/>
    <m/>
    <m/>
    <s v="Internal alterations involving the amalgamation of two residential units to form one house with the addition of solar panels on the garage roof and an ASHP to the rear of the property"/>
    <s v="Corner House, Vicarage Road, East Sheen"/>
    <s v="SW14 8RS"/>
    <m/>
    <m/>
    <n v="1"/>
    <m/>
    <n v="1"/>
    <m/>
    <m/>
    <m/>
    <m/>
    <n v="2"/>
    <m/>
    <m/>
    <m/>
    <m/>
    <m/>
    <m/>
    <m/>
    <n v="1"/>
    <m/>
    <n v="1"/>
    <n v="0"/>
    <n v="-1"/>
    <n v="0"/>
    <n v="-1"/>
    <n v="0"/>
    <n v="0"/>
    <n v="1"/>
    <n v="0"/>
    <n v="-1"/>
    <m/>
    <m/>
    <n v="-1"/>
    <m/>
    <m/>
    <m/>
    <m/>
    <m/>
    <m/>
    <m/>
    <m/>
    <m/>
    <m/>
    <m/>
    <m/>
    <m/>
    <m/>
    <m/>
    <n v="-1"/>
    <n v="-1"/>
    <m/>
    <m/>
    <m/>
    <n v="520451"/>
    <n v="174895"/>
    <s v="East Sheen"/>
  </r>
  <r>
    <s v="24/2838/GPD24"/>
    <x v="1"/>
    <s v="PA"/>
    <d v="2024-12-20T00:00:00"/>
    <d v="2027-12-20T00:00:00"/>
    <m/>
    <m/>
    <s v="Y"/>
    <m/>
    <x v="2"/>
    <x v="0"/>
    <m/>
    <m/>
    <m/>
    <s v="Change of use of first and second floors from retail (Class E) to one dwelling (Class C3)."/>
    <s v="5A King Street, Twickenham"/>
    <s v="TW1 3SD"/>
    <m/>
    <m/>
    <m/>
    <m/>
    <m/>
    <m/>
    <m/>
    <m/>
    <m/>
    <n v="0"/>
    <m/>
    <m/>
    <m/>
    <m/>
    <n v="1"/>
    <m/>
    <m/>
    <m/>
    <m/>
    <n v="1"/>
    <n v="0"/>
    <n v="0"/>
    <n v="0"/>
    <n v="1"/>
    <n v="0"/>
    <n v="0"/>
    <n v="0"/>
    <n v="0"/>
    <n v="1"/>
    <m/>
    <m/>
    <n v="0.25"/>
    <n v="0.25"/>
    <n v="0.25"/>
    <n v="0.25"/>
    <m/>
    <m/>
    <m/>
    <m/>
    <m/>
    <m/>
    <m/>
    <m/>
    <m/>
    <m/>
    <m/>
    <m/>
    <n v="1"/>
    <n v="1"/>
    <m/>
    <m/>
    <m/>
    <n v="516276"/>
    <n v="173221"/>
    <s v="Twickenham Riverside"/>
  </r>
  <r>
    <s v="24/2938/FUL"/>
    <x v="4"/>
    <s v="FULL"/>
    <d v="2025-01-28T00:00:00"/>
    <d v="2028-01-28T00:00:00"/>
    <d v="2025-04-21T00:00:00"/>
    <m/>
    <s v="Y"/>
    <m/>
    <x v="2"/>
    <x v="0"/>
    <m/>
    <m/>
    <m/>
    <s v="Amalgamation of two dwellings into a single family 4 bedroom dwelling; alterations to existing rear dormers; addition of front porch; addition of side entrance door; and conversion of a single garage into a garden room. Addition of rooflights, alterations"/>
    <s v="2 Verdun Road, Barnes SW13 9AY"/>
    <s v="SW13 9AY"/>
    <m/>
    <m/>
    <n v="1"/>
    <n v="1"/>
    <m/>
    <m/>
    <m/>
    <m/>
    <m/>
    <n v="2"/>
    <m/>
    <m/>
    <m/>
    <m/>
    <n v="1"/>
    <m/>
    <m/>
    <m/>
    <m/>
    <n v="1"/>
    <n v="0"/>
    <n v="-1"/>
    <n v="-1"/>
    <n v="1"/>
    <n v="0"/>
    <n v="0"/>
    <n v="0"/>
    <n v="0"/>
    <n v="-1"/>
    <m/>
    <m/>
    <n v="-1"/>
    <m/>
    <m/>
    <m/>
    <m/>
    <m/>
    <m/>
    <m/>
    <m/>
    <m/>
    <m/>
    <m/>
    <m/>
    <m/>
    <m/>
    <m/>
    <n v="-1"/>
    <n v="-1"/>
    <m/>
    <m/>
    <m/>
    <n v="522180"/>
    <n v="177229"/>
    <s v="Barnes"/>
  </r>
  <r>
    <s v="24/3009/GPD24"/>
    <x v="1"/>
    <s v="PA"/>
    <d v="2025-01-21T00:00:00"/>
    <d v="2028-01-21T00:00:00"/>
    <m/>
    <m/>
    <s v="Y"/>
    <m/>
    <x v="2"/>
    <x v="0"/>
    <m/>
    <m/>
    <m/>
    <s v="Change of use from Class E commercial business and service use to mixed use consisting of Class E commercial business and service use and Class C3 residential (2 flats)."/>
    <s v="100 High Street, Whitton, Twickenham TW2 7LN"/>
    <s v="TW2 7LN"/>
    <m/>
    <m/>
    <m/>
    <m/>
    <m/>
    <m/>
    <m/>
    <m/>
    <m/>
    <n v="0"/>
    <m/>
    <n v="1"/>
    <n v="1"/>
    <m/>
    <m/>
    <m/>
    <m/>
    <m/>
    <m/>
    <n v="2"/>
    <n v="1"/>
    <n v="1"/>
    <n v="0"/>
    <n v="0"/>
    <n v="0"/>
    <n v="0"/>
    <n v="0"/>
    <n v="0"/>
    <n v="2"/>
    <m/>
    <m/>
    <n v="0.5"/>
    <n v="0.5"/>
    <n v="0.5"/>
    <n v="0.5"/>
    <m/>
    <m/>
    <m/>
    <m/>
    <m/>
    <m/>
    <m/>
    <m/>
    <m/>
    <m/>
    <m/>
    <m/>
    <n v="2"/>
    <n v="2"/>
    <m/>
    <m/>
    <m/>
    <n v="514182"/>
    <n v="173680"/>
    <s v="Whitton"/>
  </r>
  <r>
    <s v="24/3142/GPD26"/>
    <x v="1"/>
    <s v="PA"/>
    <d v="2025-01-28T00:00:00"/>
    <d v="2028-01-28T00:00:00"/>
    <m/>
    <m/>
    <s v="Y"/>
    <m/>
    <x v="2"/>
    <x v="0"/>
    <m/>
    <m/>
    <m/>
    <s v="Change use of the first floor ancillary floorspace to the ground floor commercial unit into 1-bed/1-person self contained flat."/>
    <s v="70 - 72 Richmond Road, Twickenham TW1 3BE"/>
    <s v="TW1 3BE"/>
    <m/>
    <m/>
    <m/>
    <m/>
    <m/>
    <m/>
    <m/>
    <m/>
    <m/>
    <n v="0"/>
    <m/>
    <n v="1"/>
    <m/>
    <m/>
    <m/>
    <m/>
    <m/>
    <m/>
    <m/>
    <n v="1"/>
    <n v="1"/>
    <n v="0"/>
    <n v="0"/>
    <n v="0"/>
    <n v="0"/>
    <n v="0"/>
    <n v="0"/>
    <n v="0"/>
    <n v="1"/>
    <m/>
    <m/>
    <n v="0.25"/>
    <n v="0.25"/>
    <n v="0.25"/>
    <n v="0.25"/>
    <m/>
    <m/>
    <m/>
    <m/>
    <m/>
    <m/>
    <m/>
    <m/>
    <m/>
    <m/>
    <m/>
    <m/>
    <n v="1"/>
    <n v="1"/>
    <m/>
    <m/>
    <m/>
    <n v="516650"/>
    <n v="173601"/>
    <s v="Twickenham Riverside"/>
  </r>
  <r>
    <s v="24/3263/GPD26"/>
    <x v="1"/>
    <s v="PA"/>
    <d v="2025-02-13T00:00:00"/>
    <d v="2028-02-13T00:00:00"/>
    <m/>
    <m/>
    <s v="Y"/>
    <m/>
    <x v="2"/>
    <x v="0"/>
    <m/>
    <m/>
    <m/>
    <s v="Change of use of offices (Use Class E) to 11No. apartments (Use Class C3)."/>
    <s v="1B Sandford House And 1C Jardine House, Claremont Road, Teddington"/>
    <s v="TW11 8DG"/>
    <m/>
    <m/>
    <m/>
    <m/>
    <m/>
    <m/>
    <m/>
    <m/>
    <m/>
    <n v="0"/>
    <m/>
    <n v="10"/>
    <n v="1"/>
    <m/>
    <m/>
    <m/>
    <m/>
    <m/>
    <m/>
    <n v="11"/>
    <n v="10"/>
    <n v="1"/>
    <n v="0"/>
    <n v="0"/>
    <n v="0"/>
    <n v="0"/>
    <n v="0"/>
    <n v="0"/>
    <n v="11"/>
    <s v="Y"/>
    <m/>
    <m/>
    <n v="2.75"/>
    <n v="2.75"/>
    <n v="2.75"/>
    <n v="2.75"/>
    <m/>
    <m/>
    <m/>
    <m/>
    <m/>
    <m/>
    <m/>
    <m/>
    <m/>
    <m/>
    <m/>
    <n v="11"/>
    <n v="11"/>
    <m/>
    <m/>
    <m/>
    <n v="515769"/>
    <n v="171467"/>
    <s v="Teddington"/>
  </r>
  <r>
    <s v="PA25/0073"/>
    <x v="1"/>
    <s v="PA"/>
    <d v="2025-03-28T00:00:00"/>
    <d v="2028-03-28T00:00:00"/>
    <m/>
    <m/>
    <s v="Y"/>
    <m/>
    <x v="2"/>
    <x v="0"/>
    <m/>
    <m/>
    <m/>
    <s v="Change of use from Office to 3 no. C3 residential units"/>
    <s v="34 Candler Mews, Twickenham TW1 3JF"/>
    <s v="TW1 3JF"/>
    <m/>
    <m/>
    <m/>
    <m/>
    <m/>
    <m/>
    <m/>
    <m/>
    <m/>
    <n v="0"/>
    <m/>
    <m/>
    <n v="2"/>
    <n v="1"/>
    <m/>
    <m/>
    <m/>
    <m/>
    <m/>
    <n v="3"/>
    <n v="0"/>
    <n v="2"/>
    <n v="1"/>
    <n v="0"/>
    <n v="0"/>
    <n v="0"/>
    <n v="0"/>
    <n v="0"/>
    <n v="3"/>
    <m/>
    <m/>
    <n v="0.75"/>
    <n v="0.75"/>
    <n v="0.75"/>
    <n v="0.75"/>
    <m/>
    <m/>
    <m/>
    <m/>
    <m/>
    <m/>
    <m/>
    <m/>
    <m/>
    <m/>
    <m/>
    <m/>
    <n v="3"/>
    <n v="3"/>
    <m/>
    <m/>
    <m/>
    <n v="516360"/>
    <n v="173781"/>
    <s v="Twickenham Riverside"/>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3">
  <r>
    <s v="16/4635/FUL"/>
    <x v="0"/>
    <x v="0"/>
    <x v="0"/>
    <d v="2020-03-07T00:00:00"/>
    <d v="2020-03-01T00:00:00"/>
    <m/>
    <x v="0"/>
    <d v="2025-03-31T00:00:00"/>
    <x v="0"/>
    <x v="0"/>
    <x v="0"/>
    <n v="8.0712328767123296"/>
    <x v="0"/>
    <s v="Construction of a three bedroom single storey dwelling with associated hard and soft landscaping, parking and access road (bollard lit)"/>
    <s v="Land Rear Of 12 To 36 Vincam Close, Twickenham"/>
    <s v="TW2 7AB"/>
    <m/>
    <m/>
    <m/>
    <m/>
    <m/>
    <m/>
    <m/>
    <m/>
    <m/>
    <n v="0"/>
    <m/>
    <m/>
    <m/>
    <n v="1"/>
    <m/>
    <m/>
    <m/>
    <m/>
    <m/>
    <n v="1"/>
    <n v="0"/>
    <n v="0"/>
    <n v="1"/>
    <n v="0"/>
    <n v="0"/>
    <n v="0"/>
    <n v="0"/>
    <n v="0"/>
    <n v="1"/>
    <x v="0"/>
    <n v="1"/>
    <m/>
    <m/>
    <m/>
    <m/>
    <m/>
    <m/>
    <m/>
    <m/>
    <m/>
    <m/>
    <m/>
    <m/>
    <m/>
    <m/>
    <m/>
    <m/>
    <n v="0"/>
    <n v="0"/>
    <m/>
    <m/>
    <m/>
    <n v="513432"/>
    <n v="173849"/>
    <x v="0"/>
    <x v="0"/>
    <x v="0"/>
    <x v="0"/>
    <m/>
    <x v="0"/>
    <x v="0"/>
    <m/>
    <x v="0"/>
    <s v="Y"/>
    <x v="0"/>
  </r>
  <r>
    <s v="18/1889/FUL"/>
    <x v="0"/>
    <x v="0"/>
    <x v="1"/>
    <d v="2022-09-10T00:00:00"/>
    <d v="2022-06-06T00:00:00"/>
    <m/>
    <x v="0"/>
    <d v="2025-03-31T00:00:00"/>
    <x v="0"/>
    <x v="0"/>
    <x v="0"/>
    <n v="6.3397260273972602"/>
    <x v="0"/>
    <s v="Erection of a pair of 2 storey semi-detached 2 bed (1 x 2B4P and 1 x 2B3P) dwellinghouses with associated hard and soft landscaping and parking."/>
    <s v="Land To The Side Of 61 Acacia Road, Hampton TW12 3DP"/>
    <s v="TW12 3DP"/>
    <m/>
    <m/>
    <m/>
    <m/>
    <m/>
    <m/>
    <m/>
    <m/>
    <m/>
    <n v="0"/>
    <m/>
    <m/>
    <n v="2"/>
    <m/>
    <m/>
    <m/>
    <m/>
    <m/>
    <m/>
    <n v="2"/>
    <n v="0"/>
    <n v="2"/>
    <n v="0"/>
    <n v="0"/>
    <n v="0"/>
    <n v="0"/>
    <n v="0"/>
    <n v="0"/>
    <n v="2"/>
    <x v="0"/>
    <n v="2"/>
    <m/>
    <m/>
    <m/>
    <m/>
    <m/>
    <m/>
    <m/>
    <m/>
    <m/>
    <m/>
    <m/>
    <m/>
    <m/>
    <m/>
    <m/>
    <m/>
    <n v="0"/>
    <n v="0"/>
    <m/>
    <m/>
    <m/>
    <n v="513221"/>
    <n v="170897"/>
    <x v="1"/>
    <x v="1"/>
    <x v="0"/>
    <x v="0"/>
    <m/>
    <x v="0"/>
    <x v="0"/>
    <m/>
    <x v="0"/>
    <m/>
    <x v="1"/>
  </r>
  <r>
    <s v="19/1731/FUL"/>
    <x v="0"/>
    <x v="0"/>
    <x v="2"/>
    <d v="2022-08-21T00:00:00"/>
    <d v="2022-09-01T00:00:00"/>
    <m/>
    <x v="0"/>
    <d v="2024-10-01T00:00:00"/>
    <x v="0"/>
    <x v="0"/>
    <x v="0"/>
    <n v="5.117808219178082"/>
    <x v="0"/>
    <s v="Demolition of existing dwellinghouse and erection of replacement two storey 4 bedroom dwellinghouse with associated hard and soft landscaping and cycle and refuse store. Replacement boundary fence/gates."/>
    <s v="17A Tower Road, Twickenham TW1 4PD"/>
    <s v="TW1 4PD"/>
    <m/>
    <m/>
    <n v="1"/>
    <m/>
    <m/>
    <m/>
    <m/>
    <m/>
    <m/>
    <n v="1"/>
    <m/>
    <m/>
    <m/>
    <m/>
    <n v="1"/>
    <m/>
    <m/>
    <m/>
    <m/>
    <n v="1"/>
    <n v="0"/>
    <n v="-1"/>
    <n v="0"/>
    <n v="1"/>
    <n v="0"/>
    <n v="0"/>
    <n v="0"/>
    <n v="0"/>
    <n v="0"/>
    <x v="0"/>
    <n v="0"/>
    <m/>
    <m/>
    <m/>
    <m/>
    <m/>
    <m/>
    <m/>
    <m/>
    <m/>
    <m/>
    <m/>
    <m/>
    <m/>
    <m/>
    <m/>
    <m/>
    <n v="0"/>
    <n v="0"/>
    <m/>
    <m/>
    <m/>
    <n v="515806"/>
    <n v="172455"/>
    <x v="2"/>
    <x v="2"/>
    <x v="0"/>
    <x v="0"/>
    <m/>
    <x v="0"/>
    <x v="0"/>
    <m/>
    <x v="0"/>
    <s v="Y"/>
    <x v="2"/>
  </r>
  <r>
    <s v="19/2377/GPD15"/>
    <x v="1"/>
    <x v="1"/>
    <x v="3"/>
    <d v="2022-09-30T00:00:00"/>
    <d v="2020-02-17T00:00:00"/>
    <m/>
    <x v="0"/>
    <d v="2025-03-31T00:00:00"/>
    <x v="0"/>
    <x v="0"/>
    <x v="0"/>
    <n v="5.5041095890410956"/>
    <x v="0"/>
    <s v="Partial change of use from office to residential (4 No flats)."/>
    <s v="122 - 124 St Margarets Road, Twickenham"/>
    <s v="TW1 2AA"/>
    <m/>
    <m/>
    <m/>
    <m/>
    <m/>
    <m/>
    <m/>
    <m/>
    <m/>
    <n v="0"/>
    <m/>
    <m/>
    <n v="4"/>
    <m/>
    <m/>
    <m/>
    <m/>
    <m/>
    <m/>
    <n v="4"/>
    <n v="0"/>
    <n v="4"/>
    <n v="0"/>
    <n v="0"/>
    <n v="0"/>
    <n v="0"/>
    <n v="0"/>
    <n v="0"/>
    <n v="4"/>
    <x v="0"/>
    <n v="4"/>
    <m/>
    <m/>
    <m/>
    <m/>
    <m/>
    <m/>
    <m/>
    <m/>
    <m/>
    <m/>
    <m/>
    <m/>
    <m/>
    <m/>
    <m/>
    <m/>
    <n v="0"/>
    <n v="0"/>
    <m/>
    <m/>
    <m/>
    <n v="516843"/>
    <n v="174266"/>
    <x v="3"/>
    <x v="2"/>
    <x v="0"/>
    <x v="0"/>
    <s v="St Margarets"/>
    <x v="1"/>
    <x v="0"/>
    <s v="CA49 Crown Road St Margarets"/>
    <x v="1"/>
    <s v="Y"/>
    <x v="2"/>
  </r>
  <r>
    <s v="19/2471/FUL"/>
    <x v="2"/>
    <x v="0"/>
    <x v="4"/>
    <d v="2023-05-06T00:00:00"/>
    <d v="2023-03-01T00:00:00"/>
    <m/>
    <x v="0"/>
    <d v="2024-08-08T00:00:00"/>
    <x v="0"/>
    <x v="0"/>
    <x v="0"/>
    <n v="4.2602739726027394"/>
    <x v="0"/>
    <s v="Demoltion of existing staircase/structures to rear. Construction of a part 3 part 2 storey rear extension to provide 2 x new flats and roof terrace (1 x studio and 1 x 1 bed flat) and associated bin store, cycle parking and hard and soft landscaping."/>
    <s v="121 High Street, Whitton, Twickenham TW2 7LG"/>
    <s v="TW2 7LG"/>
    <m/>
    <m/>
    <m/>
    <m/>
    <m/>
    <m/>
    <m/>
    <m/>
    <m/>
    <n v="0"/>
    <m/>
    <n v="2"/>
    <m/>
    <m/>
    <m/>
    <m/>
    <m/>
    <m/>
    <m/>
    <n v="2"/>
    <n v="2"/>
    <n v="0"/>
    <n v="0"/>
    <n v="0"/>
    <n v="0"/>
    <n v="0"/>
    <n v="0"/>
    <n v="0"/>
    <n v="2"/>
    <x v="0"/>
    <n v="2"/>
    <m/>
    <m/>
    <m/>
    <m/>
    <m/>
    <m/>
    <m/>
    <m/>
    <m/>
    <m/>
    <m/>
    <m/>
    <m/>
    <m/>
    <m/>
    <m/>
    <n v="0"/>
    <n v="0"/>
    <m/>
    <m/>
    <m/>
    <n v="514218"/>
    <n v="173596"/>
    <x v="0"/>
    <x v="0"/>
    <x v="1"/>
    <x v="0"/>
    <m/>
    <x v="0"/>
    <x v="0"/>
    <m/>
    <x v="0"/>
    <s v="Y"/>
    <x v="0"/>
  </r>
  <r>
    <s v="19/3857/FUL"/>
    <x v="3"/>
    <x v="0"/>
    <x v="5"/>
    <d v="2023-06-18T00:00:00"/>
    <d v="2023-05-15T00:00:00"/>
    <m/>
    <x v="0"/>
    <d v="2024-06-12T00:00:00"/>
    <x v="0"/>
    <x v="0"/>
    <x v="0"/>
    <n v="3.9863013698630136"/>
    <x v="0"/>
    <s v="Part two storey, part first floor infill, part second floor rear extensions and extensions / alterations to the roof to facilitate the conversion of existing 1 x studio and 1 x 2 bed flat into four flats (2 x studio and 2 x 1 bed) and increase in retail floorspace with associated refuse and bicycle enclosures and hard and soft landscaping"/>
    <s v="20 London Road, Twickenham TW1 3RR"/>
    <s v="TW1 3RR"/>
    <m/>
    <n v="1"/>
    <n v="1"/>
    <m/>
    <m/>
    <m/>
    <m/>
    <m/>
    <m/>
    <n v="2"/>
    <m/>
    <n v="4"/>
    <m/>
    <m/>
    <m/>
    <m/>
    <m/>
    <m/>
    <m/>
    <n v="4"/>
    <n v="3"/>
    <n v="-1"/>
    <n v="0"/>
    <n v="0"/>
    <n v="0"/>
    <n v="0"/>
    <n v="0"/>
    <n v="0"/>
    <n v="2"/>
    <x v="0"/>
    <n v="2"/>
    <m/>
    <m/>
    <m/>
    <m/>
    <m/>
    <m/>
    <m/>
    <m/>
    <m/>
    <m/>
    <m/>
    <m/>
    <m/>
    <m/>
    <m/>
    <m/>
    <n v="0"/>
    <n v="0"/>
    <m/>
    <m/>
    <m/>
    <n v="516259"/>
    <n v="173377"/>
    <x v="4"/>
    <x v="2"/>
    <x v="2"/>
    <x v="0"/>
    <m/>
    <x v="0"/>
    <x v="0"/>
    <s v="CA8 Twickenham Riverside"/>
    <x v="1"/>
    <s v="Y"/>
    <x v="2"/>
  </r>
  <r>
    <s v="20/0773/FUL"/>
    <x v="0"/>
    <x v="0"/>
    <x v="6"/>
    <d v="2023-07-08T00:00:00"/>
    <d v="2020-09-08T00:00:00"/>
    <m/>
    <x v="0"/>
    <d v="2024-06-11T00:00:00"/>
    <x v="0"/>
    <x v="0"/>
    <x v="0"/>
    <n v="3.9287671232876713"/>
    <x v="0"/>
    <s v="Erection of 1no. single storey 2 bed dwellinghouse with associated cycle and refuse stores"/>
    <s v="Land At Railway Side, Barnes, London"/>
    <s v="SW13 0AL"/>
    <m/>
    <m/>
    <m/>
    <m/>
    <m/>
    <m/>
    <m/>
    <m/>
    <m/>
    <n v="0"/>
    <m/>
    <m/>
    <n v="1"/>
    <m/>
    <m/>
    <m/>
    <m/>
    <m/>
    <m/>
    <n v="1"/>
    <n v="0"/>
    <n v="1"/>
    <n v="0"/>
    <n v="0"/>
    <n v="0"/>
    <n v="0"/>
    <n v="0"/>
    <n v="0"/>
    <n v="1"/>
    <x v="0"/>
    <n v="1"/>
    <m/>
    <m/>
    <m/>
    <m/>
    <m/>
    <m/>
    <m/>
    <m/>
    <m/>
    <m/>
    <m/>
    <m/>
    <m/>
    <m/>
    <m/>
    <m/>
    <n v="0"/>
    <n v="0"/>
    <m/>
    <m/>
    <m/>
    <n v="521729"/>
    <n v="176011"/>
    <x v="5"/>
    <x v="3"/>
    <x v="0"/>
    <x v="0"/>
    <m/>
    <x v="0"/>
    <x v="0"/>
    <s v="CA16 Thorne Passage Mortlake"/>
    <x v="1"/>
    <s v="Y"/>
    <x v="3"/>
  </r>
  <r>
    <s v="20/1885/FUL"/>
    <x v="1"/>
    <x v="0"/>
    <x v="7"/>
    <d v="2023-10-02T00:00:00"/>
    <d v="2023-09-01T00:00:00"/>
    <m/>
    <x v="0"/>
    <d v="2024-08-01T00:00:00"/>
    <x v="0"/>
    <x v="0"/>
    <x v="0"/>
    <n v="3.8328767123287673"/>
    <x v="0"/>
    <s v="Conversion of public house to a single residential dwelling"/>
    <s v="80 Windmill Road, Hampton Hill, Hampton TW12 1QU"/>
    <s v="TW12 1QU"/>
    <m/>
    <m/>
    <m/>
    <m/>
    <m/>
    <m/>
    <m/>
    <m/>
    <m/>
    <n v="0"/>
    <m/>
    <m/>
    <m/>
    <m/>
    <n v="1"/>
    <m/>
    <m/>
    <m/>
    <m/>
    <n v="1"/>
    <n v="0"/>
    <n v="0"/>
    <n v="0"/>
    <n v="1"/>
    <n v="0"/>
    <n v="0"/>
    <n v="0"/>
    <n v="0"/>
    <n v="1"/>
    <x v="0"/>
    <n v="1"/>
    <m/>
    <m/>
    <m/>
    <m/>
    <m/>
    <m/>
    <m/>
    <m/>
    <m/>
    <m/>
    <m/>
    <m/>
    <m/>
    <m/>
    <m/>
    <m/>
    <n v="0"/>
    <n v="0"/>
    <m/>
    <m/>
    <m/>
    <n v="513956"/>
    <n v="171140"/>
    <x v="6"/>
    <x v="1"/>
    <x v="0"/>
    <x v="0"/>
    <m/>
    <x v="0"/>
    <x v="0"/>
    <m/>
    <x v="0"/>
    <m/>
    <x v="1"/>
  </r>
  <r>
    <s v="20/2411/FUL"/>
    <x v="0"/>
    <x v="0"/>
    <x v="8"/>
    <d v="2024-06-24T00:00:00"/>
    <d v="2023-08-01T00:00:00"/>
    <m/>
    <x v="0"/>
    <d v="2025-03-31T00:00:00"/>
    <x v="0"/>
    <x v="0"/>
    <x v="0"/>
    <n v="3.7698630136986302"/>
    <x v="0"/>
    <s v="Erection of a 3 bed detached dwelling house with associated off-street parking and amenity space"/>
    <s v="52 Ringwood Way, Hampton Hill TW12 1AT"/>
    <s v="TW12 1AT"/>
    <m/>
    <m/>
    <m/>
    <m/>
    <m/>
    <m/>
    <m/>
    <m/>
    <m/>
    <n v="0"/>
    <m/>
    <m/>
    <m/>
    <n v="1"/>
    <m/>
    <m/>
    <m/>
    <m/>
    <m/>
    <n v="1"/>
    <n v="0"/>
    <n v="0"/>
    <n v="1"/>
    <n v="0"/>
    <n v="0"/>
    <n v="0"/>
    <n v="0"/>
    <n v="0"/>
    <n v="1"/>
    <x v="0"/>
    <n v="1"/>
    <m/>
    <m/>
    <m/>
    <m/>
    <m/>
    <m/>
    <m/>
    <m/>
    <m/>
    <m/>
    <m/>
    <m/>
    <m/>
    <m/>
    <m/>
    <m/>
    <n v="0"/>
    <n v="0"/>
    <m/>
    <m/>
    <m/>
    <n v="513279"/>
    <n v="171614"/>
    <x v="1"/>
    <x v="1"/>
    <x v="0"/>
    <x v="0"/>
    <m/>
    <x v="0"/>
    <x v="0"/>
    <m/>
    <x v="0"/>
    <m/>
    <x v="1"/>
  </r>
  <r>
    <s v="20/2841/FUL"/>
    <x v="2"/>
    <x v="0"/>
    <x v="9"/>
    <d v="2024-02-12T00:00:00"/>
    <d v="2023-10-02T00:00:00"/>
    <m/>
    <x v="0"/>
    <d v="2025-03-31T00:00:00"/>
    <x v="0"/>
    <x v="0"/>
    <x v="0"/>
    <n v="4.1315068493150688"/>
    <x v="0"/>
    <s v="Proposed erection of single storey building at rear to provide 1 no. self contained flat"/>
    <s v="118A - 118B High Street, Hampton Hill, Hampton TW12 1NT"/>
    <s v="TW12 1NT"/>
    <m/>
    <m/>
    <m/>
    <m/>
    <m/>
    <m/>
    <m/>
    <m/>
    <m/>
    <n v="0"/>
    <m/>
    <n v="1"/>
    <m/>
    <m/>
    <m/>
    <m/>
    <m/>
    <m/>
    <m/>
    <n v="1"/>
    <n v="1"/>
    <n v="0"/>
    <n v="0"/>
    <n v="0"/>
    <n v="0"/>
    <n v="0"/>
    <n v="0"/>
    <n v="0"/>
    <n v="1"/>
    <x v="0"/>
    <n v="1"/>
    <m/>
    <m/>
    <m/>
    <m/>
    <m/>
    <m/>
    <m/>
    <m/>
    <m/>
    <m/>
    <m/>
    <m/>
    <m/>
    <m/>
    <m/>
    <m/>
    <n v="0"/>
    <n v="0"/>
    <m/>
    <m/>
    <m/>
    <n v="514515"/>
    <n v="171261"/>
    <x v="6"/>
    <x v="1"/>
    <x v="0"/>
    <x v="0"/>
    <s v="High Street, Hampton Hill"/>
    <x v="1"/>
    <x v="0"/>
    <m/>
    <x v="0"/>
    <s v="Y"/>
    <x v="1"/>
  </r>
  <r>
    <s v="20/2902/FUL"/>
    <x v="0"/>
    <x v="0"/>
    <x v="10"/>
    <d v="2024-10-28T00:00:00"/>
    <d v="2022-10-21T00:00:00"/>
    <m/>
    <x v="0"/>
    <d v="2024-08-28T00:00:00"/>
    <x v="0"/>
    <x v="0"/>
    <x v="0"/>
    <n v="2.8356164383561642"/>
    <x v="0"/>
    <s v="New 2-storey detached house with associated parking to replace existing bungalow. ."/>
    <s v="60A Wensleydale Road, Hampton TW12 2LX"/>
    <s v="TW12 2LX"/>
    <m/>
    <m/>
    <m/>
    <n v="1"/>
    <m/>
    <m/>
    <m/>
    <m/>
    <m/>
    <n v="1"/>
    <m/>
    <m/>
    <m/>
    <m/>
    <m/>
    <n v="1"/>
    <m/>
    <m/>
    <m/>
    <n v="1"/>
    <n v="0"/>
    <n v="0"/>
    <n v="-1"/>
    <n v="0"/>
    <n v="1"/>
    <n v="0"/>
    <n v="0"/>
    <n v="0"/>
    <n v="0"/>
    <x v="0"/>
    <n v="0"/>
    <m/>
    <m/>
    <m/>
    <m/>
    <m/>
    <m/>
    <m/>
    <m/>
    <m/>
    <m/>
    <m/>
    <m/>
    <m/>
    <m/>
    <m/>
    <m/>
    <n v="0"/>
    <n v="0"/>
    <m/>
    <m/>
    <m/>
    <n v="513562"/>
    <n v="170238"/>
    <x v="7"/>
    <x v="1"/>
    <x v="0"/>
    <x v="0"/>
    <m/>
    <x v="0"/>
    <x v="0"/>
    <m/>
    <x v="0"/>
    <s v="Y"/>
    <x v="1"/>
  </r>
  <r>
    <s v="20/3641/FUL"/>
    <x v="0"/>
    <x v="0"/>
    <x v="11"/>
    <d v="2024-05-12T00:00:00"/>
    <d v="2022-02-01T00:00:00"/>
    <m/>
    <x v="0"/>
    <d v="2024-11-01T00:00:00"/>
    <x v="0"/>
    <x v="0"/>
    <x v="0"/>
    <n v="3.4767123287671233"/>
    <x v="0"/>
    <s v="Demolition of existing semi-detached bungalow and garage replacement detached dwelling house (Class C3) comprising ground, first floor and accommodation within the roof space."/>
    <s v="2 Chestnut Avenue, Hampton TW12 2NU"/>
    <s v="TW12 2NU"/>
    <m/>
    <m/>
    <n v="1"/>
    <m/>
    <m/>
    <m/>
    <m/>
    <m/>
    <m/>
    <n v="1"/>
    <m/>
    <m/>
    <m/>
    <m/>
    <m/>
    <n v="1"/>
    <m/>
    <m/>
    <m/>
    <n v="1"/>
    <n v="0"/>
    <n v="-1"/>
    <n v="0"/>
    <n v="0"/>
    <n v="1"/>
    <n v="0"/>
    <n v="0"/>
    <n v="0"/>
    <n v="0"/>
    <x v="0"/>
    <n v="0"/>
    <m/>
    <m/>
    <m/>
    <m/>
    <m/>
    <m/>
    <m/>
    <m/>
    <m/>
    <m/>
    <m/>
    <m/>
    <m/>
    <m/>
    <m/>
    <m/>
    <n v="0"/>
    <n v="0"/>
    <m/>
    <m/>
    <m/>
    <n v="513278"/>
    <n v="170135"/>
    <x v="7"/>
    <x v="1"/>
    <x v="0"/>
    <x v="0"/>
    <m/>
    <x v="0"/>
    <x v="0"/>
    <m/>
    <x v="0"/>
    <s v="Y"/>
    <x v="1"/>
  </r>
  <r>
    <s v="21/1087/GPD15"/>
    <x v="1"/>
    <x v="1"/>
    <x v="12"/>
    <d v="2024-05-19T00:00:00"/>
    <d v="2024-02-02T00:00:00"/>
    <m/>
    <x v="0"/>
    <d v="2024-05-18T00:00:00"/>
    <x v="0"/>
    <x v="0"/>
    <x v="0"/>
    <n v="3"/>
    <x v="0"/>
    <s v="The proposed works is for the change of use of existing Class E office use on first floor to provide C3 3 x 1 bedroom units and a 1 x 2 bedroom unit"/>
    <s v="First Floor, 55 - 61 Heath Road, Twickenham"/>
    <s v="TW1 4AW"/>
    <m/>
    <m/>
    <m/>
    <m/>
    <m/>
    <m/>
    <m/>
    <m/>
    <m/>
    <n v="0"/>
    <m/>
    <n v="3"/>
    <n v="1"/>
    <m/>
    <m/>
    <m/>
    <m/>
    <m/>
    <m/>
    <n v="4"/>
    <n v="3"/>
    <n v="1"/>
    <n v="0"/>
    <n v="0"/>
    <n v="0"/>
    <n v="0"/>
    <n v="0"/>
    <n v="0"/>
    <n v="4"/>
    <x v="0"/>
    <n v="4"/>
    <m/>
    <m/>
    <m/>
    <m/>
    <m/>
    <m/>
    <m/>
    <m/>
    <m/>
    <m/>
    <m/>
    <m/>
    <m/>
    <m/>
    <m/>
    <m/>
    <n v="0"/>
    <n v="0"/>
    <m/>
    <m/>
    <m/>
    <n v="515975"/>
    <n v="173091"/>
    <x v="2"/>
    <x v="2"/>
    <x v="2"/>
    <x v="0"/>
    <m/>
    <x v="0"/>
    <x v="0"/>
    <m/>
    <x v="0"/>
    <s v="Y"/>
    <x v="2"/>
  </r>
  <r>
    <s v="21/1841/FUL"/>
    <x v="3"/>
    <x v="0"/>
    <x v="13"/>
    <d v="2026-02-16T00:00:00"/>
    <d v="2023-06-01T00:00:00"/>
    <m/>
    <x v="0"/>
    <d v="2025-03-31T00:00:00"/>
    <x v="0"/>
    <x v="0"/>
    <x v="0"/>
    <n v="2.1205479452054794"/>
    <x v="0"/>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x v="0"/>
    <n v="2"/>
    <m/>
    <m/>
    <m/>
    <m/>
    <m/>
    <m/>
    <m/>
    <m/>
    <m/>
    <m/>
    <m/>
    <m/>
    <m/>
    <m/>
    <m/>
    <m/>
    <n v="0"/>
    <n v="0"/>
    <m/>
    <m/>
    <m/>
    <n v="513825"/>
    <n v="169567"/>
    <x v="7"/>
    <x v="1"/>
    <x v="0"/>
    <x v="0"/>
    <m/>
    <x v="0"/>
    <x v="0"/>
    <s v="CA12 Hampton Village"/>
    <x v="1"/>
    <s v="Y"/>
    <x v="1"/>
  </r>
  <r>
    <s v="21/1925/GPD15"/>
    <x v="1"/>
    <x v="1"/>
    <x v="14"/>
    <d v="2026-05-24T00:00:00"/>
    <d v="2023-12-18T00:00:00"/>
    <m/>
    <x v="0"/>
    <d v="2024-07-25T00:00:00"/>
    <x v="0"/>
    <x v="0"/>
    <x v="0"/>
    <n v="3"/>
    <x v="0"/>
    <s v="Change of use of the existing office to create three dwellings"/>
    <s v="1A Rosedale Road, Richmond TW9 2SX"/>
    <s v="TW9 2SX"/>
    <m/>
    <m/>
    <m/>
    <m/>
    <m/>
    <m/>
    <m/>
    <m/>
    <m/>
    <n v="0"/>
    <m/>
    <n v="2"/>
    <n v="1"/>
    <m/>
    <m/>
    <m/>
    <m/>
    <m/>
    <m/>
    <n v="3"/>
    <n v="2"/>
    <n v="1"/>
    <n v="0"/>
    <n v="0"/>
    <n v="0"/>
    <n v="0"/>
    <n v="0"/>
    <n v="0"/>
    <n v="3"/>
    <x v="0"/>
    <n v="3"/>
    <m/>
    <m/>
    <m/>
    <m/>
    <m/>
    <m/>
    <m/>
    <m/>
    <m/>
    <m/>
    <m/>
    <m/>
    <m/>
    <m/>
    <m/>
    <m/>
    <n v="0"/>
    <n v="0"/>
    <m/>
    <m/>
    <m/>
    <n v="518108"/>
    <n v="175469"/>
    <x v="8"/>
    <x v="4"/>
    <x v="0"/>
    <x v="0"/>
    <m/>
    <x v="0"/>
    <x v="0"/>
    <s v="CA36 Kew Foot Road"/>
    <x v="1"/>
    <s v="Y"/>
    <x v="4"/>
  </r>
  <r>
    <s v="21/2151/FUL"/>
    <x v="0"/>
    <x v="0"/>
    <x v="15"/>
    <d v="2025-08-10T00:00:00"/>
    <d v="2023-10-16T00:00:00"/>
    <m/>
    <x v="0"/>
    <d v="2025-02-06T00:00:00"/>
    <x v="0"/>
    <x v="0"/>
    <x v="0"/>
    <n v="2.495890410958904"/>
    <x v="0"/>
    <s v="Demolition of the existing three storey house and erection of a replacement two storey plus basement single family dwelling with associated hard and soft landscpaing and refuse store."/>
    <s v="40 West Temple Sheen, East Sheen SW14 7AP"/>
    <s v="SW14 7AP"/>
    <m/>
    <m/>
    <m/>
    <m/>
    <m/>
    <n v="1"/>
    <m/>
    <m/>
    <m/>
    <n v="1"/>
    <m/>
    <m/>
    <m/>
    <m/>
    <m/>
    <n v="1"/>
    <m/>
    <m/>
    <m/>
    <n v="1"/>
    <n v="0"/>
    <n v="0"/>
    <n v="0"/>
    <n v="0"/>
    <n v="0"/>
    <n v="0"/>
    <n v="0"/>
    <n v="0"/>
    <n v="0"/>
    <x v="0"/>
    <n v="0"/>
    <m/>
    <m/>
    <m/>
    <m/>
    <m/>
    <m/>
    <m/>
    <m/>
    <m/>
    <m/>
    <m/>
    <m/>
    <m/>
    <m/>
    <m/>
    <m/>
    <n v="0"/>
    <n v="0"/>
    <m/>
    <m/>
    <m/>
    <n v="519892"/>
    <n v="174721"/>
    <x v="9"/>
    <x v="3"/>
    <x v="0"/>
    <x v="0"/>
    <m/>
    <x v="0"/>
    <x v="0"/>
    <m/>
    <x v="0"/>
    <s v="Y"/>
    <x v="5"/>
  </r>
  <r>
    <s v="21/2642/FUL"/>
    <x v="1"/>
    <x v="0"/>
    <x v="16"/>
    <d v="2025-04-08T00:00:00"/>
    <d v="2023-07-28T00:00:00"/>
    <m/>
    <x v="0"/>
    <d v="2024-08-09T00:00:00"/>
    <x v="0"/>
    <x v="1"/>
    <x v="0"/>
    <n v="2.3397260273972602"/>
    <x v="0"/>
    <s v="Change of use to four C3 residential units for supported living together with external alterations including changes to the roof form and a first floor extension"/>
    <s v="67A Holly Road, Twickenham TW1 4HF"/>
    <s v="TW1 4HF"/>
    <m/>
    <m/>
    <m/>
    <m/>
    <m/>
    <m/>
    <m/>
    <m/>
    <m/>
    <n v="0"/>
    <s v="Y"/>
    <n v="4"/>
    <m/>
    <m/>
    <m/>
    <m/>
    <m/>
    <m/>
    <m/>
    <n v="4"/>
    <n v="4"/>
    <n v="0"/>
    <n v="0"/>
    <n v="0"/>
    <n v="0"/>
    <n v="0"/>
    <n v="0"/>
    <n v="0"/>
    <n v="4"/>
    <x v="0"/>
    <n v="4"/>
    <m/>
    <m/>
    <m/>
    <m/>
    <m/>
    <m/>
    <m/>
    <m/>
    <m/>
    <m/>
    <m/>
    <m/>
    <m/>
    <m/>
    <m/>
    <m/>
    <n v="0"/>
    <n v="0"/>
    <m/>
    <m/>
    <m/>
    <n v="516114"/>
    <n v="173184"/>
    <x v="4"/>
    <x v="2"/>
    <x v="2"/>
    <x v="0"/>
    <m/>
    <x v="0"/>
    <x v="0"/>
    <m/>
    <x v="0"/>
    <s v="Y"/>
    <x v="2"/>
  </r>
  <r>
    <s v="21/3140/FUL"/>
    <x v="0"/>
    <x v="0"/>
    <x v="17"/>
    <d v="2025-08-12T00:00:00"/>
    <d v="2023-12-01T00:00:00"/>
    <m/>
    <x v="0"/>
    <d v="2025-03-31T00:00:00"/>
    <x v="0"/>
    <x v="0"/>
    <x v="0"/>
    <n v="2.6356164383561644"/>
    <x v="1"/>
    <s v="Demolition of 3 houses and construction of 8 new houses at 38 to 42 Vincam close"/>
    <s v="38 - 42 Vincam Close, Twickenham"/>
    <s v="TW2 7AB"/>
    <m/>
    <m/>
    <n v="1"/>
    <n v="1"/>
    <m/>
    <n v="1"/>
    <m/>
    <m/>
    <m/>
    <n v="3"/>
    <m/>
    <m/>
    <m/>
    <n v="6"/>
    <n v="2"/>
    <m/>
    <m/>
    <m/>
    <m/>
    <n v="8"/>
    <n v="0"/>
    <n v="-1"/>
    <n v="5"/>
    <n v="2"/>
    <n v="-1"/>
    <n v="0"/>
    <n v="0"/>
    <n v="0"/>
    <n v="5"/>
    <x v="0"/>
    <n v="5"/>
    <m/>
    <m/>
    <m/>
    <m/>
    <m/>
    <m/>
    <m/>
    <m/>
    <m/>
    <m/>
    <m/>
    <m/>
    <m/>
    <m/>
    <m/>
    <m/>
    <n v="0"/>
    <n v="0"/>
    <m/>
    <m/>
    <m/>
    <n v="513356"/>
    <n v="173823"/>
    <x v="0"/>
    <x v="0"/>
    <x v="0"/>
    <x v="0"/>
    <m/>
    <x v="0"/>
    <x v="0"/>
    <m/>
    <x v="0"/>
    <s v="Y"/>
    <x v="0"/>
  </r>
  <r>
    <s v="21/3330/FUL"/>
    <x v="0"/>
    <x v="0"/>
    <x v="18"/>
    <d v="2025-02-02T00:00:00"/>
    <d v="2023-09-11T00:00:00"/>
    <m/>
    <x v="0"/>
    <d v="2024-12-16T00:00:00"/>
    <x v="0"/>
    <x v="0"/>
    <x v="0"/>
    <n v="2.871232876712329"/>
    <x v="0"/>
    <s v="Construction of terrace of 3 family houses with associated parking and landscaping."/>
    <s v="Car Park, Brooklands Place, Hampton"/>
    <s v="TW12"/>
    <m/>
    <m/>
    <m/>
    <m/>
    <m/>
    <m/>
    <m/>
    <m/>
    <m/>
    <n v="0"/>
    <m/>
    <m/>
    <m/>
    <n v="3"/>
    <m/>
    <m/>
    <m/>
    <m/>
    <m/>
    <n v="3"/>
    <n v="0"/>
    <n v="0"/>
    <n v="3"/>
    <n v="0"/>
    <n v="0"/>
    <n v="0"/>
    <n v="0"/>
    <n v="0"/>
    <n v="3"/>
    <x v="0"/>
    <n v="3"/>
    <m/>
    <m/>
    <m/>
    <m/>
    <m/>
    <m/>
    <m/>
    <m/>
    <m/>
    <m/>
    <m/>
    <m/>
    <m/>
    <m/>
    <m/>
    <m/>
    <n v="0"/>
    <n v="0"/>
    <m/>
    <m/>
    <m/>
    <n v="513958"/>
    <n v="171178"/>
    <x v="6"/>
    <x v="1"/>
    <x v="0"/>
    <x v="0"/>
    <m/>
    <x v="0"/>
    <x v="0"/>
    <m/>
    <x v="0"/>
    <m/>
    <x v="1"/>
  </r>
  <r>
    <s v="21/4123/GPD26"/>
    <x v="1"/>
    <x v="1"/>
    <x v="19"/>
    <d v="2025-01-21T00:00:00"/>
    <d v="2023-01-10T00:00:00"/>
    <m/>
    <x v="0"/>
    <d v="2024-12-09T00:00:00"/>
    <x v="0"/>
    <x v="0"/>
    <x v="0"/>
    <n v="2.8849315068493149"/>
    <x v="0"/>
    <s v="Change of use and conversion of Unit H from Use Class E office to Use Class C3 dwelling house, with ground level car and cycle parking and refuse storage."/>
    <s v="Unit H, 42 Upper Richmond Road West, East Sheen SW14 8DD"/>
    <s v="SW14 8DD"/>
    <m/>
    <m/>
    <m/>
    <m/>
    <m/>
    <m/>
    <m/>
    <m/>
    <m/>
    <n v="0"/>
    <m/>
    <n v="1"/>
    <m/>
    <m/>
    <m/>
    <m/>
    <m/>
    <m/>
    <m/>
    <n v="1"/>
    <n v="1"/>
    <n v="0"/>
    <n v="0"/>
    <n v="0"/>
    <n v="0"/>
    <n v="0"/>
    <n v="0"/>
    <n v="0"/>
    <n v="1"/>
    <x v="0"/>
    <n v="1"/>
    <m/>
    <m/>
    <m/>
    <m/>
    <m/>
    <m/>
    <m/>
    <m/>
    <m/>
    <m/>
    <m/>
    <m/>
    <m/>
    <m/>
    <m/>
    <m/>
    <n v="0"/>
    <n v="0"/>
    <m/>
    <m/>
    <m/>
    <n v="521328"/>
    <n v="175496"/>
    <x v="5"/>
    <x v="3"/>
    <x v="0"/>
    <x v="0"/>
    <m/>
    <x v="0"/>
    <x v="0"/>
    <m/>
    <x v="0"/>
    <s v="Y"/>
    <x v="5"/>
  </r>
  <r>
    <s v="22/0304/GPD26"/>
    <x v="1"/>
    <x v="1"/>
    <x v="20"/>
    <d v="2025-03-24T00:00:00"/>
    <d v="2023-01-10T00:00:00"/>
    <m/>
    <x v="0"/>
    <d v="2024-12-06T00:00:00"/>
    <x v="0"/>
    <x v="0"/>
    <x v="0"/>
    <n v="2.7068493150684931"/>
    <x v="0"/>
    <s v="Change of use from class E office to single dwellinghouse, with ground level car and cycle parking and refuse storage."/>
    <s v="Unit J1 And J2, 42 Upper Richmond Road West, East Sheen SW14 8DD"/>
    <s v="SW14 8DD"/>
    <m/>
    <m/>
    <m/>
    <m/>
    <m/>
    <m/>
    <m/>
    <m/>
    <m/>
    <n v="0"/>
    <m/>
    <m/>
    <n v="1"/>
    <m/>
    <m/>
    <m/>
    <m/>
    <m/>
    <m/>
    <n v="1"/>
    <n v="0"/>
    <n v="1"/>
    <n v="0"/>
    <n v="0"/>
    <n v="0"/>
    <n v="0"/>
    <n v="0"/>
    <n v="0"/>
    <n v="1"/>
    <x v="0"/>
    <n v="1"/>
    <m/>
    <m/>
    <m/>
    <m/>
    <m/>
    <m/>
    <m/>
    <m/>
    <m/>
    <m/>
    <m/>
    <m/>
    <m/>
    <m/>
    <m/>
    <m/>
    <n v="0"/>
    <n v="0"/>
    <m/>
    <m/>
    <m/>
    <n v="521328"/>
    <n v="175496"/>
    <x v="5"/>
    <x v="3"/>
    <x v="0"/>
    <x v="0"/>
    <m/>
    <x v="0"/>
    <x v="0"/>
    <m/>
    <x v="0"/>
    <s v="Y"/>
    <x v="5"/>
  </r>
  <r>
    <s v="22/0487/FUL"/>
    <x v="0"/>
    <x v="0"/>
    <x v="21"/>
    <d v="2026-08-30T00:00:00"/>
    <d v="2024-07-01T00:00:00"/>
    <s v="Y"/>
    <x v="0"/>
    <d v="2025-02-01T00:00:00"/>
    <x v="0"/>
    <x v="0"/>
    <x v="0"/>
    <n v="2.5452054794520547"/>
    <x v="0"/>
    <s v="Erection of a 3 bedroom attached dwelling.  Demolition of existing timber outbuildings."/>
    <s v="147 Haliburton Road, Twickenham TW1 1PE"/>
    <s v="TW1 1PE"/>
    <m/>
    <m/>
    <m/>
    <m/>
    <m/>
    <m/>
    <m/>
    <m/>
    <m/>
    <n v="0"/>
    <m/>
    <m/>
    <m/>
    <n v="1"/>
    <m/>
    <m/>
    <m/>
    <m/>
    <m/>
    <n v="1"/>
    <n v="0"/>
    <n v="0"/>
    <n v="1"/>
    <n v="0"/>
    <n v="0"/>
    <n v="0"/>
    <n v="0"/>
    <n v="0"/>
    <n v="1"/>
    <x v="0"/>
    <n v="1"/>
    <m/>
    <m/>
    <m/>
    <m/>
    <m/>
    <m/>
    <m/>
    <m/>
    <m/>
    <m/>
    <m/>
    <m/>
    <m/>
    <m/>
    <m/>
    <m/>
    <n v="0"/>
    <n v="0"/>
    <m/>
    <m/>
    <m/>
    <n v="516377"/>
    <n v="174907"/>
    <x v="3"/>
    <x v="2"/>
    <x v="0"/>
    <x v="0"/>
    <m/>
    <x v="0"/>
    <x v="0"/>
    <m/>
    <x v="0"/>
    <s v="Y"/>
    <x v="2"/>
  </r>
  <r>
    <s v="22/1453/FUL"/>
    <x v="0"/>
    <x v="0"/>
    <x v="22"/>
    <d v="2026-02-07T00:00:00"/>
    <d v="2023-10-01T00:00:00"/>
    <m/>
    <x v="0"/>
    <d v="2025-03-31T00:00:00"/>
    <x v="0"/>
    <x v="0"/>
    <x v="0"/>
    <n v="2.1452054794520548"/>
    <x v="0"/>
    <s v="Proposed four bedroom dwelling house with full wheelchair accessibility to all levels &amp; rooms.  The proposed dwelling is to be built in the side garden of number 47 Nightingale Road."/>
    <s v="47 Nightingale Road, Hampton TW12 3HZ"/>
    <s v="TW12 3HZ"/>
    <m/>
    <m/>
    <m/>
    <m/>
    <m/>
    <m/>
    <m/>
    <m/>
    <m/>
    <n v="0"/>
    <m/>
    <m/>
    <m/>
    <m/>
    <n v="1"/>
    <m/>
    <m/>
    <m/>
    <m/>
    <n v="1"/>
    <n v="0"/>
    <n v="0"/>
    <n v="0"/>
    <n v="1"/>
    <n v="0"/>
    <n v="0"/>
    <n v="0"/>
    <n v="0"/>
    <n v="1"/>
    <x v="0"/>
    <n v="1"/>
    <m/>
    <m/>
    <m/>
    <m/>
    <m/>
    <m/>
    <m/>
    <m/>
    <m/>
    <m/>
    <m/>
    <m/>
    <m/>
    <m/>
    <m/>
    <m/>
    <n v="0"/>
    <n v="0"/>
    <m/>
    <m/>
    <m/>
    <n v="513292"/>
    <n v="170919"/>
    <x v="1"/>
    <x v="1"/>
    <x v="0"/>
    <x v="0"/>
    <m/>
    <x v="0"/>
    <x v="0"/>
    <m/>
    <x v="0"/>
    <m/>
    <x v="1"/>
  </r>
  <r>
    <s v="22/1458/FUL"/>
    <x v="0"/>
    <x v="0"/>
    <x v="23"/>
    <d v="2026-09-06T00:00:00"/>
    <d v="2023-12-01T00:00:00"/>
    <m/>
    <x v="0"/>
    <d v="2024-11-30T00:00:00"/>
    <x v="0"/>
    <x v="0"/>
    <x v="0"/>
    <n v="1.2356164383561643"/>
    <x v="0"/>
    <s v="Erect new end-of-terrace dwelling. Part removal of ground floor rear extension on existing dwellinghouse (amended description)."/>
    <s v="57 Warwick Road, Twickenham TW2 6SW"/>
    <s v="TW2 6SW"/>
    <m/>
    <m/>
    <m/>
    <m/>
    <m/>
    <m/>
    <m/>
    <m/>
    <m/>
    <n v="0"/>
    <m/>
    <m/>
    <n v="1"/>
    <m/>
    <m/>
    <m/>
    <m/>
    <m/>
    <m/>
    <n v="1"/>
    <n v="0"/>
    <n v="1"/>
    <n v="0"/>
    <n v="0"/>
    <n v="0"/>
    <n v="0"/>
    <n v="0"/>
    <n v="0"/>
    <n v="1"/>
    <x v="0"/>
    <n v="1"/>
    <m/>
    <m/>
    <m/>
    <m/>
    <m/>
    <m/>
    <m/>
    <m/>
    <m/>
    <m/>
    <m/>
    <m/>
    <m/>
    <m/>
    <m/>
    <m/>
    <n v="0"/>
    <n v="0"/>
    <m/>
    <m/>
    <m/>
    <n v="515447"/>
    <n v="173212"/>
    <x v="2"/>
    <x v="2"/>
    <x v="0"/>
    <x v="0"/>
    <m/>
    <x v="0"/>
    <x v="0"/>
    <s v="CA72 Hamilton Road Twickenham"/>
    <x v="1"/>
    <s v="Y"/>
    <x v="2"/>
  </r>
  <r>
    <s v="22/1568/FUL"/>
    <x v="0"/>
    <x v="0"/>
    <x v="24"/>
    <d v="2025-08-09T00:00:00"/>
    <d v="2023-07-01T00:00:00"/>
    <m/>
    <x v="0"/>
    <d v="2024-08-29T00:00:00"/>
    <x v="0"/>
    <x v="0"/>
    <x v="0"/>
    <n v="2.0575342465753423"/>
    <x v="0"/>
    <s v="Demolition of the existing 5-bed bungalow and replacement with a 5-bed family house. Associated hard and soft landscaping. Installation of vehicular and pedestrian gate. Bike and refuse stores."/>
    <s v="Jude Gate, 35 Ham Common, Ham, Richmond TW10 7JG"/>
    <s v="TW10 7JG"/>
    <m/>
    <m/>
    <m/>
    <m/>
    <n v="1"/>
    <m/>
    <m/>
    <m/>
    <m/>
    <n v="1"/>
    <m/>
    <m/>
    <m/>
    <m/>
    <m/>
    <n v="1"/>
    <m/>
    <m/>
    <m/>
    <n v="1"/>
    <n v="0"/>
    <n v="0"/>
    <n v="0"/>
    <n v="-1"/>
    <n v="1"/>
    <n v="0"/>
    <n v="0"/>
    <n v="0"/>
    <n v="0"/>
    <x v="0"/>
    <n v="0"/>
    <m/>
    <m/>
    <m/>
    <m/>
    <m/>
    <m/>
    <m/>
    <m/>
    <m/>
    <m/>
    <m/>
    <m/>
    <m/>
    <m/>
    <m/>
    <m/>
    <n v="0"/>
    <n v="0"/>
    <m/>
    <m/>
    <m/>
    <n v="517549"/>
    <n v="172179"/>
    <x v="10"/>
    <x v="5"/>
    <x v="0"/>
    <x v="0"/>
    <m/>
    <x v="0"/>
    <x v="0"/>
    <s v="CA7 Ham Common"/>
    <x v="1"/>
    <m/>
    <x v="6"/>
  </r>
  <r>
    <s v="22/1711/FUL"/>
    <x v="0"/>
    <x v="0"/>
    <x v="25"/>
    <d v="2026-04-20T00:00:00"/>
    <d v="2023-11-01T00:00:00"/>
    <m/>
    <x v="0"/>
    <d v="2025-01-31T00:00:00"/>
    <x v="0"/>
    <x v="0"/>
    <x v="0"/>
    <n v="1.7863013698630137"/>
    <x v="0"/>
    <s v="Demolition of existing building. Erection of 2 semi-detached houses with associated landscaping, parking, and refuse/cycle storage."/>
    <s v="116A Amyand Park Road, Twickenham TW1 3HP"/>
    <s v="TW1 3HP"/>
    <m/>
    <m/>
    <m/>
    <n v="1"/>
    <m/>
    <m/>
    <m/>
    <m/>
    <m/>
    <n v="1"/>
    <m/>
    <m/>
    <m/>
    <n v="2"/>
    <m/>
    <m/>
    <m/>
    <m/>
    <m/>
    <n v="2"/>
    <n v="0"/>
    <n v="0"/>
    <n v="1"/>
    <n v="0"/>
    <n v="0"/>
    <n v="0"/>
    <n v="0"/>
    <n v="0"/>
    <n v="1"/>
    <x v="0"/>
    <n v="1"/>
    <m/>
    <m/>
    <m/>
    <m/>
    <m/>
    <m/>
    <m/>
    <m/>
    <m/>
    <m/>
    <m/>
    <m/>
    <m/>
    <m/>
    <m/>
    <m/>
    <n v="0"/>
    <n v="0"/>
    <m/>
    <m/>
    <m/>
    <n v="516560"/>
    <n v="173850"/>
    <x v="4"/>
    <x v="2"/>
    <x v="0"/>
    <x v="0"/>
    <m/>
    <x v="0"/>
    <x v="0"/>
    <m/>
    <x v="0"/>
    <s v="Y"/>
    <x v="2"/>
  </r>
  <r>
    <s v="22/1742/FUL"/>
    <x v="0"/>
    <x v="0"/>
    <x v="26"/>
    <d v="2025-12-09T00:00:00"/>
    <d v="2024-01-29T00:00:00"/>
    <m/>
    <x v="0"/>
    <d v="2025-03-31T00:00:00"/>
    <x v="0"/>
    <x v="0"/>
    <x v="0"/>
    <n v="2.3095890410958906"/>
    <x v="0"/>
    <s v="Demolition of existing building and erection of two semi-detached houses"/>
    <s v="34 Udney Park Road, Teddington TW11 9BG"/>
    <s v="TW11 9BG"/>
    <m/>
    <m/>
    <m/>
    <n v="1"/>
    <m/>
    <m/>
    <m/>
    <m/>
    <m/>
    <n v="1"/>
    <m/>
    <m/>
    <m/>
    <m/>
    <n v="2"/>
    <m/>
    <m/>
    <m/>
    <m/>
    <n v="2"/>
    <n v="0"/>
    <n v="0"/>
    <n v="-1"/>
    <n v="2"/>
    <n v="0"/>
    <n v="0"/>
    <n v="0"/>
    <n v="0"/>
    <n v="1"/>
    <x v="0"/>
    <n v="1"/>
    <m/>
    <m/>
    <m/>
    <m/>
    <m/>
    <m/>
    <m/>
    <m/>
    <m/>
    <m/>
    <m/>
    <m/>
    <m/>
    <m/>
    <m/>
    <m/>
    <n v="0"/>
    <n v="0"/>
    <m/>
    <m/>
    <m/>
    <n v="516303"/>
    <n v="170784"/>
    <x v="11"/>
    <x v="1"/>
    <x v="0"/>
    <x v="0"/>
    <m/>
    <x v="0"/>
    <x v="0"/>
    <m/>
    <x v="0"/>
    <s v="Y"/>
    <x v="7"/>
  </r>
  <r>
    <s v="22/2082/FUL"/>
    <x v="0"/>
    <x v="0"/>
    <x v="27"/>
    <d v="2026-01-19T00:00:00"/>
    <d v="2023-10-23T00:00:00"/>
    <m/>
    <x v="0"/>
    <d v="2024-11-18T00:00:00"/>
    <x v="0"/>
    <x v="1"/>
    <x v="0"/>
    <n v="1.832876712328767"/>
    <x v="1"/>
    <s v="Demolition of 17 existing garages and erection of five one-bed single-storey dwellings (almshouses) for the over 65s."/>
    <s v="Garages Rear Of 20 - 34 St Marys Grove, Richmond"/>
    <s v="TW9 1UY"/>
    <m/>
    <m/>
    <m/>
    <m/>
    <m/>
    <m/>
    <m/>
    <m/>
    <m/>
    <n v="0"/>
    <s v="Y"/>
    <n v="5"/>
    <m/>
    <m/>
    <m/>
    <m/>
    <m/>
    <m/>
    <m/>
    <n v="5"/>
    <n v="5"/>
    <n v="0"/>
    <n v="0"/>
    <n v="0"/>
    <n v="0"/>
    <n v="0"/>
    <n v="0"/>
    <n v="0"/>
    <n v="5"/>
    <x v="0"/>
    <n v="5"/>
    <m/>
    <m/>
    <m/>
    <m/>
    <m/>
    <m/>
    <m/>
    <m/>
    <m/>
    <m/>
    <m/>
    <m/>
    <m/>
    <m/>
    <m/>
    <m/>
    <n v="0"/>
    <n v="0"/>
    <m/>
    <m/>
    <m/>
    <n v="518758"/>
    <n v="175172"/>
    <x v="8"/>
    <x v="4"/>
    <x v="0"/>
    <x v="0"/>
    <m/>
    <x v="0"/>
    <x v="0"/>
    <s v="CA31 Sheen Road Richmond"/>
    <x v="1"/>
    <s v="Y"/>
    <x v="4"/>
  </r>
  <r>
    <s v="22/2337/GPD26"/>
    <x v="4"/>
    <x v="1"/>
    <x v="28"/>
    <d v="2025-09-16T00:00:00"/>
    <d v="2024-01-16T00:00:00"/>
    <m/>
    <x v="0"/>
    <d v="2024-10-23T00:00:00"/>
    <x v="0"/>
    <x v="0"/>
    <x v="0"/>
    <n v="2.1041095890410957"/>
    <x v="0"/>
    <s v="Conversion of 3 Friars Lane to provide 2no. flats"/>
    <s v="3 Friars Lane, Richmond TW9 1NL"/>
    <s v="TW9 1NL"/>
    <m/>
    <m/>
    <m/>
    <m/>
    <m/>
    <m/>
    <m/>
    <m/>
    <m/>
    <n v="0"/>
    <m/>
    <n v="2"/>
    <m/>
    <m/>
    <m/>
    <m/>
    <m/>
    <m/>
    <m/>
    <n v="2"/>
    <n v="2"/>
    <n v="0"/>
    <n v="0"/>
    <n v="0"/>
    <n v="0"/>
    <n v="0"/>
    <n v="0"/>
    <n v="0"/>
    <n v="2"/>
    <x v="0"/>
    <n v="2"/>
    <m/>
    <m/>
    <m/>
    <m/>
    <m/>
    <m/>
    <m/>
    <m/>
    <m/>
    <m/>
    <m/>
    <m/>
    <m/>
    <m/>
    <m/>
    <m/>
    <n v="0"/>
    <n v="0"/>
    <m/>
    <m/>
    <m/>
    <n v="517628"/>
    <n v="174828"/>
    <x v="12"/>
    <x v="4"/>
    <x v="0"/>
    <x v="0"/>
    <m/>
    <x v="0"/>
    <x v="0"/>
    <s v="CA3 Richmond Green"/>
    <x v="1"/>
    <s v="Y"/>
    <x v="4"/>
  </r>
  <r>
    <s v="22/2338/GPD26"/>
    <x v="1"/>
    <x v="1"/>
    <x v="28"/>
    <d v="2025-09-16T00:00:00"/>
    <d v="2024-01-16T00:00:00"/>
    <m/>
    <x v="0"/>
    <d v="2024-10-23T00:00:00"/>
    <x v="0"/>
    <x v="0"/>
    <x v="0"/>
    <n v="2.1041095890410957"/>
    <x v="0"/>
    <s v="Conversion of part of 4 Friars Lane to provide 1no. flat"/>
    <s v="4 Friars Lane, Richmond TW9 1NL"/>
    <s v="TW9 1NL"/>
    <m/>
    <m/>
    <m/>
    <m/>
    <m/>
    <m/>
    <m/>
    <m/>
    <m/>
    <n v="0"/>
    <m/>
    <n v="1"/>
    <m/>
    <m/>
    <m/>
    <m/>
    <m/>
    <m/>
    <m/>
    <n v="1"/>
    <n v="1"/>
    <n v="0"/>
    <n v="0"/>
    <n v="0"/>
    <n v="0"/>
    <n v="0"/>
    <n v="0"/>
    <n v="0"/>
    <n v="1"/>
    <x v="0"/>
    <n v="1"/>
    <m/>
    <m/>
    <m/>
    <m/>
    <m/>
    <m/>
    <m/>
    <m/>
    <m/>
    <m/>
    <m/>
    <m/>
    <m/>
    <m/>
    <m/>
    <m/>
    <n v="0"/>
    <n v="0"/>
    <m/>
    <m/>
    <m/>
    <n v="517621"/>
    <n v="174819"/>
    <x v="12"/>
    <x v="4"/>
    <x v="0"/>
    <x v="0"/>
    <m/>
    <x v="0"/>
    <x v="0"/>
    <s v="CA3 Richmond Green"/>
    <x v="1"/>
    <s v="Y"/>
    <x v="4"/>
  </r>
  <r>
    <s v="22/2628/FUL"/>
    <x v="4"/>
    <x v="0"/>
    <x v="29"/>
    <d v="2025-11-16T00:00:00"/>
    <d v="2023-01-09T00:00:00"/>
    <m/>
    <x v="0"/>
    <d v="2025-03-11T00:00:00"/>
    <x v="0"/>
    <x v="0"/>
    <x v="0"/>
    <n v="2.3178082191780822"/>
    <x v="0"/>
    <s v="New single storey side extension, new verandah roof, replacement fenestration to all elevations, new rooflights to existing rear extension, new roof dormers and associated landscaping to facilitate the conversion of existing 2 properties into 1 dwellinghouse"/>
    <s v="174 Kew Road, Kew, Richmond TW9 2AS"/>
    <s v="TW9 2AS"/>
    <m/>
    <m/>
    <m/>
    <n v="1"/>
    <m/>
    <n v="1"/>
    <m/>
    <m/>
    <m/>
    <n v="2"/>
    <m/>
    <m/>
    <m/>
    <m/>
    <m/>
    <m/>
    <m/>
    <m/>
    <n v="1"/>
    <n v="1"/>
    <n v="0"/>
    <n v="0"/>
    <n v="-1"/>
    <n v="0"/>
    <n v="-1"/>
    <n v="0"/>
    <n v="0"/>
    <n v="1"/>
    <n v="-1"/>
    <x v="0"/>
    <n v="-1"/>
    <m/>
    <m/>
    <m/>
    <m/>
    <m/>
    <m/>
    <m/>
    <m/>
    <m/>
    <m/>
    <m/>
    <m/>
    <m/>
    <m/>
    <m/>
    <m/>
    <n v="0"/>
    <n v="0"/>
    <m/>
    <m/>
    <m/>
    <n v="518652"/>
    <n v="175923"/>
    <x v="8"/>
    <x v="4"/>
    <x v="0"/>
    <x v="0"/>
    <m/>
    <x v="0"/>
    <x v="0"/>
    <s v="CA55 Kew Road"/>
    <x v="1"/>
    <s v="Y"/>
    <x v="8"/>
  </r>
  <r>
    <s v="22/3002/GPD26"/>
    <x v="1"/>
    <x v="1"/>
    <x v="30"/>
    <d v="2025-11-20T00:00:00"/>
    <d v="2024-01-16T00:00:00"/>
    <m/>
    <x v="0"/>
    <d v="2024-10-23T00:00:00"/>
    <x v="0"/>
    <x v="0"/>
    <x v="0"/>
    <n v="1.904109589041096"/>
    <x v="0"/>
    <s v="Conversion of offices on ground floor (Class E Use) to 1no. residential dwelling (Class C3 Use)"/>
    <s v="Friars Way, The Green, Richmond TW9 1NQ"/>
    <s v="TW9 1NQ"/>
    <m/>
    <m/>
    <m/>
    <m/>
    <m/>
    <m/>
    <m/>
    <m/>
    <m/>
    <n v="0"/>
    <m/>
    <n v="1"/>
    <m/>
    <m/>
    <m/>
    <m/>
    <m/>
    <m/>
    <m/>
    <n v="1"/>
    <n v="1"/>
    <n v="0"/>
    <n v="0"/>
    <n v="0"/>
    <n v="0"/>
    <n v="0"/>
    <n v="0"/>
    <n v="0"/>
    <n v="1"/>
    <x v="0"/>
    <n v="1"/>
    <m/>
    <m/>
    <m/>
    <m/>
    <m/>
    <m/>
    <m/>
    <m/>
    <m/>
    <m/>
    <m/>
    <m/>
    <m/>
    <m/>
    <m/>
    <m/>
    <n v="0"/>
    <n v="0"/>
    <m/>
    <m/>
    <m/>
    <n v="517638"/>
    <n v="174846"/>
    <x v="12"/>
    <x v="4"/>
    <x v="0"/>
    <x v="0"/>
    <m/>
    <x v="0"/>
    <x v="0"/>
    <s v="CA3 Richmond Green"/>
    <x v="1"/>
    <s v="Y"/>
    <x v="4"/>
  </r>
  <r>
    <s v="22/3061/FUL"/>
    <x v="2"/>
    <x v="0"/>
    <x v="31"/>
    <d v="2027-03-01T00:00:00"/>
    <d v="2024-07-01T00:00:00"/>
    <s v="Y"/>
    <x v="0"/>
    <d v="2025-03-31T00:00:00"/>
    <x v="0"/>
    <x v="0"/>
    <x v="0"/>
    <n v="1.0821917808219179"/>
    <x v="0"/>
    <s v="Additional storey to add two single bed dwellings"/>
    <s v="118A - 118B High Street, Hampton Hill, Hampton TW12 1NT"/>
    <s v="TW12 1NT"/>
    <m/>
    <m/>
    <m/>
    <m/>
    <m/>
    <m/>
    <m/>
    <m/>
    <m/>
    <n v="0"/>
    <m/>
    <n v="2"/>
    <m/>
    <m/>
    <m/>
    <m/>
    <m/>
    <m/>
    <m/>
    <n v="2"/>
    <n v="2"/>
    <n v="0"/>
    <n v="0"/>
    <n v="0"/>
    <n v="0"/>
    <n v="0"/>
    <n v="0"/>
    <n v="0"/>
    <n v="2"/>
    <x v="0"/>
    <n v="2"/>
    <m/>
    <m/>
    <m/>
    <m/>
    <m/>
    <m/>
    <m/>
    <m/>
    <m/>
    <m/>
    <m/>
    <m/>
    <m/>
    <m/>
    <m/>
    <m/>
    <n v="0"/>
    <n v="0"/>
    <m/>
    <m/>
    <m/>
    <n v="514515"/>
    <n v="171261"/>
    <x v="6"/>
    <x v="1"/>
    <x v="0"/>
    <x v="0"/>
    <s v="High Street, Hampton Hill"/>
    <x v="1"/>
    <x v="0"/>
    <m/>
    <x v="0"/>
    <s v="Y"/>
    <x v="1"/>
  </r>
  <r>
    <s v="22/3626/GPD26"/>
    <x v="1"/>
    <x v="1"/>
    <x v="32"/>
    <d v="2026-01-26T00:00:00"/>
    <d v="2024-01-16T00:00:00"/>
    <m/>
    <x v="0"/>
    <d v="2024-10-23T00:00:00"/>
    <x v="0"/>
    <x v="0"/>
    <x v="0"/>
    <n v="1.7424657534246575"/>
    <x v="0"/>
    <s v="Conversion of first and second floor office accommodation to provide 2no. flats"/>
    <s v="2 Friars Lane, Richmond TW9 1NL"/>
    <s v="TW9 1NL"/>
    <m/>
    <m/>
    <m/>
    <m/>
    <m/>
    <m/>
    <m/>
    <m/>
    <m/>
    <n v="0"/>
    <m/>
    <n v="2"/>
    <m/>
    <m/>
    <m/>
    <m/>
    <m/>
    <m/>
    <m/>
    <n v="2"/>
    <n v="2"/>
    <n v="0"/>
    <n v="0"/>
    <n v="0"/>
    <n v="0"/>
    <n v="0"/>
    <n v="0"/>
    <n v="0"/>
    <n v="2"/>
    <x v="0"/>
    <n v="2"/>
    <m/>
    <m/>
    <m/>
    <m/>
    <m/>
    <m/>
    <m/>
    <m/>
    <m/>
    <m/>
    <m/>
    <m/>
    <m/>
    <m/>
    <m/>
    <m/>
    <n v="0"/>
    <n v="0"/>
    <m/>
    <m/>
    <m/>
    <n v="517631"/>
    <n v="174833"/>
    <x v="12"/>
    <x v="4"/>
    <x v="0"/>
    <x v="0"/>
    <m/>
    <x v="0"/>
    <x v="0"/>
    <s v="CA3 Richmond Green"/>
    <x v="1"/>
    <s v="Y"/>
    <x v="4"/>
  </r>
  <r>
    <s v="23/0253/GPD26"/>
    <x v="1"/>
    <x v="1"/>
    <x v="33"/>
    <d v="2026-03-13T00:00:00"/>
    <d v="2024-01-08T00:00:00"/>
    <m/>
    <x v="0"/>
    <d v="2024-07-30T00:00:00"/>
    <x v="0"/>
    <x v="0"/>
    <x v="0"/>
    <n v="1.3835616438356164"/>
    <x v="0"/>
    <s v="Conversion of first floor to two self-contained residential flats"/>
    <s v="26A York Street, Twickenham TW1 3LJ"/>
    <s v="TW1 3LJ"/>
    <m/>
    <m/>
    <m/>
    <m/>
    <m/>
    <m/>
    <m/>
    <m/>
    <m/>
    <n v="0"/>
    <m/>
    <n v="2"/>
    <m/>
    <m/>
    <m/>
    <m/>
    <m/>
    <m/>
    <m/>
    <n v="2"/>
    <n v="2"/>
    <n v="0"/>
    <n v="0"/>
    <n v="0"/>
    <n v="0"/>
    <n v="0"/>
    <n v="0"/>
    <n v="0"/>
    <n v="2"/>
    <x v="0"/>
    <n v="2"/>
    <m/>
    <m/>
    <m/>
    <m/>
    <m/>
    <m/>
    <m/>
    <m/>
    <m/>
    <m/>
    <m/>
    <m/>
    <m/>
    <m/>
    <m/>
    <m/>
    <n v="0"/>
    <n v="0"/>
    <m/>
    <m/>
    <m/>
    <n v="516335"/>
    <n v="173355"/>
    <x v="4"/>
    <x v="2"/>
    <x v="2"/>
    <x v="0"/>
    <m/>
    <x v="0"/>
    <x v="0"/>
    <s v="CA8 Twickenham Riverside"/>
    <x v="1"/>
    <s v="Y"/>
    <x v="2"/>
  </r>
  <r>
    <s v="23/0399/FUL"/>
    <x v="0"/>
    <x v="0"/>
    <x v="34"/>
    <d v="2024-09-30T00:00:00"/>
    <d v="2023-11-01T00:00:00"/>
    <m/>
    <x v="0"/>
    <d v="2024-12-01T00:00:00"/>
    <x v="0"/>
    <x v="0"/>
    <x v="0"/>
    <n v="1.6821917808219178"/>
    <x v="0"/>
    <s v="Demolition of the Existing house and outbuildings and replacement with a Single Family Dwelling"/>
    <s v="19 Nylands Avenue, Kew, Richmond TW9 4HH"/>
    <s v="TW9 4HH"/>
    <m/>
    <m/>
    <m/>
    <m/>
    <m/>
    <n v="1"/>
    <m/>
    <m/>
    <m/>
    <n v="1"/>
    <m/>
    <m/>
    <m/>
    <m/>
    <m/>
    <m/>
    <n v="1"/>
    <m/>
    <m/>
    <n v="1"/>
    <n v="0"/>
    <n v="0"/>
    <n v="0"/>
    <n v="0"/>
    <n v="-1"/>
    <n v="1"/>
    <n v="0"/>
    <n v="0"/>
    <n v="0"/>
    <x v="0"/>
    <n v="0"/>
    <m/>
    <m/>
    <m/>
    <m/>
    <m/>
    <m/>
    <m/>
    <m/>
    <m/>
    <m/>
    <m/>
    <m/>
    <m/>
    <m/>
    <m/>
    <m/>
    <n v="0"/>
    <n v="0"/>
    <m/>
    <m/>
    <m/>
    <n v="519305"/>
    <n v="176468"/>
    <x v="13"/>
    <x v="4"/>
    <x v="0"/>
    <x v="0"/>
    <m/>
    <x v="0"/>
    <x v="0"/>
    <m/>
    <x v="0"/>
    <s v="Y"/>
    <x v="8"/>
  </r>
  <r>
    <s v="23/0679/FUL"/>
    <x v="1"/>
    <x v="0"/>
    <x v="35"/>
    <d v="2026-06-23T00:00:00"/>
    <d v="2023-11-27T00:00:00"/>
    <m/>
    <x v="0"/>
    <d v="2024-05-29T00:00:00"/>
    <x v="0"/>
    <x v="0"/>
    <x v="0"/>
    <n v="0.9342465753424658"/>
    <x v="0"/>
    <s v="Reversion of 2 bedroom flat, converted in 1990s, back to use as part of Park Lane Stables to accommodate DDA compliant w.c., counselling room, reception area and stable for 'Cuddle Horse' and associated works to improve accessibility and usability. Change"/>
    <s v="Park Lane Stables, Park Lane, Teddington TW11 0HY"/>
    <s v="TW11 0HY"/>
    <m/>
    <m/>
    <n v="1"/>
    <m/>
    <m/>
    <m/>
    <m/>
    <m/>
    <m/>
    <n v="1"/>
    <m/>
    <m/>
    <m/>
    <m/>
    <m/>
    <m/>
    <m/>
    <m/>
    <m/>
    <n v="0"/>
    <n v="0"/>
    <n v="-1"/>
    <n v="0"/>
    <n v="0"/>
    <n v="0"/>
    <n v="0"/>
    <n v="0"/>
    <n v="0"/>
    <n v="-1"/>
    <x v="0"/>
    <n v="-1"/>
    <m/>
    <m/>
    <m/>
    <m/>
    <m/>
    <m/>
    <m/>
    <m/>
    <m/>
    <m/>
    <m/>
    <m/>
    <m/>
    <m/>
    <m/>
    <m/>
    <n v="0"/>
    <n v="0"/>
    <m/>
    <m/>
    <m/>
    <n v="515689"/>
    <n v="170740"/>
    <x v="11"/>
    <x v="1"/>
    <x v="0"/>
    <x v="0"/>
    <m/>
    <x v="0"/>
    <x v="0"/>
    <m/>
    <x v="0"/>
    <s v="Y"/>
    <x v="7"/>
  </r>
  <r>
    <s v="23/0977/FUL"/>
    <x v="4"/>
    <x v="0"/>
    <x v="36"/>
    <d v="2027-01-24T00:00:00"/>
    <d v="2024-04-01T00:00:00"/>
    <s v="Y"/>
    <x v="0"/>
    <d v="2024-12-31T00:00:00"/>
    <x v="0"/>
    <x v="0"/>
    <x v="0"/>
    <n v="0.93698630136986305"/>
    <x v="0"/>
    <s v="Proposed flat conversion to split into 2, 2-bed flats."/>
    <s v="148A Heath Road, Twickenham TW1 4BN"/>
    <s v="TW1 4BN"/>
    <m/>
    <m/>
    <m/>
    <m/>
    <n v="1"/>
    <m/>
    <m/>
    <m/>
    <m/>
    <n v="1"/>
    <m/>
    <m/>
    <n v="2"/>
    <m/>
    <m/>
    <m/>
    <m/>
    <m/>
    <m/>
    <n v="2"/>
    <n v="0"/>
    <n v="2"/>
    <n v="0"/>
    <n v="-1"/>
    <n v="0"/>
    <n v="0"/>
    <n v="0"/>
    <n v="0"/>
    <n v="1"/>
    <x v="0"/>
    <n v="1"/>
    <m/>
    <m/>
    <m/>
    <m/>
    <m/>
    <m/>
    <m/>
    <m/>
    <m/>
    <m/>
    <m/>
    <m/>
    <m/>
    <m/>
    <m/>
    <m/>
    <n v="0"/>
    <n v="0"/>
    <m/>
    <m/>
    <m/>
    <n v="515669"/>
    <n v="173146"/>
    <x v="2"/>
    <x v="2"/>
    <x v="2"/>
    <x v="0"/>
    <m/>
    <x v="0"/>
    <x v="0"/>
    <m/>
    <x v="0"/>
    <s v="Y"/>
    <x v="2"/>
  </r>
  <r>
    <s v="23/1118/FUL"/>
    <x v="1"/>
    <x v="0"/>
    <x v="37"/>
    <d v="2026-08-17T00:00:00"/>
    <d v="2024-03-18T00:00:00"/>
    <m/>
    <x v="0"/>
    <d v="2024-10-23T00:00:00"/>
    <x v="0"/>
    <x v="0"/>
    <x v="0"/>
    <n v="1.1863013698630136"/>
    <x v="0"/>
    <s v="Conversion of redundant garage to 1bedroom flat with associated external alterations together with the provision of bin and cycle storage."/>
    <s v="2 Friars Lane, Richmond TW9 1NL"/>
    <s v="TW9 1NL"/>
    <m/>
    <m/>
    <m/>
    <m/>
    <m/>
    <m/>
    <m/>
    <m/>
    <m/>
    <n v="0"/>
    <m/>
    <n v="1"/>
    <m/>
    <m/>
    <m/>
    <m/>
    <m/>
    <m/>
    <m/>
    <n v="1"/>
    <n v="1"/>
    <n v="0"/>
    <n v="0"/>
    <n v="0"/>
    <n v="0"/>
    <n v="0"/>
    <n v="0"/>
    <n v="0"/>
    <n v="1"/>
    <x v="0"/>
    <n v="1"/>
    <m/>
    <m/>
    <m/>
    <m/>
    <m/>
    <m/>
    <m/>
    <m/>
    <m/>
    <m/>
    <m/>
    <m/>
    <m/>
    <m/>
    <m/>
    <m/>
    <n v="0"/>
    <n v="0"/>
    <m/>
    <m/>
    <m/>
    <n v="517631"/>
    <n v="174833"/>
    <x v="12"/>
    <x v="4"/>
    <x v="0"/>
    <x v="0"/>
    <m/>
    <x v="0"/>
    <x v="0"/>
    <s v="CA3 Richmond Green"/>
    <x v="1"/>
    <s v="Y"/>
    <x v="4"/>
  </r>
  <r>
    <s v="23/1471/GPD26"/>
    <x v="1"/>
    <x v="1"/>
    <x v="38"/>
    <d v="2026-07-17T00:00:00"/>
    <d v="2023-07-17T00:00:00"/>
    <m/>
    <x v="0"/>
    <d v="2025-03-31T00:00:00"/>
    <x v="0"/>
    <x v="0"/>
    <x v="0"/>
    <n v="1.7068493150684931"/>
    <x v="1"/>
    <s v="Change of use and addition of mezzanine floor to create 5 residential units"/>
    <s v="12 Park Road, Hampton Wick KT1 4AS"/>
    <s v="KT1 4AS"/>
    <m/>
    <m/>
    <m/>
    <m/>
    <m/>
    <m/>
    <m/>
    <m/>
    <m/>
    <n v="0"/>
    <m/>
    <n v="4"/>
    <n v="1"/>
    <m/>
    <m/>
    <m/>
    <m/>
    <m/>
    <m/>
    <n v="5"/>
    <n v="4"/>
    <n v="1"/>
    <n v="0"/>
    <n v="0"/>
    <n v="0"/>
    <n v="0"/>
    <n v="0"/>
    <n v="0"/>
    <n v="5"/>
    <x v="0"/>
    <n v="5"/>
    <m/>
    <m/>
    <m/>
    <m/>
    <m/>
    <m/>
    <m/>
    <m/>
    <m/>
    <m/>
    <m/>
    <m/>
    <m/>
    <m/>
    <m/>
    <m/>
    <n v="0"/>
    <n v="0"/>
    <m/>
    <m/>
    <m/>
    <n v="517458"/>
    <n v="169588"/>
    <x v="14"/>
    <x v="1"/>
    <x v="0"/>
    <x v="0"/>
    <s v="Hampton Wick"/>
    <x v="1"/>
    <x v="0"/>
    <s v="CA18 Hampton Wick"/>
    <x v="1"/>
    <s v="Y"/>
    <x v="7"/>
  </r>
  <r>
    <s v="23/1495/GPD26"/>
    <x v="1"/>
    <x v="1"/>
    <x v="39"/>
    <d v="2026-07-24T00:00:00"/>
    <d v="2024-02-01T00:00:00"/>
    <m/>
    <x v="0"/>
    <d v="2024-08-29T00:00:00"/>
    <x v="0"/>
    <x v="0"/>
    <x v="0"/>
    <n v="1.1013698630136985"/>
    <x v="0"/>
    <s v="Prior approval for change of use from Commercial, Business and Service (Use Class E) to Dwellinghouses (Use Class C3) to form 3 dwellings."/>
    <s v="25 Church Road, Teddington TW11 8PF"/>
    <s v="TW11 8PF"/>
    <m/>
    <m/>
    <m/>
    <m/>
    <m/>
    <m/>
    <m/>
    <m/>
    <m/>
    <n v="0"/>
    <m/>
    <n v="2"/>
    <n v="1"/>
    <m/>
    <m/>
    <m/>
    <m/>
    <m/>
    <m/>
    <n v="3"/>
    <n v="2"/>
    <n v="1"/>
    <n v="0"/>
    <n v="0"/>
    <n v="0"/>
    <n v="0"/>
    <n v="0"/>
    <n v="0"/>
    <n v="3"/>
    <x v="0"/>
    <n v="3"/>
    <m/>
    <m/>
    <m/>
    <m/>
    <m/>
    <m/>
    <m/>
    <m/>
    <m/>
    <m/>
    <m/>
    <m/>
    <m/>
    <m/>
    <m/>
    <m/>
    <n v="0"/>
    <n v="0"/>
    <m/>
    <m/>
    <m/>
    <n v="515664"/>
    <n v="171121"/>
    <x v="11"/>
    <x v="1"/>
    <x v="0"/>
    <x v="0"/>
    <m/>
    <x v="0"/>
    <x v="0"/>
    <s v="CA85 Church Road"/>
    <x v="1"/>
    <s v="Y"/>
    <x v="7"/>
  </r>
  <r>
    <s v="23/1643/PS192"/>
    <x v="1"/>
    <x v="2"/>
    <x v="40"/>
    <d v="2026-10-12T00:00:00"/>
    <d v="2024-02-01T00:00:00"/>
    <m/>
    <x v="0"/>
    <d v="2024-05-28T00:00:00"/>
    <x v="0"/>
    <x v="0"/>
    <x v="0"/>
    <n v="0.62739726027397258"/>
    <x v="0"/>
    <s v="Change of use from C3 Dwellinghouse to C4 House in multiple Occupation."/>
    <s v="3 Redfern Avenue, Whitton TW4 5NA"/>
    <s v="TW4 5NA"/>
    <m/>
    <m/>
    <m/>
    <n v="1"/>
    <m/>
    <m/>
    <m/>
    <m/>
    <m/>
    <n v="1"/>
    <m/>
    <m/>
    <m/>
    <n v="1"/>
    <m/>
    <m/>
    <m/>
    <m/>
    <m/>
    <n v="1"/>
    <n v="0"/>
    <n v="0"/>
    <n v="0"/>
    <n v="0"/>
    <n v="0"/>
    <n v="0"/>
    <n v="0"/>
    <n v="0"/>
    <n v="0"/>
    <x v="0"/>
    <n v="0"/>
    <m/>
    <m/>
    <m/>
    <m/>
    <m/>
    <m/>
    <m/>
    <m/>
    <m/>
    <m/>
    <m/>
    <m/>
    <m/>
    <m/>
    <m/>
    <m/>
    <n v="0"/>
    <n v="0"/>
    <m/>
    <m/>
    <s v="Y"/>
    <n v="513121"/>
    <n v="173691"/>
    <x v="15"/>
    <x v="0"/>
    <x v="0"/>
    <x v="0"/>
    <m/>
    <x v="0"/>
    <x v="0"/>
    <m/>
    <x v="0"/>
    <m/>
    <x v="0"/>
  </r>
  <r>
    <s v="23/1658/GPD26"/>
    <x v="1"/>
    <x v="1"/>
    <x v="41"/>
    <d v="2026-08-07T00:00:00"/>
    <d v="2024-07-22T00:00:00"/>
    <s v="Y"/>
    <x v="0"/>
    <d v="2025-03-01T00:00:00"/>
    <x v="0"/>
    <x v="0"/>
    <x v="0"/>
    <n v="1.5671232876712329"/>
    <x v="0"/>
    <s v="Conversion of ground floor commercial unit (class E use) to a residential dwelling (class C3 use)."/>
    <s v="66 Hampton Road, Twickenham TW2 5QB"/>
    <s v="TW2 5QB"/>
    <m/>
    <m/>
    <m/>
    <m/>
    <m/>
    <m/>
    <m/>
    <m/>
    <m/>
    <n v="0"/>
    <m/>
    <m/>
    <n v="1"/>
    <m/>
    <m/>
    <m/>
    <m/>
    <m/>
    <m/>
    <n v="1"/>
    <n v="0"/>
    <n v="1"/>
    <n v="0"/>
    <n v="0"/>
    <n v="0"/>
    <n v="0"/>
    <n v="0"/>
    <n v="0"/>
    <n v="1"/>
    <x v="0"/>
    <n v="1"/>
    <m/>
    <m/>
    <m/>
    <m/>
    <m/>
    <m/>
    <m/>
    <m/>
    <m/>
    <m/>
    <m/>
    <m/>
    <m/>
    <m/>
    <m/>
    <m/>
    <n v="0"/>
    <n v="0"/>
    <m/>
    <m/>
    <m/>
    <n v="515085"/>
    <n v="172681"/>
    <x v="16"/>
    <x v="2"/>
    <x v="0"/>
    <x v="0"/>
    <s v="Hampton Road, Twickenham"/>
    <x v="1"/>
    <x v="0"/>
    <m/>
    <x v="0"/>
    <s v="Y"/>
    <x v="2"/>
  </r>
  <r>
    <s v="23/1863/GPD26"/>
    <x v="1"/>
    <x v="1"/>
    <x v="42"/>
    <d v="2026-08-29T00:00:00"/>
    <d v="2024-02-01T00:00:00"/>
    <m/>
    <x v="0"/>
    <d v="2024-08-29T00:00:00"/>
    <x v="0"/>
    <x v="0"/>
    <x v="0"/>
    <n v="1.0027397260273974"/>
    <x v="0"/>
    <s v="Prior approval under The Town and Country Planning (General Permitted Development etc.) (England) (Amendment) Order 2021 Under Part 3, Schedule 2, Class MA for a change of use of a building and any land within its curtilage from a use falling within E to form 4 dwellings."/>
    <s v="25 Church Road, Teddington TW11 8PF"/>
    <s v="TW11 8PF"/>
    <m/>
    <m/>
    <m/>
    <m/>
    <m/>
    <m/>
    <m/>
    <m/>
    <m/>
    <n v="0"/>
    <m/>
    <n v="4"/>
    <m/>
    <m/>
    <m/>
    <m/>
    <m/>
    <m/>
    <m/>
    <n v="4"/>
    <n v="4"/>
    <n v="0"/>
    <n v="0"/>
    <n v="0"/>
    <n v="0"/>
    <n v="0"/>
    <n v="0"/>
    <n v="0"/>
    <n v="4"/>
    <x v="0"/>
    <n v="4"/>
    <m/>
    <m/>
    <m/>
    <m/>
    <m/>
    <m/>
    <m/>
    <m/>
    <m/>
    <m/>
    <m/>
    <m/>
    <m/>
    <m/>
    <m/>
    <m/>
    <n v="0"/>
    <n v="0"/>
    <m/>
    <m/>
    <m/>
    <n v="515664"/>
    <n v="171121"/>
    <x v="11"/>
    <x v="1"/>
    <x v="0"/>
    <x v="0"/>
    <m/>
    <x v="0"/>
    <x v="0"/>
    <s v="CA85 Church Road"/>
    <x v="1"/>
    <s v="Y"/>
    <x v="7"/>
  </r>
  <r>
    <s v="23/1865/GPD26"/>
    <x v="1"/>
    <x v="1"/>
    <x v="42"/>
    <d v="2026-08-29T00:00:00"/>
    <d v="2024-02-01T00:00:00"/>
    <m/>
    <x v="0"/>
    <d v="2024-08-29T00:00:00"/>
    <x v="0"/>
    <x v="0"/>
    <x v="0"/>
    <n v="1.0027397260273974"/>
    <x v="0"/>
    <s v="Prior approval under The Town and Country Planning (General Permitted Development etc.) (England) (Amendment) Order 2021 Under Part 3, Schedule 2, Class MA for a change of use of a building and any land within its curtilage from a use falling within E to form 1 dwelling."/>
    <s v="25 Church Road, Teddington TW11 8PF"/>
    <s v="TW11 8PF"/>
    <m/>
    <m/>
    <m/>
    <m/>
    <m/>
    <m/>
    <m/>
    <m/>
    <m/>
    <n v="0"/>
    <m/>
    <n v="1"/>
    <m/>
    <m/>
    <m/>
    <m/>
    <m/>
    <m/>
    <m/>
    <n v="1"/>
    <n v="1"/>
    <n v="0"/>
    <n v="0"/>
    <n v="0"/>
    <n v="0"/>
    <n v="0"/>
    <n v="0"/>
    <n v="0"/>
    <n v="1"/>
    <x v="0"/>
    <n v="1"/>
    <m/>
    <m/>
    <m/>
    <m/>
    <m/>
    <m/>
    <m/>
    <m/>
    <m/>
    <m/>
    <m/>
    <m/>
    <m/>
    <m/>
    <m/>
    <m/>
    <n v="0"/>
    <n v="0"/>
    <m/>
    <m/>
    <m/>
    <n v="515664"/>
    <n v="171121"/>
    <x v="11"/>
    <x v="1"/>
    <x v="0"/>
    <x v="0"/>
    <m/>
    <x v="0"/>
    <x v="0"/>
    <s v="CA85 Church Road"/>
    <x v="1"/>
    <s v="Y"/>
    <x v="7"/>
  </r>
  <r>
    <s v="23/2304/FUL"/>
    <x v="1"/>
    <x v="0"/>
    <x v="43"/>
    <d v="2027-04-23T00:00:00"/>
    <d v="2024-06-03T00:00:00"/>
    <s v="Y"/>
    <x v="1"/>
    <d v="2025-03-31T00:00:00"/>
    <x v="0"/>
    <x v="0"/>
    <x v="0"/>
    <n v="0.93698630136986305"/>
    <x v="0"/>
    <s v="Change of use to two self-contained units including single storey rear extension with associated landscaping and cycle and refuse stores (resubmission)"/>
    <s v="173 Percy Road, Hampton TW12 2JN"/>
    <s v="TW12 2JN"/>
    <m/>
    <m/>
    <m/>
    <m/>
    <m/>
    <m/>
    <m/>
    <m/>
    <m/>
    <n v="0"/>
    <m/>
    <m/>
    <n v="1"/>
    <m/>
    <m/>
    <m/>
    <m/>
    <m/>
    <m/>
    <n v="1"/>
    <n v="0"/>
    <n v="1"/>
    <n v="0"/>
    <n v="0"/>
    <n v="0"/>
    <n v="0"/>
    <n v="0"/>
    <n v="0"/>
    <n v="1"/>
    <x v="0"/>
    <n v="1"/>
    <m/>
    <m/>
    <m/>
    <m/>
    <m/>
    <m/>
    <m/>
    <m/>
    <m/>
    <m/>
    <m/>
    <m/>
    <m/>
    <m/>
    <m/>
    <m/>
    <n v="0"/>
    <n v="0"/>
    <m/>
    <m/>
    <m/>
    <n v="513028"/>
    <n v="170481"/>
    <x v="7"/>
    <x v="1"/>
    <x v="0"/>
    <x v="0"/>
    <m/>
    <x v="0"/>
    <x v="0"/>
    <m/>
    <x v="0"/>
    <s v="Y"/>
    <x v="1"/>
  </r>
  <r>
    <s v="23/2729/FUL"/>
    <x v="4"/>
    <x v="0"/>
    <x v="44"/>
    <d v="2027-03-08T00:00:00"/>
    <d v="2024-02-08T00:00:00"/>
    <m/>
    <x v="0"/>
    <d v="2024-09-27T00:00:00"/>
    <x v="0"/>
    <x v="0"/>
    <x v="0"/>
    <n v="0.55616438356164388"/>
    <x v="0"/>
    <s v="Proposed amalgamation of the first floor studio flat and second floor x1 bedroom self contained flats to form 1 x 2-bedroom self contained flat."/>
    <s v="53 St Margarets Road, Twickenham TW1 2LL"/>
    <s v="TW1 2LL"/>
    <m/>
    <n v="2"/>
    <m/>
    <m/>
    <m/>
    <m/>
    <m/>
    <m/>
    <m/>
    <n v="2"/>
    <m/>
    <m/>
    <n v="1"/>
    <m/>
    <m/>
    <m/>
    <m/>
    <m/>
    <m/>
    <n v="1"/>
    <n v="-2"/>
    <n v="1"/>
    <n v="0"/>
    <n v="0"/>
    <n v="0"/>
    <n v="0"/>
    <n v="0"/>
    <n v="0"/>
    <n v="-1"/>
    <x v="0"/>
    <n v="-1"/>
    <m/>
    <m/>
    <m/>
    <m/>
    <m/>
    <m/>
    <m/>
    <m/>
    <m/>
    <m/>
    <m/>
    <m/>
    <m/>
    <m/>
    <m/>
    <m/>
    <n v="0"/>
    <n v="0"/>
    <m/>
    <m/>
    <m/>
    <n v="517170"/>
    <n v="174144"/>
    <x v="4"/>
    <x v="2"/>
    <x v="0"/>
    <x v="0"/>
    <m/>
    <x v="0"/>
    <x v="0"/>
    <m/>
    <x v="0"/>
    <s v="Y"/>
    <x v="2"/>
  </r>
  <r>
    <s v="24/0247/ES191"/>
    <x v="4"/>
    <x v="3"/>
    <x v="45"/>
    <d v="2027-06-26T00:00:00"/>
    <d v="2024-06-26T00:00:00"/>
    <s v="Y"/>
    <x v="1"/>
    <d v="2024-06-26T00:00:00"/>
    <x v="0"/>
    <x v="0"/>
    <x v="0"/>
    <n v="0"/>
    <x v="0"/>
    <s v="Existing use of the property at 560 Hanworth Road, Hounslow TW4 5LH as 3 self-contained units to include the Ground Floor Flat known as 560 Hanworth, First Floor Front Flat known as 560B Hanworth and First Floor Rear Flat known as 560A Hanworth. Existing development at 560 Hanworth Road and 560A Hanworth comprising a two-storey rear extension."/>
    <s v="560 Hanworth Road, Whitton"/>
    <s v="TW4 5LH"/>
    <m/>
    <m/>
    <n v="1"/>
    <n v="1"/>
    <m/>
    <m/>
    <m/>
    <m/>
    <m/>
    <n v="2"/>
    <m/>
    <n v="1"/>
    <n v="1"/>
    <n v="1"/>
    <m/>
    <m/>
    <m/>
    <m/>
    <m/>
    <n v="3"/>
    <n v="1"/>
    <n v="0"/>
    <n v="0"/>
    <n v="0"/>
    <n v="0"/>
    <n v="0"/>
    <n v="0"/>
    <n v="0"/>
    <n v="1"/>
    <x v="0"/>
    <n v="1"/>
    <m/>
    <m/>
    <m/>
    <m/>
    <m/>
    <m/>
    <m/>
    <m/>
    <m/>
    <m/>
    <m/>
    <m/>
    <m/>
    <m/>
    <m/>
    <m/>
    <n v="0"/>
    <n v="0"/>
    <m/>
    <m/>
    <m/>
    <n v="513041"/>
    <n v="174128"/>
    <x v="15"/>
    <x v="0"/>
    <x v="0"/>
    <x v="0"/>
    <m/>
    <x v="0"/>
    <x v="0"/>
    <m/>
    <x v="0"/>
    <m/>
    <x v="0"/>
  </r>
  <r>
    <s v="24/0504/ES191"/>
    <x v="4"/>
    <x v="3"/>
    <x v="46"/>
    <d v="2027-04-12T00:00:00"/>
    <d v="2024-04-12T00:00:00"/>
    <s v="Y"/>
    <x v="1"/>
    <d v="2024-04-12T00:00:00"/>
    <x v="0"/>
    <x v="0"/>
    <x v="0"/>
    <n v="0"/>
    <x v="0"/>
    <s v="Use of Property comprising a lower ground floor (formerly no. 65A/Flat 1) and upper ground floor (formerly no. 65B/Flat 2) complete with garden/curtilage areas, as a single dwellinghouse within Use Class C3."/>
    <s v="65A St Margarets Road, Twickenham"/>
    <s v="TW1 2LL"/>
    <m/>
    <m/>
    <n v="2"/>
    <m/>
    <m/>
    <m/>
    <m/>
    <m/>
    <m/>
    <n v="2"/>
    <m/>
    <m/>
    <m/>
    <n v="1"/>
    <m/>
    <m/>
    <m/>
    <m/>
    <m/>
    <n v="1"/>
    <n v="0"/>
    <n v="-2"/>
    <n v="1"/>
    <n v="0"/>
    <n v="0"/>
    <n v="0"/>
    <n v="0"/>
    <n v="0"/>
    <n v="-1"/>
    <x v="0"/>
    <n v="-1"/>
    <m/>
    <m/>
    <m/>
    <m/>
    <m/>
    <m/>
    <m/>
    <m/>
    <m/>
    <m/>
    <m/>
    <m/>
    <m/>
    <m/>
    <m/>
    <m/>
    <n v="0"/>
    <n v="0"/>
    <m/>
    <m/>
    <m/>
    <n v="517137"/>
    <n v="174138"/>
    <x v="4"/>
    <x v="2"/>
    <x v="0"/>
    <x v="0"/>
    <m/>
    <x v="0"/>
    <x v="0"/>
    <m/>
    <x v="0"/>
    <s v="Y"/>
    <x v="2"/>
  </r>
  <r>
    <s v="24/0614/ES191"/>
    <x v="4"/>
    <x v="3"/>
    <x v="47"/>
    <d v="2027-04-17T00:00:00"/>
    <d v="2024-04-17T00:00:00"/>
    <s v="Y"/>
    <x v="1"/>
    <d v="2024-04-17T00:00:00"/>
    <x v="0"/>
    <x v="0"/>
    <x v="0"/>
    <n v="0"/>
    <x v="0"/>
    <s v="Establish lawful use as a single dwellinghouse."/>
    <s v="25 Norman Avenue, Twickenham TW1 2LY"/>
    <s v="TW1 2LY"/>
    <m/>
    <m/>
    <n v="1"/>
    <n v="1"/>
    <m/>
    <m/>
    <m/>
    <m/>
    <m/>
    <n v="2"/>
    <m/>
    <m/>
    <m/>
    <m/>
    <n v="1"/>
    <m/>
    <m/>
    <m/>
    <m/>
    <n v="1"/>
    <n v="0"/>
    <n v="-1"/>
    <n v="-1"/>
    <n v="1"/>
    <n v="0"/>
    <n v="0"/>
    <n v="0"/>
    <n v="0"/>
    <n v="-1"/>
    <x v="0"/>
    <n v="-1"/>
    <m/>
    <m/>
    <m/>
    <m/>
    <m/>
    <m/>
    <m/>
    <m/>
    <m/>
    <m/>
    <m/>
    <m/>
    <m/>
    <m/>
    <m/>
    <m/>
    <n v="0"/>
    <n v="0"/>
    <m/>
    <m/>
    <m/>
    <n v="517043"/>
    <n v="173946"/>
    <x v="4"/>
    <x v="2"/>
    <x v="0"/>
    <x v="0"/>
    <m/>
    <x v="0"/>
    <x v="0"/>
    <s v="CA21 Cambridge Park East Twickenham"/>
    <x v="1"/>
    <s v="Y"/>
    <x v="2"/>
  </r>
  <r>
    <s v="24/0846/GPD24"/>
    <x v="1"/>
    <x v="1"/>
    <x v="48"/>
    <d v="2027-06-03T00:00:00"/>
    <d v="2024-08-01T00:00:00"/>
    <s v="Y"/>
    <x v="1"/>
    <d v="2025-03-31T00:00:00"/>
    <x v="0"/>
    <x v="0"/>
    <x v="0"/>
    <n v="0.8246575342465754"/>
    <x v="0"/>
    <s v="Change of use from Class E (commercial, business and service) to Mixed Use Class E (commercial, business and service) and Class C3 (dwellinghouses) to provide 1x self-contained dwelling."/>
    <s v="91 Sheen Road, Richmond TW9 1YJ"/>
    <s v="TW9 1YJ"/>
    <m/>
    <m/>
    <m/>
    <m/>
    <m/>
    <m/>
    <m/>
    <m/>
    <m/>
    <n v="0"/>
    <m/>
    <n v="1"/>
    <m/>
    <m/>
    <m/>
    <m/>
    <m/>
    <m/>
    <m/>
    <n v="1"/>
    <n v="1"/>
    <n v="0"/>
    <n v="0"/>
    <n v="0"/>
    <n v="0"/>
    <n v="0"/>
    <n v="0"/>
    <n v="0"/>
    <n v="1"/>
    <x v="0"/>
    <n v="1"/>
    <m/>
    <m/>
    <m/>
    <m/>
    <m/>
    <m/>
    <m/>
    <m/>
    <m/>
    <m/>
    <m/>
    <m/>
    <m/>
    <m/>
    <m/>
    <m/>
    <n v="0"/>
    <n v="0"/>
    <m/>
    <m/>
    <m/>
    <n v="518494"/>
    <n v="175035"/>
    <x v="12"/>
    <x v="4"/>
    <x v="0"/>
    <x v="0"/>
    <m/>
    <x v="0"/>
    <x v="0"/>
    <s v="CA31 Sheen Road Richmond"/>
    <x v="1"/>
    <s v="Y"/>
    <x v="4"/>
  </r>
  <r>
    <s v="24/0916/GPD26"/>
    <x v="1"/>
    <x v="1"/>
    <x v="49"/>
    <d v="2027-05-24T00:00:00"/>
    <d v="2024-05-24T00:00:00"/>
    <s v="Y"/>
    <x v="1"/>
    <d v="2025-03-31T00:00:00"/>
    <x v="0"/>
    <x v="0"/>
    <x v="0"/>
    <n v="0.852054794520548"/>
    <x v="0"/>
    <s v="Change of use from B1(a) to C3 comprising 3 flats."/>
    <s v="Units A1 And A2 At 86 To 88 And 92 - 98 Lower Mortlake Road, Richmond"/>
    <s v="TW9 2LG"/>
    <m/>
    <m/>
    <m/>
    <m/>
    <m/>
    <m/>
    <m/>
    <m/>
    <m/>
    <n v="0"/>
    <m/>
    <n v="1"/>
    <n v="2"/>
    <m/>
    <m/>
    <m/>
    <m/>
    <m/>
    <m/>
    <n v="3"/>
    <n v="1"/>
    <n v="2"/>
    <n v="0"/>
    <n v="0"/>
    <n v="0"/>
    <n v="0"/>
    <n v="0"/>
    <n v="0"/>
    <n v="3"/>
    <x v="0"/>
    <n v="3"/>
    <m/>
    <m/>
    <m/>
    <m/>
    <m/>
    <m/>
    <m/>
    <m/>
    <m/>
    <m/>
    <m/>
    <m/>
    <m/>
    <m/>
    <m/>
    <m/>
    <n v="0"/>
    <n v="0"/>
    <m/>
    <m/>
    <m/>
    <n v="518633"/>
    <n v="175479"/>
    <x v="8"/>
    <x v="4"/>
    <x v="0"/>
    <x v="0"/>
    <m/>
    <x v="0"/>
    <x v="0"/>
    <m/>
    <x v="0"/>
    <s v="Y"/>
    <x v="4"/>
  </r>
  <r>
    <s v="24/0949/ES191"/>
    <x v="4"/>
    <x v="3"/>
    <x v="50"/>
    <d v="2027-05-20T00:00:00"/>
    <d v="2024-05-20T00:00:00"/>
    <s v="Y"/>
    <x v="1"/>
    <d v="2024-05-20T00:00:00"/>
    <x v="0"/>
    <x v="0"/>
    <x v="0"/>
    <n v="0"/>
    <x v="0"/>
    <s v="Certificate of Lawfulness to establish that the dwelling known as 23 Leinster Avenue has been used for in excess of four years as two separate self-contained flats on the ground-floor and first-floor."/>
    <s v="23 Leinster Avenue, East Sheen SW14 7JW"/>
    <s v="SW14 7JW"/>
    <m/>
    <m/>
    <m/>
    <m/>
    <m/>
    <n v="1"/>
    <m/>
    <m/>
    <m/>
    <n v="1"/>
    <m/>
    <m/>
    <n v="2"/>
    <m/>
    <m/>
    <m/>
    <m/>
    <m/>
    <m/>
    <n v="2"/>
    <n v="0"/>
    <n v="2"/>
    <n v="0"/>
    <n v="0"/>
    <n v="-1"/>
    <n v="0"/>
    <n v="0"/>
    <n v="0"/>
    <n v="1"/>
    <x v="0"/>
    <n v="1"/>
    <m/>
    <m/>
    <m/>
    <m/>
    <m/>
    <m/>
    <m/>
    <m/>
    <m/>
    <m/>
    <m/>
    <m/>
    <m/>
    <m/>
    <m/>
    <m/>
    <n v="0"/>
    <n v="0"/>
    <m/>
    <m/>
    <m/>
    <n v="520190"/>
    <n v="175469"/>
    <x v="9"/>
    <x v="3"/>
    <x v="0"/>
    <x v="0"/>
    <m/>
    <x v="0"/>
    <x v="0"/>
    <m/>
    <x v="0"/>
    <s v="Y"/>
    <x v="5"/>
  </r>
  <r>
    <s v="24/0998/ES191"/>
    <x v="4"/>
    <x v="3"/>
    <x v="51"/>
    <d v="2027-04-22T00:00:00"/>
    <d v="2024-04-22T00:00:00"/>
    <s v="Y"/>
    <x v="1"/>
    <d v="2024-04-22T00:00:00"/>
    <x v="0"/>
    <x v="0"/>
    <x v="0"/>
    <n v="0"/>
    <x v="0"/>
    <s v="The use of the property (comprising units previously referred to as 69 Castelnau and 69a Castelnau) as one residential dwellinghouse (Use Class C3)."/>
    <s v="69 Castelnau, Barnes SW13 9RT"/>
    <s v="SW13 9RT"/>
    <m/>
    <m/>
    <n v="1"/>
    <m/>
    <n v="1"/>
    <m/>
    <m/>
    <m/>
    <m/>
    <n v="2"/>
    <m/>
    <m/>
    <m/>
    <m/>
    <m/>
    <m/>
    <n v="1"/>
    <m/>
    <m/>
    <n v="1"/>
    <n v="0"/>
    <n v="-1"/>
    <n v="0"/>
    <n v="-1"/>
    <n v="0"/>
    <n v="1"/>
    <n v="0"/>
    <n v="0"/>
    <n v="-1"/>
    <x v="0"/>
    <n v="-1"/>
    <m/>
    <m/>
    <m/>
    <m/>
    <m/>
    <m/>
    <m/>
    <m/>
    <m/>
    <m/>
    <m/>
    <m/>
    <m/>
    <m/>
    <m/>
    <m/>
    <n v="0"/>
    <n v="0"/>
    <m/>
    <m/>
    <m/>
    <n v="522464"/>
    <n v="177085"/>
    <x v="17"/>
    <x v="3"/>
    <x v="0"/>
    <x v="0"/>
    <m/>
    <x v="0"/>
    <x v="0"/>
    <s v="CA25 Castelnau"/>
    <x v="1"/>
    <s v="Y"/>
    <x v="3"/>
  </r>
  <r>
    <s v="24/0999/ES191"/>
    <x v="4"/>
    <x v="3"/>
    <x v="52"/>
    <d v="2027-06-12T00:00:00"/>
    <d v="2024-06-12T00:00:00"/>
    <s v="Y"/>
    <x v="1"/>
    <d v="2024-06-12T00:00:00"/>
    <x v="0"/>
    <x v="0"/>
    <x v="0"/>
    <n v="0"/>
    <x v="0"/>
    <s v="Use as two separate residential units"/>
    <s v="63 Prospect Crescent, Twickenham TW2 7DZ"/>
    <s v="TW2 7DZ"/>
    <m/>
    <m/>
    <m/>
    <m/>
    <n v="1"/>
    <m/>
    <m/>
    <m/>
    <m/>
    <n v="1"/>
    <m/>
    <m/>
    <m/>
    <n v="2"/>
    <m/>
    <m/>
    <m/>
    <m/>
    <m/>
    <n v="2"/>
    <n v="0"/>
    <n v="0"/>
    <n v="2"/>
    <n v="-1"/>
    <n v="0"/>
    <n v="0"/>
    <n v="0"/>
    <n v="0"/>
    <n v="1"/>
    <x v="0"/>
    <n v="1"/>
    <m/>
    <m/>
    <m/>
    <m/>
    <m/>
    <m/>
    <m/>
    <m/>
    <m/>
    <m/>
    <m/>
    <m/>
    <m/>
    <m/>
    <m/>
    <m/>
    <n v="0"/>
    <n v="0"/>
    <m/>
    <m/>
    <m/>
    <n v="514251"/>
    <n v="174226"/>
    <x v="0"/>
    <x v="0"/>
    <x v="0"/>
    <x v="0"/>
    <m/>
    <x v="0"/>
    <x v="0"/>
    <m/>
    <x v="0"/>
    <s v="Y"/>
    <x v="0"/>
  </r>
  <r>
    <s v="24/1038/GPD26"/>
    <x v="1"/>
    <x v="1"/>
    <x v="53"/>
    <d v="2027-07-10T00:00:00"/>
    <d v="2024-04-01T00:00:00"/>
    <s v="Y"/>
    <x v="1"/>
    <d v="2025-03-31T00:00:00"/>
    <x v="0"/>
    <x v="0"/>
    <x v="0"/>
    <n v="0.72328767123287674"/>
    <x v="0"/>
    <s v="Conversion of offices into 3 self-contained flats."/>
    <s v="2A Claremont Road, Teddington TW11 8DG"/>
    <s v="TW11 8DG"/>
    <m/>
    <m/>
    <m/>
    <m/>
    <m/>
    <m/>
    <m/>
    <m/>
    <m/>
    <n v="0"/>
    <m/>
    <n v="1"/>
    <n v="2"/>
    <m/>
    <m/>
    <m/>
    <m/>
    <m/>
    <m/>
    <n v="3"/>
    <n v="1"/>
    <n v="2"/>
    <n v="0"/>
    <n v="0"/>
    <n v="0"/>
    <n v="0"/>
    <n v="0"/>
    <n v="0"/>
    <n v="3"/>
    <x v="0"/>
    <n v="3"/>
    <m/>
    <m/>
    <m/>
    <m/>
    <m/>
    <m/>
    <m/>
    <m/>
    <m/>
    <m/>
    <m/>
    <m/>
    <m/>
    <m/>
    <m/>
    <m/>
    <n v="0"/>
    <n v="0"/>
    <m/>
    <m/>
    <m/>
    <n v="515775"/>
    <n v="171430"/>
    <x v="11"/>
    <x v="1"/>
    <x v="0"/>
    <x v="0"/>
    <m/>
    <x v="0"/>
    <x v="0"/>
    <m/>
    <x v="0"/>
    <s v="Y"/>
    <x v="7"/>
  </r>
  <r>
    <s v="24/1061/ES191"/>
    <x v="4"/>
    <x v="3"/>
    <x v="54"/>
    <d v="2027-05-23T00:00:00"/>
    <d v="2024-05-23T00:00:00"/>
    <s v="Y"/>
    <x v="1"/>
    <d v="2024-05-23T00:00:00"/>
    <x v="0"/>
    <x v="0"/>
    <x v="0"/>
    <n v="0"/>
    <x v="0"/>
    <s v="Continued use of a four-storey with a basement property as a single-family dwelling."/>
    <s v="Ardingley. 112 Richmond Hill. Richmond TW10 6RJ"/>
    <s v="TW10 6RJ"/>
    <m/>
    <n v="1"/>
    <m/>
    <m/>
    <n v="1"/>
    <m/>
    <m/>
    <m/>
    <m/>
    <n v="2"/>
    <m/>
    <m/>
    <m/>
    <m/>
    <m/>
    <n v="1"/>
    <m/>
    <m/>
    <m/>
    <n v="1"/>
    <n v="-1"/>
    <n v="0"/>
    <n v="0"/>
    <n v="-1"/>
    <n v="1"/>
    <n v="0"/>
    <n v="0"/>
    <n v="0"/>
    <n v="-1"/>
    <x v="0"/>
    <n v="-1"/>
    <m/>
    <m/>
    <m/>
    <m/>
    <m/>
    <m/>
    <m/>
    <m/>
    <m/>
    <m/>
    <m/>
    <m/>
    <m/>
    <m/>
    <m/>
    <m/>
    <n v="0"/>
    <n v="0"/>
    <m/>
    <m/>
    <m/>
    <n v="518294"/>
    <n v="174078"/>
    <x v="10"/>
    <x v="5"/>
    <x v="0"/>
    <x v="1"/>
    <m/>
    <x v="0"/>
    <x v="0"/>
    <s v="CA5 Richmond Hill"/>
    <x v="1"/>
    <s v="Y"/>
    <x v="4"/>
  </r>
  <r>
    <s v="24/1229/ES191"/>
    <x v="1"/>
    <x v="3"/>
    <x v="55"/>
    <d v="2027-07-16T00:00:00"/>
    <d v="2024-07-16T00:00:00"/>
    <s v="Y"/>
    <x v="1"/>
    <d v="2024-07-16T00:00:00"/>
    <x v="0"/>
    <x v="0"/>
    <x v="0"/>
    <n v="0"/>
    <x v="0"/>
    <s v="Lawful use of the property as C3 (dwellinghouse) from previously approved live-work unit."/>
    <s v="3 Lock Road, Ham, Richmond TW10 7LQ"/>
    <s v="TW10 7LQ"/>
    <m/>
    <m/>
    <m/>
    <m/>
    <n v="1"/>
    <m/>
    <m/>
    <m/>
    <m/>
    <n v="1"/>
    <m/>
    <m/>
    <m/>
    <m/>
    <n v="1"/>
    <m/>
    <m/>
    <m/>
    <m/>
    <n v="1"/>
    <n v="0"/>
    <n v="0"/>
    <n v="0"/>
    <n v="0"/>
    <n v="0"/>
    <n v="0"/>
    <n v="0"/>
    <n v="0"/>
    <n v="0"/>
    <x v="0"/>
    <n v="0"/>
    <m/>
    <m/>
    <m/>
    <m/>
    <m/>
    <m/>
    <m/>
    <m/>
    <m/>
    <m/>
    <m/>
    <m/>
    <m/>
    <m/>
    <m/>
    <m/>
    <n v="0"/>
    <n v="0"/>
    <m/>
    <m/>
    <m/>
    <n v="517474"/>
    <n v="172076"/>
    <x v="10"/>
    <x v="5"/>
    <x v="0"/>
    <x v="0"/>
    <m/>
    <x v="0"/>
    <x v="0"/>
    <s v="CA7 Ham Common"/>
    <x v="1"/>
    <m/>
    <x v="6"/>
  </r>
  <r>
    <s v="24/1493/FUL"/>
    <x v="1"/>
    <x v="0"/>
    <x v="56"/>
    <d v="2024-12-06T00:00:00"/>
    <d v="2024-12-06T00:00:00"/>
    <s v="Y"/>
    <x v="1"/>
    <d v="2024-12-06T00:00:00"/>
    <x v="0"/>
    <x v="0"/>
    <x v="0"/>
    <n v="0"/>
    <x v="0"/>
    <s v="Retrospective permission for the retention of ground floor in Sui Generis Use (hot food takeaway) and conversion upper floors from Sui Generis to 1 bed 2 person flat and alterations to rear elevation fenestration. Creation of a roof terrace with screening"/>
    <s v="59 Kew Road, Richmond TW9 2NQ"/>
    <s v="TW9 2NQ"/>
    <m/>
    <m/>
    <m/>
    <m/>
    <m/>
    <m/>
    <m/>
    <m/>
    <m/>
    <n v="0"/>
    <m/>
    <n v="1"/>
    <m/>
    <m/>
    <m/>
    <m/>
    <m/>
    <m/>
    <m/>
    <n v="1"/>
    <n v="1"/>
    <n v="0"/>
    <n v="0"/>
    <n v="0"/>
    <n v="0"/>
    <n v="0"/>
    <n v="0"/>
    <n v="0"/>
    <n v="1"/>
    <x v="0"/>
    <n v="1"/>
    <m/>
    <m/>
    <m/>
    <m/>
    <m/>
    <m/>
    <m/>
    <m/>
    <m/>
    <m/>
    <m/>
    <m/>
    <m/>
    <m/>
    <m/>
    <m/>
    <n v="0"/>
    <n v="0"/>
    <m/>
    <m/>
    <m/>
    <n v="518122"/>
    <n v="175310"/>
    <x v="12"/>
    <x v="4"/>
    <x v="3"/>
    <x v="0"/>
    <m/>
    <x v="0"/>
    <x v="0"/>
    <s v="CA17 Central Richmond"/>
    <x v="1"/>
    <s v="Y"/>
    <x v="4"/>
  </r>
  <r>
    <s v="24/1740/ES191"/>
    <x v="1"/>
    <x v="3"/>
    <x v="57"/>
    <d v="2027-09-03T00:00:00"/>
    <d v="2024-09-03T00:00:00"/>
    <s v="Y"/>
    <x v="1"/>
    <d v="2024-09-03T00:00:00"/>
    <x v="0"/>
    <x v="0"/>
    <x v="0"/>
    <n v="0"/>
    <x v="0"/>
    <s v="Use as a single self-contained dwellinghouse"/>
    <s v="1 Queen Elizabeth Walk, Barnes SW13 9SA"/>
    <s v="SW13 9SA"/>
    <m/>
    <m/>
    <m/>
    <m/>
    <m/>
    <m/>
    <m/>
    <m/>
    <m/>
    <n v="0"/>
    <m/>
    <n v="1"/>
    <m/>
    <m/>
    <m/>
    <m/>
    <m/>
    <m/>
    <m/>
    <n v="1"/>
    <n v="1"/>
    <n v="0"/>
    <n v="0"/>
    <n v="0"/>
    <n v="0"/>
    <n v="0"/>
    <n v="0"/>
    <n v="0"/>
    <n v="1"/>
    <x v="0"/>
    <n v="1"/>
    <m/>
    <m/>
    <m/>
    <m/>
    <m/>
    <m/>
    <m/>
    <m/>
    <m/>
    <m/>
    <m/>
    <m/>
    <m/>
    <m/>
    <m/>
    <m/>
    <n v="0"/>
    <n v="0"/>
    <m/>
    <m/>
    <m/>
    <n v="522416"/>
    <n v="176615"/>
    <x v="17"/>
    <x v="3"/>
    <x v="0"/>
    <x v="1"/>
    <m/>
    <x v="0"/>
    <x v="1"/>
    <s v="CA1 Barnes Green"/>
    <x v="1"/>
    <s v="Y"/>
    <x v="3"/>
  </r>
  <r>
    <s v="24/2097/ES191"/>
    <x v="1"/>
    <x v="3"/>
    <x v="58"/>
    <d v="2027-10-09T00:00:00"/>
    <d v="2024-10-09T00:00:00"/>
    <s v="Y"/>
    <x v="1"/>
    <d v="2024-10-09T00:00:00"/>
    <x v="0"/>
    <x v="0"/>
    <x v="0"/>
    <n v="0"/>
    <x v="0"/>
    <s v="Use of property as a single family dwelling"/>
    <s v="3 Magna Square, East Sheen SW14 8LH"/>
    <s v="SW14 8LH"/>
    <m/>
    <m/>
    <n v="1"/>
    <m/>
    <m/>
    <m/>
    <m/>
    <m/>
    <m/>
    <n v="1"/>
    <m/>
    <m/>
    <m/>
    <n v="1"/>
    <m/>
    <m/>
    <m/>
    <m/>
    <m/>
    <n v="1"/>
    <n v="0"/>
    <n v="-1"/>
    <n v="1"/>
    <n v="0"/>
    <n v="0"/>
    <n v="0"/>
    <n v="0"/>
    <n v="0"/>
    <n v="0"/>
    <x v="0"/>
    <n v="0"/>
    <m/>
    <m/>
    <m/>
    <m/>
    <m/>
    <m/>
    <m/>
    <m/>
    <m/>
    <m/>
    <m/>
    <m/>
    <m/>
    <m/>
    <m/>
    <m/>
    <n v="0"/>
    <n v="0"/>
    <m/>
    <m/>
    <m/>
    <n v="520460"/>
    <n v="175643"/>
    <x v="9"/>
    <x v="3"/>
    <x v="4"/>
    <x v="0"/>
    <m/>
    <x v="0"/>
    <x v="0"/>
    <s v="CA70 Sheen Lane Mortlake"/>
    <x v="1"/>
    <s v="Y"/>
    <x v="5"/>
  </r>
  <r>
    <s v="24/2767/ES191"/>
    <x v="1"/>
    <x v="3"/>
    <x v="59"/>
    <d v="2027-12-30T00:00:00"/>
    <d v="2024-12-30T00:00:00"/>
    <s v="Y"/>
    <x v="1"/>
    <d v="2024-12-30T00:00:00"/>
    <x v="0"/>
    <x v="0"/>
    <x v="0"/>
    <n v="0"/>
    <x v="0"/>
    <s v="Use as a single self-contained dwellinghouse"/>
    <s v="29A Fourth Cross Road, Twickenham TW2 5EL"/>
    <s v="TW2 5EL"/>
    <m/>
    <m/>
    <m/>
    <m/>
    <m/>
    <m/>
    <m/>
    <m/>
    <m/>
    <n v="0"/>
    <m/>
    <m/>
    <n v="1"/>
    <m/>
    <m/>
    <m/>
    <m/>
    <m/>
    <m/>
    <n v="1"/>
    <n v="0"/>
    <n v="1"/>
    <n v="0"/>
    <n v="0"/>
    <n v="0"/>
    <n v="0"/>
    <n v="0"/>
    <n v="0"/>
    <n v="1"/>
    <x v="0"/>
    <n v="1"/>
    <m/>
    <m/>
    <m/>
    <m/>
    <m/>
    <m/>
    <m/>
    <m/>
    <m/>
    <m/>
    <m/>
    <m/>
    <m/>
    <m/>
    <m/>
    <m/>
    <n v="0"/>
    <n v="0"/>
    <m/>
    <m/>
    <m/>
    <n v="514777"/>
    <n v="172631"/>
    <x v="16"/>
    <x v="2"/>
    <x v="0"/>
    <x v="0"/>
    <m/>
    <x v="0"/>
    <x v="0"/>
    <m/>
    <x v="0"/>
    <s v="Y"/>
    <x v="2"/>
  </r>
  <r>
    <s v="25/0058/ES191"/>
    <x v="4"/>
    <x v="3"/>
    <x v="60"/>
    <d v="2025-02-26T00:00:00"/>
    <d v="2025-02-26T00:00:00"/>
    <s v="Y"/>
    <x v="1"/>
    <d v="2025-02-26T00:00:00"/>
    <x v="0"/>
    <x v="0"/>
    <x v="0"/>
    <n v="0"/>
    <x v="0"/>
    <s v="Amalgamation of 16 Laurel Road and 17 Laurel Road for use a single residential dwelling (Class C3)."/>
    <s v="16 - 17 Laurel Road, Barnes"/>
    <s v="SW13 0EE"/>
    <m/>
    <m/>
    <m/>
    <m/>
    <n v="2"/>
    <m/>
    <m/>
    <m/>
    <m/>
    <n v="2"/>
    <m/>
    <m/>
    <m/>
    <m/>
    <m/>
    <m/>
    <m/>
    <m/>
    <n v="1"/>
    <n v="1"/>
    <n v="0"/>
    <n v="0"/>
    <n v="0"/>
    <n v="-2"/>
    <n v="0"/>
    <n v="0"/>
    <n v="0"/>
    <n v="1"/>
    <n v="-1"/>
    <x v="0"/>
    <n v="-1"/>
    <m/>
    <m/>
    <m/>
    <m/>
    <m/>
    <m/>
    <m/>
    <m/>
    <m/>
    <m/>
    <m/>
    <m/>
    <m/>
    <m/>
    <m/>
    <m/>
    <n v="0"/>
    <n v="0"/>
    <m/>
    <m/>
    <m/>
    <n v="522060"/>
    <n v="176205"/>
    <x v="17"/>
    <x v="3"/>
    <x v="0"/>
    <x v="0"/>
    <m/>
    <x v="0"/>
    <x v="0"/>
    <s v="CA1 Barnes Green"/>
    <x v="1"/>
    <s v="Y"/>
    <x v="3"/>
  </r>
  <r>
    <s v="04/1020/FUL"/>
    <x v="1"/>
    <x v="0"/>
    <x v="61"/>
    <d v="2009-07-23T00:00:00"/>
    <d v="2009-07-01T00:00:00"/>
    <m/>
    <x v="0"/>
    <m/>
    <x v="1"/>
    <x v="0"/>
    <x v="0"/>
    <m/>
    <x v="2"/>
    <s v="Erection Of One And Half Storey Rear Extension To Create Self Contained Dwelling"/>
    <s v="83 High Street, Hampton Wick"/>
    <s v="KT1 4DG"/>
    <m/>
    <m/>
    <m/>
    <m/>
    <m/>
    <m/>
    <m/>
    <m/>
    <m/>
    <n v="0"/>
    <m/>
    <n v="1"/>
    <m/>
    <m/>
    <m/>
    <m/>
    <m/>
    <m/>
    <m/>
    <n v="1"/>
    <n v="1"/>
    <n v="0"/>
    <n v="0"/>
    <n v="0"/>
    <n v="0"/>
    <n v="0"/>
    <n v="0"/>
    <n v="0"/>
    <n v="1"/>
    <x v="0"/>
    <m/>
    <n v="1"/>
    <m/>
    <m/>
    <m/>
    <m/>
    <m/>
    <m/>
    <m/>
    <m/>
    <m/>
    <m/>
    <m/>
    <m/>
    <m/>
    <m/>
    <m/>
    <n v="1"/>
    <n v="1"/>
    <m/>
    <m/>
    <m/>
    <n v="517419"/>
    <n v="169715"/>
    <x v="14"/>
    <x v="1"/>
    <x v="0"/>
    <x v="0"/>
    <s v="Hampton Wick"/>
    <x v="1"/>
    <x v="0"/>
    <s v="CA18 Hampton Wick"/>
    <x v="1"/>
    <s v="Y"/>
    <x v="7"/>
  </r>
  <r>
    <s v="08/2038/FUL"/>
    <x v="0"/>
    <x v="0"/>
    <x v="62"/>
    <d v="2012-04-03T00:00:00"/>
    <d v="2012-03-12T00:00:00"/>
    <m/>
    <x v="0"/>
    <m/>
    <x v="1"/>
    <x v="0"/>
    <x v="0"/>
    <m/>
    <x v="2"/>
    <s v="Erection of a pair of semi-detached houses."/>
    <s v="Land At  Rear Of 293 Petersham Road, Richmond"/>
    <s v="TW10 7DB"/>
    <m/>
    <m/>
    <m/>
    <m/>
    <m/>
    <m/>
    <m/>
    <m/>
    <m/>
    <n v="0"/>
    <m/>
    <n v="1"/>
    <m/>
    <n v="1"/>
    <m/>
    <m/>
    <m/>
    <m/>
    <m/>
    <n v="2"/>
    <n v="1"/>
    <n v="0"/>
    <n v="1"/>
    <n v="0"/>
    <n v="0"/>
    <n v="0"/>
    <n v="0"/>
    <n v="0"/>
    <n v="2"/>
    <x v="0"/>
    <m/>
    <m/>
    <n v="1"/>
    <n v="1"/>
    <m/>
    <m/>
    <m/>
    <m/>
    <m/>
    <m/>
    <m/>
    <m/>
    <m/>
    <m/>
    <m/>
    <m/>
    <m/>
    <n v="2"/>
    <n v="2"/>
    <m/>
    <m/>
    <m/>
    <n v="517877"/>
    <n v="172338"/>
    <x v="10"/>
    <x v="5"/>
    <x v="0"/>
    <x v="0"/>
    <m/>
    <x v="0"/>
    <x v="0"/>
    <s v="CA7 Ham Common"/>
    <x v="1"/>
    <m/>
    <x v="6"/>
  </r>
  <r>
    <s v="11/0468/PS192"/>
    <x v="0"/>
    <x v="2"/>
    <x v="63"/>
    <d v="2014-03-07T00:00:00"/>
    <d v="2011-03-07T00:00:00"/>
    <m/>
    <x v="0"/>
    <m/>
    <x v="1"/>
    <x v="0"/>
    <x v="1"/>
    <m/>
    <x v="2"/>
    <s v="Continuing construction of block of 11 flats on site of Osbourne House under permission 07/2991/FUL after 28/02/2011 (when the permission would otherwise have expired) will be lawful."/>
    <s v="Becketts Wharf And Osbourne House, Becketts Place, Hampton Wick"/>
    <s v="KT1 4EQ"/>
    <m/>
    <m/>
    <m/>
    <m/>
    <m/>
    <m/>
    <m/>
    <m/>
    <m/>
    <n v="0"/>
    <m/>
    <n v="4"/>
    <n v="7"/>
    <m/>
    <m/>
    <m/>
    <m/>
    <m/>
    <m/>
    <n v="11"/>
    <n v="4"/>
    <n v="7"/>
    <n v="0"/>
    <n v="0"/>
    <n v="0"/>
    <n v="0"/>
    <n v="0"/>
    <n v="0"/>
    <n v="11"/>
    <x v="1"/>
    <m/>
    <m/>
    <n v="2.75"/>
    <n v="2.75"/>
    <n v="2.75"/>
    <n v="2.75"/>
    <m/>
    <m/>
    <m/>
    <m/>
    <m/>
    <m/>
    <m/>
    <m/>
    <m/>
    <m/>
    <m/>
    <n v="11"/>
    <n v="11"/>
    <m/>
    <m/>
    <m/>
    <n v="517650"/>
    <n v="169624"/>
    <x v="14"/>
    <x v="1"/>
    <x v="0"/>
    <x v="1"/>
    <s v="Hampton Wick"/>
    <x v="1"/>
    <x v="0"/>
    <s v="CA18 Hampton Wick"/>
    <x v="1"/>
    <s v="Y"/>
    <x v="7"/>
  </r>
  <r>
    <s v="12/1020/FUL"/>
    <x v="4"/>
    <x v="0"/>
    <x v="64"/>
    <d v="2016-07-31T00:00:00"/>
    <d v="2016-07-14T00:00:00"/>
    <m/>
    <x v="0"/>
    <m/>
    <x v="1"/>
    <x v="0"/>
    <x v="0"/>
    <m/>
    <x v="2"/>
    <s v="Conversion of ground and first floors to create of no. 25-27 which are linked internally to create the following: no. 25 convert to single dwellinghouse with loft conversion. no.27 Convert ground floor to 1 x 2 bed flat, first floor convert to 2 x 1 bed flats, 2nd floor existing 1 x 2 bed and 1 x 1 bed flats to remain as existing."/>
    <s v="25 - 27 Thames Street, Hampton TW12 2EW"/>
    <s v="TW12 2EW"/>
    <m/>
    <n v="1"/>
    <n v="1"/>
    <m/>
    <m/>
    <m/>
    <m/>
    <m/>
    <m/>
    <n v="2"/>
    <m/>
    <n v="3"/>
    <n v="2"/>
    <n v="1"/>
    <m/>
    <m/>
    <m/>
    <m/>
    <m/>
    <n v="6"/>
    <n v="2"/>
    <n v="1"/>
    <n v="1"/>
    <n v="0"/>
    <n v="0"/>
    <n v="0"/>
    <n v="0"/>
    <n v="0"/>
    <n v="4"/>
    <x v="0"/>
    <m/>
    <m/>
    <n v="1"/>
    <n v="1"/>
    <n v="1"/>
    <n v="1"/>
    <m/>
    <m/>
    <m/>
    <m/>
    <m/>
    <m/>
    <m/>
    <m/>
    <m/>
    <m/>
    <m/>
    <n v="4"/>
    <n v="4"/>
    <m/>
    <m/>
    <m/>
    <n v="513862"/>
    <n v="169500"/>
    <x v="7"/>
    <x v="1"/>
    <x v="0"/>
    <x v="1"/>
    <s v="Thames Street, Hampton"/>
    <x v="1"/>
    <x v="0"/>
    <s v="CA12 Hampton Village"/>
    <x v="1"/>
    <s v="Y"/>
    <x v="1"/>
  </r>
  <r>
    <s v="13/1327/FUL"/>
    <x v="1"/>
    <x v="0"/>
    <x v="65"/>
    <d v="2016-09-03T00:00:00"/>
    <d v="2016-08-19T00:00:00"/>
    <m/>
    <x v="0"/>
    <m/>
    <x v="1"/>
    <x v="0"/>
    <x v="1"/>
    <m/>
    <x v="2"/>
    <s v="Reversion of Doughty House and Doughty Cottage, change of use from D1 gallery to a single family dwelling. New conservatory with basement below; underground car parking beneath the upper garden and linked to Doughty House; part re-construction of rear elevation to Doughty House; Formation of new lift shaft in Doughty House with minor alterations at roof level above lift shaft; extension to south east elevation to the cottage to form new ensuite bathrooms at three level."/>
    <s v="Doughty House And Doughty Cottage, 142 - 142A Richmond Hill, Richmond"/>
    <s v="TW10 6RN"/>
    <m/>
    <m/>
    <m/>
    <m/>
    <n v="1"/>
    <m/>
    <m/>
    <m/>
    <m/>
    <n v="1"/>
    <m/>
    <m/>
    <m/>
    <m/>
    <n v="1"/>
    <m/>
    <m/>
    <m/>
    <m/>
    <n v="1"/>
    <n v="0"/>
    <n v="0"/>
    <n v="0"/>
    <n v="0"/>
    <n v="0"/>
    <n v="0"/>
    <n v="0"/>
    <n v="0"/>
    <n v="0"/>
    <x v="0"/>
    <m/>
    <n v="0"/>
    <m/>
    <m/>
    <m/>
    <m/>
    <m/>
    <m/>
    <m/>
    <m/>
    <m/>
    <m/>
    <m/>
    <m/>
    <m/>
    <m/>
    <m/>
    <n v="0"/>
    <n v="0"/>
    <m/>
    <m/>
    <m/>
    <n v="518397"/>
    <n v="173968"/>
    <x v="10"/>
    <x v="5"/>
    <x v="0"/>
    <x v="1"/>
    <m/>
    <x v="0"/>
    <x v="0"/>
    <s v="CA5 Richmond Hill"/>
    <x v="1"/>
    <s v="Y"/>
    <x v="4"/>
  </r>
  <r>
    <s v="14/2797/P3JPA"/>
    <x v="1"/>
    <x v="1"/>
    <x v="66"/>
    <d v="2017-11-27T00:00:00"/>
    <d v="2017-06-30T00:00:00"/>
    <m/>
    <x v="0"/>
    <m/>
    <x v="1"/>
    <x v="0"/>
    <x v="0"/>
    <m/>
    <x v="2"/>
    <s v="Proposed change of use of part of an existing two storey office block (B1a Use Class) to Residential (C3 Use Class) creating 6 No.flats (comprising 1 x 1-bed unit and 5 x 2-bed units)."/>
    <s v="Crane Mews, 32 Gould Road, Twickenham"/>
    <s v="TW2 6RS"/>
    <m/>
    <m/>
    <m/>
    <m/>
    <m/>
    <m/>
    <m/>
    <m/>
    <m/>
    <n v="0"/>
    <m/>
    <n v="1"/>
    <n v="5"/>
    <m/>
    <m/>
    <m/>
    <m/>
    <m/>
    <m/>
    <n v="6"/>
    <n v="1"/>
    <n v="5"/>
    <n v="0"/>
    <n v="0"/>
    <n v="0"/>
    <n v="0"/>
    <n v="0"/>
    <n v="0"/>
    <n v="6"/>
    <x v="0"/>
    <m/>
    <m/>
    <n v="3"/>
    <n v="3"/>
    <m/>
    <m/>
    <m/>
    <m/>
    <m/>
    <m/>
    <m/>
    <m/>
    <m/>
    <m/>
    <m/>
    <m/>
    <m/>
    <n v="6"/>
    <n v="6"/>
    <m/>
    <m/>
    <m/>
    <n v="515206"/>
    <n v="173341"/>
    <x v="2"/>
    <x v="2"/>
    <x v="0"/>
    <x v="0"/>
    <m/>
    <x v="0"/>
    <x v="0"/>
    <m/>
    <x v="0"/>
    <s v="Y"/>
    <x v="2"/>
  </r>
  <r>
    <s v="16/0058/FUL"/>
    <x v="1"/>
    <x v="0"/>
    <x v="67"/>
    <d v="2019-07-14T00:00:00"/>
    <d v="2019-07-10T00:00:00"/>
    <m/>
    <x v="0"/>
    <m/>
    <x v="1"/>
    <x v="0"/>
    <x v="0"/>
    <m/>
    <x v="2"/>
    <s v="Change of use of 2nd floor and 3rd floor level from ancillary retail to nine 1 bedroom flats (C3 use) with external alterations and enclosure of walkway at 1st floor, new residential access, bin store, bicycle storage, replacement of plant, new stairs to roof access and  reconfiguration of food store at ground floor level."/>
    <s v="29 George Street, Richmond TW9 1HY"/>
    <s v="TW9 1HY"/>
    <m/>
    <m/>
    <m/>
    <m/>
    <m/>
    <m/>
    <m/>
    <m/>
    <m/>
    <n v="0"/>
    <m/>
    <n v="9"/>
    <m/>
    <m/>
    <m/>
    <m/>
    <m/>
    <m/>
    <m/>
    <n v="9"/>
    <n v="9"/>
    <n v="0"/>
    <n v="0"/>
    <n v="0"/>
    <n v="0"/>
    <n v="0"/>
    <n v="0"/>
    <n v="0"/>
    <n v="9"/>
    <x v="0"/>
    <m/>
    <m/>
    <n v="4.5"/>
    <n v="4.5"/>
    <m/>
    <m/>
    <m/>
    <m/>
    <m/>
    <m/>
    <m/>
    <m/>
    <m/>
    <m/>
    <m/>
    <m/>
    <m/>
    <n v="9"/>
    <n v="9"/>
    <m/>
    <m/>
    <m/>
    <n v="517924"/>
    <n v="174891"/>
    <x v="12"/>
    <x v="4"/>
    <x v="3"/>
    <x v="0"/>
    <m/>
    <x v="0"/>
    <x v="0"/>
    <s v="CA17 Central Richmond"/>
    <x v="1"/>
    <s v="Y"/>
    <x v="4"/>
  </r>
  <r>
    <s v="16/0510/FUL"/>
    <x v="1"/>
    <x v="0"/>
    <x v="68"/>
    <d v="2021-07-19T00:00:00"/>
    <d v="2021-07-05T00:00:00"/>
    <m/>
    <x v="0"/>
    <m/>
    <x v="1"/>
    <x v="0"/>
    <x v="0"/>
    <m/>
    <x v="2"/>
    <s v="Alterations including construction of a new rear ground floor extension and change of use to commercial space and two 2-bedroom self-contained flats."/>
    <s v="Shanklin House, 70 Sheen Road, Richmond TW9 1UF"/>
    <s v="TW9 1UF"/>
    <m/>
    <m/>
    <m/>
    <m/>
    <m/>
    <m/>
    <m/>
    <m/>
    <m/>
    <n v="0"/>
    <m/>
    <m/>
    <n v="2"/>
    <m/>
    <m/>
    <m/>
    <m/>
    <m/>
    <m/>
    <n v="2"/>
    <n v="0"/>
    <n v="2"/>
    <n v="0"/>
    <n v="0"/>
    <n v="0"/>
    <n v="0"/>
    <n v="0"/>
    <n v="0"/>
    <n v="2"/>
    <x v="0"/>
    <m/>
    <m/>
    <n v="1"/>
    <n v="1"/>
    <m/>
    <m/>
    <m/>
    <m/>
    <m/>
    <m/>
    <m/>
    <m/>
    <m/>
    <m/>
    <m/>
    <m/>
    <m/>
    <n v="2"/>
    <n v="2"/>
    <m/>
    <m/>
    <m/>
    <n v="518392"/>
    <n v="175032"/>
    <x v="12"/>
    <x v="4"/>
    <x v="0"/>
    <x v="0"/>
    <s v="Sheen Road"/>
    <x v="1"/>
    <x v="0"/>
    <s v="CA31 Sheen Road Richmond"/>
    <x v="1"/>
    <s v="Y"/>
    <x v="4"/>
  </r>
  <r>
    <s v="16/2537/FUL"/>
    <x v="0"/>
    <x v="0"/>
    <x v="69"/>
    <d v="2022-04-03T00:00:00"/>
    <d v="2022-03-16T00:00:00"/>
    <m/>
    <x v="0"/>
    <m/>
    <x v="1"/>
    <x v="0"/>
    <x v="0"/>
    <m/>
    <x v="2"/>
    <s v="Demolition of the existing building, and redevelopment of the site for 8 residential units (1 x 1 bed, 7 x 2 bed units) with associated car and cycle parking, amenity space, refuse and recycling storage."/>
    <s v="1D Becketts Place, Hampton Wick"/>
    <s v="KT1 4EW"/>
    <m/>
    <n v="3"/>
    <m/>
    <m/>
    <m/>
    <m/>
    <m/>
    <m/>
    <m/>
    <n v="3"/>
    <m/>
    <n v="1"/>
    <n v="7"/>
    <m/>
    <m/>
    <m/>
    <m/>
    <m/>
    <m/>
    <n v="8"/>
    <n v="-2"/>
    <n v="7"/>
    <n v="0"/>
    <n v="0"/>
    <n v="0"/>
    <n v="0"/>
    <n v="0"/>
    <n v="0"/>
    <n v="5"/>
    <x v="0"/>
    <m/>
    <m/>
    <n v="2.5"/>
    <n v="2.5"/>
    <m/>
    <m/>
    <m/>
    <m/>
    <m/>
    <m/>
    <m/>
    <m/>
    <m/>
    <m/>
    <m/>
    <m/>
    <m/>
    <n v="5"/>
    <n v="5"/>
    <m/>
    <m/>
    <m/>
    <n v="517622"/>
    <n v="169605"/>
    <x v="14"/>
    <x v="1"/>
    <x v="0"/>
    <x v="1"/>
    <s v="Hampton Wick"/>
    <x v="1"/>
    <x v="0"/>
    <s v="CA18 Hampton Wick"/>
    <x v="1"/>
    <s v="Y"/>
    <x v="7"/>
  </r>
  <r>
    <s v="17/0323/FUL"/>
    <x v="0"/>
    <x v="0"/>
    <x v="70"/>
    <d v="2021-03-23T00:00:00"/>
    <d v="2021-01-04T00:00:00"/>
    <m/>
    <x v="0"/>
    <m/>
    <x v="1"/>
    <x v="0"/>
    <x v="0"/>
    <m/>
    <x v="2"/>
    <s v="Erection of a three-storey building to provide  4 two-bedroom residential units (Class C3) separate refuse facilities and altered parking layout."/>
    <s v="Courtyard Apartments, 70B Hampton Road, Teddington"/>
    <s v="TW11 0JX"/>
    <m/>
    <m/>
    <m/>
    <m/>
    <m/>
    <m/>
    <m/>
    <m/>
    <m/>
    <n v="0"/>
    <m/>
    <m/>
    <n v="4"/>
    <m/>
    <m/>
    <m/>
    <m/>
    <m/>
    <m/>
    <n v="4"/>
    <n v="0"/>
    <n v="4"/>
    <n v="0"/>
    <n v="0"/>
    <n v="0"/>
    <n v="0"/>
    <n v="0"/>
    <n v="0"/>
    <n v="4"/>
    <x v="0"/>
    <m/>
    <m/>
    <n v="2"/>
    <n v="2"/>
    <m/>
    <m/>
    <m/>
    <m/>
    <m/>
    <m/>
    <m/>
    <m/>
    <m/>
    <m/>
    <m/>
    <m/>
    <m/>
    <n v="4"/>
    <n v="4"/>
    <m/>
    <m/>
    <m/>
    <n v="514687"/>
    <n v="171290"/>
    <x v="6"/>
    <x v="1"/>
    <x v="0"/>
    <x v="0"/>
    <m/>
    <x v="0"/>
    <x v="0"/>
    <m/>
    <x v="0"/>
    <s v="Y"/>
    <x v="7"/>
  </r>
  <r>
    <s v="17/0788/FUL"/>
    <x v="0"/>
    <x v="0"/>
    <x v="71"/>
    <d v="2021-01-08T00:00:00"/>
    <d v="2021-01-07T00:00:00"/>
    <m/>
    <x v="0"/>
    <m/>
    <x v="1"/>
    <x v="0"/>
    <x v="0"/>
    <m/>
    <x v="2"/>
    <s v="Demolition of lock up garages to provide 1 no. detached 4 bedroom dwellinghouse with associated parking, cycle and refuse stores, new boundary fence and hard and soft landscaping."/>
    <s v="High Wigsell, 35 Twickenham Road, Teddington"/>
    <s v="TW11"/>
    <m/>
    <m/>
    <m/>
    <m/>
    <m/>
    <m/>
    <m/>
    <m/>
    <m/>
    <n v="0"/>
    <m/>
    <m/>
    <m/>
    <m/>
    <n v="1"/>
    <m/>
    <m/>
    <m/>
    <m/>
    <n v="1"/>
    <n v="0"/>
    <n v="0"/>
    <n v="0"/>
    <n v="1"/>
    <n v="0"/>
    <n v="0"/>
    <n v="0"/>
    <n v="0"/>
    <n v="1"/>
    <x v="0"/>
    <m/>
    <m/>
    <n v="1"/>
    <m/>
    <m/>
    <m/>
    <m/>
    <m/>
    <m/>
    <m/>
    <m/>
    <m/>
    <m/>
    <m/>
    <m/>
    <m/>
    <m/>
    <n v="1"/>
    <n v="1"/>
    <m/>
    <m/>
    <m/>
    <n v="516399"/>
    <n v="171470"/>
    <x v="11"/>
    <x v="1"/>
    <x v="0"/>
    <x v="0"/>
    <m/>
    <x v="0"/>
    <x v="0"/>
    <m/>
    <x v="0"/>
    <s v="Y"/>
    <x v="7"/>
  </r>
  <r>
    <s v="17/0925/FUL"/>
    <x v="3"/>
    <x v="0"/>
    <x v="72"/>
    <d v="2024-08-10T00:00:00"/>
    <d v="2024-02-01T00:00:00"/>
    <m/>
    <x v="0"/>
    <m/>
    <x v="1"/>
    <x v="0"/>
    <x v="0"/>
    <m/>
    <x v="2"/>
    <s v="Two storey side extension, first floor rear extension, rear dormer roof extension and installation of external metal staircase to facilitate the provision of 1 no. 1 bed flat and reconfiguration of existing 2 bed flat to 1 bed flat and associated parking,"/>
    <s v="638 Hanworth Road, Whitton TW4 5NP"/>
    <s v="TW4 5NP"/>
    <m/>
    <m/>
    <n v="1"/>
    <m/>
    <m/>
    <m/>
    <m/>
    <m/>
    <m/>
    <n v="1"/>
    <m/>
    <n v="2"/>
    <m/>
    <m/>
    <m/>
    <m/>
    <m/>
    <m/>
    <m/>
    <n v="2"/>
    <n v="2"/>
    <n v="-1"/>
    <n v="0"/>
    <n v="0"/>
    <n v="0"/>
    <n v="0"/>
    <n v="0"/>
    <n v="0"/>
    <n v="1"/>
    <x v="0"/>
    <m/>
    <n v="1"/>
    <m/>
    <m/>
    <m/>
    <m/>
    <m/>
    <m/>
    <m/>
    <m/>
    <m/>
    <m/>
    <m/>
    <m/>
    <m/>
    <m/>
    <m/>
    <n v="1"/>
    <n v="1"/>
    <m/>
    <m/>
    <m/>
    <n v="512771"/>
    <n v="173675"/>
    <x v="15"/>
    <x v="0"/>
    <x v="0"/>
    <x v="0"/>
    <s v="Hanworth Road"/>
    <x v="1"/>
    <x v="0"/>
    <m/>
    <x v="0"/>
    <m/>
    <x v="0"/>
  </r>
  <r>
    <s v="17/1390/FUL"/>
    <x v="0"/>
    <x v="0"/>
    <x v="73"/>
    <d v="2022-05-14T00:00:00"/>
    <d v="2022-03-01T00:00:00"/>
    <m/>
    <x v="0"/>
    <m/>
    <x v="1"/>
    <x v="0"/>
    <x v="0"/>
    <m/>
    <x v="2"/>
    <s v="Demolition of builders storage building and erection of one bedroomed  2 storey detached dwellinghouse with basement."/>
    <s v="Land Adjacent To No 1 South Western Road, Twickenham"/>
    <s v="TW1 1LG"/>
    <m/>
    <m/>
    <m/>
    <m/>
    <m/>
    <m/>
    <m/>
    <m/>
    <m/>
    <n v="0"/>
    <m/>
    <n v="1"/>
    <m/>
    <m/>
    <m/>
    <m/>
    <m/>
    <m/>
    <m/>
    <n v="1"/>
    <n v="1"/>
    <n v="0"/>
    <n v="0"/>
    <n v="0"/>
    <n v="0"/>
    <n v="0"/>
    <n v="0"/>
    <n v="0"/>
    <n v="1"/>
    <x v="0"/>
    <m/>
    <m/>
    <n v="0.5"/>
    <n v="0.5"/>
    <m/>
    <m/>
    <m/>
    <m/>
    <m/>
    <m/>
    <m/>
    <m/>
    <m/>
    <m/>
    <m/>
    <m/>
    <m/>
    <n v="1"/>
    <n v="1"/>
    <m/>
    <m/>
    <m/>
    <n v="516598"/>
    <n v="174330"/>
    <x v="3"/>
    <x v="2"/>
    <x v="0"/>
    <x v="0"/>
    <m/>
    <x v="0"/>
    <x v="0"/>
    <m/>
    <x v="0"/>
    <s v="Y"/>
    <x v="2"/>
  </r>
  <r>
    <s v="17/3590/FUL"/>
    <x v="0"/>
    <x v="0"/>
    <x v="74"/>
    <d v="2021-07-26T00:00:00"/>
    <d v="2021-07-23T00:00:00"/>
    <m/>
    <x v="0"/>
    <m/>
    <x v="1"/>
    <x v="0"/>
    <x v="0"/>
    <m/>
    <x v="2"/>
    <s v="Demolition of the existing garages. Erection of 1 x 2 bed single storey house and 1 x 3 bed single storey house with basement with associated hard and soft landscaping, refuse and cycle stores."/>
    <s v="Garages Rear Of 48-52 Anlaby Road, Teddington"/>
    <s v="TW11 0PP"/>
    <m/>
    <m/>
    <m/>
    <m/>
    <m/>
    <m/>
    <m/>
    <m/>
    <m/>
    <n v="0"/>
    <m/>
    <m/>
    <n v="1"/>
    <n v="1"/>
    <m/>
    <m/>
    <m/>
    <m/>
    <m/>
    <n v="2"/>
    <n v="0"/>
    <n v="1"/>
    <n v="1"/>
    <n v="0"/>
    <n v="0"/>
    <n v="0"/>
    <n v="0"/>
    <n v="0"/>
    <n v="2"/>
    <x v="0"/>
    <m/>
    <m/>
    <n v="1"/>
    <n v="1"/>
    <m/>
    <m/>
    <m/>
    <m/>
    <m/>
    <m/>
    <m/>
    <m/>
    <m/>
    <m/>
    <m/>
    <m/>
    <m/>
    <n v="2"/>
    <n v="2"/>
    <m/>
    <m/>
    <m/>
    <n v="514975"/>
    <n v="171285"/>
    <x v="6"/>
    <x v="1"/>
    <x v="0"/>
    <x v="0"/>
    <m/>
    <x v="0"/>
    <x v="0"/>
    <m/>
    <x v="0"/>
    <s v="Y"/>
    <x v="7"/>
  </r>
  <r>
    <s v="17/3667/FUL"/>
    <x v="0"/>
    <x v="0"/>
    <x v="75"/>
    <d v="2021-04-25T00:00:00"/>
    <d v="2021-03-15T00:00:00"/>
    <m/>
    <x v="0"/>
    <m/>
    <x v="1"/>
    <x v="0"/>
    <x v="0"/>
    <m/>
    <x v="2"/>
    <s v="Demolition of existing staff accommodation caravans and storage barn and erection of replacement grooms accommodation."/>
    <s v="Manor Farm Riding School, Petersham Road, Petersham, Richmond TW10 7AH"/>
    <s v="TW10 7AH"/>
    <m/>
    <m/>
    <m/>
    <m/>
    <m/>
    <m/>
    <m/>
    <m/>
    <m/>
    <n v="0"/>
    <m/>
    <m/>
    <m/>
    <n v="1"/>
    <m/>
    <m/>
    <m/>
    <m/>
    <m/>
    <n v="1"/>
    <n v="0"/>
    <n v="0"/>
    <n v="1"/>
    <n v="0"/>
    <n v="0"/>
    <n v="0"/>
    <n v="0"/>
    <n v="0"/>
    <n v="1"/>
    <x v="0"/>
    <m/>
    <n v="1"/>
    <m/>
    <m/>
    <m/>
    <m/>
    <m/>
    <m/>
    <m/>
    <m/>
    <m/>
    <m/>
    <m/>
    <m/>
    <m/>
    <m/>
    <m/>
    <n v="1"/>
    <n v="1"/>
    <m/>
    <m/>
    <m/>
    <n v="517808"/>
    <n v="173353"/>
    <x v="10"/>
    <x v="5"/>
    <x v="0"/>
    <x v="1"/>
    <m/>
    <x v="0"/>
    <x v="2"/>
    <s v="CA6 Petersham"/>
    <x v="1"/>
    <m/>
    <x v="6"/>
  </r>
  <r>
    <s v="18/0216/FUL"/>
    <x v="4"/>
    <x v="0"/>
    <x v="76"/>
    <d v="2021-12-05T00:00:00"/>
    <d v="2019-11-11T00:00:00"/>
    <m/>
    <x v="0"/>
    <m/>
    <x v="1"/>
    <x v="0"/>
    <x v="0"/>
    <m/>
    <x v="2"/>
    <s v="The division of the existing single dwelling on the upper floors into two dwellings. Rear dormer and roof lights to the front roofslope."/>
    <s v="34 Colston Road, East Sheen SW14 7PG"/>
    <s v="SW14 7PG"/>
    <m/>
    <m/>
    <m/>
    <m/>
    <n v="1"/>
    <m/>
    <m/>
    <m/>
    <m/>
    <n v="1"/>
    <m/>
    <n v="1"/>
    <m/>
    <n v="1"/>
    <m/>
    <m/>
    <m/>
    <m/>
    <m/>
    <n v="2"/>
    <n v="1"/>
    <n v="0"/>
    <n v="1"/>
    <n v="-1"/>
    <n v="0"/>
    <n v="0"/>
    <n v="0"/>
    <n v="0"/>
    <n v="1"/>
    <x v="0"/>
    <m/>
    <m/>
    <n v="0.5"/>
    <n v="0.5"/>
    <m/>
    <m/>
    <m/>
    <m/>
    <m/>
    <m/>
    <m/>
    <m/>
    <m/>
    <m/>
    <m/>
    <m/>
    <m/>
    <n v="1"/>
    <n v="1"/>
    <m/>
    <m/>
    <m/>
    <n v="520283"/>
    <n v="175305"/>
    <x v="9"/>
    <x v="3"/>
    <x v="4"/>
    <x v="0"/>
    <m/>
    <x v="0"/>
    <x v="0"/>
    <m/>
    <x v="0"/>
    <s v="Y"/>
    <x v="5"/>
  </r>
  <r>
    <s v="18/1248/FUL"/>
    <x v="1"/>
    <x v="0"/>
    <x v="77"/>
    <d v="2021-12-21T00:00:00"/>
    <d v="2020-09-01T00:00:00"/>
    <m/>
    <x v="0"/>
    <m/>
    <x v="1"/>
    <x v="0"/>
    <x v="0"/>
    <m/>
    <x v="2"/>
    <s v="Conversion, refurbishment and extension of existing tyre shop with maisonette above (C3) into two self-contained one bedroom flats (C3)."/>
    <s v="1 Trinity Road, Richmond TW9 2LD"/>
    <s v="TW9 2LD"/>
    <m/>
    <n v="1"/>
    <m/>
    <m/>
    <m/>
    <m/>
    <m/>
    <m/>
    <m/>
    <n v="1"/>
    <m/>
    <n v="2"/>
    <m/>
    <m/>
    <m/>
    <m/>
    <m/>
    <m/>
    <m/>
    <n v="2"/>
    <n v="1"/>
    <n v="0"/>
    <n v="0"/>
    <n v="0"/>
    <n v="0"/>
    <n v="0"/>
    <n v="0"/>
    <n v="0"/>
    <n v="1"/>
    <x v="0"/>
    <m/>
    <n v="1"/>
    <m/>
    <m/>
    <m/>
    <m/>
    <m/>
    <m/>
    <m/>
    <m/>
    <m/>
    <m/>
    <m/>
    <m/>
    <m/>
    <m/>
    <m/>
    <n v="1"/>
    <n v="1"/>
    <m/>
    <m/>
    <m/>
    <n v="518862"/>
    <n v="175562"/>
    <x v="8"/>
    <x v="4"/>
    <x v="0"/>
    <x v="0"/>
    <m/>
    <x v="0"/>
    <x v="0"/>
    <m/>
    <x v="0"/>
    <s v="Y"/>
    <x v="4"/>
  </r>
  <r>
    <s v="18/1442/FUL"/>
    <x v="0"/>
    <x v="0"/>
    <x v="78"/>
    <d v="2022-01-07T00:00:00"/>
    <d v="2021-09-16T00:00:00"/>
    <m/>
    <x v="0"/>
    <m/>
    <x v="1"/>
    <x v="0"/>
    <x v="0"/>
    <m/>
    <x v="2"/>
    <s v="Demolition of the existing outbuilding to the rear of no.48 Fourth Cross Road accessed via Rutland Road and construction of 1x2 bedroom dwelling including basement, with associated car parking, cycle parking and recycle/refuse storage."/>
    <s v="Land Rear Of 48 Fourth Cross Road, Twickenham"/>
    <s v="TW2 5ER"/>
    <m/>
    <m/>
    <m/>
    <m/>
    <m/>
    <m/>
    <m/>
    <m/>
    <m/>
    <n v="0"/>
    <m/>
    <m/>
    <n v="1"/>
    <m/>
    <m/>
    <m/>
    <m/>
    <m/>
    <m/>
    <n v="1"/>
    <n v="0"/>
    <n v="1"/>
    <n v="0"/>
    <n v="0"/>
    <n v="0"/>
    <n v="0"/>
    <n v="0"/>
    <n v="0"/>
    <n v="1"/>
    <x v="0"/>
    <m/>
    <m/>
    <n v="0.5"/>
    <n v="0.5"/>
    <m/>
    <m/>
    <m/>
    <m/>
    <m/>
    <m/>
    <m/>
    <m/>
    <m/>
    <m/>
    <m/>
    <m/>
    <m/>
    <n v="1"/>
    <n v="1"/>
    <m/>
    <m/>
    <m/>
    <n v="514703"/>
    <n v="172701"/>
    <x v="16"/>
    <x v="2"/>
    <x v="0"/>
    <x v="0"/>
    <m/>
    <x v="0"/>
    <x v="0"/>
    <m/>
    <x v="0"/>
    <m/>
    <x v="2"/>
  </r>
  <r>
    <s v="18/3310/FUL"/>
    <x v="0"/>
    <x v="0"/>
    <x v="79"/>
    <d v="2023-09-16T00:00:00"/>
    <d v="2023-09-12T00:00:00"/>
    <m/>
    <x v="0"/>
    <m/>
    <x v="1"/>
    <x v="0"/>
    <x v="0"/>
    <m/>
    <x v="2"/>
    <s v="Demolition of existing buildings and structures, and redevelopment of the site to provide a 4-6 storey specialist extra care facility for the elderly with existing health conditions, comprising of 88 units, communal healthcare, therapy, leisure and social facilities (including a Restaurant/bar/cafe and swimming pool). Provision of car and cycle parking, associated landscaping and publicly accessible amenity space including a childrens play area."/>
    <s v="Kew Biothane Plant, Melliss Avenue, Kew"/>
    <s v="TW9"/>
    <m/>
    <m/>
    <m/>
    <m/>
    <m/>
    <m/>
    <m/>
    <m/>
    <m/>
    <n v="0"/>
    <m/>
    <n v="13"/>
    <n v="75"/>
    <m/>
    <m/>
    <m/>
    <m/>
    <m/>
    <m/>
    <n v="88"/>
    <n v="13"/>
    <n v="75"/>
    <n v="0"/>
    <n v="0"/>
    <n v="0"/>
    <n v="0"/>
    <n v="0"/>
    <n v="0"/>
    <n v="88"/>
    <x v="1"/>
    <m/>
    <m/>
    <m/>
    <n v="88"/>
    <m/>
    <m/>
    <m/>
    <m/>
    <m/>
    <m/>
    <m/>
    <m/>
    <m/>
    <m/>
    <m/>
    <m/>
    <m/>
    <n v="88"/>
    <n v="88"/>
    <s v="Y"/>
    <m/>
    <m/>
    <n v="519778"/>
    <n v="176914"/>
    <x v="13"/>
    <x v="4"/>
    <x v="0"/>
    <x v="1"/>
    <m/>
    <x v="0"/>
    <x v="3"/>
    <m/>
    <x v="0"/>
    <s v="Y"/>
    <x v="8"/>
  </r>
  <r>
    <s v="18/3930/FUL"/>
    <x v="0"/>
    <x v="0"/>
    <x v="80"/>
    <d v="2022-10-17T00:00:00"/>
    <d v="2022-09-07T00:00:00"/>
    <m/>
    <x v="0"/>
    <d v="2025-08-11T00:00:00"/>
    <x v="1"/>
    <x v="0"/>
    <x v="0"/>
    <m/>
    <x v="2"/>
    <s v="Demolition of existing garage and erection of 1No. 2 storey with habitable roofspace 4 bed dwelling with associated hard and soft landscaping. Alterations to existing crossover and creation of a new crossover in front of No.38 Langham Road to facilitate p"/>
    <s v="38 Langham Road, Teddington TW11 9HQ"/>
    <s v="TW11 9HQ"/>
    <m/>
    <m/>
    <m/>
    <m/>
    <m/>
    <m/>
    <m/>
    <m/>
    <m/>
    <n v="0"/>
    <m/>
    <m/>
    <m/>
    <m/>
    <n v="1"/>
    <m/>
    <m/>
    <m/>
    <m/>
    <n v="1"/>
    <n v="0"/>
    <n v="0"/>
    <n v="0"/>
    <n v="1"/>
    <n v="0"/>
    <n v="0"/>
    <n v="0"/>
    <n v="0"/>
    <n v="1"/>
    <x v="0"/>
    <m/>
    <n v="1"/>
    <m/>
    <m/>
    <m/>
    <m/>
    <m/>
    <m/>
    <m/>
    <m/>
    <m/>
    <m/>
    <m/>
    <m/>
    <m/>
    <m/>
    <m/>
    <n v="1"/>
    <n v="1"/>
    <m/>
    <m/>
    <m/>
    <n v="516550"/>
    <n v="171027"/>
    <x v="14"/>
    <x v="1"/>
    <x v="0"/>
    <x v="0"/>
    <m/>
    <x v="0"/>
    <x v="0"/>
    <m/>
    <x v="0"/>
    <s v="Y"/>
    <x v="7"/>
  </r>
  <r>
    <s v="18/3950/FUL"/>
    <x v="1"/>
    <x v="0"/>
    <x v="81"/>
    <d v="2022-07-15T00:00:00"/>
    <d v="2021-02-22T00:00:00"/>
    <m/>
    <x v="0"/>
    <d v="2026-01-23T00:00:00"/>
    <x v="1"/>
    <x v="1"/>
    <x v="0"/>
    <m/>
    <x v="2"/>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7"/>
    <n v="3"/>
    <n v="1"/>
    <m/>
    <m/>
    <m/>
    <m/>
    <m/>
    <n v="11"/>
    <n v="7"/>
    <n v="3"/>
    <n v="1"/>
    <n v="0"/>
    <n v="0"/>
    <n v="0"/>
    <n v="0"/>
    <n v="0"/>
    <n v="11"/>
    <x v="1"/>
    <m/>
    <n v="11"/>
    <m/>
    <m/>
    <m/>
    <m/>
    <m/>
    <m/>
    <m/>
    <m/>
    <m/>
    <m/>
    <m/>
    <m/>
    <m/>
    <m/>
    <m/>
    <n v="11"/>
    <n v="11"/>
    <m/>
    <m/>
    <m/>
    <n v="518144"/>
    <n v="175553"/>
    <x v="8"/>
    <x v="4"/>
    <x v="0"/>
    <x v="0"/>
    <m/>
    <x v="0"/>
    <x v="0"/>
    <s v="CA36 Kew Foot Road"/>
    <x v="1"/>
    <s v="Y"/>
    <x v="4"/>
  </r>
  <r>
    <s v="18/3950/FUL"/>
    <x v="1"/>
    <x v="0"/>
    <x v="81"/>
    <d v="2022-07-15T00:00:00"/>
    <d v="2021-02-22T00:00:00"/>
    <m/>
    <x v="0"/>
    <d v="2026-01-23T00:00:00"/>
    <x v="1"/>
    <x v="2"/>
    <x v="0"/>
    <m/>
    <x v="2"/>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s v="Y"/>
    <n v="4"/>
    <m/>
    <m/>
    <m/>
    <m/>
    <m/>
    <m/>
    <m/>
    <n v="4"/>
    <n v="4"/>
    <n v="0"/>
    <n v="0"/>
    <n v="0"/>
    <n v="0"/>
    <n v="0"/>
    <n v="0"/>
    <n v="0"/>
    <n v="4"/>
    <x v="1"/>
    <m/>
    <n v="4"/>
    <m/>
    <m/>
    <m/>
    <m/>
    <m/>
    <m/>
    <m/>
    <m/>
    <m/>
    <m/>
    <m/>
    <m/>
    <m/>
    <m/>
    <m/>
    <n v="4"/>
    <n v="4"/>
    <m/>
    <m/>
    <m/>
    <n v="518144"/>
    <n v="175553"/>
    <x v="8"/>
    <x v="4"/>
    <x v="0"/>
    <x v="0"/>
    <m/>
    <x v="0"/>
    <x v="0"/>
    <s v="CA36 Kew Foot Road"/>
    <x v="1"/>
    <s v="Y"/>
    <x v="4"/>
  </r>
  <r>
    <s v="18/3950/FUL"/>
    <x v="1"/>
    <x v="0"/>
    <x v="81"/>
    <d v="2022-07-15T00:00:00"/>
    <d v="2021-02-22T00:00:00"/>
    <m/>
    <x v="0"/>
    <m/>
    <x v="1"/>
    <x v="0"/>
    <x v="0"/>
    <m/>
    <x v="2"/>
    <s v="(1) Conversion of the existing health facilities (use class D1) to a mixed-use development providing 71 no. residential apartments (use class C3) and 500 sqm of D1 (Health) floorspace.  _x000a_(2) Restoration, alteration, extensions and demolition (mainly of later additions) to the existing buildings, new build and provision of a lower ground floor basement (car parking, plant and servicing) and associated landscaping._x000a_(3) Listed building consent for the refurbishment and restoration of Shaftesbury House (Grade II listed), conversion of existing health facilities (use class D1) to residential apartments (use class C3) and all ancillary and associated works."/>
    <s v="Richmond Royal Hospital, Kew Foot Road, Richmond, TW9 2TE_x000a_"/>
    <s v="TW9 2TE"/>
    <m/>
    <m/>
    <m/>
    <m/>
    <m/>
    <m/>
    <m/>
    <m/>
    <m/>
    <n v="0"/>
    <m/>
    <n v="22"/>
    <n v="30"/>
    <n v="2"/>
    <n v="2"/>
    <m/>
    <m/>
    <m/>
    <m/>
    <n v="56"/>
    <n v="22"/>
    <n v="30"/>
    <n v="2"/>
    <n v="2"/>
    <n v="0"/>
    <n v="0"/>
    <n v="0"/>
    <n v="0"/>
    <n v="56"/>
    <x v="1"/>
    <m/>
    <n v="56"/>
    <m/>
    <m/>
    <m/>
    <m/>
    <m/>
    <m/>
    <m/>
    <m/>
    <m/>
    <m/>
    <m/>
    <m/>
    <m/>
    <m/>
    <m/>
    <n v="56"/>
    <n v="56"/>
    <m/>
    <m/>
    <m/>
    <n v="518144"/>
    <n v="175553"/>
    <x v="8"/>
    <x v="4"/>
    <x v="0"/>
    <x v="0"/>
    <m/>
    <x v="0"/>
    <x v="0"/>
    <s v="CA36 Kew Foot Road"/>
    <x v="1"/>
    <s v="Y"/>
    <x v="4"/>
  </r>
  <r>
    <s v="19/0111/FUL"/>
    <x v="3"/>
    <x v="0"/>
    <x v="82"/>
    <d v="2022-12-12T00:00:00"/>
    <d v="2020-03-30T00:00:00"/>
    <m/>
    <x v="0"/>
    <m/>
    <x v="1"/>
    <x v="3"/>
    <x v="0"/>
    <m/>
    <x v="2"/>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m/>
    <m/>
    <m/>
    <m/>
    <m/>
    <m/>
    <m/>
    <m/>
    <n v="0"/>
    <s v="Y"/>
    <n v="3"/>
    <n v="3"/>
    <m/>
    <m/>
    <m/>
    <m/>
    <m/>
    <m/>
    <n v="6"/>
    <n v="3"/>
    <n v="3"/>
    <n v="0"/>
    <n v="0"/>
    <n v="0"/>
    <n v="0"/>
    <n v="0"/>
    <n v="0"/>
    <n v="6"/>
    <x v="1"/>
    <m/>
    <m/>
    <n v="3"/>
    <n v="3"/>
    <m/>
    <m/>
    <m/>
    <m/>
    <m/>
    <m/>
    <m/>
    <m/>
    <m/>
    <m/>
    <m/>
    <m/>
    <m/>
    <n v="6"/>
    <n v="6"/>
    <m/>
    <m/>
    <m/>
    <n v="517598"/>
    <n v="169722"/>
    <x v="14"/>
    <x v="1"/>
    <x v="0"/>
    <x v="0"/>
    <m/>
    <x v="0"/>
    <x v="0"/>
    <s v="CA18 Hampton Wick"/>
    <x v="1"/>
    <s v="Y"/>
    <x v="7"/>
  </r>
  <r>
    <s v="19/0111/FUL"/>
    <x v="3"/>
    <x v="0"/>
    <x v="82"/>
    <d v="2022-12-12T00:00:00"/>
    <d v="2020-03-30T00:00:00"/>
    <m/>
    <x v="0"/>
    <m/>
    <x v="1"/>
    <x v="0"/>
    <x v="0"/>
    <m/>
    <x v="2"/>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12 To 14 Station Road And 13 And 19 To 33 Lower Teddington Road, Hampton Wick_x000a__x000a_"/>
    <s v="KT1 4HQ"/>
    <m/>
    <n v="7"/>
    <m/>
    <m/>
    <m/>
    <m/>
    <m/>
    <m/>
    <m/>
    <n v="7"/>
    <m/>
    <n v="2"/>
    <n v="4"/>
    <m/>
    <m/>
    <m/>
    <m/>
    <m/>
    <m/>
    <n v="6"/>
    <n v="-5"/>
    <n v="4"/>
    <n v="0"/>
    <n v="0"/>
    <n v="0"/>
    <n v="0"/>
    <n v="0"/>
    <n v="0"/>
    <n v="-1"/>
    <x v="0"/>
    <m/>
    <m/>
    <n v="-0.5"/>
    <n v="-0.5"/>
    <m/>
    <m/>
    <m/>
    <m/>
    <m/>
    <m/>
    <m/>
    <m/>
    <m/>
    <m/>
    <m/>
    <m/>
    <m/>
    <n v="-1"/>
    <n v="-1"/>
    <m/>
    <m/>
    <m/>
    <n v="517598"/>
    <n v="169722"/>
    <x v="14"/>
    <x v="1"/>
    <x v="0"/>
    <x v="0"/>
    <m/>
    <x v="0"/>
    <x v="0"/>
    <s v="CA18 Hampton Wick"/>
    <x v="1"/>
    <s v="Y"/>
    <x v="7"/>
  </r>
  <r>
    <s v="19/0175/FUL"/>
    <x v="0"/>
    <x v="0"/>
    <x v="83"/>
    <d v="2022-05-09T00:00:00"/>
    <d v="2020-11-20T00:00:00"/>
    <m/>
    <x v="0"/>
    <m/>
    <x v="1"/>
    <x v="0"/>
    <x v="0"/>
    <m/>
    <x v="2"/>
    <s v="Demolition of existing one-bedroom, two-storey dwelling and construction of one-bedroom, one-person single-storey dwelling."/>
    <s v="The Haven, Eel Pie Island, Twickenham TW1 3DY"/>
    <s v="TW1 3DY"/>
    <m/>
    <n v="1"/>
    <m/>
    <m/>
    <m/>
    <m/>
    <m/>
    <m/>
    <m/>
    <n v="1"/>
    <m/>
    <n v="1"/>
    <m/>
    <m/>
    <m/>
    <m/>
    <m/>
    <m/>
    <m/>
    <n v="1"/>
    <n v="0"/>
    <n v="0"/>
    <n v="0"/>
    <n v="0"/>
    <n v="0"/>
    <n v="0"/>
    <n v="0"/>
    <n v="0"/>
    <n v="0"/>
    <x v="0"/>
    <m/>
    <n v="0"/>
    <m/>
    <m/>
    <m/>
    <m/>
    <m/>
    <m/>
    <m/>
    <m/>
    <m/>
    <m/>
    <m/>
    <m/>
    <m/>
    <m/>
    <m/>
    <n v="0"/>
    <n v="0"/>
    <m/>
    <m/>
    <m/>
    <n v="516414"/>
    <n v="173065"/>
    <x v="4"/>
    <x v="2"/>
    <x v="0"/>
    <x v="1"/>
    <m/>
    <x v="0"/>
    <x v="0"/>
    <s v="CA8 Twickenham Riverside"/>
    <x v="1"/>
    <s v="Y"/>
    <x v="2"/>
  </r>
  <r>
    <s v="19/0691/FUL"/>
    <x v="0"/>
    <x v="0"/>
    <x v="84"/>
    <d v="2024-07-28T00:00:00"/>
    <d v="2024-02-01T00:00:00"/>
    <m/>
    <x v="0"/>
    <m/>
    <x v="1"/>
    <x v="0"/>
    <x v="0"/>
    <m/>
    <x v="2"/>
    <s v="Demolition of 38 garages including vehicle repair garage and the erection of six residential units (2x 3 bed and 4 x 2 bed), incorporating two commercial (B1a offices) units (totalling 152 sq.m), with amenity space, 14 off-street car parking spaces and associated works."/>
    <s v="Land Rear Of 127 - 147 Kingsway, Mortlake SW14 7HN"/>
    <s v="SW14 7HN"/>
    <m/>
    <m/>
    <m/>
    <m/>
    <m/>
    <m/>
    <m/>
    <m/>
    <m/>
    <n v="0"/>
    <m/>
    <m/>
    <n v="4"/>
    <n v="2"/>
    <m/>
    <m/>
    <m/>
    <m/>
    <m/>
    <n v="6"/>
    <n v="0"/>
    <n v="4"/>
    <n v="2"/>
    <n v="0"/>
    <n v="0"/>
    <n v="0"/>
    <n v="0"/>
    <n v="0"/>
    <n v="6"/>
    <x v="0"/>
    <m/>
    <m/>
    <n v="3"/>
    <n v="3"/>
    <m/>
    <m/>
    <m/>
    <m/>
    <m/>
    <m/>
    <m/>
    <m/>
    <m/>
    <m/>
    <m/>
    <m/>
    <m/>
    <n v="6"/>
    <n v="6"/>
    <m/>
    <m/>
    <m/>
    <n v="519806"/>
    <n v="175640"/>
    <x v="8"/>
    <x v="3"/>
    <x v="0"/>
    <x v="0"/>
    <m/>
    <x v="0"/>
    <x v="0"/>
    <m/>
    <x v="0"/>
    <s v="Y"/>
    <x v="5"/>
  </r>
  <r>
    <s v="19/0911/FUL"/>
    <x v="2"/>
    <x v="0"/>
    <x v="85"/>
    <d v="2023-02-05T00:00:00"/>
    <d v="2023-02-03T00:00:00"/>
    <m/>
    <x v="0"/>
    <m/>
    <x v="1"/>
    <x v="0"/>
    <x v="0"/>
    <m/>
    <x v="2"/>
    <s v="Proposed construction of additional floor level to create 2 no. additional two bed flats, together with a three storey side extension in the form of a bay window, change to existing fenestration and addition of 8 no. balconies at first and second floor level and associated hard and soft landscaping, 2 no. parking, refuse and cycle stores."/>
    <s v="Wick House, 10 Station Road, Hampton Wick KT1 4HF"/>
    <s v="KT2 4HF"/>
    <m/>
    <m/>
    <m/>
    <m/>
    <m/>
    <m/>
    <m/>
    <m/>
    <m/>
    <n v="0"/>
    <m/>
    <m/>
    <n v="2"/>
    <m/>
    <m/>
    <m/>
    <m/>
    <m/>
    <m/>
    <n v="2"/>
    <n v="0"/>
    <n v="2"/>
    <n v="0"/>
    <n v="0"/>
    <n v="0"/>
    <n v="0"/>
    <n v="0"/>
    <n v="0"/>
    <n v="2"/>
    <x v="0"/>
    <m/>
    <m/>
    <n v="1"/>
    <n v="1"/>
    <m/>
    <m/>
    <m/>
    <m/>
    <m/>
    <m/>
    <m/>
    <m/>
    <m/>
    <m/>
    <m/>
    <m/>
    <m/>
    <n v="2"/>
    <n v="2"/>
    <m/>
    <m/>
    <m/>
    <n v="517543"/>
    <n v="169767"/>
    <x v="14"/>
    <x v="1"/>
    <x v="0"/>
    <x v="0"/>
    <m/>
    <x v="0"/>
    <x v="0"/>
    <m/>
    <x v="0"/>
    <s v="Y"/>
    <x v="7"/>
  </r>
  <r>
    <s v="19/0954/VRC"/>
    <x v="0"/>
    <x v="4"/>
    <x v="86"/>
    <d v="2022-10-16T00:00:00"/>
    <d v="2021-07-06T00:00:00"/>
    <m/>
    <x v="0"/>
    <m/>
    <x v="1"/>
    <x v="0"/>
    <x v="0"/>
    <m/>
    <x v="2"/>
    <s v="Minor material amendment to application ref 16/3290/FUL (Partial demolition of an existing building and the creation of 3 new dwelling houses and associated works) by variation of appeal decision condition 2 (approved drawing numbers) to allow for external and internal changes"/>
    <s v="45 The Vineyard, Richmond TW10 6AS"/>
    <s v="TW10 6AS"/>
    <m/>
    <m/>
    <n v="2"/>
    <n v="1"/>
    <m/>
    <m/>
    <m/>
    <m/>
    <m/>
    <n v="3"/>
    <m/>
    <m/>
    <m/>
    <m/>
    <n v="3"/>
    <m/>
    <m/>
    <m/>
    <m/>
    <n v="3"/>
    <n v="0"/>
    <n v="-2"/>
    <n v="-1"/>
    <n v="3"/>
    <n v="0"/>
    <n v="0"/>
    <n v="0"/>
    <n v="0"/>
    <n v="0"/>
    <x v="0"/>
    <m/>
    <n v="0"/>
    <m/>
    <m/>
    <m/>
    <m/>
    <m/>
    <m/>
    <m/>
    <m/>
    <m/>
    <m/>
    <m/>
    <m/>
    <m/>
    <m/>
    <m/>
    <n v="0"/>
    <n v="0"/>
    <m/>
    <m/>
    <m/>
    <n v="518209"/>
    <n v="174625"/>
    <x v="12"/>
    <x v="4"/>
    <x v="0"/>
    <x v="0"/>
    <m/>
    <x v="0"/>
    <x v="0"/>
    <s v="CA30 St Matthias Richmond"/>
    <x v="1"/>
    <s v="Y"/>
    <x v="4"/>
  </r>
  <r>
    <s v="19/1065/VRC"/>
    <x v="0"/>
    <x v="4"/>
    <x v="87"/>
    <d v="2022-07-10T00:00:00"/>
    <d v="2020-05-21T00:00:00"/>
    <m/>
    <x v="0"/>
    <m/>
    <x v="1"/>
    <x v="0"/>
    <x v="0"/>
    <m/>
    <x v="2"/>
    <s v="Minor material amendment to planning permission 17/4358/VRC (which varied/removed approved conditions attached to planning permission ref: 08/1760/EXT dated 30.06.2017) and as further amended by 17/4358/NMA to enable minor changes to Block A of the staff accommodation as originally approved U53177 - Approved Plans and amendments to the wording of conditions U50070 NS51 (formerly 21909) - Finished ground floor level, U50083 NS08 - CHP Energy efficiency blocks A, B, C, U50119 NS46 (formerly U21903) - Boundary treatment, U50120 NS48 (formerly U21905) - Hard/soft landscaping and for partial discharge of U50114 NS42 (formerly U21898)  - Site investigation strategy in relation to the site investigation works undertaken for Phase A."/>
    <s v="St Pauls School, Lonsdale Road, Barnes SW13 9JT_x000a_"/>
    <s v="SW13 9JT"/>
    <m/>
    <n v="8"/>
    <n v="2"/>
    <n v="4"/>
    <n v="2"/>
    <m/>
    <m/>
    <m/>
    <m/>
    <n v="16"/>
    <m/>
    <n v="7"/>
    <n v="5"/>
    <n v="6"/>
    <m/>
    <m/>
    <m/>
    <m/>
    <m/>
    <n v="18"/>
    <n v="-1"/>
    <n v="3"/>
    <n v="2"/>
    <n v="-2"/>
    <n v="0"/>
    <n v="0"/>
    <n v="0"/>
    <n v="0"/>
    <n v="2"/>
    <x v="1"/>
    <m/>
    <m/>
    <n v="1"/>
    <n v="1"/>
    <m/>
    <m/>
    <m/>
    <m/>
    <m/>
    <m/>
    <m/>
    <m/>
    <m/>
    <m/>
    <m/>
    <m/>
    <m/>
    <n v="2"/>
    <n v="2"/>
    <m/>
    <m/>
    <m/>
    <n v="522472"/>
    <n v="177999"/>
    <x v="17"/>
    <x v="3"/>
    <x v="0"/>
    <x v="1"/>
    <m/>
    <x v="0"/>
    <x v="0"/>
    <m/>
    <x v="0"/>
    <s v="Y"/>
    <x v="3"/>
  </r>
  <r>
    <s v="19/1162/FUL"/>
    <x v="3"/>
    <x v="0"/>
    <x v="88"/>
    <d v="2023-03-20T00:00:00"/>
    <d v="2020-10-01T00:00:00"/>
    <m/>
    <x v="0"/>
    <m/>
    <x v="1"/>
    <x v="0"/>
    <x v="0"/>
    <m/>
    <x v="2"/>
    <s v="Part change of use of ground floor and rear garden from A1 to C3 (residential use) and replacement window on ground floor rear elevation to facilitate the conversion of existing 1 x 3 bed flat into 2 x 2 bed flats and associated cycle and refuse stores"/>
    <s v="82 - 84 Hill Rise, Richmond"/>
    <s v="TW10 6UB"/>
    <m/>
    <m/>
    <m/>
    <n v="1"/>
    <m/>
    <m/>
    <m/>
    <m/>
    <m/>
    <n v="1"/>
    <m/>
    <m/>
    <n v="2"/>
    <m/>
    <m/>
    <m/>
    <m/>
    <m/>
    <m/>
    <n v="2"/>
    <n v="0"/>
    <n v="2"/>
    <n v="-1"/>
    <n v="0"/>
    <n v="0"/>
    <n v="0"/>
    <n v="0"/>
    <n v="0"/>
    <n v="1"/>
    <x v="0"/>
    <m/>
    <n v="1"/>
    <m/>
    <m/>
    <m/>
    <m/>
    <m/>
    <m/>
    <m/>
    <m/>
    <m/>
    <m/>
    <m/>
    <m/>
    <m/>
    <m/>
    <m/>
    <n v="1"/>
    <n v="1"/>
    <m/>
    <m/>
    <m/>
    <n v="517949"/>
    <n v="174506"/>
    <x v="12"/>
    <x v="4"/>
    <x v="3"/>
    <x v="0"/>
    <m/>
    <x v="0"/>
    <x v="0"/>
    <s v="CA5 Richmond Hill"/>
    <x v="1"/>
    <s v="Y"/>
    <x v="4"/>
  </r>
  <r>
    <s v="19/1182/FUL"/>
    <x v="0"/>
    <x v="0"/>
    <x v="89"/>
    <d v="2023-06-19T00:00:00"/>
    <d v="2023-04-03T00:00:00"/>
    <m/>
    <x v="0"/>
    <d v="2025-07-01T00:00:00"/>
    <x v="1"/>
    <x v="0"/>
    <x v="0"/>
    <m/>
    <x v="2"/>
    <s v="Erection of a three-bedroom single-storey dwellinghouse (with basement level), with associated access, parking, hard and soft landscaping and cycle and refuse stores."/>
    <s v="Land Rear Of 3 - 7 Third Cross Road, Twickenham"/>
    <s v="TW2"/>
    <m/>
    <m/>
    <m/>
    <m/>
    <m/>
    <m/>
    <m/>
    <m/>
    <m/>
    <n v="0"/>
    <m/>
    <m/>
    <m/>
    <n v="1"/>
    <m/>
    <m/>
    <m/>
    <m/>
    <m/>
    <n v="1"/>
    <n v="0"/>
    <n v="0"/>
    <n v="1"/>
    <n v="0"/>
    <n v="0"/>
    <n v="0"/>
    <n v="0"/>
    <n v="0"/>
    <n v="1"/>
    <x v="0"/>
    <m/>
    <n v="1"/>
    <m/>
    <m/>
    <m/>
    <m/>
    <m/>
    <m/>
    <m/>
    <m/>
    <m/>
    <m/>
    <m/>
    <m/>
    <m/>
    <m/>
    <m/>
    <n v="1"/>
    <n v="1"/>
    <m/>
    <m/>
    <m/>
    <n v="515054"/>
    <n v="172751"/>
    <x v="16"/>
    <x v="2"/>
    <x v="0"/>
    <x v="0"/>
    <m/>
    <x v="0"/>
    <x v="0"/>
    <m/>
    <x v="0"/>
    <s v="Y"/>
    <x v="2"/>
  </r>
  <r>
    <s v="19/1890/FUL"/>
    <x v="0"/>
    <x v="0"/>
    <x v="90"/>
    <d v="2023-06-08T00:00:00"/>
    <d v="2022-04-16T00:00:00"/>
    <m/>
    <x v="0"/>
    <m/>
    <x v="1"/>
    <x v="0"/>
    <x v="0"/>
    <m/>
    <x v="2"/>
    <s v="Erection of two pairs of semi-detached 4 bedroom dwellings and associated parking and landscaping following the demolition of the existing property."/>
    <s v="224 Hospital Bridge Road, Twickenham TW2 6LF"/>
    <s v="TW2 6LF"/>
    <m/>
    <m/>
    <m/>
    <n v="1"/>
    <m/>
    <m/>
    <m/>
    <m/>
    <m/>
    <n v="1"/>
    <m/>
    <m/>
    <m/>
    <m/>
    <n v="4"/>
    <m/>
    <m/>
    <m/>
    <m/>
    <n v="4"/>
    <n v="0"/>
    <n v="0"/>
    <n v="-1"/>
    <n v="4"/>
    <n v="0"/>
    <n v="0"/>
    <n v="0"/>
    <n v="0"/>
    <n v="3"/>
    <x v="0"/>
    <m/>
    <n v="3"/>
    <m/>
    <m/>
    <m/>
    <m/>
    <m/>
    <m/>
    <m/>
    <m/>
    <m/>
    <m/>
    <m/>
    <m/>
    <m/>
    <m/>
    <m/>
    <n v="3"/>
    <n v="3"/>
    <m/>
    <m/>
    <m/>
    <n v="513614"/>
    <n v="173545"/>
    <x v="15"/>
    <x v="0"/>
    <x v="0"/>
    <x v="0"/>
    <m/>
    <x v="0"/>
    <x v="0"/>
    <m/>
    <x v="0"/>
    <s v="Y"/>
    <x v="0"/>
  </r>
  <r>
    <s v="19/2199/FUL"/>
    <x v="0"/>
    <x v="0"/>
    <x v="91"/>
    <d v="2024-01-13T00:00:00"/>
    <d v="2023-06-12T00:00:00"/>
    <m/>
    <x v="0"/>
    <d v="2025-07-14T00:00:00"/>
    <x v="1"/>
    <x v="0"/>
    <x v="0"/>
    <m/>
    <x v="2"/>
    <s v="Erection of a two-storey building with a basement level providing a commercial unit (Flexible Use Class B1 or D1) on part ground floor and basement levels and two flats (2 x 2-beds) on ground and upper floors.  Associated cycle and refuse stores."/>
    <s v="14 St Leonards Road, East Sheen SW14 7LY"/>
    <s v="SW14 7LY"/>
    <m/>
    <m/>
    <m/>
    <m/>
    <m/>
    <m/>
    <m/>
    <m/>
    <m/>
    <n v="0"/>
    <m/>
    <m/>
    <n v="2"/>
    <m/>
    <m/>
    <m/>
    <m/>
    <m/>
    <m/>
    <n v="2"/>
    <n v="0"/>
    <n v="2"/>
    <n v="0"/>
    <n v="0"/>
    <n v="0"/>
    <n v="0"/>
    <n v="0"/>
    <n v="0"/>
    <n v="2"/>
    <x v="0"/>
    <m/>
    <n v="2"/>
    <m/>
    <m/>
    <m/>
    <m/>
    <m/>
    <m/>
    <m/>
    <m/>
    <m/>
    <m/>
    <m/>
    <m/>
    <m/>
    <m/>
    <m/>
    <n v="2"/>
    <n v="2"/>
    <m/>
    <m/>
    <m/>
    <n v="520451"/>
    <n v="175621"/>
    <x v="9"/>
    <x v="3"/>
    <x v="0"/>
    <x v="0"/>
    <m/>
    <x v="0"/>
    <x v="0"/>
    <s v="CA70 Sheen Lane Mortlake"/>
    <x v="1"/>
    <s v="Y"/>
    <x v="5"/>
  </r>
  <r>
    <s v="19/2404/FUL"/>
    <x v="0"/>
    <x v="0"/>
    <x v="92"/>
    <d v="2024-06-30T00:00:00"/>
    <d v="2023-12-02T00:00:00"/>
    <m/>
    <x v="0"/>
    <d v="2025-11-21T00:00:00"/>
    <x v="1"/>
    <x v="3"/>
    <x v="0"/>
    <m/>
    <x v="2"/>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4"/>
    <m/>
    <m/>
    <m/>
    <m/>
    <m/>
    <m/>
    <m/>
    <n v="4"/>
    <n v="4"/>
    <n v="0"/>
    <n v="0"/>
    <n v="0"/>
    <n v="0"/>
    <n v="0"/>
    <n v="0"/>
    <n v="0"/>
    <n v="4"/>
    <x v="1"/>
    <m/>
    <n v="4"/>
    <m/>
    <m/>
    <m/>
    <m/>
    <m/>
    <m/>
    <m/>
    <m/>
    <m/>
    <m/>
    <m/>
    <m/>
    <m/>
    <m/>
    <m/>
    <n v="4"/>
    <n v="4"/>
    <m/>
    <m/>
    <m/>
    <n v="518792"/>
    <n v="174254"/>
    <x v="12"/>
    <x v="4"/>
    <x v="0"/>
    <x v="0"/>
    <m/>
    <x v="0"/>
    <x v="0"/>
    <m/>
    <x v="0"/>
    <m/>
    <x v="4"/>
  </r>
  <r>
    <s v="19/2404/FUL"/>
    <x v="0"/>
    <x v="0"/>
    <x v="92"/>
    <d v="2024-06-30T00:00:00"/>
    <d v="2023-12-02T00:00:00"/>
    <m/>
    <x v="0"/>
    <d v="2025-11-21T00:00:00"/>
    <x v="1"/>
    <x v="1"/>
    <x v="0"/>
    <m/>
    <x v="2"/>
    <s v="Redevelopment of existing hard standing court to accommodate new 4 storey residential building (comprising 11x1 bed and 1x2 bed charitable housing units) fronting Queens Road and 15 no. surface car parking spaces to the rear. Creation of a new multi-use recreational space, minor alterations for the existing Dickson House office building and a small extension (26 sqm) to the Cambrian Centre at the ground floor of the Caplan Court Building."/>
    <s v="Queens Road Estate, Queens Road, Richmond TW10_x000a_"/>
    <s v="TW10 6SP"/>
    <m/>
    <m/>
    <m/>
    <m/>
    <m/>
    <m/>
    <m/>
    <m/>
    <m/>
    <n v="0"/>
    <s v="Y"/>
    <n v="7"/>
    <n v="1"/>
    <m/>
    <m/>
    <m/>
    <m/>
    <m/>
    <m/>
    <n v="8"/>
    <n v="7"/>
    <n v="1"/>
    <n v="0"/>
    <n v="0"/>
    <n v="0"/>
    <n v="0"/>
    <n v="0"/>
    <n v="0"/>
    <n v="8"/>
    <x v="1"/>
    <m/>
    <n v="8"/>
    <m/>
    <m/>
    <m/>
    <m/>
    <m/>
    <m/>
    <m/>
    <m/>
    <m/>
    <m/>
    <m/>
    <m/>
    <m/>
    <m/>
    <m/>
    <n v="8"/>
    <n v="8"/>
    <m/>
    <m/>
    <m/>
    <n v="518792"/>
    <n v="174254"/>
    <x v="12"/>
    <x v="4"/>
    <x v="0"/>
    <x v="0"/>
    <m/>
    <x v="0"/>
    <x v="0"/>
    <m/>
    <x v="0"/>
    <m/>
    <x v="4"/>
  </r>
  <r>
    <s v="19/2414/FUL"/>
    <x v="0"/>
    <x v="0"/>
    <x v="6"/>
    <d v="2023-07-08T00:00:00"/>
    <d v="2023-07-06T00:00:00"/>
    <m/>
    <x v="0"/>
    <m/>
    <x v="1"/>
    <x v="0"/>
    <x v="0"/>
    <m/>
    <x v="2"/>
    <s v="Erection of a single storey one-bed dwelling, associated parking provision, cycle and refuse stores and landscaping."/>
    <s v="Rear Of 54 Heathside, Whitton"/>
    <s v="TW4 5NN"/>
    <m/>
    <m/>
    <m/>
    <m/>
    <m/>
    <m/>
    <m/>
    <m/>
    <m/>
    <n v="0"/>
    <m/>
    <n v="1"/>
    <m/>
    <m/>
    <m/>
    <m/>
    <m/>
    <m/>
    <m/>
    <n v="1"/>
    <n v="1"/>
    <n v="0"/>
    <n v="0"/>
    <n v="0"/>
    <n v="0"/>
    <n v="0"/>
    <n v="0"/>
    <n v="0"/>
    <n v="1"/>
    <x v="0"/>
    <m/>
    <m/>
    <n v="1"/>
    <m/>
    <m/>
    <m/>
    <m/>
    <m/>
    <m/>
    <m/>
    <m/>
    <m/>
    <m/>
    <m/>
    <m/>
    <m/>
    <m/>
    <n v="1"/>
    <n v="1"/>
    <m/>
    <m/>
    <m/>
    <n v="512957"/>
    <n v="173546"/>
    <x v="15"/>
    <x v="0"/>
    <x v="0"/>
    <x v="0"/>
    <m/>
    <x v="0"/>
    <x v="0"/>
    <m/>
    <x v="0"/>
    <m/>
    <x v="0"/>
  </r>
  <r>
    <s v="19/2789/FUL"/>
    <x v="0"/>
    <x v="0"/>
    <x v="93"/>
    <d v="2023-06-19T00:00:00"/>
    <d v="2023-06-09T00:00:00"/>
    <m/>
    <x v="0"/>
    <m/>
    <x v="1"/>
    <x v="4"/>
    <x v="0"/>
    <m/>
    <x v="2"/>
    <s v="Demolition of existing commercial building and erection of building to provide 15 affordable residential units, together with 12 parking spaces and communal amenity space."/>
    <s v="Lockcorp House, 75 Norcutt Road, Twickenham TW2 6SR"/>
    <s v="TW2 6SR"/>
    <m/>
    <m/>
    <m/>
    <m/>
    <m/>
    <m/>
    <m/>
    <m/>
    <m/>
    <n v="0"/>
    <s v="Y"/>
    <n v="6"/>
    <n v="6"/>
    <n v="3"/>
    <m/>
    <m/>
    <m/>
    <m/>
    <m/>
    <n v="15"/>
    <n v="6"/>
    <n v="6"/>
    <n v="3"/>
    <n v="0"/>
    <n v="0"/>
    <n v="0"/>
    <n v="0"/>
    <n v="0"/>
    <n v="15"/>
    <x v="1"/>
    <m/>
    <m/>
    <n v="7.5"/>
    <n v="7.5"/>
    <m/>
    <m/>
    <m/>
    <m/>
    <m/>
    <m/>
    <m/>
    <m/>
    <m/>
    <m/>
    <m/>
    <m/>
    <m/>
    <n v="15"/>
    <n v="15"/>
    <m/>
    <m/>
    <m/>
    <n v="515296"/>
    <n v="173304"/>
    <x v="2"/>
    <x v="2"/>
    <x v="0"/>
    <x v="0"/>
    <m/>
    <x v="0"/>
    <x v="0"/>
    <m/>
    <x v="0"/>
    <s v="Y"/>
    <x v="2"/>
  </r>
  <r>
    <s v="19/3490/FUL"/>
    <x v="2"/>
    <x v="0"/>
    <x v="94"/>
    <d v="2023-09-18T00:00:00"/>
    <d v="2023-03-31T00:00:00"/>
    <m/>
    <x v="0"/>
    <m/>
    <x v="1"/>
    <x v="0"/>
    <x v="0"/>
    <m/>
    <x v="2"/>
    <s v="Part two-storey/part single-storey rear extension to provide 1no. additional dwelling, including associated alterations to fenestration, following demolition of existing single-storey rear extension."/>
    <s v="81 High Street, Hampton Wick KT1 4DG"/>
    <s v="KT1 4DG"/>
    <m/>
    <m/>
    <m/>
    <m/>
    <m/>
    <m/>
    <m/>
    <m/>
    <m/>
    <n v="0"/>
    <m/>
    <n v="1"/>
    <m/>
    <m/>
    <m/>
    <m/>
    <m/>
    <m/>
    <m/>
    <n v="1"/>
    <n v="1"/>
    <n v="0"/>
    <n v="0"/>
    <n v="0"/>
    <n v="0"/>
    <n v="0"/>
    <n v="0"/>
    <n v="0"/>
    <n v="1"/>
    <x v="0"/>
    <m/>
    <n v="1"/>
    <m/>
    <m/>
    <m/>
    <m/>
    <m/>
    <m/>
    <m/>
    <m/>
    <m/>
    <m/>
    <m/>
    <m/>
    <m/>
    <m/>
    <m/>
    <n v="1"/>
    <n v="1"/>
    <m/>
    <m/>
    <m/>
    <n v="517423"/>
    <n v="169711"/>
    <x v="14"/>
    <x v="1"/>
    <x v="0"/>
    <x v="0"/>
    <s v="Hampton Wick"/>
    <x v="1"/>
    <x v="0"/>
    <s v="CA18 Hampton Wick"/>
    <x v="1"/>
    <s v="Y"/>
    <x v="7"/>
  </r>
  <r>
    <s v="19/3616/FUL"/>
    <x v="0"/>
    <x v="0"/>
    <x v="95"/>
    <d v="2024-03-03T00:00:00"/>
    <d v="2024-01-10T00:00:00"/>
    <m/>
    <x v="0"/>
    <m/>
    <x v="1"/>
    <x v="5"/>
    <x v="0"/>
    <m/>
    <x v="2"/>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s v="Y"/>
    <n v="10"/>
    <m/>
    <m/>
    <m/>
    <m/>
    <m/>
    <m/>
    <m/>
    <n v="10"/>
    <n v="10"/>
    <n v="0"/>
    <n v="0"/>
    <n v="0"/>
    <n v="0"/>
    <n v="0"/>
    <n v="0"/>
    <n v="0"/>
    <n v="10"/>
    <x v="1"/>
    <m/>
    <m/>
    <m/>
    <m/>
    <n v="5"/>
    <n v="5"/>
    <m/>
    <m/>
    <m/>
    <m/>
    <m/>
    <m/>
    <m/>
    <m/>
    <m/>
    <m/>
    <m/>
    <n v="10"/>
    <n v="10"/>
    <m/>
    <m/>
    <m/>
    <n v="516060"/>
    <n v="173599"/>
    <x v="4"/>
    <x v="2"/>
    <x v="2"/>
    <x v="0"/>
    <m/>
    <x v="0"/>
    <x v="0"/>
    <m/>
    <x v="0"/>
    <s v="Y"/>
    <x v="2"/>
  </r>
  <r>
    <s v="19/3616/FUL"/>
    <x v="0"/>
    <x v="0"/>
    <x v="95"/>
    <d v="2024-03-03T00:00:00"/>
    <d v="2024-01-10T00:00:00"/>
    <m/>
    <x v="0"/>
    <m/>
    <x v="1"/>
    <x v="0"/>
    <x v="0"/>
    <m/>
    <x v="2"/>
    <s v="Proposed redevelopment of existing car park to provide a new building of 5 to 6 storeys, comprising 46 no. residential units (Use Class C3), disabled car parking, cycle parking, landscaping, enhancements to public realm and associated works"/>
    <s v="Old Station Forecourt, Railway Approach, Twickenham TW1 4LJ_x000a_"/>
    <s v="TW1 4LJ"/>
    <m/>
    <m/>
    <m/>
    <m/>
    <m/>
    <m/>
    <m/>
    <m/>
    <m/>
    <n v="0"/>
    <m/>
    <n v="28"/>
    <n v="8"/>
    <m/>
    <m/>
    <m/>
    <m/>
    <m/>
    <m/>
    <n v="36"/>
    <n v="28"/>
    <n v="8"/>
    <n v="0"/>
    <n v="0"/>
    <n v="0"/>
    <n v="0"/>
    <n v="0"/>
    <n v="0"/>
    <n v="36"/>
    <x v="1"/>
    <m/>
    <m/>
    <m/>
    <m/>
    <n v="18"/>
    <n v="18"/>
    <m/>
    <m/>
    <m/>
    <m/>
    <m/>
    <m/>
    <m/>
    <m/>
    <m/>
    <m/>
    <m/>
    <n v="36"/>
    <n v="36"/>
    <m/>
    <m/>
    <m/>
    <n v="516060"/>
    <n v="173599"/>
    <x v="4"/>
    <x v="2"/>
    <x v="2"/>
    <x v="0"/>
    <m/>
    <x v="0"/>
    <x v="0"/>
    <m/>
    <x v="0"/>
    <s v="Y"/>
    <x v="2"/>
  </r>
  <r>
    <s v="19/3632/FUL"/>
    <x v="2"/>
    <x v="0"/>
    <x v="96"/>
    <d v="2023-11-02T00:00:00"/>
    <d v="2023-11-01T00:00:00"/>
    <m/>
    <x v="0"/>
    <m/>
    <x v="1"/>
    <x v="0"/>
    <x v="0"/>
    <m/>
    <x v="2"/>
    <s v="Loft conversion to no. 1 and no. 3 Cromwell Road to provide 2 x 1 person studios with external extensions (side dormer roof extensions) and alterations with internal remodeling and ancillary cycle and refuse storage."/>
    <s v="1 - 3 Cromwell Road, Teddington"/>
    <s v="TW11 9EQ"/>
    <m/>
    <m/>
    <m/>
    <m/>
    <m/>
    <m/>
    <m/>
    <m/>
    <m/>
    <n v="0"/>
    <m/>
    <n v="2"/>
    <m/>
    <m/>
    <m/>
    <m/>
    <m/>
    <m/>
    <m/>
    <n v="2"/>
    <n v="2"/>
    <n v="0"/>
    <n v="0"/>
    <n v="0"/>
    <n v="0"/>
    <n v="0"/>
    <n v="0"/>
    <n v="0"/>
    <n v="2"/>
    <x v="0"/>
    <m/>
    <n v="1"/>
    <n v="1"/>
    <m/>
    <m/>
    <m/>
    <m/>
    <m/>
    <m/>
    <m/>
    <m/>
    <m/>
    <m/>
    <m/>
    <m/>
    <m/>
    <m/>
    <n v="2"/>
    <n v="2"/>
    <m/>
    <m/>
    <m/>
    <n v="516132"/>
    <n v="170736"/>
    <x v="11"/>
    <x v="1"/>
    <x v="0"/>
    <x v="0"/>
    <m/>
    <x v="0"/>
    <x v="0"/>
    <m/>
    <x v="0"/>
    <s v="Y"/>
    <x v="7"/>
  </r>
  <r>
    <s v="19/3905/FUL"/>
    <x v="2"/>
    <x v="0"/>
    <x v="97"/>
    <d v="2023-10-22T00:00:00"/>
    <d v="2022-02-01T00:00:00"/>
    <m/>
    <x v="0"/>
    <d v="2026-01-07T00:00:00"/>
    <x v="1"/>
    <x v="0"/>
    <x v="0"/>
    <m/>
    <x v="2"/>
    <s v="Replacement shopfront, replacement windows, 2 no. rooflights on front roof slope, new basement level with lightwells and rear staircase ground floor side/rear extension and 3 rear dormer roof extension to facilitate the provision of 1 no. retail unit and 7 no. flats (5 x studio flats and 2 x 1 bed flats) with associated hard and soft landscaping, cycle and refuse stores."/>
    <s v="422 Upper Richmond Road West, East Sheen"/>
    <s v="TW10 5DY"/>
    <m/>
    <m/>
    <m/>
    <m/>
    <m/>
    <m/>
    <m/>
    <m/>
    <m/>
    <n v="0"/>
    <m/>
    <n v="4"/>
    <m/>
    <m/>
    <m/>
    <m/>
    <m/>
    <m/>
    <m/>
    <n v="4"/>
    <n v="4"/>
    <n v="0"/>
    <n v="0"/>
    <n v="0"/>
    <n v="0"/>
    <n v="0"/>
    <n v="0"/>
    <n v="0"/>
    <n v="4"/>
    <x v="0"/>
    <m/>
    <n v="4"/>
    <m/>
    <m/>
    <m/>
    <m/>
    <m/>
    <m/>
    <m/>
    <m/>
    <m/>
    <m/>
    <m/>
    <m/>
    <m/>
    <m/>
    <m/>
    <n v="4"/>
    <n v="4"/>
    <m/>
    <m/>
    <m/>
    <n v="519849"/>
    <n v="175357"/>
    <x v="8"/>
    <x v="4"/>
    <x v="0"/>
    <x v="0"/>
    <m/>
    <x v="0"/>
    <x v="0"/>
    <m/>
    <x v="0"/>
    <s v="Y"/>
    <x v="5"/>
  </r>
  <r>
    <s v="20/0145/FUL"/>
    <x v="4"/>
    <x v="0"/>
    <x v="98"/>
    <d v="2023-10-05T00:00:00"/>
    <d v="2023-10-05T00:00:00"/>
    <m/>
    <x v="0"/>
    <m/>
    <x v="1"/>
    <x v="0"/>
    <x v="0"/>
    <m/>
    <x v="2"/>
    <s v="3,2m rear extension and division of a single flat into 2 flats."/>
    <s v="133A Percy Road, Twickenham TW2 6HT"/>
    <s v="TW2 6HT"/>
    <m/>
    <m/>
    <m/>
    <m/>
    <n v="1"/>
    <m/>
    <m/>
    <m/>
    <m/>
    <n v="1"/>
    <m/>
    <n v="1"/>
    <n v="1"/>
    <m/>
    <m/>
    <m/>
    <m/>
    <m/>
    <m/>
    <n v="2"/>
    <n v="1"/>
    <n v="1"/>
    <n v="0"/>
    <n v="-1"/>
    <n v="0"/>
    <n v="0"/>
    <n v="0"/>
    <n v="0"/>
    <n v="1"/>
    <x v="0"/>
    <m/>
    <n v="1"/>
    <m/>
    <m/>
    <m/>
    <m/>
    <m/>
    <m/>
    <m/>
    <m/>
    <m/>
    <m/>
    <m/>
    <m/>
    <m/>
    <m/>
    <m/>
    <n v="1"/>
    <n v="1"/>
    <m/>
    <m/>
    <m/>
    <n v="514206"/>
    <n v="173520"/>
    <x v="15"/>
    <x v="0"/>
    <x v="1"/>
    <x v="0"/>
    <m/>
    <x v="0"/>
    <x v="0"/>
    <m/>
    <x v="0"/>
    <s v="Y"/>
    <x v="0"/>
  </r>
  <r>
    <s v="20/0539/FUL"/>
    <x v="0"/>
    <x v="0"/>
    <x v="99"/>
    <d v="2025-04-04T00:00:00"/>
    <d v="2023-03-10T00:00:00"/>
    <m/>
    <x v="0"/>
    <m/>
    <x v="1"/>
    <x v="2"/>
    <x v="0"/>
    <m/>
    <x v="2"/>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A"/>
    <m/>
    <m/>
    <m/>
    <m/>
    <m/>
    <m/>
    <m/>
    <m/>
    <n v="0"/>
    <s v="Y"/>
    <n v="2"/>
    <n v="4"/>
    <m/>
    <m/>
    <m/>
    <m/>
    <m/>
    <m/>
    <n v="6"/>
    <n v="2"/>
    <n v="4"/>
    <n v="0"/>
    <n v="0"/>
    <n v="0"/>
    <n v="0"/>
    <n v="0"/>
    <n v="0"/>
    <n v="6"/>
    <x v="1"/>
    <m/>
    <m/>
    <m/>
    <m/>
    <n v="3"/>
    <n v="3"/>
    <m/>
    <m/>
    <m/>
    <m/>
    <m/>
    <m/>
    <m/>
    <m/>
    <m/>
    <m/>
    <m/>
    <n v="6"/>
    <n v="6"/>
    <m/>
    <m/>
    <m/>
    <n v="515141"/>
    <n v="171791"/>
    <x v="6"/>
    <x v="1"/>
    <x v="0"/>
    <x v="0"/>
    <m/>
    <x v="0"/>
    <x v="0"/>
    <m/>
    <x v="0"/>
    <s v="Y"/>
    <x v="7"/>
  </r>
  <r>
    <s v="20/0539/FUL"/>
    <x v="0"/>
    <x v="0"/>
    <x v="99"/>
    <d v="2025-04-04T00:00:00"/>
    <d v="2023-03-10T00:00:00"/>
    <m/>
    <x v="0"/>
    <m/>
    <x v="1"/>
    <x v="3"/>
    <x v="0"/>
    <m/>
    <x v="2"/>
    <s v="Demolition of all existing buildings; erection of two 3-storey buildings comprising 30 residential dwellings in total (6 x1 bedroom, 17 x 2 bedroom &amp; 7 x 3 bedroom); erection of single storey nursery building (294 sqm in total) alterations to existing acc"/>
    <s v="The Strathmore Centre, Strathmore Road, Teddington TW11 8UH_x000a_"/>
    <s v="TW11 8UH"/>
    <s v="Block B"/>
    <m/>
    <m/>
    <m/>
    <m/>
    <m/>
    <m/>
    <m/>
    <m/>
    <n v="0"/>
    <s v="Y"/>
    <n v="4"/>
    <n v="13"/>
    <n v="7"/>
    <m/>
    <m/>
    <m/>
    <m/>
    <m/>
    <n v="24"/>
    <n v="4"/>
    <n v="13"/>
    <n v="7"/>
    <n v="0"/>
    <n v="0"/>
    <n v="0"/>
    <n v="0"/>
    <n v="0"/>
    <n v="24"/>
    <x v="1"/>
    <m/>
    <m/>
    <m/>
    <m/>
    <n v="12"/>
    <n v="12"/>
    <m/>
    <m/>
    <m/>
    <m/>
    <m/>
    <m/>
    <m/>
    <m/>
    <m/>
    <m/>
    <m/>
    <n v="24"/>
    <n v="24"/>
    <m/>
    <m/>
    <m/>
    <n v="515141"/>
    <n v="171791"/>
    <x v="6"/>
    <x v="1"/>
    <x v="0"/>
    <x v="0"/>
    <m/>
    <x v="0"/>
    <x v="0"/>
    <m/>
    <x v="0"/>
    <s v="Y"/>
    <x v="7"/>
  </r>
  <r>
    <s v="20/0595/FUL"/>
    <x v="3"/>
    <x v="0"/>
    <x v="100"/>
    <d v="2023-09-24T00:00:00"/>
    <d v="2023-09-01T00:00:00"/>
    <m/>
    <x v="0"/>
    <m/>
    <x v="1"/>
    <x v="0"/>
    <x v="0"/>
    <m/>
    <x v="2"/>
    <s v="Demolition of existing outbuilding.  Single storey side/rear extension to facilitate change of use of rear part of ground floor (A1 (Retail)) to residential use (Class C3) to create 1 x 1 bed flat with associated cycle and refuse store."/>
    <s v="64 White Hart Lane, Barnes SW13 0PZ"/>
    <s v="SW13 0PZ"/>
    <m/>
    <m/>
    <m/>
    <m/>
    <m/>
    <m/>
    <m/>
    <m/>
    <m/>
    <n v="0"/>
    <m/>
    <n v="1"/>
    <m/>
    <m/>
    <m/>
    <m/>
    <m/>
    <m/>
    <m/>
    <n v="1"/>
    <n v="1"/>
    <n v="0"/>
    <n v="0"/>
    <n v="0"/>
    <n v="0"/>
    <n v="0"/>
    <n v="0"/>
    <n v="0"/>
    <n v="1"/>
    <x v="0"/>
    <m/>
    <n v="1"/>
    <m/>
    <m/>
    <m/>
    <m/>
    <m/>
    <m/>
    <m/>
    <m/>
    <m/>
    <m/>
    <m/>
    <m/>
    <m/>
    <m/>
    <m/>
    <n v="1"/>
    <n v="1"/>
    <m/>
    <m/>
    <m/>
    <n v="521318"/>
    <n v="175834"/>
    <x v="5"/>
    <x v="3"/>
    <x v="0"/>
    <x v="0"/>
    <s v="White Hart lane, Barnes"/>
    <x v="1"/>
    <x v="0"/>
    <s v="CA33 Mortlake"/>
    <x v="1"/>
    <s v="Y"/>
    <x v="5"/>
  </r>
  <r>
    <s v="20/1846/FUL"/>
    <x v="3"/>
    <x v="0"/>
    <x v="9"/>
    <d v="2024-02-12T00:00:00"/>
    <d v="2023-09-04T00:00:00"/>
    <m/>
    <x v="0"/>
    <m/>
    <x v="1"/>
    <x v="0"/>
    <x v="0"/>
    <m/>
    <x v="2"/>
    <s v="Ground and basement extensions to facilitate change of use of basement and part change of use of ground floor from A1 to C3 to provide a one- bedroom residential unit"/>
    <s v="4 The Broadway, Barnes SW13 0NY"/>
    <s v="SW13 0NY"/>
    <m/>
    <m/>
    <m/>
    <m/>
    <m/>
    <m/>
    <m/>
    <m/>
    <m/>
    <n v="0"/>
    <m/>
    <n v="1"/>
    <m/>
    <m/>
    <m/>
    <m/>
    <m/>
    <m/>
    <m/>
    <n v="1"/>
    <n v="1"/>
    <n v="0"/>
    <n v="0"/>
    <n v="0"/>
    <n v="0"/>
    <n v="0"/>
    <n v="0"/>
    <n v="0"/>
    <n v="1"/>
    <x v="0"/>
    <m/>
    <n v="1"/>
    <m/>
    <m/>
    <m/>
    <m/>
    <m/>
    <m/>
    <m/>
    <m/>
    <m/>
    <m/>
    <m/>
    <m/>
    <m/>
    <m/>
    <m/>
    <n v="1"/>
    <n v="1"/>
    <m/>
    <m/>
    <m/>
    <n v="521239"/>
    <n v="176042"/>
    <x v="5"/>
    <x v="3"/>
    <x v="0"/>
    <x v="0"/>
    <s v="White Hart Lane/Mortlake H"/>
    <x v="1"/>
    <x v="0"/>
    <s v="CA33 Mortlake"/>
    <x v="1"/>
    <s v="Y"/>
    <x v="5"/>
  </r>
  <r>
    <s v="20/2345/FUL"/>
    <x v="0"/>
    <x v="0"/>
    <x v="101"/>
    <d v="2024-08-02T00:00:00"/>
    <d v="2022-08-31T00:00:00"/>
    <m/>
    <x v="0"/>
    <m/>
    <x v="1"/>
    <x v="0"/>
    <x v="0"/>
    <m/>
    <x v="2"/>
    <s v="Erection of a new 3 bedroom disabled dwelling with mezzanine, dormer room and carers' accommodation and retrospective permission for the demolition of fire destroyed bungalow."/>
    <s v="31A Whitton Waye, Whitton TW3 2LT_x000a_"/>
    <s v="TW3 2LT"/>
    <m/>
    <m/>
    <m/>
    <n v="1"/>
    <m/>
    <m/>
    <m/>
    <m/>
    <m/>
    <n v="1"/>
    <m/>
    <m/>
    <m/>
    <m/>
    <m/>
    <n v="1"/>
    <m/>
    <m/>
    <m/>
    <n v="1"/>
    <n v="0"/>
    <n v="0"/>
    <n v="-1"/>
    <n v="0"/>
    <n v="1"/>
    <n v="0"/>
    <n v="0"/>
    <n v="0"/>
    <n v="0"/>
    <x v="0"/>
    <m/>
    <n v="0"/>
    <m/>
    <m/>
    <m/>
    <m/>
    <m/>
    <m/>
    <m/>
    <m/>
    <m/>
    <m/>
    <m/>
    <m/>
    <m/>
    <m/>
    <m/>
    <n v="0"/>
    <n v="0"/>
    <m/>
    <m/>
    <m/>
    <n v="513403"/>
    <n v="174165"/>
    <x v="15"/>
    <x v="0"/>
    <x v="0"/>
    <x v="0"/>
    <m/>
    <x v="0"/>
    <x v="0"/>
    <m/>
    <x v="0"/>
    <s v="Y"/>
    <x v="0"/>
  </r>
  <r>
    <s v="20/2358/FUL"/>
    <x v="1"/>
    <x v="0"/>
    <x v="102"/>
    <d v="2024-09-23T00:00:00"/>
    <d v="2022-05-01T00:00:00"/>
    <m/>
    <x v="0"/>
    <d v="2025-11-19T00:00:00"/>
    <x v="1"/>
    <x v="0"/>
    <x v="0"/>
    <m/>
    <x v="2"/>
    <s v="Change of use for conversion of an office designed as a live work one-bedroom residential property to a two-bedroom residential property, with associated landscaping."/>
    <s v="19 Thames Street, Hampton TW12 2EW_x000a_"/>
    <s v="TW12 2EW"/>
    <m/>
    <n v="1"/>
    <m/>
    <m/>
    <m/>
    <m/>
    <m/>
    <m/>
    <m/>
    <n v="1"/>
    <m/>
    <m/>
    <n v="1"/>
    <m/>
    <m/>
    <m/>
    <m/>
    <m/>
    <m/>
    <n v="1"/>
    <n v="-1"/>
    <n v="1"/>
    <n v="0"/>
    <n v="0"/>
    <n v="0"/>
    <n v="0"/>
    <n v="0"/>
    <n v="0"/>
    <n v="0"/>
    <x v="0"/>
    <m/>
    <n v="0"/>
    <m/>
    <m/>
    <m/>
    <m/>
    <m/>
    <m/>
    <m/>
    <m/>
    <m/>
    <m/>
    <m/>
    <m/>
    <m/>
    <m/>
    <m/>
    <n v="0"/>
    <n v="0"/>
    <m/>
    <m/>
    <m/>
    <n v="513893"/>
    <n v="169502"/>
    <x v="7"/>
    <x v="1"/>
    <x v="0"/>
    <x v="1"/>
    <s v="Thames Street, Hampton"/>
    <x v="1"/>
    <x v="0"/>
    <s v="CA12 Hampton Village"/>
    <x v="1"/>
    <s v="Y"/>
    <x v="1"/>
  </r>
  <r>
    <s v="20/3489/FUL"/>
    <x v="3"/>
    <x v="0"/>
    <x v="103"/>
    <d v="2025-03-04T00:00:00"/>
    <d v="2025-02-17T00:00:00"/>
    <s v="Y"/>
    <x v="0"/>
    <m/>
    <x v="1"/>
    <x v="0"/>
    <x v="0"/>
    <m/>
    <x v="2"/>
    <s v="Erection of hip to gable roof extension to No. 7. Subdivision of garden plot, first floor side and rear extension, rear dormer, front ground and first floor bay windows to facilitate the provision of 1 x 3 bed house adjoining 7 Dorset Way with associated hard and soft landscaping."/>
    <s v="7 Dorset Way, Twickenham TW2 6NB"/>
    <s v="TW2 6NB"/>
    <m/>
    <m/>
    <m/>
    <m/>
    <m/>
    <m/>
    <m/>
    <m/>
    <m/>
    <n v="0"/>
    <m/>
    <m/>
    <m/>
    <n v="1"/>
    <m/>
    <m/>
    <m/>
    <m/>
    <m/>
    <n v="1"/>
    <n v="0"/>
    <n v="0"/>
    <n v="1"/>
    <n v="0"/>
    <n v="0"/>
    <n v="0"/>
    <n v="0"/>
    <n v="0"/>
    <n v="1"/>
    <x v="0"/>
    <m/>
    <n v="0.5"/>
    <n v="0.5"/>
    <m/>
    <m/>
    <m/>
    <m/>
    <m/>
    <m/>
    <m/>
    <m/>
    <m/>
    <m/>
    <m/>
    <m/>
    <m/>
    <m/>
    <n v="1"/>
    <n v="1"/>
    <m/>
    <m/>
    <m/>
    <n v="514523"/>
    <n v="173247"/>
    <x v="16"/>
    <x v="2"/>
    <x v="0"/>
    <x v="0"/>
    <m/>
    <x v="0"/>
    <x v="0"/>
    <m/>
    <x v="0"/>
    <s v="Y"/>
    <x v="2"/>
  </r>
  <r>
    <s v="20/3495/FUL"/>
    <x v="1"/>
    <x v="0"/>
    <x v="104"/>
    <d v="2024-03-08T00:00:00"/>
    <d v="2024-01-24T00:00:00"/>
    <m/>
    <x v="0"/>
    <m/>
    <x v="1"/>
    <x v="0"/>
    <x v="0"/>
    <m/>
    <x v="2"/>
    <s v="Conversion of existing ancillary residential accommodation to a single-family dwelling house with minor external alterations, associated parking, refuse and cycle enclosures."/>
    <s v="Land To Rear Of 24 Marchmont Road, Richmond TW10 6HQ"/>
    <s v="TW10 6HQ"/>
    <m/>
    <m/>
    <m/>
    <m/>
    <m/>
    <m/>
    <m/>
    <m/>
    <m/>
    <n v="0"/>
    <m/>
    <n v="1"/>
    <m/>
    <m/>
    <m/>
    <m/>
    <m/>
    <m/>
    <m/>
    <n v="1"/>
    <n v="1"/>
    <n v="0"/>
    <n v="0"/>
    <n v="0"/>
    <n v="0"/>
    <n v="0"/>
    <n v="0"/>
    <n v="0"/>
    <n v="1"/>
    <x v="0"/>
    <m/>
    <n v="1"/>
    <m/>
    <m/>
    <m/>
    <m/>
    <m/>
    <m/>
    <m/>
    <m/>
    <m/>
    <m/>
    <m/>
    <m/>
    <m/>
    <m/>
    <m/>
    <n v="1"/>
    <n v="1"/>
    <m/>
    <m/>
    <m/>
    <n v="518831"/>
    <n v="174557"/>
    <x v="12"/>
    <x v="4"/>
    <x v="0"/>
    <x v="0"/>
    <m/>
    <x v="0"/>
    <x v="0"/>
    <m/>
    <x v="0"/>
    <s v="Y"/>
    <x v="4"/>
  </r>
  <r>
    <s v="21/0129/PS192"/>
    <x v="1"/>
    <x v="2"/>
    <x v="105"/>
    <d v="2024-02-16T00:00:00"/>
    <d v="2021-12-01T00:00:00"/>
    <m/>
    <x v="0"/>
    <d v="2025-07-02T00:00:00"/>
    <x v="1"/>
    <x v="0"/>
    <x v="0"/>
    <m/>
    <x v="2"/>
    <s v="Conversion of the existing 4-storey Use Class A2 unit to mixed-use, comprising an A2 unit at ground floor and two residential flats above on the second, third, and fourth floors."/>
    <s v="1 London Road, Twickenham TW1 3SX"/>
    <s v="TW1 3SX"/>
    <m/>
    <m/>
    <m/>
    <m/>
    <m/>
    <m/>
    <m/>
    <m/>
    <m/>
    <n v="0"/>
    <m/>
    <n v="1"/>
    <n v="1"/>
    <m/>
    <m/>
    <m/>
    <m/>
    <m/>
    <m/>
    <n v="2"/>
    <n v="1"/>
    <n v="1"/>
    <n v="0"/>
    <n v="0"/>
    <n v="0"/>
    <n v="0"/>
    <n v="0"/>
    <n v="0"/>
    <n v="2"/>
    <x v="0"/>
    <m/>
    <n v="2"/>
    <m/>
    <m/>
    <m/>
    <m/>
    <m/>
    <m/>
    <m/>
    <m/>
    <m/>
    <m/>
    <m/>
    <m/>
    <m/>
    <m/>
    <m/>
    <n v="2"/>
    <n v="2"/>
    <m/>
    <m/>
    <m/>
    <n v="516260"/>
    <n v="173296"/>
    <x v="4"/>
    <x v="2"/>
    <x v="2"/>
    <x v="0"/>
    <m/>
    <x v="0"/>
    <x v="0"/>
    <s v="CA8 Twickenham Riverside"/>
    <x v="1"/>
    <s v="Y"/>
    <x v="2"/>
  </r>
  <r>
    <s v="21/0699/FUL"/>
    <x v="2"/>
    <x v="0"/>
    <x v="106"/>
    <d v="2024-08-03T00:00:00"/>
    <d v="2024-06-03T00:00:00"/>
    <s v="Y"/>
    <x v="0"/>
    <d v="2025-10-15T00:00:00"/>
    <x v="1"/>
    <x v="0"/>
    <x v="0"/>
    <m/>
    <x v="2"/>
    <s v="Upward roof extension to provide for one flat, and alter elevations, and associated works"/>
    <s v="47 Crown Road, Twickenham TW1 3EJ"/>
    <s v="TW1 3EJ"/>
    <m/>
    <m/>
    <m/>
    <m/>
    <m/>
    <m/>
    <m/>
    <m/>
    <m/>
    <n v="0"/>
    <m/>
    <m/>
    <n v="1"/>
    <m/>
    <m/>
    <m/>
    <m/>
    <m/>
    <m/>
    <n v="1"/>
    <n v="0"/>
    <n v="1"/>
    <n v="0"/>
    <n v="0"/>
    <n v="0"/>
    <n v="0"/>
    <n v="0"/>
    <n v="0"/>
    <n v="1"/>
    <x v="0"/>
    <m/>
    <n v="1"/>
    <m/>
    <m/>
    <m/>
    <m/>
    <m/>
    <m/>
    <m/>
    <m/>
    <m/>
    <m/>
    <m/>
    <m/>
    <m/>
    <m/>
    <m/>
    <n v="1"/>
    <n v="1"/>
    <m/>
    <m/>
    <m/>
    <n v="516925"/>
    <n v="174069"/>
    <x v="3"/>
    <x v="2"/>
    <x v="0"/>
    <x v="0"/>
    <s v="St Margarets"/>
    <x v="1"/>
    <x v="0"/>
    <m/>
    <x v="0"/>
    <s v="Y"/>
    <x v="2"/>
  </r>
  <r>
    <s v="21/0754/GPD15"/>
    <x v="1"/>
    <x v="1"/>
    <x v="107"/>
    <d v="2024-04-12T00:00:00"/>
    <d v="2022-01-17T00:00:00"/>
    <m/>
    <x v="0"/>
    <m/>
    <x v="1"/>
    <x v="0"/>
    <x v="0"/>
    <m/>
    <x v="2"/>
    <s v="Change of use from existing offices in building of 63-65 High Street to 12 residential flats (including retention of 3 existing self-contained flats on second floor)."/>
    <s v="63 - 65 High Street, Hampton Hill"/>
    <s v="TW12 1NH"/>
    <m/>
    <m/>
    <m/>
    <m/>
    <m/>
    <m/>
    <m/>
    <m/>
    <m/>
    <n v="0"/>
    <m/>
    <n v="4"/>
    <n v="8"/>
    <m/>
    <m/>
    <m/>
    <m/>
    <m/>
    <m/>
    <n v="12"/>
    <n v="4"/>
    <n v="8"/>
    <n v="0"/>
    <n v="0"/>
    <n v="0"/>
    <n v="0"/>
    <n v="0"/>
    <n v="0"/>
    <n v="12"/>
    <x v="1"/>
    <m/>
    <n v="12"/>
    <m/>
    <m/>
    <m/>
    <m/>
    <m/>
    <m/>
    <m/>
    <m/>
    <m/>
    <m/>
    <m/>
    <m/>
    <m/>
    <m/>
    <m/>
    <n v="12"/>
    <n v="12"/>
    <m/>
    <m/>
    <m/>
    <n v="514247"/>
    <n v="170821"/>
    <x v="6"/>
    <x v="1"/>
    <x v="0"/>
    <x v="0"/>
    <s v="High Street, Hampton Hill"/>
    <x v="1"/>
    <x v="0"/>
    <s v="CA38 High Street Hampton Hill"/>
    <x v="1"/>
    <m/>
    <x v="1"/>
  </r>
  <r>
    <s v="21/1174/FUL"/>
    <x v="0"/>
    <x v="0"/>
    <x v="108"/>
    <d v="2026-12-21T00:00:00"/>
    <d v="2024-01-15T00:00:00"/>
    <m/>
    <x v="0"/>
    <m/>
    <x v="1"/>
    <x v="0"/>
    <x v="0"/>
    <m/>
    <x v="2"/>
    <s v="Single storey rear extension to existing dwelling. New attached two-storey dwelling with habitable roof space, 2No. parking spaces, associated landscaping and re-located crossover."/>
    <s v="21 River Way, Twickenham TW2 5JP"/>
    <s v="TW2 5JP"/>
    <m/>
    <m/>
    <m/>
    <m/>
    <m/>
    <m/>
    <m/>
    <m/>
    <m/>
    <n v="0"/>
    <m/>
    <m/>
    <m/>
    <n v="1"/>
    <m/>
    <m/>
    <m/>
    <m/>
    <m/>
    <n v="1"/>
    <n v="0"/>
    <n v="0"/>
    <n v="1"/>
    <n v="0"/>
    <n v="0"/>
    <n v="0"/>
    <n v="0"/>
    <n v="0"/>
    <n v="1"/>
    <x v="0"/>
    <m/>
    <n v="1"/>
    <m/>
    <m/>
    <m/>
    <m/>
    <m/>
    <m/>
    <m/>
    <m/>
    <m/>
    <m/>
    <m/>
    <m/>
    <m/>
    <m/>
    <m/>
    <n v="1"/>
    <n v="1"/>
    <m/>
    <m/>
    <m/>
    <n v="513620"/>
    <n v="172514"/>
    <x v="16"/>
    <x v="2"/>
    <x v="0"/>
    <x v="0"/>
    <m/>
    <x v="0"/>
    <x v="0"/>
    <m/>
    <x v="0"/>
    <m/>
    <x v="2"/>
  </r>
  <r>
    <s v="21/1328/FUL"/>
    <x v="0"/>
    <x v="0"/>
    <x v="109"/>
    <d v="2025-04-21T00:00:00"/>
    <d v="2024-01-26T00:00:00"/>
    <m/>
    <x v="0"/>
    <m/>
    <x v="1"/>
    <x v="0"/>
    <x v="0"/>
    <m/>
    <x v="2"/>
    <s v="Part three storey part single storey extension to provide an additional retail unit (Class E) at ground floor and 1 x residential dwelling on upper floors.  Alterations to bay windows at 171 Ashburnham Road.  Associated hard and soft landscaping works inc"/>
    <s v="Land South Of 171 And 171 Ashburnham Road, Ham"/>
    <s v="TW10 7NR"/>
    <m/>
    <m/>
    <m/>
    <m/>
    <m/>
    <m/>
    <m/>
    <m/>
    <m/>
    <n v="0"/>
    <m/>
    <m/>
    <n v="1"/>
    <m/>
    <m/>
    <m/>
    <m/>
    <m/>
    <m/>
    <n v="1"/>
    <n v="0"/>
    <n v="1"/>
    <n v="0"/>
    <n v="0"/>
    <n v="0"/>
    <n v="0"/>
    <n v="0"/>
    <n v="0"/>
    <n v="1"/>
    <x v="0"/>
    <m/>
    <n v="0.5"/>
    <n v="0.5"/>
    <m/>
    <m/>
    <m/>
    <m/>
    <m/>
    <m/>
    <m/>
    <m/>
    <m/>
    <m/>
    <m/>
    <m/>
    <m/>
    <m/>
    <n v="1"/>
    <n v="1"/>
    <m/>
    <m/>
    <m/>
    <n v="516850"/>
    <n v="172139"/>
    <x v="10"/>
    <x v="5"/>
    <x v="0"/>
    <x v="0"/>
    <m/>
    <x v="0"/>
    <x v="0"/>
    <m/>
    <x v="0"/>
    <m/>
    <x v="6"/>
  </r>
  <r>
    <s v="21/1841/FUL"/>
    <x v="3"/>
    <x v="0"/>
    <x v="13"/>
    <d v="2026-02-16T00:00:00"/>
    <d v="2023-06-01T00:00:00"/>
    <m/>
    <x v="0"/>
    <d v="2025-09-18T00:00:00"/>
    <x v="1"/>
    <x v="0"/>
    <x v="0"/>
    <m/>
    <x v="2"/>
    <s v="Demolition of existing car showroom and partial demolition of ancillary offices to facilitate the construction of 4 semi-detached houses with associated landscaping and car parking spaces, construction of a new vehicle access."/>
    <s v="45 - 49 Station Road, Hampton TW12 2BT"/>
    <s v="TW12 2BT"/>
    <m/>
    <m/>
    <m/>
    <m/>
    <m/>
    <m/>
    <m/>
    <m/>
    <m/>
    <n v="0"/>
    <m/>
    <m/>
    <m/>
    <n v="2"/>
    <m/>
    <m/>
    <m/>
    <m/>
    <m/>
    <n v="2"/>
    <n v="0"/>
    <n v="0"/>
    <n v="2"/>
    <n v="0"/>
    <n v="0"/>
    <n v="0"/>
    <n v="0"/>
    <n v="0"/>
    <n v="2"/>
    <x v="0"/>
    <m/>
    <n v="2"/>
    <m/>
    <m/>
    <m/>
    <m/>
    <m/>
    <m/>
    <m/>
    <m/>
    <m/>
    <m/>
    <m/>
    <m/>
    <m/>
    <m/>
    <m/>
    <n v="2"/>
    <n v="2"/>
    <m/>
    <m/>
    <m/>
    <n v="513825"/>
    <n v="169567"/>
    <x v="7"/>
    <x v="1"/>
    <x v="0"/>
    <x v="0"/>
    <m/>
    <x v="0"/>
    <x v="0"/>
    <s v="CA12 Hampton Village"/>
    <x v="1"/>
    <s v="Y"/>
    <x v="1"/>
  </r>
  <r>
    <s v="21/1864/FUL"/>
    <x v="4"/>
    <x v="0"/>
    <x v="110"/>
    <d v="2025-03-31T00:00:00"/>
    <d v="2025-03-01T00:00:00"/>
    <s v="Y"/>
    <x v="0"/>
    <m/>
    <x v="1"/>
    <x v="0"/>
    <x v="0"/>
    <m/>
    <x v="2"/>
    <s v="Extension of existing house and reversion of two (33 and 35) plots into one and associated hard and soft landscaping"/>
    <s v="33 Ham Farm Road, Ham, Richmond TW10 5NA"/>
    <s v="TW10 5NA"/>
    <m/>
    <n v="1"/>
    <n v="1"/>
    <m/>
    <m/>
    <m/>
    <m/>
    <m/>
    <m/>
    <n v="2"/>
    <m/>
    <m/>
    <m/>
    <m/>
    <n v="1"/>
    <m/>
    <m/>
    <m/>
    <m/>
    <n v="1"/>
    <n v="-1"/>
    <n v="-1"/>
    <n v="0"/>
    <n v="1"/>
    <n v="0"/>
    <n v="0"/>
    <n v="0"/>
    <n v="0"/>
    <n v="-1"/>
    <x v="0"/>
    <m/>
    <n v="-1"/>
    <m/>
    <m/>
    <m/>
    <m/>
    <m/>
    <m/>
    <m/>
    <m/>
    <m/>
    <m/>
    <m/>
    <m/>
    <m/>
    <m/>
    <m/>
    <n v="-1"/>
    <n v="-1"/>
    <m/>
    <m/>
    <m/>
    <n v="518104"/>
    <n v="171628"/>
    <x v="10"/>
    <x v="5"/>
    <x v="0"/>
    <x v="0"/>
    <m/>
    <x v="0"/>
    <x v="0"/>
    <s v="CA67 Parkleys Estate Ham"/>
    <x v="1"/>
    <m/>
    <x v="6"/>
  </r>
  <r>
    <s v="21/2208/FUL"/>
    <x v="0"/>
    <x v="0"/>
    <x v="111"/>
    <d v="2026-04-05T00:00:00"/>
    <d v="2024-01-07T00:00:00"/>
    <m/>
    <x v="0"/>
    <d v="2025-07-31T00:00:00"/>
    <x v="1"/>
    <x v="5"/>
    <x v="0"/>
    <m/>
    <x v="2"/>
    <s v="Erection of three-storey building comprising six residential apartments (3 x 1 bed/1 person, 2 x 1 bed/2 person, 1 x 1 person M(4)3);  landscaping including private amenity space and ecological enhancement; secure cycle and refuse storage structures."/>
    <s v="Potterill Court, Harlequin Road, Teddington"/>
    <s v="TW11 9BY"/>
    <m/>
    <m/>
    <m/>
    <m/>
    <m/>
    <m/>
    <m/>
    <m/>
    <m/>
    <n v="0"/>
    <s v="Y"/>
    <n v="6"/>
    <m/>
    <m/>
    <m/>
    <m/>
    <m/>
    <m/>
    <m/>
    <n v="6"/>
    <n v="6"/>
    <n v="0"/>
    <n v="0"/>
    <n v="0"/>
    <n v="0"/>
    <n v="0"/>
    <n v="0"/>
    <n v="0"/>
    <n v="6"/>
    <x v="0"/>
    <m/>
    <n v="6"/>
    <m/>
    <m/>
    <m/>
    <m/>
    <m/>
    <m/>
    <m/>
    <m/>
    <m/>
    <m/>
    <m/>
    <m/>
    <m/>
    <m/>
    <m/>
    <n v="6"/>
    <n v="6"/>
    <m/>
    <m/>
    <m/>
    <n v="516721"/>
    <n v="170449"/>
    <x v="14"/>
    <x v="1"/>
    <x v="0"/>
    <x v="0"/>
    <m/>
    <x v="0"/>
    <x v="0"/>
    <m/>
    <x v="0"/>
    <s v="Y"/>
    <x v="7"/>
  </r>
  <r>
    <s v="21/2282/FUL"/>
    <x v="0"/>
    <x v="0"/>
    <x v="112"/>
    <d v="2026-01-30T00:00:00"/>
    <d v="2023-12-15T00:00:00"/>
    <m/>
    <x v="0"/>
    <d v="2025-10-01T00:00:00"/>
    <x v="1"/>
    <x v="5"/>
    <x v="0"/>
    <m/>
    <x v="2"/>
    <s v="Erection of a two-storey building comprising 4 residential apartments ( 3 x 1 bed/1 person units and 1 x 1 bed/1 person M(4)3 unit); landscaping including private amenity space and ecological enhancement; secure cycle and refuse storage structures."/>
    <s v="Land Adjacent 12 Willow Avenue, Barnes"/>
    <s v="SW13 0LT"/>
    <m/>
    <m/>
    <m/>
    <m/>
    <m/>
    <m/>
    <m/>
    <m/>
    <m/>
    <n v="0"/>
    <s v="Y"/>
    <n v="4"/>
    <m/>
    <m/>
    <m/>
    <m/>
    <m/>
    <m/>
    <m/>
    <n v="4"/>
    <n v="4"/>
    <n v="0"/>
    <n v="0"/>
    <n v="0"/>
    <n v="0"/>
    <n v="0"/>
    <n v="0"/>
    <n v="0"/>
    <n v="4"/>
    <x v="0"/>
    <m/>
    <n v="4"/>
    <m/>
    <m/>
    <m/>
    <m/>
    <m/>
    <m/>
    <m/>
    <m/>
    <m/>
    <m/>
    <m/>
    <m/>
    <m/>
    <m/>
    <m/>
    <n v="4"/>
    <n v="4"/>
    <m/>
    <m/>
    <m/>
    <n v="521874"/>
    <n v="176054"/>
    <x v="5"/>
    <x v="3"/>
    <x v="0"/>
    <x v="0"/>
    <m/>
    <x v="0"/>
    <x v="0"/>
    <m/>
    <x v="0"/>
    <s v="Y"/>
    <x v="3"/>
  </r>
  <r>
    <s v="21/2441/FUL"/>
    <x v="1"/>
    <x v="0"/>
    <x v="113"/>
    <d v="2025-08-23T00:00:00"/>
    <d v="2022-09-01T00:00:00"/>
    <m/>
    <x v="0"/>
    <d v="2025-10-01T00:00:00"/>
    <x v="1"/>
    <x v="0"/>
    <x v="0"/>
    <m/>
    <x v="2"/>
    <s v="Change of use (to C3) of former Royal Oak Public House. Alterations and extension to ground floor, and alterations to existing facades to create 1 x 3 bedroom dwellinghouse with 2 x off-street parking spaces and associated cycle parking."/>
    <s v="The Royal Oak, Ham Street, Ham, Richmond TW10 7HN"/>
    <s v="TW10 7HN"/>
    <m/>
    <m/>
    <m/>
    <m/>
    <m/>
    <m/>
    <m/>
    <m/>
    <m/>
    <n v="0"/>
    <m/>
    <m/>
    <m/>
    <n v="1"/>
    <m/>
    <m/>
    <m/>
    <m/>
    <m/>
    <n v="1"/>
    <n v="0"/>
    <n v="0"/>
    <n v="1"/>
    <n v="0"/>
    <n v="0"/>
    <n v="0"/>
    <n v="0"/>
    <n v="0"/>
    <n v="1"/>
    <x v="0"/>
    <m/>
    <n v="0.5"/>
    <n v="0.5"/>
    <m/>
    <m/>
    <m/>
    <m/>
    <m/>
    <m/>
    <m/>
    <m/>
    <m/>
    <m/>
    <m/>
    <m/>
    <m/>
    <m/>
    <n v="1"/>
    <n v="1"/>
    <m/>
    <m/>
    <m/>
    <n v="517302"/>
    <n v="172516"/>
    <x v="10"/>
    <x v="5"/>
    <x v="0"/>
    <x v="0"/>
    <m/>
    <x v="0"/>
    <x v="4"/>
    <s v="CA23 Ham House"/>
    <x v="1"/>
    <m/>
    <x v="6"/>
  </r>
  <r>
    <s v="21/2533/FUL"/>
    <x v="0"/>
    <x v="0"/>
    <x v="114"/>
    <d v="2025-06-23T00:00:00"/>
    <d v="2024-06-03T00:00:00"/>
    <s v="Y"/>
    <x v="0"/>
    <m/>
    <x v="1"/>
    <x v="2"/>
    <x v="0"/>
    <m/>
    <x v="2"/>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
    <n v="2"/>
    <m/>
    <m/>
    <m/>
    <m/>
    <m/>
    <m/>
    <n v="3"/>
    <n v="1"/>
    <n v="2"/>
    <n v="0"/>
    <n v="0"/>
    <n v="0"/>
    <n v="0"/>
    <n v="0"/>
    <n v="0"/>
    <n v="3"/>
    <x v="1"/>
    <m/>
    <m/>
    <m/>
    <n v="1.5"/>
    <n v="1.5"/>
    <m/>
    <m/>
    <m/>
    <m/>
    <m/>
    <m/>
    <m/>
    <m/>
    <m/>
    <m/>
    <m/>
    <m/>
    <n v="3"/>
    <n v="3"/>
    <m/>
    <m/>
    <m/>
    <n v="515712"/>
    <n v="170847"/>
    <x v="11"/>
    <x v="1"/>
    <x v="0"/>
    <x v="0"/>
    <m/>
    <x v="0"/>
    <x v="0"/>
    <m/>
    <x v="0"/>
    <s v="Y"/>
    <x v="7"/>
  </r>
  <r>
    <s v="21/2533/FUL"/>
    <x v="0"/>
    <x v="0"/>
    <x v="114"/>
    <d v="2025-06-23T00:00:00"/>
    <d v="2024-06-03T00:00:00"/>
    <s v="Y"/>
    <x v="0"/>
    <m/>
    <x v="1"/>
    <x v="6"/>
    <x v="0"/>
    <m/>
    <x v="2"/>
    <s v="Provision of new community centre on existing North Lane Depot, East Car Park site, together with demolition of existing community centre and provision of affordable housing on existing Elleray Hall site."/>
    <s v="Elleray Hall Site North Lane Depot And East Car Park, Middle Lane, Teddington"/>
    <s v="TW11 0HG"/>
    <m/>
    <m/>
    <m/>
    <m/>
    <m/>
    <m/>
    <m/>
    <m/>
    <m/>
    <n v="0"/>
    <s v="Y"/>
    <n v="13"/>
    <m/>
    <m/>
    <m/>
    <m/>
    <m/>
    <m/>
    <m/>
    <n v="13"/>
    <n v="13"/>
    <n v="0"/>
    <n v="0"/>
    <n v="0"/>
    <n v="0"/>
    <n v="0"/>
    <n v="0"/>
    <n v="0"/>
    <n v="13"/>
    <x v="1"/>
    <m/>
    <m/>
    <m/>
    <n v="6.5"/>
    <n v="6.5"/>
    <m/>
    <m/>
    <m/>
    <m/>
    <m/>
    <m/>
    <m/>
    <m/>
    <m/>
    <m/>
    <m/>
    <m/>
    <n v="13"/>
    <n v="13"/>
    <m/>
    <m/>
    <m/>
    <n v="515712"/>
    <n v="170847"/>
    <x v="11"/>
    <x v="1"/>
    <x v="0"/>
    <x v="0"/>
    <m/>
    <x v="0"/>
    <x v="0"/>
    <m/>
    <x v="0"/>
    <s v="Y"/>
    <x v="7"/>
  </r>
  <r>
    <s v="21/2729/FUL"/>
    <x v="4"/>
    <x v="0"/>
    <x v="115"/>
    <d v="2025-04-29T00:00:00"/>
    <d v="2025-03-17T00:00:00"/>
    <m/>
    <x v="0"/>
    <m/>
    <x v="1"/>
    <x v="0"/>
    <x v="0"/>
    <m/>
    <x v="2"/>
    <s v="Renovation, rear single storey extension, new gable roof extension and rear basement to existing building to form six apartments."/>
    <s v="85 Connaught Road, Teddington"/>
    <s v="TW11 0QQ"/>
    <m/>
    <m/>
    <n v="1"/>
    <n v="1"/>
    <m/>
    <m/>
    <m/>
    <m/>
    <m/>
    <n v="2"/>
    <m/>
    <n v="4"/>
    <n v="2"/>
    <m/>
    <m/>
    <m/>
    <m/>
    <m/>
    <m/>
    <n v="6"/>
    <n v="4"/>
    <n v="1"/>
    <n v="-1"/>
    <n v="0"/>
    <n v="0"/>
    <n v="0"/>
    <n v="0"/>
    <n v="0"/>
    <n v="4"/>
    <x v="0"/>
    <m/>
    <m/>
    <n v="2"/>
    <n v="2"/>
    <m/>
    <m/>
    <m/>
    <m/>
    <m/>
    <m/>
    <m/>
    <m/>
    <m/>
    <m/>
    <m/>
    <m/>
    <m/>
    <n v="4"/>
    <n v="4"/>
    <m/>
    <m/>
    <m/>
    <n v="514630"/>
    <n v="171361"/>
    <x v="6"/>
    <x v="1"/>
    <x v="0"/>
    <x v="0"/>
    <m/>
    <x v="0"/>
    <x v="0"/>
    <m/>
    <x v="0"/>
    <s v="Y"/>
    <x v="7"/>
  </r>
  <r>
    <s v="21/2965/FUL"/>
    <x v="1"/>
    <x v="0"/>
    <x v="116"/>
    <d v="2025-03-02T00:00:00"/>
    <d v="2025-03-01T00:00:00"/>
    <s v="Y"/>
    <x v="0"/>
    <m/>
    <x v="1"/>
    <x v="0"/>
    <x v="0"/>
    <m/>
    <x v="2"/>
    <s v="Change of use of basement from mixed storage to self-contained 2 bed dwelling,  single storey extension, extension to existing basement, creation  new side entrance on the eastern elevation, extension of rear terrace,  new pitched roof on the front elevation, side extension . Alterations  to the existing boundary fence."/>
    <s v="2 Montrose Avenue, Twickenham TW2 6HB"/>
    <s v="TW2 6HB"/>
    <m/>
    <m/>
    <m/>
    <m/>
    <m/>
    <m/>
    <m/>
    <m/>
    <m/>
    <n v="0"/>
    <m/>
    <m/>
    <n v="1"/>
    <m/>
    <m/>
    <m/>
    <m/>
    <m/>
    <m/>
    <n v="1"/>
    <n v="0"/>
    <n v="1"/>
    <n v="0"/>
    <n v="0"/>
    <n v="0"/>
    <n v="0"/>
    <n v="0"/>
    <n v="0"/>
    <n v="1"/>
    <x v="0"/>
    <m/>
    <n v="1"/>
    <m/>
    <m/>
    <m/>
    <m/>
    <m/>
    <m/>
    <m/>
    <m/>
    <m/>
    <m/>
    <m/>
    <m/>
    <m/>
    <m/>
    <m/>
    <n v="1"/>
    <n v="1"/>
    <m/>
    <m/>
    <m/>
    <n v="514165"/>
    <n v="173531"/>
    <x v="15"/>
    <x v="0"/>
    <x v="0"/>
    <x v="0"/>
    <m/>
    <x v="0"/>
    <x v="0"/>
    <m/>
    <x v="0"/>
    <s v="Y"/>
    <x v="0"/>
  </r>
  <r>
    <s v="21/3136/FUL"/>
    <x v="0"/>
    <x v="0"/>
    <x v="117"/>
    <d v="2026-02-28T00:00:00"/>
    <d v="2024-03-03T00:00:00"/>
    <m/>
    <x v="0"/>
    <m/>
    <x v="1"/>
    <x v="1"/>
    <x v="0"/>
    <m/>
    <x v="2"/>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8"/>
    <n v="13"/>
    <n v="7"/>
    <m/>
    <m/>
    <m/>
    <m/>
    <m/>
    <n v="28"/>
    <n v="8"/>
    <n v="13"/>
    <n v="7"/>
    <n v="0"/>
    <n v="0"/>
    <n v="0"/>
    <n v="0"/>
    <n v="0"/>
    <n v="28"/>
    <x v="1"/>
    <m/>
    <m/>
    <n v="14"/>
    <n v="14"/>
    <m/>
    <m/>
    <m/>
    <m/>
    <m/>
    <m/>
    <m/>
    <m/>
    <m/>
    <m/>
    <m/>
    <m/>
    <m/>
    <n v="28"/>
    <n v="28"/>
    <m/>
    <m/>
    <m/>
    <n v="515278"/>
    <n v="173797"/>
    <x v="3"/>
    <x v="2"/>
    <x v="0"/>
    <x v="0"/>
    <m/>
    <x v="0"/>
    <x v="0"/>
    <m/>
    <x v="0"/>
    <s v="Y"/>
    <x v="2"/>
  </r>
  <r>
    <s v="21/3136/FUL"/>
    <x v="0"/>
    <x v="0"/>
    <x v="117"/>
    <d v="2026-02-28T00:00:00"/>
    <d v="2024-03-03T00:00:00"/>
    <m/>
    <x v="0"/>
    <m/>
    <x v="1"/>
    <x v="2"/>
    <x v="0"/>
    <m/>
    <x v="2"/>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s v="Y"/>
    <n v="29"/>
    <n v="41"/>
    <n v="10"/>
    <m/>
    <m/>
    <m/>
    <m/>
    <m/>
    <n v="80"/>
    <n v="29"/>
    <n v="41"/>
    <n v="10"/>
    <n v="0"/>
    <n v="0"/>
    <n v="0"/>
    <n v="0"/>
    <n v="0"/>
    <n v="80"/>
    <x v="1"/>
    <m/>
    <m/>
    <n v="40"/>
    <n v="40"/>
    <m/>
    <m/>
    <m/>
    <m/>
    <m/>
    <m/>
    <m/>
    <m/>
    <m/>
    <m/>
    <m/>
    <m/>
    <m/>
    <n v="80"/>
    <n v="80"/>
    <m/>
    <m/>
    <m/>
    <n v="515278"/>
    <n v="173797"/>
    <x v="3"/>
    <x v="2"/>
    <x v="0"/>
    <x v="0"/>
    <m/>
    <x v="0"/>
    <x v="0"/>
    <m/>
    <x v="0"/>
    <s v="Y"/>
    <x v="2"/>
  </r>
  <r>
    <s v="21/3136/FUL"/>
    <x v="0"/>
    <x v="0"/>
    <x v="117"/>
    <d v="2026-02-28T00:00:00"/>
    <d v="2024-03-03T00:00:00"/>
    <m/>
    <x v="0"/>
    <m/>
    <x v="1"/>
    <x v="0"/>
    <x v="0"/>
    <m/>
    <x v="2"/>
    <s v="Demolition of existing college buildings, removal of hard-surfacing, site clearance and groundworks together with the redevelopment of the site to provide new residential units; together with associated parking, cycle parking, open space and landscaping."/>
    <s v="Richmond Upon Thames College, Langhorn Drive, Twickenham TW2 7SJ_x000a_"/>
    <s v="TW2 7SJ"/>
    <m/>
    <m/>
    <m/>
    <m/>
    <m/>
    <m/>
    <m/>
    <m/>
    <m/>
    <n v="0"/>
    <m/>
    <n v="39"/>
    <n v="31"/>
    <n v="26"/>
    <n v="8"/>
    <m/>
    <m/>
    <m/>
    <m/>
    <n v="104"/>
    <n v="39"/>
    <n v="31"/>
    <n v="26"/>
    <n v="8"/>
    <n v="0"/>
    <n v="0"/>
    <n v="0"/>
    <n v="0"/>
    <n v="104"/>
    <x v="1"/>
    <m/>
    <m/>
    <n v="52"/>
    <n v="52"/>
    <m/>
    <m/>
    <m/>
    <m/>
    <m/>
    <m/>
    <m/>
    <m/>
    <m/>
    <m/>
    <m/>
    <m/>
    <m/>
    <n v="104"/>
    <n v="104"/>
    <m/>
    <m/>
    <m/>
    <n v="515278"/>
    <n v="173797"/>
    <x v="3"/>
    <x v="2"/>
    <x v="0"/>
    <x v="0"/>
    <m/>
    <x v="0"/>
    <x v="0"/>
    <m/>
    <x v="0"/>
    <s v="Y"/>
    <x v="2"/>
  </r>
  <r>
    <s v="21/3188/FUL"/>
    <x v="0"/>
    <x v="0"/>
    <x v="118"/>
    <d v="2025-08-26T00:00:00"/>
    <d v="2023-09-04T00:00:00"/>
    <m/>
    <x v="0"/>
    <m/>
    <x v="1"/>
    <x v="0"/>
    <x v="0"/>
    <m/>
    <x v="2"/>
    <s v="Erection of 7 residential units (4 x 1 and 2 bed flats and 3 x 3 bed houses) with ground floor Class E commercial business and service space (73.3m2) including associated works."/>
    <s v="Adjacent To 118 Kneller Road, Twickenham TW2 7DX"/>
    <s v="TW10 6UB"/>
    <m/>
    <m/>
    <m/>
    <m/>
    <m/>
    <m/>
    <m/>
    <m/>
    <m/>
    <n v="0"/>
    <m/>
    <n v="2"/>
    <n v="2"/>
    <n v="3"/>
    <m/>
    <m/>
    <m/>
    <m/>
    <m/>
    <n v="7"/>
    <n v="2"/>
    <n v="2"/>
    <n v="3"/>
    <n v="0"/>
    <n v="0"/>
    <n v="0"/>
    <n v="0"/>
    <n v="0"/>
    <n v="7"/>
    <x v="0"/>
    <m/>
    <m/>
    <n v="3.5"/>
    <n v="3.5"/>
    <m/>
    <m/>
    <m/>
    <m/>
    <m/>
    <m/>
    <m/>
    <m/>
    <m/>
    <m/>
    <m/>
    <m/>
    <m/>
    <n v="7"/>
    <n v="7"/>
    <m/>
    <m/>
    <m/>
    <n v="514497"/>
    <n v="174249"/>
    <x v="0"/>
    <x v="0"/>
    <x v="0"/>
    <x v="0"/>
    <m/>
    <x v="0"/>
    <x v="0"/>
    <m/>
    <x v="0"/>
    <s v="Y"/>
    <x v="0"/>
  </r>
  <r>
    <s v="21/3820/FUL"/>
    <x v="1"/>
    <x v="0"/>
    <x v="119"/>
    <d v="2025-05-20T00:00:00"/>
    <d v="2024-08-30T00:00:00"/>
    <s v="Y"/>
    <x v="0"/>
    <m/>
    <x v="1"/>
    <x v="0"/>
    <x v="0"/>
    <m/>
    <x v="2"/>
    <s v="Single storey rear extension, with a change of use of part of a derelict retail unit and residential unit to a one bedroom flat and the erection of an overhead shutter door to the rear yard."/>
    <s v="95 Stanley Road, Teddington TW11 8UB"/>
    <s v="TW11 8UB"/>
    <m/>
    <m/>
    <m/>
    <m/>
    <m/>
    <m/>
    <m/>
    <m/>
    <m/>
    <n v="0"/>
    <m/>
    <n v="1"/>
    <m/>
    <m/>
    <m/>
    <m/>
    <m/>
    <m/>
    <m/>
    <n v="1"/>
    <n v="1"/>
    <n v="0"/>
    <n v="0"/>
    <n v="0"/>
    <n v="0"/>
    <n v="0"/>
    <n v="0"/>
    <n v="0"/>
    <n v="1"/>
    <x v="0"/>
    <m/>
    <n v="1"/>
    <m/>
    <m/>
    <m/>
    <m/>
    <m/>
    <m/>
    <m/>
    <m/>
    <m/>
    <m/>
    <m/>
    <m/>
    <m/>
    <m/>
    <m/>
    <n v="1"/>
    <n v="1"/>
    <m/>
    <m/>
    <m/>
    <n v="515093"/>
    <n v="171528"/>
    <x v="6"/>
    <x v="1"/>
    <x v="0"/>
    <x v="0"/>
    <s v="Stanley Road, Teddington"/>
    <x v="1"/>
    <x v="0"/>
    <m/>
    <x v="0"/>
    <s v="Y"/>
    <x v="7"/>
  </r>
  <r>
    <s v="21/4038/FUL"/>
    <x v="1"/>
    <x v="0"/>
    <x v="120"/>
    <d v="2025-07-12T00:00:00"/>
    <d v="2023-05-01T00:00:00"/>
    <m/>
    <x v="0"/>
    <d v="2025-08-29T00:00:00"/>
    <x v="1"/>
    <x v="0"/>
    <x v="0"/>
    <m/>
    <x v="2"/>
    <s v="Change of use of ground floor and basement of the former Old Kings Head public house to a Mixed Use Community Cycle Hub comprising Cafe (Use Class E(b)), Training Area (Use Class F2(b)) and Treatment Room/Medical (Use Class E(e)) and 1No. 1-bedroom  apartment.   Alterations and conversion of the first and second floors to replace existing staff accommodation with 3No. 2-bedroom apartments.  External Alterations to include the replacement of French doors with balconies and a roof terrace on the first floor western and southern elevations, the installation of 2 no. conservation-style rooflights on the southern and western roof slopes and a bike enclosure to the rear at ground floor."/>
    <s v="The Old Kings Head, Hampton Court Road, Hampton Wick KT1 4AE"/>
    <s v="KT1 4AE"/>
    <m/>
    <m/>
    <m/>
    <m/>
    <m/>
    <m/>
    <m/>
    <m/>
    <m/>
    <n v="0"/>
    <m/>
    <n v="1"/>
    <n v="3"/>
    <m/>
    <m/>
    <m/>
    <m/>
    <m/>
    <m/>
    <n v="4"/>
    <n v="1"/>
    <n v="3"/>
    <n v="0"/>
    <n v="0"/>
    <n v="0"/>
    <n v="0"/>
    <n v="0"/>
    <n v="0"/>
    <n v="4"/>
    <x v="0"/>
    <m/>
    <n v="4"/>
    <m/>
    <m/>
    <m/>
    <m/>
    <m/>
    <m/>
    <m/>
    <m/>
    <m/>
    <m/>
    <m/>
    <m/>
    <m/>
    <m/>
    <m/>
    <n v="4"/>
    <n v="4"/>
    <m/>
    <m/>
    <m/>
    <n v="517498"/>
    <n v="169337"/>
    <x v="14"/>
    <x v="1"/>
    <x v="0"/>
    <x v="1"/>
    <s v="Hampton Wick"/>
    <x v="1"/>
    <x v="5"/>
    <s v="CA18 Hampton Wick"/>
    <x v="1"/>
    <s v="Y"/>
    <x v="1"/>
  </r>
  <r>
    <s v="21/4119/FUL"/>
    <x v="0"/>
    <x v="0"/>
    <x v="121"/>
    <d v="2025-08-05T00:00:00"/>
    <d v="2023-03-01T00:00:00"/>
    <m/>
    <x v="0"/>
    <d v="2025-07-22T00:00:00"/>
    <x v="1"/>
    <x v="0"/>
    <x v="0"/>
    <m/>
    <x v="2"/>
    <s v="Construction of new detached family home following demolition of existing detached bungalow."/>
    <s v="92 Sandy Lane, Teddington TW11 0DF"/>
    <s v="TW11 0DF"/>
    <m/>
    <m/>
    <m/>
    <n v="1"/>
    <m/>
    <m/>
    <m/>
    <m/>
    <m/>
    <n v="1"/>
    <m/>
    <m/>
    <m/>
    <m/>
    <n v="1"/>
    <m/>
    <m/>
    <m/>
    <m/>
    <n v="1"/>
    <n v="0"/>
    <n v="0"/>
    <n v="-1"/>
    <n v="1"/>
    <n v="0"/>
    <n v="0"/>
    <n v="0"/>
    <n v="0"/>
    <n v="0"/>
    <x v="0"/>
    <m/>
    <n v="0"/>
    <m/>
    <m/>
    <m/>
    <m/>
    <m/>
    <m/>
    <m/>
    <m/>
    <m/>
    <m/>
    <m/>
    <m/>
    <m/>
    <m/>
    <m/>
    <n v="0"/>
    <n v="0"/>
    <m/>
    <m/>
    <m/>
    <n v="516237"/>
    <n v="170397"/>
    <x v="11"/>
    <x v="1"/>
    <x v="0"/>
    <x v="0"/>
    <m/>
    <x v="0"/>
    <x v="0"/>
    <m/>
    <x v="0"/>
    <s v="Y"/>
    <x v="7"/>
  </r>
  <r>
    <s v="22/0153/GPD26"/>
    <x v="1"/>
    <x v="1"/>
    <x v="122"/>
    <d v="2025-03-22T00:00:00"/>
    <d v="2024-09-01T00:00:00"/>
    <s v="Y"/>
    <x v="0"/>
    <d v="2025-06-26T00:00:00"/>
    <x v="1"/>
    <x v="0"/>
    <x v="0"/>
    <m/>
    <x v="2"/>
    <s v="Change of use of part of ground floor and first floor from restaurant to C3 residential use to provide 1 additional first floor flat"/>
    <s v="29 Kew Road, Richmond TW9 2NQ"/>
    <s v="TW9 2NQ"/>
    <m/>
    <m/>
    <m/>
    <m/>
    <m/>
    <m/>
    <m/>
    <m/>
    <m/>
    <n v="0"/>
    <m/>
    <n v="1"/>
    <m/>
    <m/>
    <m/>
    <m/>
    <m/>
    <m/>
    <m/>
    <n v="1"/>
    <n v="1"/>
    <n v="0"/>
    <n v="0"/>
    <n v="0"/>
    <n v="0"/>
    <n v="0"/>
    <n v="0"/>
    <n v="0"/>
    <n v="1"/>
    <x v="0"/>
    <m/>
    <n v="1"/>
    <m/>
    <m/>
    <m/>
    <m/>
    <m/>
    <m/>
    <m/>
    <m/>
    <m/>
    <m/>
    <m/>
    <m/>
    <m/>
    <m/>
    <m/>
    <n v="1"/>
    <n v="1"/>
    <m/>
    <m/>
    <m/>
    <n v="518059"/>
    <n v="175250"/>
    <x v="12"/>
    <x v="4"/>
    <x v="3"/>
    <x v="0"/>
    <m/>
    <x v="0"/>
    <x v="0"/>
    <s v="CA17 Central Richmond"/>
    <x v="1"/>
    <s v="Y"/>
    <x v="4"/>
  </r>
  <r>
    <s v="22/0399/FUL"/>
    <x v="0"/>
    <x v="5"/>
    <x v="123"/>
    <d v="2025-11-07T00:00:00"/>
    <d v="2024-03-01T00:00:00"/>
    <m/>
    <x v="0"/>
    <m/>
    <x v="1"/>
    <x v="0"/>
    <x v="0"/>
    <m/>
    <x v="2"/>
    <s v="Construction of a part 1/2/3 storey building including basement level to provide 14 co-living units (sui generis) and associated hard and soft landscaping, cycle and refuse stores"/>
    <s v="47A 47 And 49 Lower Mortlake Road, Richmond"/>
    <s v="TW9 2LW"/>
    <m/>
    <m/>
    <m/>
    <m/>
    <m/>
    <m/>
    <m/>
    <m/>
    <m/>
    <n v="0"/>
    <m/>
    <n v="14"/>
    <m/>
    <m/>
    <m/>
    <m/>
    <m/>
    <m/>
    <m/>
    <n v="14"/>
    <n v="14"/>
    <n v="0"/>
    <n v="0"/>
    <n v="0"/>
    <n v="0"/>
    <n v="0"/>
    <n v="0"/>
    <n v="0"/>
    <n v="14"/>
    <x v="0"/>
    <m/>
    <m/>
    <n v="7"/>
    <n v="7"/>
    <m/>
    <m/>
    <m/>
    <m/>
    <m/>
    <m/>
    <m/>
    <m/>
    <m/>
    <m/>
    <m/>
    <m/>
    <m/>
    <m/>
    <m/>
    <m/>
    <m/>
    <m/>
    <n v="518345"/>
    <n v="175429"/>
    <x v="8"/>
    <x v="4"/>
    <x v="0"/>
    <x v="0"/>
    <m/>
    <x v="0"/>
    <x v="0"/>
    <m/>
    <x v="0"/>
    <s v="Y"/>
    <x v="4"/>
  </r>
  <r>
    <s v="22/0754/FUL"/>
    <x v="0"/>
    <x v="0"/>
    <x v="124"/>
    <d v="2025-08-26T00:00:00"/>
    <d v="2023-02-24T00:00:00"/>
    <m/>
    <x v="0"/>
    <d v="2025-11-10T00:00:00"/>
    <x v="1"/>
    <x v="0"/>
    <x v="0"/>
    <m/>
    <x v="2"/>
    <s v="Demolition and reconstruction of a terraced property with basement, ground and loft extensions."/>
    <s v="28 Westfields Avenue, Barnes SW13 0AU"/>
    <s v="SW13 0AU"/>
    <m/>
    <m/>
    <m/>
    <n v="1"/>
    <m/>
    <m/>
    <m/>
    <m/>
    <m/>
    <n v="1"/>
    <m/>
    <m/>
    <m/>
    <n v="1"/>
    <m/>
    <m/>
    <m/>
    <m/>
    <m/>
    <n v="1"/>
    <n v="0"/>
    <n v="0"/>
    <n v="0"/>
    <n v="0"/>
    <n v="0"/>
    <n v="0"/>
    <n v="0"/>
    <n v="0"/>
    <n v="0"/>
    <x v="0"/>
    <m/>
    <n v="0"/>
    <m/>
    <m/>
    <m/>
    <m/>
    <m/>
    <m/>
    <m/>
    <m/>
    <m/>
    <m/>
    <m/>
    <m/>
    <m/>
    <m/>
    <m/>
    <n v="0"/>
    <n v="0"/>
    <m/>
    <m/>
    <m/>
    <n v="521430"/>
    <n v="175853"/>
    <x v="5"/>
    <x v="3"/>
    <x v="0"/>
    <x v="0"/>
    <m/>
    <x v="0"/>
    <x v="0"/>
    <s v="CA16 Thorne Passage Mortlake"/>
    <x v="1"/>
    <s v="Y"/>
    <x v="3"/>
  </r>
  <r>
    <s v="22/0901/FUL"/>
    <x v="0"/>
    <x v="0"/>
    <x v="125"/>
    <d v="2026-05-02T00:00:00"/>
    <d v="2024-06-01T00:00:00"/>
    <s v="Y"/>
    <x v="0"/>
    <m/>
    <x v="1"/>
    <x v="0"/>
    <x v="0"/>
    <m/>
    <x v="2"/>
    <s v="Demolition of existing garages and greenhouses and redevelopment to provide a single detached residential property with basement"/>
    <s v="Land Rear Of 130 Castelnau, Barnes"/>
    <s v="SW13 9ET"/>
    <m/>
    <m/>
    <m/>
    <m/>
    <m/>
    <m/>
    <m/>
    <m/>
    <m/>
    <n v="0"/>
    <m/>
    <m/>
    <m/>
    <m/>
    <n v="1"/>
    <m/>
    <m/>
    <m/>
    <m/>
    <n v="1"/>
    <n v="0"/>
    <n v="0"/>
    <n v="0"/>
    <n v="1"/>
    <n v="0"/>
    <n v="0"/>
    <n v="0"/>
    <n v="0"/>
    <n v="1"/>
    <x v="0"/>
    <m/>
    <n v="1"/>
    <m/>
    <m/>
    <m/>
    <m/>
    <m/>
    <m/>
    <m/>
    <m/>
    <m/>
    <m/>
    <m/>
    <m/>
    <m/>
    <m/>
    <m/>
    <n v="1"/>
    <n v="1"/>
    <m/>
    <m/>
    <m/>
    <n v="522676"/>
    <n v="177493"/>
    <x v="17"/>
    <x v="3"/>
    <x v="0"/>
    <x v="0"/>
    <m/>
    <x v="0"/>
    <x v="0"/>
    <s v="CA25 Castelnau"/>
    <x v="1"/>
    <s v="Y"/>
    <x v="3"/>
  </r>
  <r>
    <s v="22/0934/FUL"/>
    <x v="0"/>
    <x v="0"/>
    <x v="126"/>
    <d v="2026-04-28T00:00:00"/>
    <d v="2024-03-01T00:00:00"/>
    <m/>
    <x v="0"/>
    <d v="2025-10-21T00:00:00"/>
    <x v="1"/>
    <x v="0"/>
    <x v="0"/>
    <m/>
    <x v="2"/>
    <s v="Demolition of existing dwelling house and construction of replacement single storey dwellinghouse and associated hard and soft landscaping"/>
    <s v="25 Ham Farm Road, Ham, Richmond TW10 5NA"/>
    <s v="TW10 5NA"/>
    <m/>
    <m/>
    <m/>
    <n v="1"/>
    <m/>
    <m/>
    <m/>
    <m/>
    <m/>
    <n v="1"/>
    <m/>
    <m/>
    <m/>
    <n v="1"/>
    <m/>
    <m/>
    <m/>
    <m/>
    <m/>
    <n v="1"/>
    <n v="0"/>
    <n v="0"/>
    <n v="0"/>
    <n v="0"/>
    <n v="0"/>
    <n v="0"/>
    <n v="0"/>
    <n v="0"/>
    <n v="0"/>
    <x v="0"/>
    <m/>
    <n v="0"/>
    <m/>
    <m/>
    <m/>
    <m/>
    <m/>
    <m/>
    <m/>
    <m/>
    <m/>
    <m/>
    <m/>
    <m/>
    <m/>
    <m/>
    <m/>
    <n v="0"/>
    <n v="0"/>
    <m/>
    <m/>
    <m/>
    <n v="518051"/>
    <n v="171688"/>
    <x v="10"/>
    <x v="5"/>
    <x v="0"/>
    <x v="0"/>
    <m/>
    <x v="0"/>
    <x v="0"/>
    <s v="CA67 Parkleys Estate Ham"/>
    <x v="1"/>
    <m/>
    <x v="6"/>
  </r>
  <r>
    <s v="22/1214/GPD26"/>
    <x v="1"/>
    <x v="1"/>
    <x v="127"/>
    <d v="2025-06-14T00:00:00"/>
    <d v="2024-08-01T00:00:00"/>
    <s v="Y"/>
    <x v="0"/>
    <d v="2025-06-13T00:00:00"/>
    <x v="1"/>
    <x v="0"/>
    <x v="0"/>
    <m/>
    <x v="2"/>
    <s v="Change of use of first and second floors to C3 (residential) use to facilitate the creation of 2x 2-bed 3-person flats."/>
    <s v="First And Second Floors, 41 Broad Street, Teddington TW11 8QZ"/>
    <s v="TW11 8QZ"/>
    <m/>
    <m/>
    <m/>
    <m/>
    <m/>
    <m/>
    <m/>
    <m/>
    <m/>
    <n v="0"/>
    <m/>
    <m/>
    <n v="2"/>
    <m/>
    <m/>
    <m/>
    <m/>
    <m/>
    <m/>
    <n v="2"/>
    <n v="0"/>
    <n v="2"/>
    <n v="0"/>
    <n v="0"/>
    <n v="0"/>
    <n v="0"/>
    <n v="0"/>
    <n v="0"/>
    <n v="2"/>
    <x v="0"/>
    <m/>
    <n v="2"/>
    <m/>
    <m/>
    <m/>
    <m/>
    <m/>
    <m/>
    <m/>
    <m/>
    <m/>
    <m/>
    <m/>
    <m/>
    <m/>
    <m/>
    <m/>
    <n v="2"/>
    <n v="2"/>
    <m/>
    <m/>
    <m/>
    <n v="515645"/>
    <n v="170997"/>
    <x v="11"/>
    <x v="1"/>
    <x v="5"/>
    <x v="0"/>
    <m/>
    <x v="0"/>
    <x v="0"/>
    <m/>
    <x v="0"/>
    <s v="Y"/>
    <x v="7"/>
  </r>
  <r>
    <s v="22/1278/GPD26"/>
    <x v="1"/>
    <x v="1"/>
    <x v="128"/>
    <d v="2025-06-20T00:00:00"/>
    <d v="2024-09-02T00:00:00"/>
    <s v="Y"/>
    <x v="0"/>
    <m/>
    <x v="1"/>
    <x v="0"/>
    <x v="0"/>
    <m/>
    <x v="2"/>
    <s v="Change of use from offices in building of 67-71 High Street to seven residential flats (three 1-bed, three 2-bed, one 3-bed)"/>
    <s v="67 - 71 High Street, Hampton Hill, Hampton TW12 1NH"/>
    <s v="TW12 1NH"/>
    <m/>
    <m/>
    <m/>
    <m/>
    <m/>
    <m/>
    <m/>
    <m/>
    <m/>
    <n v="0"/>
    <m/>
    <n v="3"/>
    <n v="3"/>
    <n v="1"/>
    <m/>
    <m/>
    <m/>
    <m/>
    <m/>
    <n v="7"/>
    <n v="3"/>
    <n v="3"/>
    <n v="1"/>
    <n v="0"/>
    <n v="0"/>
    <n v="0"/>
    <n v="0"/>
    <n v="0"/>
    <n v="7"/>
    <x v="0"/>
    <m/>
    <n v="7"/>
    <m/>
    <m/>
    <m/>
    <m/>
    <m/>
    <m/>
    <m/>
    <m/>
    <m/>
    <m/>
    <m/>
    <m/>
    <m/>
    <m/>
    <m/>
    <n v="7"/>
    <n v="7"/>
    <m/>
    <m/>
    <m/>
    <n v="514266"/>
    <n v="170834"/>
    <x v="6"/>
    <x v="1"/>
    <x v="0"/>
    <x v="0"/>
    <s v="High Street, Hampton Hill"/>
    <x v="1"/>
    <x v="0"/>
    <s v="CA38 High Street Hampton Hill"/>
    <x v="1"/>
    <m/>
    <x v="1"/>
  </r>
  <r>
    <s v="22/1442/FUL"/>
    <x v="0"/>
    <x v="0"/>
    <x v="129"/>
    <d v="2026-03-22T00:00:00"/>
    <d v="2024-04-03T00:00:00"/>
    <s v="Y"/>
    <x v="0"/>
    <m/>
    <x v="1"/>
    <x v="1"/>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n v="6"/>
    <m/>
    <n v="5"/>
    <m/>
    <m/>
    <m/>
    <m/>
    <m/>
    <n v="11"/>
    <s v="Y"/>
    <m/>
    <m/>
    <m/>
    <m/>
    <m/>
    <m/>
    <m/>
    <m/>
    <n v="0"/>
    <n v="-6"/>
    <n v="0"/>
    <n v="-5"/>
    <n v="0"/>
    <n v="0"/>
    <n v="0"/>
    <n v="0"/>
    <n v="0"/>
    <n v="-11"/>
    <x v="1"/>
    <m/>
    <n v="-11"/>
    <m/>
    <m/>
    <m/>
    <m/>
    <m/>
    <m/>
    <m/>
    <m/>
    <m/>
    <m/>
    <m/>
    <m/>
    <m/>
    <m/>
    <m/>
    <n v="-11"/>
    <n v="-11"/>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Existing"/>
    <m/>
    <m/>
    <n v="1"/>
    <m/>
    <m/>
    <m/>
    <m/>
    <m/>
    <n v="1"/>
    <m/>
    <m/>
    <m/>
    <m/>
    <m/>
    <m/>
    <m/>
    <m/>
    <m/>
    <n v="0"/>
    <n v="0"/>
    <n v="0"/>
    <n v="-1"/>
    <n v="0"/>
    <n v="0"/>
    <n v="0"/>
    <n v="0"/>
    <n v="0"/>
    <n v="-1"/>
    <x v="1"/>
    <m/>
    <n v="-1"/>
    <m/>
    <m/>
    <m/>
    <m/>
    <m/>
    <m/>
    <m/>
    <m/>
    <m/>
    <m/>
    <m/>
    <m/>
    <m/>
    <m/>
    <m/>
    <n v="-1"/>
    <n v="-1"/>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m/>
    <n v="2"/>
    <n v="3"/>
    <n v="2"/>
    <m/>
    <m/>
    <m/>
    <m/>
    <m/>
    <n v="7"/>
    <n v="2"/>
    <n v="3"/>
    <n v="2"/>
    <n v="0"/>
    <n v="0"/>
    <n v="0"/>
    <n v="0"/>
    <n v="0"/>
    <n v="7"/>
    <x v="1"/>
    <m/>
    <m/>
    <n v="7"/>
    <m/>
    <m/>
    <m/>
    <m/>
    <m/>
    <m/>
    <m/>
    <m/>
    <m/>
    <m/>
    <m/>
    <m/>
    <m/>
    <m/>
    <n v="7"/>
    <n v="7"/>
    <m/>
    <m/>
    <m/>
    <n v="517121"/>
    <n v="172297"/>
    <x v="10"/>
    <x v="5"/>
    <x v="0"/>
    <x v="0"/>
    <m/>
    <x v="0"/>
    <x v="0"/>
    <m/>
    <x v="0"/>
    <m/>
    <x v="6"/>
  </r>
  <r>
    <s v="22/1442/FUL"/>
    <x v="0"/>
    <x v="0"/>
    <x v="129"/>
    <d v="2026-03-22T00:00:00"/>
    <d v="2024-04-03T00:00:00"/>
    <s v="Y"/>
    <x v="0"/>
    <m/>
    <x v="1"/>
    <x v="6"/>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1 Proposed"/>
    <m/>
    <m/>
    <m/>
    <m/>
    <m/>
    <m/>
    <m/>
    <m/>
    <n v="0"/>
    <s v="Y"/>
    <n v="35"/>
    <n v="18"/>
    <n v="10"/>
    <m/>
    <m/>
    <m/>
    <m/>
    <m/>
    <n v="63"/>
    <n v="35"/>
    <n v="18"/>
    <n v="10"/>
    <n v="0"/>
    <n v="0"/>
    <n v="0"/>
    <n v="0"/>
    <n v="0"/>
    <n v="63"/>
    <x v="1"/>
    <m/>
    <m/>
    <n v="63"/>
    <m/>
    <m/>
    <m/>
    <m/>
    <m/>
    <m/>
    <m/>
    <m/>
    <m/>
    <m/>
    <m/>
    <m/>
    <m/>
    <m/>
    <n v="63"/>
    <n v="63"/>
    <m/>
    <m/>
    <m/>
    <n v="517121"/>
    <n v="172297"/>
    <x v="10"/>
    <x v="5"/>
    <x v="0"/>
    <x v="0"/>
    <m/>
    <x v="0"/>
    <x v="0"/>
    <m/>
    <x v="0"/>
    <m/>
    <x v="6"/>
  </r>
  <r>
    <s v="22/1442/FUL"/>
    <x v="0"/>
    <x v="0"/>
    <x v="129"/>
    <d v="2026-03-22T00:00:00"/>
    <d v="2024-04-03T00:00:00"/>
    <s v="Y"/>
    <x v="0"/>
    <m/>
    <x v="1"/>
    <x v="1"/>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14"/>
    <n v="20"/>
    <n v="3"/>
    <m/>
    <m/>
    <m/>
    <m/>
    <m/>
    <n v="37"/>
    <s v="Y"/>
    <m/>
    <m/>
    <m/>
    <m/>
    <m/>
    <m/>
    <m/>
    <m/>
    <n v="0"/>
    <n v="-14"/>
    <n v="-20"/>
    <n v="-3"/>
    <n v="0"/>
    <n v="0"/>
    <n v="0"/>
    <n v="0"/>
    <n v="0"/>
    <n v="-37"/>
    <x v="1"/>
    <m/>
    <m/>
    <m/>
    <n v="-37"/>
    <m/>
    <m/>
    <m/>
    <m/>
    <m/>
    <m/>
    <m/>
    <m/>
    <m/>
    <m/>
    <m/>
    <m/>
    <m/>
    <n v="-37"/>
    <n v="-37"/>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Existing"/>
    <n v="2"/>
    <n v="8"/>
    <n v="1"/>
    <m/>
    <m/>
    <m/>
    <m/>
    <m/>
    <n v="11"/>
    <m/>
    <m/>
    <m/>
    <m/>
    <m/>
    <m/>
    <m/>
    <m/>
    <m/>
    <n v="0"/>
    <n v="-2"/>
    <n v="-8"/>
    <n v="-1"/>
    <n v="0"/>
    <n v="0"/>
    <n v="0"/>
    <n v="0"/>
    <n v="0"/>
    <n v="-11"/>
    <x v="1"/>
    <m/>
    <m/>
    <m/>
    <n v="-11"/>
    <m/>
    <m/>
    <m/>
    <m/>
    <m/>
    <m/>
    <m/>
    <m/>
    <m/>
    <m/>
    <m/>
    <m/>
    <m/>
    <n v="-11"/>
    <n v="-11"/>
    <m/>
    <m/>
    <m/>
    <n v="517121"/>
    <n v="172297"/>
    <x v="10"/>
    <x v="5"/>
    <x v="0"/>
    <x v="0"/>
    <m/>
    <x v="0"/>
    <x v="0"/>
    <m/>
    <x v="0"/>
    <m/>
    <x v="6"/>
  </r>
  <r>
    <s v="22/1442/FUL"/>
    <x v="0"/>
    <x v="0"/>
    <x v="129"/>
    <d v="2026-03-22T00:00:00"/>
    <d v="2024-04-03T00:00:00"/>
    <s v="Y"/>
    <x v="0"/>
    <m/>
    <x v="1"/>
    <x v="3"/>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2"/>
    <m/>
    <m/>
    <m/>
    <m/>
    <m/>
    <m/>
    <m/>
    <n v="2"/>
    <n v="2"/>
    <n v="0"/>
    <n v="0"/>
    <n v="0"/>
    <n v="0"/>
    <n v="0"/>
    <n v="0"/>
    <n v="0"/>
    <n v="2"/>
    <x v="1"/>
    <m/>
    <m/>
    <m/>
    <m/>
    <m/>
    <n v="2"/>
    <m/>
    <m/>
    <m/>
    <m/>
    <m/>
    <m/>
    <m/>
    <m/>
    <m/>
    <m/>
    <m/>
    <n v="2"/>
    <n v="2"/>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m/>
    <n v="50"/>
    <n v="26"/>
    <n v="2"/>
    <m/>
    <m/>
    <m/>
    <m/>
    <m/>
    <n v="78"/>
    <n v="50"/>
    <n v="26"/>
    <n v="2"/>
    <n v="0"/>
    <n v="0"/>
    <n v="0"/>
    <n v="0"/>
    <n v="0"/>
    <n v="78"/>
    <x v="1"/>
    <m/>
    <m/>
    <m/>
    <m/>
    <m/>
    <n v="78"/>
    <m/>
    <m/>
    <m/>
    <m/>
    <m/>
    <m/>
    <m/>
    <m/>
    <m/>
    <m/>
    <m/>
    <n v="78"/>
    <n v="78"/>
    <m/>
    <m/>
    <m/>
    <n v="517121"/>
    <n v="172297"/>
    <x v="10"/>
    <x v="5"/>
    <x v="0"/>
    <x v="0"/>
    <m/>
    <x v="0"/>
    <x v="0"/>
    <m/>
    <x v="0"/>
    <m/>
    <x v="6"/>
  </r>
  <r>
    <s v="22/1442/FUL"/>
    <x v="0"/>
    <x v="0"/>
    <x v="129"/>
    <d v="2026-03-22T00:00:00"/>
    <d v="2024-04-03T00:00:00"/>
    <s v="Y"/>
    <x v="0"/>
    <m/>
    <x v="1"/>
    <x v="6"/>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2 Proposed"/>
    <m/>
    <m/>
    <m/>
    <m/>
    <m/>
    <m/>
    <m/>
    <m/>
    <n v="0"/>
    <s v="Y"/>
    <n v="58"/>
    <n v="19"/>
    <n v="3"/>
    <m/>
    <m/>
    <m/>
    <m/>
    <m/>
    <n v="80"/>
    <n v="58"/>
    <n v="19"/>
    <n v="3"/>
    <n v="0"/>
    <n v="0"/>
    <n v="0"/>
    <n v="0"/>
    <n v="0"/>
    <n v="80"/>
    <x v="1"/>
    <m/>
    <m/>
    <m/>
    <m/>
    <m/>
    <n v="80"/>
    <m/>
    <m/>
    <m/>
    <m/>
    <m/>
    <m/>
    <m/>
    <m/>
    <m/>
    <m/>
    <m/>
    <n v="80"/>
    <n v="80"/>
    <m/>
    <m/>
    <m/>
    <n v="517121"/>
    <n v="172297"/>
    <x v="10"/>
    <x v="5"/>
    <x v="0"/>
    <x v="0"/>
    <m/>
    <x v="0"/>
    <x v="0"/>
    <m/>
    <x v="0"/>
    <m/>
    <x v="6"/>
  </r>
  <r>
    <s v="22/1442/FUL"/>
    <x v="0"/>
    <x v="0"/>
    <x v="129"/>
    <d v="2026-03-22T00:00:00"/>
    <d v="2024-04-03T00:00:00"/>
    <s v="Y"/>
    <x v="0"/>
    <m/>
    <x v="1"/>
    <x v="1"/>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70"/>
    <n v="19"/>
    <n v="6"/>
    <m/>
    <m/>
    <m/>
    <m/>
    <m/>
    <n v="95"/>
    <s v="Y"/>
    <m/>
    <m/>
    <m/>
    <m/>
    <m/>
    <m/>
    <m/>
    <m/>
    <n v="0"/>
    <n v="-70"/>
    <n v="-19"/>
    <n v="-6"/>
    <n v="0"/>
    <n v="0"/>
    <n v="0"/>
    <n v="0"/>
    <n v="0"/>
    <n v="-95"/>
    <x v="1"/>
    <m/>
    <m/>
    <m/>
    <m/>
    <m/>
    <m/>
    <n v="-95"/>
    <m/>
    <m/>
    <m/>
    <m/>
    <m/>
    <m/>
    <m/>
    <m/>
    <m/>
    <m/>
    <n v="0"/>
    <n v="-95"/>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Existing"/>
    <n v="16"/>
    <n v="16"/>
    <n v="5"/>
    <m/>
    <m/>
    <m/>
    <m/>
    <m/>
    <n v="37"/>
    <m/>
    <m/>
    <m/>
    <m/>
    <m/>
    <m/>
    <m/>
    <m/>
    <m/>
    <n v="0"/>
    <n v="-16"/>
    <n v="-16"/>
    <n v="-5"/>
    <n v="0"/>
    <n v="0"/>
    <n v="0"/>
    <n v="0"/>
    <n v="0"/>
    <n v="-37"/>
    <x v="1"/>
    <m/>
    <m/>
    <m/>
    <m/>
    <m/>
    <m/>
    <n v="-37"/>
    <m/>
    <m/>
    <m/>
    <m/>
    <m/>
    <m/>
    <m/>
    <m/>
    <m/>
    <m/>
    <n v="0"/>
    <n v="-37"/>
    <m/>
    <m/>
    <m/>
    <n v="517121"/>
    <n v="172297"/>
    <x v="10"/>
    <x v="5"/>
    <x v="0"/>
    <x v="0"/>
    <m/>
    <x v="0"/>
    <x v="0"/>
    <m/>
    <x v="0"/>
    <m/>
    <x v="6"/>
  </r>
  <r>
    <s v="22/1442/FUL"/>
    <x v="0"/>
    <x v="0"/>
    <x v="129"/>
    <d v="2026-03-22T00:00:00"/>
    <d v="2024-04-03T00:00:00"/>
    <s v="Y"/>
    <x v="0"/>
    <m/>
    <x v="1"/>
    <x v="3"/>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6"/>
    <n v="10"/>
    <n v="3"/>
    <m/>
    <m/>
    <m/>
    <m/>
    <m/>
    <n v="19"/>
    <n v="6"/>
    <n v="10"/>
    <n v="3"/>
    <n v="0"/>
    <n v="0"/>
    <n v="0"/>
    <n v="0"/>
    <n v="0"/>
    <n v="19"/>
    <x v="1"/>
    <m/>
    <m/>
    <m/>
    <m/>
    <m/>
    <m/>
    <m/>
    <m/>
    <n v="19"/>
    <m/>
    <m/>
    <m/>
    <m/>
    <m/>
    <m/>
    <m/>
    <m/>
    <n v="0"/>
    <n v="19"/>
    <m/>
    <m/>
    <m/>
    <n v="517121"/>
    <n v="172297"/>
    <x v="10"/>
    <x v="5"/>
    <x v="0"/>
    <x v="0"/>
    <m/>
    <x v="0"/>
    <x v="0"/>
    <m/>
    <x v="0"/>
    <m/>
    <x v="6"/>
  </r>
  <r>
    <s v="22/1442/FUL"/>
    <x v="0"/>
    <x v="0"/>
    <x v="129"/>
    <d v="2026-03-22T00:00:00"/>
    <d v="2024-04-03T00:00:00"/>
    <s v="Y"/>
    <x v="0"/>
    <m/>
    <x v="1"/>
    <x v="5"/>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7"/>
    <n v="3"/>
    <m/>
    <m/>
    <m/>
    <m/>
    <m/>
    <m/>
    <n v="10"/>
    <n v="7"/>
    <n v="3"/>
    <n v="0"/>
    <n v="0"/>
    <n v="0"/>
    <n v="0"/>
    <n v="0"/>
    <n v="0"/>
    <n v="10"/>
    <x v="1"/>
    <m/>
    <m/>
    <m/>
    <m/>
    <m/>
    <m/>
    <m/>
    <m/>
    <n v="10"/>
    <m/>
    <m/>
    <m/>
    <m/>
    <m/>
    <m/>
    <m/>
    <m/>
    <n v="0"/>
    <n v="10"/>
    <m/>
    <m/>
    <m/>
    <n v="517121"/>
    <n v="172297"/>
    <x v="10"/>
    <x v="5"/>
    <x v="0"/>
    <x v="0"/>
    <m/>
    <x v="0"/>
    <x v="0"/>
    <m/>
    <x v="0"/>
    <m/>
    <x v="6"/>
  </r>
  <r>
    <s v="22/1442/FUL"/>
    <x v="0"/>
    <x v="0"/>
    <x v="129"/>
    <d v="2026-03-22T00:00:00"/>
    <d v="2024-04-03T00:00:00"/>
    <s v="Y"/>
    <x v="0"/>
    <m/>
    <x v="1"/>
    <x v="0"/>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m/>
    <n v="42"/>
    <n v="62"/>
    <m/>
    <n v="34"/>
    <n v="8"/>
    <m/>
    <m/>
    <m/>
    <n v="146"/>
    <n v="42"/>
    <n v="62"/>
    <n v="0"/>
    <n v="34"/>
    <n v="8"/>
    <n v="0"/>
    <n v="0"/>
    <n v="0"/>
    <n v="146"/>
    <x v="1"/>
    <m/>
    <m/>
    <m/>
    <m/>
    <m/>
    <m/>
    <m/>
    <n v="35"/>
    <n v="73"/>
    <n v="38"/>
    <m/>
    <m/>
    <m/>
    <m/>
    <m/>
    <m/>
    <m/>
    <n v="0"/>
    <n v="146"/>
    <m/>
    <m/>
    <m/>
    <n v="517121"/>
    <n v="172297"/>
    <x v="10"/>
    <x v="5"/>
    <x v="0"/>
    <x v="0"/>
    <m/>
    <x v="0"/>
    <x v="0"/>
    <m/>
    <x v="0"/>
    <m/>
    <x v="6"/>
  </r>
  <r>
    <s v="22/1442/FUL"/>
    <x v="0"/>
    <x v="0"/>
    <x v="129"/>
    <d v="2026-03-22T00:00:00"/>
    <d v="2024-04-03T00:00:00"/>
    <s v="Y"/>
    <x v="0"/>
    <m/>
    <x v="1"/>
    <x v="4"/>
    <x v="0"/>
    <m/>
    <x v="2"/>
    <s v="Demolition of existing buildings on-site and change of use of land within Ham Close, the Woodville Day Centre and St Richards Church of England Primary School and the existing recycling and parking area to the east of Ham Village Green for a phased mixed-use redevelopment comprising: a.452 residential homes (Class C3) up to 6 storeys (with plant above) b._x0009_Community/Leisure Facility (Class F2) of up to 3 storeys in height (with plant above) c._x0009_Maker labs (sui generis) of up to 2 storeys d.Basement car park e._x0009_Provision of on-site cycle, vehicle and servicing parking f.Provision of amenity space and playspace g._x0009_Site wide landscaping and alterations to Ham Village Green, and h.New pedestrian, vehicle and cycle accesses and internal routes and associated highways works"/>
    <s v="Ham Close, Ham Village Green, Car Park To East Of Ham Village Green, And Part Of Woodville Day Centre Site And St Richards Church Of England Primary School Site, Ham_x000a_"/>
    <s v="TW10 7PG"/>
    <s v="Phase 3 Proposed"/>
    <m/>
    <m/>
    <m/>
    <m/>
    <m/>
    <m/>
    <m/>
    <m/>
    <n v="0"/>
    <s v="Y"/>
    <n v="22"/>
    <n v="24"/>
    <n v="1"/>
    <m/>
    <m/>
    <m/>
    <m/>
    <m/>
    <n v="47"/>
    <n v="22"/>
    <n v="24"/>
    <n v="1"/>
    <n v="0"/>
    <n v="0"/>
    <n v="0"/>
    <n v="0"/>
    <n v="0"/>
    <n v="47"/>
    <x v="1"/>
    <m/>
    <m/>
    <m/>
    <m/>
    <m/>
    <m/>
    <m/>
    <m/>
    <n v="47"/>
    <m/>
    <m/>
    <m/>
    <m/>
    <m/>
    <m/>
    <m/>
    <m/>
    <n v="0"/>
    <n v="47"/>
    <m/>
    <m/>
    <m/>
    <n v="517121"/>
    <n v="172297"/>
    <x v="10"/>
    <x v="5"/>
    <x v="0"/>
    <x v="0"/>
    <m/>
    <x v="0"/>
    <x v="0"/>
    <m/>
    <x v="0"/>
    <m/>
    <x v="6"/>
  </r>
  <r>
    <s v="22/1497/FUL"/>
    <x v="0"/>
    <x v="0"/>
    <x v="130"/>
    <d v="2026-02-10T00:00:00"/>
    <d v="2024-05-14T00:00:00"/>
    <s v="Y"/>
    <x v="0"/>
    <m/>
    <x v="1"/>
    <x v="0"/>
    <x v="0"/>
    <m/>
    <x v="2"/>
    <s v="The demolition of the existing dwelling house and 22 garages and the construction of 5 x new residential dwellings (Class C3) with associated hard and soft landscaping, parking and associated infrastructure."/>
    <s v="32 Haverfield Gardens, Kew, Richmond TW9 3DD"/>
    <s v="TW9 3DD"/>
    <m/>
    <m/>
    <m/>
    <m/>
    <n v="1"/>
    <m/>
    <m/>
    <m/>
    <m/>
    <n v="1"/>
    <m/>
    <m/>
    <m/>
    <n v="5"/>
    <m/>
    <m/>
    <m/>
    <m/>
    <m/>
    <n v="5"/>
    <n v="0"/>
    <n v="0"/>
    <n v="5"/>
    <n v="-1"/>
    <n v="0"/>
    <n v="0"/>
    <n v="0"/>
    <n v="0"/>
    <n v="4"/>
    <x v="0"/>
    <m/>
    <m/>
    <n v="4"/>
    <m/>
    <m/>
    <m/>
    <m/>
    <m/>
    <m/>
    <m/>
    <m/>
    <m/>
    <m/>
    <m/>
    <m/>
    <m/>
    <m/>
    <n v="4"/>
    <n v="4"/>
    <m/>
    <m/>
    <m/>
    <n v="519166"/>
    <n v="177465"/>
    <x v="13"/>
    <x v="4"/>
    <x v="0"/>
    <x v="0"/>
    <m/>
    <x v="0"/>
    <x v="0"/>
    <s v="CA2 Kew Green"/>
    <x v="1"/>
    <s v="Y"/>
    <x v="8"/>
  </r>
  <r>
    <s v="22/1513/FUL"/>
    <x v="0"/>
    <x v="0"/>
    <x v="28"/>
    <d v="2025-09-16T00:00:00"/>
    <d v="2024-12-02T00:00:00"/>
    <s v="Y"/>
    <x v="0"/>
    <d v="2025-10-01T00:00:00"/>
    <x v="1"/>
    <x v="0"/>
    <x v="0"/>
    <m/>
    <x v="2"/>
    <s v="Erection of a new dwelling with associated parking and landscaping."/>
    <s v="2A Courtlands Avenue, Hampton TW12 3NT"/>
    <s v="TW12 3NT"/>
    <m/>
    <m/>
    <m/>
    <m/>
    <m/>
    <m/>
    <m/>
    <m/>
    <m/>
    <n v="0"/>
    <m/>
    <m/>
    <m/>
    <m/>
    <n v="1"/>
    <m/>
    <m/>
    <m/>
    <m/>
    <n v="1"/>
    <n v="0"/>
    <n v="0"/>
    <n v="0"/>
    <n v="1"/>
    <n v="0"/>
    <n v="0"/>
    <n v="0"/>
    <n v="0"/>
    <n v="1"/>
    <x v="0"/>
    <m/>
    <n v="1"/>
    <m/>
    <m/>
    <m/>
    <m/>
    <m/>
    <m/>
    <m/>
    <m/>
    <m/>
    <m/>
    <m/>
    <m/>
    <m/>
    <m/>
    <m/>
    <n v="1"/>
    <n v="1"/>
    <m/>
    <m/>
    <m/>
    <n v="512954"/>
    <n v="170628"/>
    <x v="1"/>
    <x v="1"/>
    <x v="0"/>
    <x v="0"/>
    <m/>
    <x v="0"/>
    <x v="0"/>
    <m/>
    <x v="0"/>
    <m/>
    <x v="1"/>
  </r>
  <r>
    <s v="22/2360/FUL"/>
    <x v="0"/>
    <x v="0"/>
    <x v="131"/>
    <d v="2026-08-08T00:00:00"/>
    <d v="2023-08-08T00:00:00"/>
    <m/>
    <x v="0"/>
    <d v="2026-02-03T00:00:00"/>
    <x v="1"/>
    <x v="0"/>
    <x v="0"/>
    <m/>
    <x v="2"/>
    <s v="Demolition of the existing buildings. Erection of a three storey mixed-use building on Priests Bridge (comprising Use Class E and 7 x residential units on first and second floor (three 1-bedroom flats, four 2-bedrooms flats)).  Erection of a part-one, part-two storey mixed-use building to rear (comprising Use Class E and 2 x residential units (two-bedrooms flats) with associated parking, cycle and refuse stores, hard and soft landscaping."/>
    <s v="26-28 Priests Bridge, East Sheen SW14 8TA"/>
    <s v="SW14 8TA"/>
    <m/>
    <m/>
    <m/>
    <m/>
    <m/>
    <m/>
    <m/>
    <m/>
    <m/>
    <n v="0"/>
    <m/>
    <n v="3"/>
    <n v="6"/>
    <m/>
    <m/>
    <m/>
    <m/>
    <m/>
    <m/>
    <n v="9"/>
    <n v="3"/>
    <n v="6"/>
    <n v="0"/>
    <n v="0"/>
    <n v="0"/>
    <n v="0"/>
    <n v="0"/>
    <n v="0"/>
    <n v="9"/>
    <x v="0"/>
    <m/>
    <n v="9"/>
    <m/>
    <m/>
    <m/>
    <m/>
    <m/>
    <m/>
    <m/>
    <m/>
    <m/>
    <m/>
    <m/>
    <m/>
    <m/>
    <m/>
    <m/>
    <n v="9"/>
    <n v="9"/>
    <m/>
    <m/>
    <m/>
    <n v="521492"/>
    <n v="175545"/>
    <x v="5"/>
    <x v="3"/>
    <x v="0"/>
    <x v="0"/>
    <s v="Priests Bridge, Barnes"/>
    <x v="1"/>
    <x v="0"/>
    <m/>
    <x v="0"/>
    <s v="Y"/>
    <x v="3"/>
  </r>
  <r>
    <s v="22/2556/FUL"/>
    <x v="0"/>
    <x v="0"/>
    <x v="132"/>
    <d v="2027-06-14T00:00:00"/>
    <d v="2024-11-04T00:00:00"/>
    <s v="Y"/>
    <x v="1"/>
    <m/>
    <x v="1"/>
    <x v="0"/>
    <x v="0"/>
    <m/>
    <x v="2"/>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n v="1"/>
    <m/>
    <m/>
    <m/>
    <m/>
    <m/>
    <m/>
    <n v="1"/>
    <m/>
    <n v="4"/>
    <n v="11"/>
    <n v="39"/>
    <n v="4"/>
    <m/>
    <m/>
    <m/>
    <m/>
    <n v="58"/>
    <n v="4"/>
    <n v="10"/>
    <n v="39"/>
    <n v="4"/>
    <n v="0"/>
    <n v="0"/>
    <n v="0"/>
    <n v="0"/>
    <n v="57"/>
    <x v="1"/>
    <m/>
    <m/>
    <n v="57"/>
    <m/>
    <m/>
    <m/>
    <m/>
    <m/>
    <m/>
    <m/>
    <m/>
    <m/>
    <m/>
    <m/>
    <m/>
    <m/>
    <m/>
    <n v="57"/>
    <n v="57"/>
    <m/>
    <m/>
    <m/>
    <n v="515321"/>
    <n v="173342"/>
    <x v="2"/>
    <x v="2"/>
    <x v="0"/>
    <x v="0"/>
    <m/>
    <x v="0"/>
    <x v="0"/>
    <m/>
    <x v="0"/>
    <s v="Y"/>
    <x v="2"/>
  </r>
  <r>
    <s v="22/2556/FUL"/>
    <x v="0"/>
    <x v="0"/>
    <x v="132"/>
    <d v="2027-06-14T00:00:00"/>
    <d v="2024-11-04T00:00:00"/>
    <s v="Y"/>
    <x v="1"/>
    <m/>
    <x v="1"/>
    <x v="4"/>
    <x v="0"/>
    <m/>
    <x v="2"/>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6"/>
    <n v="5"/>
    <m/>
    <m/>
    <m/>
    <m/>
    <m/>
    <m/>
    <n v="11"/>
    <n v="6"/>
    <n v="5"/>
    <n v="0"/>
    <n v="0"/>
    <n v="0"/>
    <n v="0"/>
    <n v="0"/>
    <n v="0"/>
    <n v="11"/>
    <x v="1"/>
    <m/>
    <m/>
    <n v="11"/>
    <m/>
    <m/>
    <m/>
    <m/>
    <m/>
    <m/>
    <m/>
    <m/>
    <m/>
    <m/>
    <m/>
    <m/>
    <m/>
    <m/>
    <n v="11"/>
    <n v="11"/>
    <m/>
    <m/>
    <m/>
    <n v="515321"/>
    <n v="173342"/>
    <x v="2"/>
    <x v="2"/>
    <x v="0"/>
    <x v="0"/>
    <m/>
    <x v="0"/>
    <x v="0"/>
    <m/>
    <x v="0"/>
    <s v="Y"/>
    <x v="2"/>
  </r>
  <r>
    <s v="22/2556/FUL"/>
    <x v="0"/>
    <x v="0"/>
    <x v="132"/>
    <d v="2027-06-14T00:00:00"/>
    <d v="2024-11-04T00:00:00"/>
    <s v="Y"/>
    <x v="1"/>
    <m/>
    <x v="1"/>
    <x v="6"/>
    <x v="0"/>
    <m/>
    <x v="2"/>
    <s v="Demolition of existing buildings (with retention of a single dwelling) and redevelopment of the site to provide up to 116 residential units and 175 sqm commercial floorspace (Use Class E(g)) with associated hard and soft landscaping, car parking and highways works and other associated works."/>
    <s v="Greggs, Gould Road, Twickenham, TW2 6RT"/>
    <s v="TW2 6RT"/>
    <m/>
    <m/>
    <m/>
    <m/>
    <m/>
    <m/>
    <m/>
    <m/>
    <m/>
    <n v="0"/>
    <s v="Y"/>
    <n v="23"/>
    <n v="17"/>
    <n v="7"/>
    <m/>
    <m/>
    <m/>
    <m/>
    <m/>
    <n v="47"/>
    <n v="23"/>
    <n v="17"/>
    <n v="7"/>
    <n v="0"/>
    <n v="0"/>
    <n v="0"/>
    <n v="0"/>
    <n v="0"/>
    <n v="47"/>
    <x v="1"/>
    <m/>
    <m/>
    <n v="47"/>
    <m/>
    <m/>
    <m/>
    <m/>
    <m/>
    <m/>
    <m/>
    <m/>
    <m/>
    <m/>
    <m/>
    <m/>
    <m/>
    <m/>
    <n v="47"/>
    <n v="47"/>
    <m/>
    <m/>
    <m/>
    <n v="515321"/>
    <n v="173342"/>
    <x v="2"/>
    <x v="2"/>
    <x v="0"/>
    <x v="0"/>
    <m/>
    <x v="0"/>
    <x v="0"/>
    <m/>
    <x v="0"/>
    <s v="Y"/>
    <x v="2"/>
  </r>
  <r>
    <s v="22/3193/FUL"/>
    <x v="1"/>
    <x v="0"/>
    <x v="133"/>
    <d v="2026-07-14T00:00:00"/>
    <d v="2024-10-30T00:00:00"/>
    <s v="Y"/>
    <x v="0"/>
    <m/>
    <x v="1"/>
    <x v="0"/>
    <x v="0"/>
    <m/>
    <x v="2"/>
    <s v="Conversion of Ground Floor Commercial unit (Use Class E) to 3 No. Self Contained 1-bed units (Use Class C3), a single storey rear extension and alterations to fenestrations. Demolition of existing rear garage and provision of 2 rear car parking spaces, re"/>
    <s v="1 - 5  Bridge Parade, Wensleydale Road, Hampton"/>
    <s v="TW12 2LP"/>
    <m/>
    <m/>
    <m/>
    <m/>
    <m/>
    <m/>
    <m/>
    <m/>
    <m/>
    <n v="0"/>
    <m/>
    <n v="3"/>
    <m/>
    <m/>
    <m/>
    <m/>
    <m/>
    <m/>
    <m/>
    <n v="3"/>
    <n v="3"/>
    <n v="0"/>
    <n v="0"/>
    <n v="0"/>
    <n v="0"/>
    <n v="0"/>
    <n v="0"/>
    <n v="0"/>
    <n v="3"/>
    <x v="0"/>
    <m/>
    <n v="1.5"/>
    <n v="1.5"/>
    <m/>
    <m/>
    <m/>
    <m/>
    <m/>
    <m/>
    <m/>
    <m/>
    <m/>
    <m/>
    <m/>
    <m/>
    <m/>
    <m/>
    <n v="3"/>
    <n v="3"/>
    <m/>
    <m/>
    <m/>
    <n v="513452"/>
    <n v="169954"/>
    <x v="7"/>
    <x v="1"/>
    <x v="0"/>
    <x v="0"/>
    <s v="Wensleydale Road, Hampton"/>
    <x v="1"/>
    <x v="0"/>
    <m/>
    <x v="0"/>
    <s v="Y"/>
    <x v="1"/>
  </r>
  <r>
    <s v="22/3397/GPD26"/>
    <x v="1"/>
    <x v="1"/>
    <x v="134"/>
    <d v="2025-12-15T00:00:00"/>
    <d v="2025-01-13T00:00:00"/>
    <s v="Y"/>
    <x v="0"/>
    <d v="2025-10-16T00:00:00"/>
    <x v="1"/>
    <x v="0"/>
    <x v="0"/>
    <m/>
    <x v="2"/>
    <s v="Change of use of the building from Use Class E (Office) to C3 (Residential) single dwelling."/>
    <s v="33A Milton Road, Hampton TW12 2LL"/>
    <s v="TW12 2LL"/>
    <m/>
    <m/>
    <m/>
    <m/>
    <m/>
    <m/>
    <m/>
    <m/>
    <m/>
    <n v="0"/>
    <m/>
    <m/>
    <n v="1"/>
    <m/>
    <m/>
    <m/>
    <m/>
    <m/>
    <m/>
    <n v="1"/>
    <n v="0"/>
    <n v="1"/>
    <n v="0"/>
    <n v="0"/>
    <n v="0"/>
    <n v="0"/>
    <n v="0"/>
    <n v="0"/>
    <n v="1"/>
    <x v="0"/>
    <m/>
    <n v="1"/>
    <m/>
    <m/>
    <m/>
    <m/>
    <m/>
    <m/>
    <m/>
    <m/>
    <m/>
    <m/>
    <m/>
    <m/>
    <m/>
    <m/>
    <m/>
    <n v="1"/>
    <n v="1"/>
    <m/>
    <m/>
    <m/>
    <n v="513402"/>
    <n v="169963"/>
    <x v="7"/>
    <x v="1"/>
    <x v="0"/>
    <x v="0"/>
    <m/>
    <x v="0"/>
    <x v="0"/>
    <m/>
    <x v="0"/>
    <s v="Y"/>
    <x v="1"/>
  </r>
  <r>
    <s v="22/3810/FUL"/>
    <x v="0"/>
    <x v="0"/>
    <x v="108"/>
    <d v="2026-12-21T00:00:00"/>
    <d v="2024-03-01T00:00:00"/>
    <m/>
    <x v="0"/>
    <m/>
    <x v="1"/>
    <x v="0"/>
    <x v="0"/>
    <m/>
    <x v="2"/>
    <s v="Erection of a single storey, detached, two-bedroom dwelling finished with green roof and associated cycle parking, refuse storage and landscaping."/>
    <s v="Land Rear Of 185 Waldegrave Road, Teddington"/>
    <s v="TW11 8LU"/>
    <m/>
    <m/>
    <m/>
    <m/>
    <m/>
    <m/>
    <m/>
    <m/>
    <m/>
    <n v="0"/>
    <m/>
    <m/>
    <n v="1"/>
    <m/>
    <m/>
    <m/>
    <m/>
    <m/>
    <m/>
    <n v="1"/>
    <n v="0"/>
    <n v="1"/>
    <n v="0"/>
    <n v="0"/>
    <n v="0"/>
    <n v="0"/>
    <n v="0"/>
    <n v="0"/>
    <n v="1"/>
    <x v="0"/>
    <m/>
    <n v="1"/>
    <m/>
    <m/>
    <m/>
    <m/>
    <m/>
    <m/>
    <m/>
    <m/>
    <m/>
    <m/>
    <m/>
    <m/>
    <m/>
    <m/>
    <m/>
    <n v="1"/>
    <n v="1"/>
    <m/>
    <m/>
    <m/>
    <n v="515563"/>
    <n v="171630"/>
    <x v="11"/>
    <x v="1"/>
    <x v="0"/>
    <x v="0"/>
    <m/>
    <x v="0"/>
    <x v="0"/>
    <m/>
    <x v="0"/>
    <s v="Y"/>
    <x v="7"/>
  </r>
  <r>
    <s v="23/0197/FUL"/>
    <x v="0"/>
    <x v="0"/>
    <x v="135"/>
    <d v="2026-06-14T00:00:00"/>
    <d v="2024-10-11T00:00:00"/>
    <s v="Y"/>
    <x v="0"/>
    <m/>
    <x v="1"/>
    <x v="0"/>
    <x v="0"/>
    <m/>
    <x v="2"/>
    <s v="Demolition of existing detached house and erection of new detached house containing 5 bedrooms"/>
    <s v="64 Ormond Avenue, Hampton TW12 2RX"/>
    <s v="TW12 2RX"/>
    <m/>
    <m/>
    <m/>
    <n v="1"/>
    <m/>
    <m/>
    <m/>
    <m/>
    <m/>
    <n v="1"/>
    <m/>
    <m/>
    <m/>
    <m/>
    <m/>
    <n v="1"/>
    <m/>
    <m/>
    <m/>
    <n v="1"/>
    <n v="0"/>
    <n v="0"/>
    <n v="-1"/>
    <n v="0"/>
    <n v="1"/>
    <n v="0"/>
    <n v="0"/>
    <n v="0"/>
    <n v="0"/>
    <x v="0"/>
    <m/>
    <n v="0"/>
    <m/>
    <m/>
    <m/>
    <m/>
    <m/>
    <m/>
    <m/>
    <m/>
    <m/>
    <m/>
    <m/>
    <m/>
    <m/>
    <m/>
    <m/>
    <n v="0"/>
    <n v="0"/>
    <m/>
    <m/>
    <m/>
    <n v="513712"/>
    <n v="169851"/>
    <x v="7"/>
    <x v="1"/>
    <x v="0"/>
    <x v="0"/>
    <m/>
    <x v="0"/>
    <x v="0"/>
    <m/>
    <x v="0"/>
    <s v="Y"/>
    <x v="1"/>
  </r>
  <r>
    <s v="23/0291/FUL"/>
    <x v="0"/>
    <x v="0"/>
    <x v="136"/>
    <d v="2026-08-03T00:00:00"/>
    <d v="2024-06-17T00:00:00"/>
    <s v="Y"/>
    <x v="0"/>
    <d v="2025-11-21T00:00:00"/>
    <x v="1"/>
    <x v="0"/>
    <x v="0"/>
    <m/>
    <x v="2"/>
    <s v="Demolition of existing Boot House and erection of new two-storey dwelling with porch and rear dormer. Bin store to front garden and front boundary wall. Cycle storage to rear garden. Instillation of air source heat pump and photovoltaic panels."/>
    <s v="25 Kentwode Green, Barnes SW13 9AD"/>
    <s v="SW13 9AD"/>
    <m/>
    <m/>
    <n v="1"/>
    <m/>
    <m/>
    <m/>
    <m/>
    <m/>
    <m/>
    <n v="1"/>
    <m/>
    <m/>
    <m/>
    <n v="1"/>
    <m/>
    <m/>
    <m/>
    <m/>
    <m/>
    <n v="1"/>
    <n v="0"/>
    <n v="-1"/>
    <n v="1"/>
    <n v="0"/>
    <n v="0"/>
    <n v="0"/>
    <n v="0"/>
    <n v="0"/>
    <n v="0"/>
    <x v="0"/>
    <m/>
    <n v="0"/>
    <m/>
    <m/>
    <m/>
    <m/>
    <m/>
    <m/>
    <m/>
    <m/>
    <m/>
    <m/>
    <m/>
    <m/>
    <m/>
    <m/>
    <m/>
    <n v="0"/>
    <n v="0"/>
    <m/>
    <m/>
    <m/>
    <n v="522197"/>
    <n v="177398"/>
    <x v="17"/>
    <x v="3"/>
    <x v="0"/>
    <x v="0"/>
    <m/>
    <x v="0"/>
    <x v="0"/>
    <m/>
    <x v="0"/>
    <m/>
    <x v="3"/>
  </r>
  <r>
    <s v="23/0970/FUL"/>
    <x v="1"/>
    <x v="0"/>
    <x v="137"/>
    <d v="2026-07-04T00:00:00"/>
    <d v="2025-04-01T00:00:00"/>
    <m/>
    <x v="0"/>
    <d v="2025-05-01T00:00:00"/>
    <x v="1"/>
    <x v="0"/>
    <x v="0"/>
    <m/>
    <x v="2"/>
    <s v="Change of use of second floor staff flat to ancillary office space and staff rest space to the use class F1(a) education use."/>
    <s v="30 Cumberland Road, Kew"/>
    <s v="TW9 3HQ"/>
    <m/>
    <n v="1"/>
    <m/>
    <m/>
    <m/>
    <m/>
    <m/>
    <m/>
    <m/>
    <n v="1"/>
    <m/>
    <m/>
    <m/>
    <m/>
    <m/>
    <m/>
    <m/>
    <m/>
    <m/>
    <n v="0"/>
    <n v="-1"/>
    <n v="0"/>
    <n v="0"/>
    <n v="0"/>
    <n v="0"/>
    <n v="0"/>
    <n v="0"/>
    <n v="0"/>
    <n v="-1"/>
    <x v="0"/>
    <m/>
    <n v="-1"/>
    <m/>
    <m/>
    <m/>
    <m/>
    <m/>
    <m/>
    <m/>
    <m/>
    <m/>
    <m/>
    <m/>
    <m/>
    <m/>
    <m/>
    <m/>
    <n v="-1"/>
    <n v="-1"/>
    <m/>
    <m/>
    <m/>
    <n v="519234"/>
    <n v="177167"/>
    <x v="13"/>
    <x v="4"/>
    <x v="0"/>
    <x v="0"/>
    <m/>
    <x v="0"/>
    <x v="0"/>
    <s v="CA15 Kew Gardens"/>
    <x v="1"/>
    <s v="Y"/>
    <x v="8"/>
  </r>
  <r>
    <s v="23/1060/FUL"/>
    <x v="1"/>
    <x v="0"/>
    <x v="138"/>
    <d v="2026-07-05T00:00:00"/>
    <d v="2025-04-01T00:00:00"/>
    <m/>
    <x v="0"/>
    <d v="2025-05-01T00:00:00"/>
    <x v="1"/>
    <x v="0"/>
    <x v="0"/>
    <m/>
    <x v="2"/>
    <s v="Use of Second Floor of 24-26 Cumberland Road (staff flat) for education purposes Class F1[a]."/>
    <s v="Kew College, 24 Cumberland Road, Kew, Richmond TW9 3HQ"/>
    <s v="TW9 3HQ"/>
    <m/>
    <n v="1"/>
    <m/>
    <m/>
    <m/>
    <m/>
    <m/>
    <m/>
    <m/>
    <n v="1"/>
    <m/>
    <m/>
    <m/>
    <m/>
    <m/>
    <m/>
    <m/>
    <m/>
    <m/>
    <n v="0"/>
    <n v="-1"/>
    <n v="0"/>
    <n v="0"/>
    <n v="0"/>
    <n v="0"/>
    <n v="0"/>
    <n v="0"/>
    <n v="0"/>
    <n v="-1"/>
    <x v="0"/>
    <m/>
    <n v="-1"/>
    <m/>
    <m/>
    <m/>
    <m/>
    <m/>
    <m/>
    <m/>
    <m/>
    <m/>
    <m/>
    <m/>
    <m/>
    <m/>
    <m/>
    <m/>
    <n v="-1"/>
    <n v="-1"/>
    <m/>
    <m/>
    <m/>
    <n v="519219"/>
    <n v="177132"/>
    <x v="13"/>
    <x v="4"/>
    <x v="0"/>
    <x v="0"/>
    <m/>
    <x v="0"/>
    <x v="0"/>
    <s v="CA15 Kew Gardens"/>
    <x v="1"/>
    <s v="Y"/>
    <x v="8"/>
  </r>
  <r>
    <s v="23/1154/FUL"/>
    <x v="3"/>
    <x v="0"/>
    <x v="139"/>
    <d v="2027-01-30T00:00:00"/>
    <d v="2024-01-30T00:00:00"/>
    <m/>
    <x v="0"/>
    <m/>
    <x v="1"/>
    <x v="0"/>
    <x v="0"/>
    <m/>
    <x v="2"/>
    <s v="Proposed single storey extensions, single storey roof canopy &amp; roof space conversion to existing workshop to rear (part-retrospective); 3 No. residential unit infill over access road to front; adjustment to access point with dropped kerb; plus cycle parking, waste and recycling storage and hard &amp; soft landscaping"/>
    <s v="31 Stanley Road, Teddington TW11 8TP"/>
    <s v="TW11 8TP"/>
    <m/>
    <m/>
    <m/>
    <m/>
    <m/>
    <m/>
    <m/>
    <m/>
    <m/>
    <n v="0"/>
    <m/>
    <n v="2"/>
    <m/>
    <n v="1"/>
    <m/>
    <m/>
    <m/>
    <m/>
    <m/>
    <n v="3"/>
    <n v="2"/>
    <n v="0"/>
    <n v="1"/>
    <n v="0"/>
    <n v="0"/>
    <n v="0"/>
    <n v="0"/>
    <n v="0"/>
    <n v="3"/>
    <x v="0"/>
    <m/>
    <m/>
    <n v="1.5"/>
    <n v="1.5"/>
    <m/>
    <m/>
    <m/>
    <m/>
    <m/>
    <m/>
    <m/>
    <m/>
    <m/>
    <m/>
    <m/>
    <m/>
    <m/>
    <n v="3"/>
    <n v="3"/>
    <m/>
    <m/>
    <m/>
    <n v="515296"/>
    <n v="171228"/>
    <x v="6"/>
    <x v="1"/>
    <x v="0"/>
    <x v="0"/>
    <m/>
    <x v="0"/>
    <x v="0"/>
    <m/>
    <x v="0"/>
    <s v="Y"/>
    <x v="7"/>
  </r>
  <r>
    <s v="23/1485/FUL"/>
    <x v="1"/>
    <x v="0"/>
    <x v="140"/>
    <d v="2027-05-29T00:00:00"/>
    <d v="2025-02-14T00:00:00"/>
    <s v="Y"/>
    <x v="1"/>
    <d v="2025-11-14T00:00:00"/>
    <x v="1"/>
    <x v="0"/>
    <x v="0"/>
    <m/>
    <x v="2"/>
    <s v="Change of use from Use Class E (office) to Use Class C3 (residential) to provide 1 x 3 bedroom maisonette and provision of one Air-source heat pump at first-floor level on the rear elevation and replacement windows and rooflight at the rear."/>
    <s v="12 - 14 Hill Street, Richmond TW9 1TN"/>
    <s v="TW9 1TN"/>
    <m/>
    <m/>
    <m/>
    <m/>
    <m/>
    <m/>
    <m/>
    <m/>
    <m/>
    <n v="0"/>
    <m/>
    <m/>
    <m/>
    <n v="1"/>
    <m/>
    <m/>
    <m/>
    <m/>
    <m/>
    <n v="1"/>
    <n v="0"/>
    <n v="0"/>
    <n v="1"/>
    <n v="0"/>
    <n v="0"/>
    <n v="0"/>
    <n v="0"/>
    <n v="0"/>
    <n v="1"/>
    <x v="0"/>
    <m/>
    <n v="1"/>
    <m/>
    <m/>
    <m/>
    <m/>
    <m/>
    <m/>
    <m/>
    <m/>
    <m/>
    <m/>
    <m/>
    <m/>
    <m/>
    <m/>
    <m/>
    <n v="1"/>
    <n v="1"/>
    <m/>
    <m/>
    <m/>
    <n v="517790"/>
    <n v="174728"/>
    <x v="12"/>
    <x v="4"/>
    <x v="3"/>
    <x v="0"/>
    <m/>
    <x v="0"/>
    <x v="0"/>
    <s v="CA17 Central Richmond"/>
    <x v="1"/>
    <s v="Y"/>
    <x v="4"/>
  </r>
  <r>
    <s v="23/1869/FUL"/>
    <x v="4"/>
    <x v="0"/>
    <x v="141"/>
    <d v="2027-01-16T00:00:00"/>
    <d v="2024-10-01T00:00:00"/>
    <s v="Y"/>
    <x v="0"/>
    <d v="2025-07-31T00:00:00"/>
    <x v="1"/>
    <x v="0"/>
    <x v="0"/>
    <m/>
    <x v="2"/>
    <s v="The subdivision of a two-storey maisonette flat into two separate flats and loft extension to the third flat including a flat roof dormer to the rear."/>
    <s v="391 Upper Richmond Road West, East Sheen SW14 7NX"/>
    <s v="SW14 7NX"/>
    <m/>
    <m/>
    <m/>
    <n v="1"/>
    <m/>
    <m/>
    <m/>
    <m/>
    <m/>
    <n v="1"/>
    <m/>
    <n v="3"/>
    <m/>
    <m/>
    <m/>
    <m/>
    <m/>
    <m/>
    <m/>
    <n v="3"/>
    <n v="3"/>
    <n v="0"/>
    <n v="-1"/>
    <n v="0"/>
    <n v="0"/>
    <n v="0"/>
    <n v="0"/>
    <n v="0"/>
    <n v="2"/>
    <x v="0"/>
    <m/>
    <n v="2"/>
    <m/>
    <m/>
    <m/>
    <m/>
    <m/>
    <m/>
    <m/>
    <m/>
    <m/>
    <m/>
    <m/>
    <m/>
    <m/>
    <m/>
    <m/>
    <n v="2"/>
    <n v="2"/>
    <m/>
    <m/>
    <m/>
    <n v="520411"/>
    <n v="175345"/>
    <x v="9"/>
    <x v="3"/>
    <x v="4"/>
    <x v="0"/>
    <m/>
    <x v="0"/>
    <x v="0"/>
    <m/>
    <x v="0"/>
    <s v="Y"/>
    <x v="5"/>
  </r>
  <r>
    <s v="23/2146/FUL"/>
    <x v="0"/>
    <x v="0"/>
    <x v="142"/>
    <d v="2027-03-26T00:00:00"/>
    <d v="2024-11-30T00:00:00"/>
    <s v="Y"/>
    <x v="0"/>
    <m/>
    <x v="1"/>
    <x v="0"/>
    <x v="0"/>
    <m/>
    <x v="2"/>
    <s v="Demolition of the existing dwelling at Little Orchard and the erection of a new dwelling maintaining the existing access off Bute Avenue and associated refuse/cycle storage and amendments to boundary treatment"/>
    <s v="Little Orchard, Sudbrook Lane, Petersham TW10 7AT"/>
    <s v="TW10 7AT"/>
    <m/>
    <m/>
    <m/>
    <m/>
    <n v="1"/>
    <m/>
    <m/>
    <m/>
    <m/>
    <n v="1"/>
    <m/>
    <m/>
    <m/>
    <m/>
    <n v="1"/>
    <m/>
    <m/>
    <m/>
    <m/>
    <n v="1"/>
    <n v="0"/>
    <n v="0"/>
    <n v="0"/>
    <n v="0"/>
    <n v="0"/>
    <n v="0"/>
    <n v="0"/>
    <n v="0"/>
    <n v="0"/>
    <x v="0"/>
    <m/>
    <n v="0"/>
    <m/>
    <m/>
    <m/>
    <m/>
    <m/>
    <m/>
    <m/>
    <m/>
    <m/>
    <m/>
    <m/>
    <m/>
    <m/>
    <m/>
    <m/>
    <n v="0"/>
    <n v="0"/>
    <m/>
    <m/>
    <m/>
    <n v="518142"/>
    <n v="172937"/>
    <x v="10"/>
    <x v="5"/>
    <x v="0"/>
    <x v="0"/>
    <m/>
    <x v="0"/>
    <x v="0"/>
    <s v="CA6 Petersham"/>
    <x v="1"/>
    <m/>
    <x v="6"/>
  </r>
  <r>
    <s v="23/2944/GPD26"/>
    <x v="1"/>
    <x v="1"/>
    <x v="143"/>
    <d v="2026-12-22T00:00:00"/>
    <d v="2024-02-01T00:00:00"/>
    <m/>
    <x v="0"/>
    <d v="2025-12-04T00:00:00"/>
    <x v="1"/>
    <x v="0"/>
    <x v="0"/>
    <m/>
    <x v="2"/>
    <s v="Change of Use of Existing Ground Floor Class Use E (Office) to Class Use C3 (Dwelling)."/>
    <s v="44 Church Road, Teddington TW11 8PB"/>
    <s v="TW11 8PB"/>
    <m/>
    <m/>
    <m/>
    <m/>
    <m/>
    <m/>
    <m/>
    <m/>
    <m/>
    <n v="0"/>
    <m/>
    <m/>
    <n v="1"/>
    <m/>
    <m/>
    <m/>
    <m/>
    <m/>
    <m/>
    <n v="1"/>
    <n v="0"/>
    <n v="1"/>
    <n v="0"/>
    <n v="0"/>
    <n v="0"/>
    <n v="0"/>
    <n v="0"/>
    <n v="0"/>
    <n v="1"/>
    <x v="0"/>
    <m/>
    <n v="1"/>
    <m/>
    <m/>
    <m/>
    <m/>
    <m/>
    <m/>
    <m/>
    <m/>
    <m/>
    <m/>
    <m/>
    <m/>
    <m/>
    <m/>
    <m/>
    <n v="1"/>
    <n v="1"/>
    <m/>
    <m/>
    <m/>
    <n v="515687"/>
    <n v="171148"/>
    <x v="11"/>
    <x v="1"/>
    <x v="0"/>
    <x v="0"/>
    <m/>
    <x v="0"/>
    <x v="0"/>
    <s v="CA85 Church Road"/>
    <x v="1"/>
    <s v="Y"/>
    <x v="7"/>
  </r>
  <r>
    <s v="23/3457/FUL"/>
    <x v="0"/>
    <x v="0"/>
    <x v="144"/>
    <d v="2027-07-26T00:00:00"/>
    <d v="2025-03-18T00:00:00"/>
    <s v="Y"/>
    <x v="1"/>
    <m/>
    <x v="1"/>
    <x v="0"/>
    <x v="0"/>
    <m/>
    <x v="2"/>
    <s v="New three-bedroom house to the side of 16 Tayben Avenue; alterations to No.16 Tayben Avenue including new driveway and landscaping and roof extensions as per Lawful Development Certificate ref. 23/2302/PS192"/>
    <s v="16 Tayben Avenue, Twickenham TW2 7RA"/>
    <s v="TW2 7RA"/>
    <m/>
    <m/>
    <m/>
    <m/>
    <m/>
    <m/>
    <m/>
    <m/>
    <m/>
    <n v="0"/>
    <m/>
    <m/>
    <m/>
    <n v="1"/>
    <m/>
    <m/>
    <m/>
    <m/>
    <m/>
    <n v="1"/>
    <n v="0"/>
    <n v="0"/>
    <n v="1"/>
    <n v="0"/>
    <n v="0"/>
    <n v="0"/>
    <n v="0"/>
    <n v="0"/>
    <n v="1"/>
    <x v="0"/>
    <m/>
    <n v="1"/>
    <m/>
    <m/>
    <m/>
    <m/>
    <m/>
    <m/>
    <m/>
    <m/>
    <m/>
    <m/>
    <m/>
    <m/>
    <m/>
    <m/>
    <m/>
    <n v="1"/>
    <n v="1"/>
    <m/>
    <m/>
    <m/>
    <n v="515338"/>
    <n v="174026"/>
    <x v="3"/>
    <x v="2"/>
    <x v="0"/>
    <x v="0"/>
    <m/>
    <x v="0"/>
    <x v="0"/>
    <m/>
    <x v="0"/>
    <s v="Y"/>
    <x v="2"/>
  </r>
  <r>
    <s v="24/0811/FUL"/>
    <x v="0"/>
    <x v="0"/>
    <x v="145"/>
    <d v="2027-11-06T00:00:00"/>
    <d v="2024-11-06T00:00:00"/>
    <s v="Y"/>
    <x v="1"/>
    <d v="2025-06-09T00:00:00"/>
    <x v="1"/>
    <x v="0"/>
    <x v="0"/>
    <m/>
    <x v="2"/>
    <s v="Demolition of existing dwelling, construction of single dwelling with associated refuse and cycle store. ASHP and EV charging point."/>
    <s v="2 West Temple Sheen, East Sheen SW14 7RT"/>
    <s v="SW14 7RT"/>
    <m/>
    <m/>
    <n v="1"/>
    <m/>
    <m/>
    <m/>
    <m/>
    <m/>
    <m/>
    <n v="1"/>
    <m/>
    <m/>
    <m/>
    <m/>
    <n v="1"/>
    <m/>
    <m/>
    <m/>
    <m/>
    <n v="1"/>
    <n v="0"/>
    <n v="-1"/>
    <n v="0"/>
    <n v="1"/>
    <n v="0"/>
    <n v="0"/>
    <n v="0"/>
    <n v="0"/>
    <n v="0"/>
    <x v="0"/>
    <m/>
    <n v="0"/>
    <m/>
    <m/>
    <m/>
    <m/>
    <m/>
    <m/>
    <m/>
    <m/>
    <m/>
    <m/>
    <m/>
    <m/>
    <m/>
    <m/>
    <m/>
    <n v="0"/>
    <n v="0"/>
    <m/>
    <m/>
    <m/>
    <n v="519882"/>
    <n v="175037"/>
    <x v="9"/>
    <x v="3"/>
    <x v="0"/>
    <x v="0"/>
    <m/>
    <x v="0"/>
    <x v="0"/>
    <m/>
    <x v="0"/>
    <s v="Y"/>
    <x v="5"/>
  </r>
  <r>
    <s v="24/1631/GPD26"/>
    <x v="1"/>
    <x v="1"/>
    <x v="146"/>
    <d v="2027-08-15T00:00:00"/>
    <d v="2025-03-03T00:00:00"/>
    <s v="Y"/>
    <x v="1"/>
    <m/>
    <x v="1"/>
    <x v="0"/>
    <x v="0"/>
    <m/>
    <x v="2"/>
    <s v="Conversion of part of ground floor from Class E to a 1 bed flat."/>
    <s v="398 Richmond Road, Twickenham TW1 2DY"/>
    <s v="TW1 2DY"/>
    <m/>
    <m/>
    <m/>
    <m/>
    <m/>
    <m/>
    <m/>
    <m/>
    <m/>
    <n v="0"/>
    <m/>
    <n v="1"/>
    <m/>
    <m/>
    <m/>
    <m/>
    <m/>
    <m/>
    <m/>
    <n v="1"/>
    <n v="1"/>
    <n v="0"/>
    <n v="0"/>
    <n v="0"/>
    <n v="0"/>
    <n v="0"/>
    <n v="0"/>
    <n v="0"/>
    <n v="1"/>
    <x v="0"/>
    <m/>
    <n v="1"/>
    <m/>
    <m/>
    <m/>
    <m/>
    <m/>
    <m/>
    <m/>
    <m/>
    <m/>
    <m/>
    <m/>
    <m/>
    <m/>
    <m/>
    <m/>
    <n v="1"/>
    <n v="1"/>
    <m/>
    <m/>
    <m/>
    <n v="517552"/>
    <n v="174330"/>
    <x v="4"/>
    <x v="2"/>
    <x v="0"/>
    <x v="0"/>
    <s v="East Twickenham"/>
    <x v="1"/>
    <x v="0"/>
    <s v="CA66 Richmond Road East Twickenham"/>
    <x v="1"/>
    <s v="Y"/>
    <x v="2"/>
  </r>
  <r>
    <s v="24/1784/FUL"/>
    <x v="4"/>
    <x v="0"/>
    <x v="147"/>
    <d v="2027-11-14T00:00:00"/>
    <d v="2025-03-03T00:00:00"/>
    <s v="Y"/>
    <x v="1"/>
    <m/>
    <x v="1"/>
    <x v="0"/>
    <x v="0"/>
    <m/>
    <x v="2"/>
    <s v="Reduction in depth of existing rear extension and rebuilding rear wall. Insertion of new windows, door and rooflights and removal of existing extension into internal lightwell. Subdivision of 2no. existing flats at 1st and 2nd floor level to create 4no. flats."/>
    <s v="398 Richmond Road, Twickenham TW1 2DY"/>
    <s v="TW1 2DY"/>
    <m/>
    <m/>
    <n v="2"/>
    <m/>
    <m/>
    <m/>
    <m/>
    <m/>
    <m/>
    <n v="2"/>
    <m/>
    <n v="4"/>
    <m/>
    <m/>
    <m/>
    <m/>
    <m/>
    <m/>
    <m/>
    <n v="4"/>
    <n v="4"/>
    <n v="-2"/>
    <n v="0"/>
    <n v="0"/>
    <n v="0"/>
    <n v="0"/>
    <n v="0"/>
    <n v="0"/>
    <n v="2"/>
    <x v="0"/>
    <m/>
    <n v="2"/>
    <m/>
    <m/>
    <m/>
    <m/>
    <m/>
    <m/>
    <m/>
    <m/>
    <m/>
    <m/>
    <m/>
    <m/>
    <m/>
    <m/>
    <m/>
    <n v="2"/>
    <n v="2"/>
    <m/>
    <m/>
    <m/>
    <n v="517552"/>
    <n v="174330"/>
    <x v="4"/>
    <x v="2"/>
    <x v="0"/>
    <x v="0"/>
    <s v="East Twickenham"/>
    <x v="1"/>
    <x v="0"/>
    <s v="CA66 Richmond Road East Twickenham"/>
    <x v="1"/>
    <s v="Y"/>
    <x v="2"/>
  </r>
  <r>
    <s v="24/1812/GPD26"/>
    <x v="1"/>
    <x v="1"/>
    <x v="148"/>
    <d v="2027-09-04T00:00:00"/>
    <d v="2025-02-01T00:00:00"/>
    <s v="Y"/>
    <x v="1"/>
    <d v="2025-08-12T00:00:00"/>
    <x v="1"/>
    <x v="0"/>
    <x v="0"/>
    <m/>
    <x v="2"/>
    <s v="Conversion of property from use Class E(g)(i) to Use Class C3 to provide one dwelling."/>
    <s v="The Old Fire Station, 123 Mortlake High Street, Mortlake SW14 8SN"/>
    <s v="SW14 8SN"/>
    <m/>
    <m/>
    <m/>
    <m/>
    <m/>
    <m/>
    <m/>
    <m/>
    <m/>
    <n v="0"/>
    <m/>
    <m/>
    <m/>
    <n v="1"/>
    <m/>
    <m/>
    <m/>
    <m/>
    <m/>
    <n v="1"/>
    <n v="0"/>
    <n v="0"/>
    <n v="1"/>
    <n v="0"/>
    <n v="0"/>
    <n v="0"/>
    <n v="0"/>
    <n v="0"/>
    <n v="1"/>
    <x v="0"/>
    <m/>
    <n v="1"/>
    <m/>
    <m/>
    <m/>
    <m/>
    <m/>
    <m/>
    <m/>
    <m/>
    <m/>
    <m/>
    <m/>
    <m/>
    <m/>
    <m/>
    <m/>
    <n v="1"/>
    <n v="1"/>
    <m/>
    <m/>
    <m/>
    <n v="521146"/>
    <n v="176059"/>
    <x v="5"/>
    <x v="3"/>
    <x v="0"/>
    <x v="1"/>
    <m/>
    <x v="0"/>
    <x v="0"/>
    <s v="CA33 Mortlake"/>
    <x v="1"/>
    <s v="Y"/>
    <x v="5"/>
  </r>
  <r>
    <s v="24/2018/PS192"/>
    <x v="1"/>
    <x v="2"/>
    <x v="149"/>
    <d v="2027-09-26T00:00:00"/>
    <d v="2024-11-01T00:00:00"/>
    <s v="Y"/>
    <x v="1"/>
    <d v="2025-07-02T00:00:00"/>
    <x v="1"/>
    <x v="0"/>
    <x v="0"/>
    <m/>
    <x v="2"/>
    <s v="Change of use from HMO C4 to Single Dwelling C3."/>
    <s v="63 Priory Road, Kew TW9 3DH"/>
    <s v="TW9 3DH"/>
    <m/>
    <m/>
    <m/>
    <m/>
    <m/>
    <m/>
    <n v="1"/>
    <m/>
    <m/>
    <n v="1"/>
    <m/>
    <m/>
    <m/>
    <m/>
    <m/>
    <n v="1"/>
    <m/>
    <m/>
    <m/>
    <n v="1"/>
    <n v="0"/>
    <n v="0"/>
    <n v="0"/>
    <n v="0"/>
    <n v="1"/>
    <n v="-1"/>
    <n v="0"/>
    <n v="0"/>
    <n v="0"/>
    <x v="0"/>
    <m/>
    <n v="0"/>
    <m/>
    <m/>
    <m/>
    <m/>
    <m/>
    <m/>
    <m/>
    <m/>
    <m/>
    <m/>
    <m/>
    <m/>
    <m/>
    <m/>
    <m/>
    <n v="0"/>
    <n v="0"/>
    <m/>
    <m/>
    <s v="Y"/>
    <n v="519351"/>
    <n v="177424"/>
    <x v="13"/>
    <x v="4"/>
    <x v="0"/>
    <x v="0"/>
    <m/>
    <x v="0"/>
    <x v="0"/>
    <s v="CA2 Kew Green"/>
    <x v="1"/>
    <s v="Y"/>
    <x v="8"/>
  </r>
  <r>
    <s v="24/2209/FUL"/>
    <x v="0"/>
    <x v="0"/>
    <x v="145"/>
    <d v="2027-11-06T00:00:00"/>
    <d v="2024-07-01T00:00:00"/>
    <s v="Y"/>
    <x v="1"/>
    <m/>
    <x v="1"/>
    <x v="0"/>
    <x v="0"/>
    <m/>
    <x v="2"/>
    <s v="Demolition of existing and construction of 2 storey, 3 bed replacement dwelling with rear and side extensions and front porch. Associated works including solar panels, air source heat pump, bike shed in rear garden."/>
    <s v="26 Washington Road, Barnes SW13 9BH"/>
    <s v="SW13 9BH"/>
    <m/>
    <m/>
    <m/>
    <n v="1"/>
    <m/>
    <m/>
    <m/>
    <m/>
    <m/>
    <n v="1"/>
    <m/>
    <m/>
    <m/>
    <n v="1"/>
    <m/>
    <m/>
    <m/>
    <m/>
    <m/>
    <n v="1"/>
    <n v="0"/>
    <n v="0"/>
    <n v="0"/>
    <n v="0"/>
    <n v="0"/>
    <n v="0"/>
    <n v="0"/>
    <n v="0"/>
    <n v="0"/>
    <x v="0"/>
    <m/>
    <n v="0"/>
    <m/>
    <m/>
    <m/>
    <m/>
    <m/>
    <m/>
    <m/>
    <m/>
    <m/>
    <m/>
    <m/>
    <m/>
    <m/>
    <m/>
    <m/>
    <n v="0"/>
    <n v="0"/>
    <m/>
    <m/>
    <m/>
    <n v="522350"/>
    <n v="177310"/>
    <x v="17"/>
    <x v="3"/>
    <x v="0"/>
    <x v="0"/>
    <m/>
    <x v="0"/>
    <x v="0"/>
    <m/>
    <x v="0"/>
    <s v="Y"/>
    <x v="3"/>
  </r>
  <r>
    <s v="24/2431/GPD26"/>
    <x v="1"/>
    <x v="1"/>
    <x v="150"/>
    <d v="2027-12-19T00:00:00"/>
    <d v="2024-12-19T00:00:00"/>
    <s v="Y"/>
    <x v="1"/>
    <m/>
    <x v="1"/>
    <x v="0"/>
    <x v="0"/>
    <m/>
    <x v="2"/>
    <s v="Change of use from premises in light industrial use (Class B1(c)) to C3, including internal alterations."/>
    <s v="Unit 1, Sheen Stables Rear Of 119 Sheen Lane, East Sheen"/>
    <s v="SW14 8AE"/>
    <m/>
    <m/>
    <m/>
    <m/>
    <m/>
    <m/>
    <m/>
    <m/>
    <m/>
    <n v="0"/>
    <m/>
    <m/>
    <n v="1"/>
    <m/>
    <m/>
    <m/>
    <m/>
    <m/>
    <m/>
    <n v="1"/>
    <n v="0"/>
    <n v="1"/>
    <n v="0"/>
    <n v="0"/>
    <n v="0"/>
    <n v="0"/>
    <n v="0"/>
    <n v="0"/>
    <n v="1"/>
    <x v="0"/>
    <m/>
    <n v="0.5"/>
    <n v="0.5"/>
    <m/>
    <m/>
    <m/>
    <m/>
    <m/>
    <m/>
    <m/>
    <m/>
    <m/>
    <m/>
    <m/>
    <m/>
    <m/>
    <m/>
    <n v="1"/>
    <n v="1"/>
    <m/>
    <m/>
    <m/>
    <n v="520517"/>
    <n v="175511"/>
    <x v="9"/>
    <x v="3"/>
    <x v="4"/>
    <x v="0"/>
    <m/>
    <x v="0"/>
    <x v="0"/>
    <s v="CA70 Sheen Lane Mortlake"/>
    <x v="1"/>
    <s v="Y"/>
    <x v="5"/>
  </r>
  <r>
    <s v="24/2655/GPD26"/>
    <x v="1"/>
    <x v="1"/>
    <x v="151"/>
    <d v="2027-12-20T00:00:00"/>
    <d v="2025-03-01T00:00:00"/>
    <s v="Y"/>
    <x v="1"/>
    <m/>
    <x v="1"/>
    <x v="0"/>
    <x v="0"/>
    <m/>
    <x v="2"/>
    <s v="Change of Use of an office (Use Class E(g)(i)) to form 3no. dwellinghouses (Use Class C3)"/>
    <s v="1 Rocks Lane, Barnes"/>
    <s v="SW9 0DB"/>
    <m/>
    <m/>
    <m/>
    <m/>
    <m/>
    <m/>
    <m/>
    <m/>
    <m/>
    <n v="0"/>
    <m/>
    <n v="1"/>
    <n v="2"/>
    <m/>
    <m/>
    <m/>
    <m/>
    <m/>
    <m/>
    <n v="3"/>
    <n v="1"/>
    <n v="2"/>
    <n v="0"/>
    <n v="0"/>
    <n v="0"/>
    <n v="0"/>
    <n v="0"/>
    <n v="0"/>
    <n v="3"/>
    <x v="0"/>
    <m/>
    <n v="3"/>
    <m/>
    <m/>
    <m/>
    <m/>
    <m/>
    <m/>
    <m/>
    <m/>
    <m/>
    <m/>
    <m/>
    <m/>
    <m/>
    <m/>
    <m/>
    <n v="3"/>
    <n v="3"/>
    <m/>
    <m/>
    <m/>
    <n v="522378"/>
    <n v="176584"/>
    <x v="17"/>
    <x v="3"/>
    <x v="0"/>
    <x v="0"/>
    <s v="Church Road/Castelnau, Bar"/>
    <x v="1"/>
    <x v="0"/>
    <s v="CA1 Barnes Green"/>
    <x v="1"/>
    <s v="Y"/>
    <x v="3"/>
  </r>
  <r>
    <s v="24/2720/FUL"/>
    <x v="2"/>
    <x v="0"/>
    <x v="152"/>
    <d v="2028-02-11T00:00:00"/>
    <d v="2025-03-03T00:00:00"/>
    <s v="Y"/>
    <x v="1"/>
    <m/>
    <x v="1"/>
    <x v="0"/>
    <x v="0"/>
    <m/>
    <x v="2"/>
    <s v="Mansard roof extension to create 1no. flat with associated bin and cycle storage.  New shop front and external alterations to include replacement windows and doors together with a reduction in the depth of the single storey rear extension and associated external alterations"/>
    <s v="398 Richmond Road, Twickenham TW1 2DY"/>
    <s v="TW1 2DY"/>
    <m/>
    <m/>
    <m/>
    <m/>
    <m/>
    <m/>
    <m/>
    <m/>
    <m/>
    <n v="0"/>
    <m/>
    <m/>
    <n v="1"/>
    <m/>
    <m/>
    <m/>
    <m/>
    <m/>
    <m/>
    <n v="1"/>
    <n v="0"/>
    <n v="1"/>
    <n v="0"/>
    <n v="0"/>
    <n v="0"/>
    <n v="0"/>
    <n v="0"/>
    <n v="0"/>
    <n v="1"/>
    <x v="0"/>
    <m/>
    <n v="1"/>
    <m/>
    <m/>
    <m/>
    <m/>
    <m/>
    <m/>
    <m/>
    <m/>
    <m/>
    <m/>
    <m/>
    <m/>
    <m/>
    <m/>
    <m/>
    <n v="1"/>
    <n v="1"/>
    <m/>
    <m/>
    <m/>
    <n v="517552"/>
    <n v="174330"/>
    <x v="4"/>
    <x v="2"/>
    <x v="0"/>
    <x v="0"/>
    <s v="East Twickenham"/>
    <x v="1"/>
    <x v="0"/>
    <s v="CA66 Richmond Road East Twickenham"/>
    <x v="1"/>
    <s v="Y"/>
    <x v="2"/>
  </r>
  <r>
    <s v="24/3195/GPD26"/>
    <x v="1"/>
    <x v="1"/>
    <x v="152"/>
    <d v="2028-02-11T00:00:00"/>
    <d v="2025-03-31T00:00:00"/>
    <s v="Y"/>
    <x v="1"/>
    <m/>
    <x v="1"/>
    <x v="0"/>
    <x v="0"/>
    <m/>
    <x v="2"/>
    <s v="Change of use from offices (Class E) to a four bedroom dwelling (Class C3)."/>
    <s v="21 Park Lane, Richmond TW9 2RA"/>
    <s v="TW9 2RA"/>
    <m/>
    <m/>
    <m/>
    <m/>
    <m/>
    <m/>
    <m/>
    <m/>
    <m/>
    <n v="0"/>
    <m/>
    <m/>
    <m/>
    <m/>
    <n v="1"/>
    <m/>
    <m/>
    <m/>
    <m/>
    <n v="1"/>
    <n v="0"/>
    <n v="0"/>
    <n v="0"/>
    <n v="1"/>
    <n v="0"/>
    <n v="0"/>
    <n v="0"/>
    <n v="0"/>
    <n v="1"/>
    <x v="0"/>
    <m/>
    <n v="0.5"/>
    <n v="0.5"/>
    <m/>
    <m/>
    <m/>
    <m/>
    <m/>
    <m/>
    <m/>
    <m/>
    <m/>
    <m/>
    <m/>
    <m/>
    <m/>
    <m/>
    <n v="1"/>
    <n v="1"/>
    <m/>
    <m/>
    <m/>
    <n v="517913"/>
    <n v="175202"/>
    <x v="12"/>
    <x v="4"/>
    <x v="3"/>
    <x v="0"/>
    <m/>
    <x v="0"/>
    <x v="0"/>
    <s v="CA17 Central Richmond"/>
    <x v="1"/>
    <s v="Y"/>
    <x v="4"/>
  </r>
  <r>
    <s v="18/0693/FUL"/>
    <x v="0"/>
    <x v="0"/>
    <x v="153"/>
    <d v="2026-10-27T00:00:00"/>
    <m/>
    <m/>
    <x v="0"/>
    <m/>
    <x v="2"/>
    <x v="0"/>
    <x v="0"/>
    <m/>
    <x v="2"/>
    <s v="Erection of a two storey house with additional rooms in the roof at the corner of St James's Road and Park Road (currently part of the plot of 59 Park Road). Alterations to boundary wall to facilitate the creation of new access from St James Road together with associated hard and soft landscaping, cycle and refuse stores and 2 x off-street parking."/>
    <s v="59 Park Road, Hampton Hill TW12 1HX"/>
    <s v="TW12 1HX"/>
    <m/>
    <m/>
    <m/>
    <m/>
    <m/>
    <m/>
    <m/>
    <m/>
    <m/>
    <n v="0"/>
    <m/>
    <m/>
    <m/>
    <m/>
    <m/>
    <n v="1"/>
    <m/>
    <m/>
    <m/>
    <n v="1"/>
    <n v="0"/>
    <n v="0"/>
    <n v="0"/>
    <n v="0"/>
    <n v="1"/>
    <n v="0"/>
    <n v="0"/>
    <n v="0"/>
    <n v="1"/>
    <x v="0"/>
    <m/>
    <n v="0.25"/>
    <n v="0.25"/>
    <n v="0.25"/>
    <n v="0.25"/>
    <m/>
    <m/>
    <m/>
    <m/>
    <m/>
    <m/>
    <m/>
    <m/>
    <m/>
    <m/>
    <m/>
    <m/>
    <n v="1"/>
    <n v="1"/>
    <m/>
    <m/>
    <m/>
    <n v="513964"/>
    <n v="171432"/>
    <x v="6"/>
    <x v="1"/>
    <x v="0"/>
    <x v="0"/>
    <m/>
    <x v="0"/>
    <x v="0"/>
    <m/>
    <x v="0"/>
    <m/>
    <x v="1"/>
  </r>
  <r>
    <s v="18/3575/FUL"/>
    <x v="0"/>
    <x v="0"/>
    <x v="154"/>
    <d v="2026-08-31T00:00:00"/>
    <m/>
    <m/>
    <x v="0"/>
    <m/>
    <x v="2"/>
    <x v="0"/>
    <x v="0"/>
    <m/>
    <x v="2"/>
    <s v="Demolition of existing garage. Erection of two x 2 storey five bed single-family dwellings with basement and associated hard and soft landscaping, new boundary treatment and refuse and cycle provision. Creation of dropped kerbs to facilitate provision of off-street parking."/>
    <s v="Land Rear Of 272-278 St Margarets Road, Twickenham"/>
    <s v="TW1"/>
    <m/>
    <m/>
    <m/>
    <m/>
    <m/>
    <m/>
    <m/>
    <m/>
    <m/>
    <n v="0"/>
    <m/>
    <m/>
    <m/>
    <m/>
    <m/>
    <n v="2"/>
    <m/>
    <m/>
    <m/>
    <n v="2"/>
    <n v="0"/>
    <n v="0"/>
    <n v="0"/>
    <n v="0"/>
    <n v="2"/>
    <n v="0"/>
    <n v="0"/>
    <n v="0"/>
    <n v="2"/>
    <x v="0"/>
    <m/>
    <n v="0.5"/>
    <n v="0.5"/>
    <n v="0.5"/>
    <n v="0.5"/>
    <m/>
    <m/>
    <m/>
    <m/>
    <m/>
    <m/>
    <m/>
    <m/>
    <m/>
    <m/>
    <m/>
    <m/>
    <n v="2"/>
    <n v="2"/>
    <m/>
    <m/>
    <m/>
    <n v="516610"/>
    <n v="174980"/>
    <x v="3"/>
    <x v="2"/>
    <x v="0"/>
    <x v="0"/>
    <m/>
    <x v="0"/>
    <x v="0"/>
    <s v="CA19 St Margarets"/>
    <x v="1"/>
    <s v="Y"/>
    <x v="2"/>
  </r>
  <r>
    <s v="19/0404/FUL"/>
    <x v="0"/>
    <x v="0"/>
    <x v="155"/>
    <d v="2025-06-30T00:00:00"/>
    <d v="2025-04-28T00:00:00"/>
    <m/>
    <x v="0"/>
    <m/>
    <x v="2"/>
    <x v="0"/>
    <x v="0"/>
    <m/>
    <x v="2"/>
    <s v="Proposed construction of 2 bedroom dwellinghouse with 1No car parking space; secure storage for 2No cycles; refuse &amp; recycling storage; replacement of part of existing boundary wall with gates, piers &amp; railings to provide new pedestrian &amp; vehicular access"/>
    <s v="Land Adjacent To 53 Old Deer Park Gardens, Richmond"/>
    <s v="TW9 2T"/>
    <m/>
    <m/>
    <m/>
    <m/>
    <m/>
    <m/>
    <m/>
    <m/>
    <m/>
    <n v="0"/>
    <m/>
    <m/>
    <n v="1"/>
    <m/>
    <m/>
    <m/>
    <m/>
    <m/>
    <m/>
    <n v="1"/>
    <n v="0"/>
    <n v="1"/>
    <n v="0"/>
    <n v="0"/>
    <n v="0"/>
    <n v="0"/>
    <n v="0"/>
    <n v="0"/>
    <n v="1"/>
    <x v="0"/>
    <m/>
    <n v="0.5"/>
    <n v="0.5"/>
    <m/>
    <m/>
    <m/>
    <m/>
    <m/>
    <m/>
    <m/>
    <m/>
    <m/>
    <m/>
    <m/>
    <m/>
    <m/>
    <m/>
    <n v="1"/>
    <n v="1"/>
    <m/>
    <m/>
    <m/>
    <n v="518193"/>
    <n v="175740"/>
    <x v="8"/>
    <x v="4"/>
    <x v="0"/>
    <x v="0"/>
    <m/>
    <x v="0"/>
    <x v="0"/>
    <m/>
    <x v="0"/>
    <s v="Y"/>
    <x v="4"/>
  </r>
  <r>
    <s v="19/0510/FUL"/>
    <x v="0"/>
    <x v="0"/>
    <x v="54"/>
    <d v="2027-05-23T00:00:00"/>
    <m/>
    <m/>
    <x v="1"/>
    <m/>
    <x v="2"/>
    <x v="3"/>
    <x v="0"/>
    <m/>
    <x v="2"/>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31"/>
    <n v="57"/>
    <n v="15"/>
    <m/>
    <m/>
    <m/>
    <m/>
    <m/>
    <n v="103"/>
    <n v="31"/>
    <n v="57"/>
    <n v="15"/>
    <n v="0"/>
    <n v="0"/>
    <n v="0"/>
    <n v="0"/>
    <n v="0"/>
    <n v="103"/>
    <x v="1"/>
    <m/>
    <m/>
    <m/>
    <m/>
    <n v="51.5"/>
    <n v="51.5"/>
    <m/>
    <m/>
    <m/>
    <m/>
    <m/>
    <m/>
    <m/>
    <m/>
    <m/>
    <m/>
    <m/>
    <n v="103"/>
    <n v="103"/>
    <m/>
    <m/>
    <m/>
    <n v="518903"/>
    <n v="175424"/>
    <x v="8"/>
    <x v="4"/>
    <x v="0"/>
    <x v="0"/>
    <m/>
    <x v="0"/>
    <x v="0"/>
    <m/>
    <x v="0"/>
    <s v="Y"/>
    <x v="4"/>
  </r>
  <r>
    <s v="19/0510/FUL"/>
    <x v="0"/>
    <x v="0"/>
    <x v="54"/>
    <d v="2027-05-23T00:00:00"/>
    <m/>
    <m/>
    <x v="1"/>
    <m/>
    <x v="2"/>
    <x v="5"/>
    <x v="0"/>
    <m/>
    <x v="2"/>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25"/>
    <n v="11"/>
    <m/>
    <m/>
    <m/>
    <m/>
    <m/>
    <m/>
    <n v="36"/>
    <n v="25"/>
    <n v="11"/>
    <n v="0"/>
    <n v="0"/>
    <n v="0"/>
    <n v="0"/>
    <n v="0"/>
    <n v="0"/>
    <n v="36"/>
    <x v="1"/>
    <m/>
    <m/>
    <m/>
    <m/>
    <n v="18"/>
    <n v="18"/>
    <m/>
    <m/>
    <m/>
    <m/>
    <m/>
    <m/>
    <m/>
    <m/>
    <m/>
    <m/>
    <m/>
    <n v="36"/>
    <n v="36"/>
    <m/>
    <m/>
    <m/>
    <n v="518903"/>
    <n v="175424"/>
    <x v="8"/>
    <x v="4"/>
    <x v="0"/>
    <x v="0"/>
    <m/>
    <x v="0"/>
    <x v="0"/>
    <m/>
    <x v="0"/>
    <s v="Y"/>
    <x v="4"/>
  </r>
  <r>
    <s v="19/0510/FUL"/>
    <x v="0"/>
    <x v="0"/>
    <x v="54"/>
    <d v="2027-05-23T00:00:00"/>
    <m/>
    <m/>
    <x v="1"/>
    <m/>
    <x v="2"/>
    <x v="0"/>
    <x v="0"/>
    <m/>
    <x v="2"/>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m/>
    <n v="116"/>
    <n v="145"/>
    <n v="19"/>
    <m/>
    <m/>
    <m/>
    <m/>
    <m/>
    <n v="280"/>
    <n v="116"/>
    <n v="145"/>
    <n v="19"/>
    <n v="0"/>
    <n v="0"/>
    <n v="0"/>
    <n v="0"/>
    <n v="0"/>
    <n v="280"/>
    <x v="1"/>
    <m/>
    <m/>
    <m/>
    <m/>
    <n v="140"/>
    <n v="140"/>
    <m/>
    <m/>
    <m/>
    <m/>
    <m/>
    <m/>
    <m/>
    <m/>
    <m/>
    <m/>
    <m/>
    <n v="280"/>
    <n v="280"/>
    <m/>
    <m/>
    <m/>
    <n v="518903"/>
    <n v="175424"/>
    <x v="8"/>
    <x v="4"/>
    <x v="0"/>
    <x v="0"/>
    <m/>
    <x v="0"/>
    <x v="0"/>
    <m/>
    <x v="0"/>
    <s v="Y"/>
    <x v="4"/>
  </r>
  <r>
    <s v="19/0510/FUL"/>
    <x v="0"/>
    <x v="0"/>
    <x v="54"/>
    <d v="2027-05-23T00:00:00"/>
    <m/>
    <m/>
    <x v="1"/>
    <m/>
    <x v="2"/>
    <x v="4"/>
    <x v="0"/>
    <m/>
    <x v="2"/>
    <s v="Demolition of existing buildings and structures and comprehensive phased residential-led redevelopment to provide 453 residential units (of which 173 units will be affordable), flexible retail, community and office uses, provision of car and cycle parking"/>
    <s v="Homebase, 84 Manor Road, Richmond"/>
    <s v="TW9 1YB"/>
    <m/>
    <m/>
    <m/>
    <m/>
    <m/>
    <m/>
    <m/>
    <m/>
    <m/>
    <n v="0"/>
    <s v="Y"/>
    <n v="1"/>
    <n v="33"/>
    <m/>
    <m/>
    <m/>
    <m/>
    <m/>
    <m/>
    <n v="34"/>
    <n v="1"/>
    <n v="33"/>
    <n v="0"/>
    <n v="0"/>
    <n v="0"/>
    <n v="0"/>
    <n v="0"/>
    <n v="0"/>
    <n v="34"/>
    <x v="1"/>
    <m/>
    <m/>
    <m/>
    <m/>
    <n v="17"/>
    <n v="17"/>
    <m/>
    <m/>
    <m/>
    <m/>
    <m/>
    <m/>
    <m/>
    <m/>
    <m/>
    <m/>
    <m/>
    <n v="34"/>
    <n v="34"/>
    <m/>
    <m/>
    <m/>
    <n v="518903"/>
    <n v="175424"/>
    <x v="8"/>
    <x v="4"/>
    <x v="0"/>
    <x v="0"/>
    <m/>
    <x v="0"/>
    <x v="0"/>
    <m/>
    <x v="0"/>
    <s v="Y"/>
    <x v="4"/>
  </r>
  <r>
    <s v="19/3053/FUL"/>
    <x v="0"/>
    <x v="0"/>
    <x v="156"/>
    <d v="2026-07-10T00:00:00"/>
    <m/>
    <m/>
    <x v="0"/>
    <m/>
    <x v="2"/>
    <x v="0"/>
    <x v="0"/>
    <m/>
    <x v="2"/>
    <s v="Erection of a detached building comprising 7 self contained flats and a single family dwelling with associated access, parking and landscaping."/>
    <s v="217 Kingston Road, Teddington TW11 9JN"/>
    <s v="TW11 9JN"/>
    <m/>
    <m/>
    <m/>
    <m/>
    <m/>
    <m/>
    <m/>
    <m/>
    <m/>
    <n v="0"/>
    <m/>
    <n v="3"/>
    <n v="5"/>
    <m/>
    <m/>
    <m/>
    <m/>
    <m/>
    <m/>
    <n v="8"/>
    <n v="3"/>
    <n v="5"/>
    <n v="0"/>
    <n v="0"/>
    <n v="0"/>
    <n v="0"/>
    <n v="0"/>
    <n v="0"/>
    <n v="8"/>
    <x v="0"/>
    <m/>
    <m/>
    <n v="2"/>
    <n v="2"/>
    <n v="2"/>
    <n v="2"/>
    <m/>
    <m/>
    <m/>
    <m/>
    <m/>
    <m/>
    <m/>
    <m/>
    <m/>
    <m/>
    <m/>
    <n v="8"/>
    <n v="8"/>
    <m/>
    <m/>
    <m/>
    <n v="516986"/>
    <n v="170503"/>
    <x v="14"/>
    <x v="1"/>
    <x v="0"/>
    <x v="0"/>
    <m/>
    <x v="0"/>
    <x v="0"/>
    <m/>
    <x v="0"/>
    <s v="Y"/>
    <x v="7"/>
  </r>
  <r>
    <s v="20/0969/FUL"/>
    <x v="0"/>
    <x v="0"/>
    <x v="157"/>
    <d v="2025-11-10T00:00:00"/>
    <m/>
    <m/>
    <x v="0"/>
    <m/>
    <x v="2"/>
    <x v="0"/>
    <x v="0"/>
    <m/>
    <x v="2"/>
    <s v="The demolition of an existing garage and ancillary outbuildings on garden land and the construction of 2 new detached houses."/>
    <s v="Land Rear Of 256 To 258, Kingston Road, Teddington"/>
    <s v="TW11"/>
    <m/>
    <m/>
    <m/>
    <m/>
    <m/>
    <m/>
    <m/>
    <m/>
    <m/>
    <n v="0"/>
    <m/>
    <m/>
    <n v="2"/>
    <m/>
    <m/>
    <m/>
    <m/>
    <m/>
    <m/>
    <n v="2"/>
    <n v="0"/>
    <n v="2"/>
    <n v="0"/>
    <n v="0"/>
    <n v="0"/>
    <n v="0"/>
    <n v="0"/>
    <n v="0"/>
    <n v="2"/>
    <x v="0"/>
    <m/>
    <m/>
    <n v="0.5"/>
    <n v="0.5"/>
    <n v="0.5"/>
    <n v="0.5"/>
    <m/>
    <m/>
    <m/>
    <m/>
    <m/>
    <m/>
    <m/>
    <m/>
    <m/>
    <m/>
    <m/>
    <n v="2"/>
    <n v="2"/>
    <m/>
    <m/>
    <m/>
    <n v="517060"/>
    <n v="170217"/>
    <x v="14"/>
    <x v="1"/>
    <x v="0"/>
    <x v="0"/>
    <m/>
    <x v="0"/>
    <x v="0"/>
    <s v="CA83 Wick Road"/>
    <x v="1"/>
    <s v="Y"/>
    <x v="7"/>
  </r>
  <r>
    <s v="20/1871/FUL"/>
    <x v="0"/>
    <x v="0"/>
    <x v="158"/>
    <d v="2025-10-20T00:00:00"/>
    <m/>
    <m/>
    <x v="0"/>
    <m/>
    <x v="2"/>
    <x v="0"/>
    <x v="0"/>
    <m/>
    <x v="2"/>
    <s v="Demolition of two blocks of lock-up garages and construction of 3 x 2 bed dwellings with associated structures and landscaping works."/>
    <s v="Land R/O 8 To 18 Atbara Road, Teddington"/>
    <s v="TW11"/>
    <m/>
    <m/>
    <m/>
    <m/>
    <m/>
    <m/>
    <m/>
    <m/>
    <m/>
    <n v="0"/>
    <m/>
    <m/>
    <n v="3"/>
    <m/>
    <m/>
    <m/>
    <m/>
    <m/>
    <m/>
    <n v="3"/>
    <n v="0"/>
    <n v="3"/>
    <n v="0"/>
    <n v="0"/>
    <n v="0"/>
    <n v="0"/>
    <n v="0"/>
    <n v="0"/>
    <n v="3"/>
    <x v="0"/>
    <m/>
    <n v="0.75"/>
    <n v="0.75"/>
    <n v="0.75"/>
    <n v="0.75"/>
    <m/>
    <m/>
    <m/>
    <m/>
    <m/>
    <m/>
    <m/>
    <m/>
    <m/>
    <m/>
    <m/>
    <m/>
    <n v="3"/>
    <n v="3"/>
    <m/>
    <m/>
    <m/>
    <n v="516900"/>
    <n v="170739"/>
    <x v="14"/>
    <x v="1"/>
    <x v="0"/>
    <x v="0"/>
    <m/>
    <x v="0"/>
    <x v="0"/>
    <m/>
    <x v="0"/>
    <s v="Y"/>
    <x v="7"/>
  </r>
  <r>
    <s v="20/3061/FUL"/>
    <x v="3"/>
    <x v="0"/>
    <x v="159"/>
    <d v="2027-08-22T00:00:00"/>
    <m/>
    <m/>
    <x v="1"/>
    <m/>
    <x v="2"/>
    <x v="0"/>
    <x v="0"/>
    <m/>
    <x v="2"/>
    <s v="Proposed rear ground floor and first floor extension with addition of a rear dormer and external alterations, creation of 2 x 2 bedroom units and 2 x studio units"/>
    <s v="58 Wellington Road, Hampton TW12 1JT"/>
    <s v="TW12 1JT"/>
    <m/>
    <n v="1"/>
    <m/>
    <n v="1"/>
    <m/>
    <m/>
    <m/>
    <m/>
    <m/>
    <n v="2"/>
    <m/>
    <n v="2"/>
    <n v="2"/>
    <m/>
    <m/>
    <m/>
    <m/>
    <m/>
    <m/>
    <n v="4"/>
    <n v="1"/>
    <n v="2"/>
    <n v="-1"/>
    <n v="0"/>
    <n v="0"/>
    <n v="0"/>
    <n v="0"/>
    <n v="0"/>
    <n v="2"/>
    <x v="0"/>
    <m/>
    <n v="0.5"/>
    <n v="0.5"/>
    <n v="0.5"/>
    <n v="0.5"/>
    <m/>
    <m/>
    <m/>
    <m/>
    <m/>
    <m/>
    <m/>
    <m/>
    <m/>
    <m/>
    <m/>
    <m/>
    <n v="2"/>
    <n v="2"/>
    <m/>
    <m/>
    <m/>
    <n v="514662"/>
    <n v="171708"/>
    <x v="6"/>
    <x v="1"/>
    <x v="0"/>
    <x v="0"/>
    <m/>
    <x v="0"/>
    <x v="0"/>
    <m/>
    <x v="0"/>
    <s v="Y"/>
    <x v="7"/>
  </r>
  <r>
    <s v="21/0586/FUL"/>
    <x v="3"/>
    <x v="0"/>
    <x v="160"/>
    <d v="2026-11-09T00:00:00"/>
    <m/>
    <m/>
    <x v="0"/>
    <m/>
    <x v="2"/>
    <x v="0"/>
    <x v="0"/>
    <m/>
    <x v="2"/>
    <s v="Demolition of Nos. 29 and 29b High Street and associated outbuildings, and erection of 8no. dwellings and 536.5sqm of Class E floorspace with associated works including the provision of 24 cycle spaces and 5 car parking spaces."/>
    <s v="29 To 31 High Street And Land To Rear Of High Street, Hampton Wick"/>
    <s v="KT1 4DA"/>
    <m/>
    <n v="1"/>
    <m/>
    <m/>
    <m/>
    <m/>
    <m/>
    <m/>
    <m/>
    <n v="1"/>
    <m/>
    <n v="7"/>
    <m/>
    <n v="1"/>
    <m/>
    <m/>
    <m/>
    <m/>
    <m/>
    <n v="8"/>
    <n v="6"/>
    <n v="0"/>
    <n v="1"/>
    <n v="0"/>
    <n v="0"/>
    <n v="0"/>
    <n v="0"/>
    <n v="0"/>
    <n v="7"/>
    <x v="0"/>
    <m/>
    <m/>
    <n v="3.5"/>
    <n v="3.5"/>
    <m/>
    <m/>
    <m/>
    <m/>
    <m/>
    <m/>
    <m/>
    <m/>
    <m/>
    <m/>
    <m/>
    <m/>
    <m/>
    <n v="7"/>
    <n v="7"/>
    <m/>
    <m/>
    <m/>
    <n v="517534"/>
    <n v="169493"/>
    <x v="14"/>
    <x v="1"/>
    <x v="0"/>
    <x v="0"/>
    <s v="Hampton Wick"/>
    <x v="1"/>
    <x v="0"/>
    <s v="CA18 Hampton Wick"/>
    <x v="1"/>
    <s v="Y"/>
    <x v="7"/>
  </r>
  <r>
    <s v="21/1528/FUL"/>
    <x v="2"/>
    <x v="0"/>
    <x v="161"/>
    <d v="2026-01-13T00:00:00"/>
    <m/>
    <m/>
    <x v="0"/>
    <m/>
    <x v="2"/>
    <x v="0"/>
    <x v="0"/>
    <m/>
    <x v="2"/>
    <s v="Second floor extension to create one additional one bed dwelling, together with car parking, cycle parking and associated landscaping works"/>
    <s v="Junction Court, 127 Station Road, Hampton"/>
    <s v="TW12 2AL"/>
    <m/>
    <m/>
    <m/>
    <m/>
    <m/>
    <m/>
    <m/>
    <m/>
    <m/>
    <n v="0"/>
    <m/>
    <n v="1"/>
    <m/>
    <m/>
    <m/>
    <m/>
    <m/>
    <m/>
    <m/>
    <n v="1"/>
    <n v="1"/>
    <n v="0"/>
    <n v="0"/>
    <n v="0"/>
    <n v="0"/>
    <n v="0"/>
    <n v="0"/>
    <n v="0"/>
    <n v="1"/>
    <x v="0"/>
    <m/>
    <n v="0.25"/>
    <n v="0.25"/>
    <n v="0.25"/>
    <n v="0.25"/>
    <m/>
    <m/>
    <m/>
    <m/>
    <m/>
    <m/>
    <m/>
    <m/>
    <m/>
    <m/>
    <m/>
    <m/>
    <n v="1"/>
    <n v="1"/>
    <m/>
    <m/>
    <m/>
    <n v="513359"/>
    <n v="169765"/>
    <x v="7"/>
    <x v="1"/>
    <x v="0"/>
    <x v="0"/>
    <m/>
    <x v="0"/>
    <x v="0"/>
    <m/>
    <x v="0"/>
    <s v="Y"/>
    <x v="1"/>
  </r>
  <r>
    <s v="21/1616/FUL"/>
    <x v="2"/>
    <x v="0"/>
    <x v="162"/>
    <d v="2027-01-11T00:00:00"/>
    <m/>
    <m/>
    <x v="0"/>
    <m/>
    <x v="2"/>
    <x v="0"/>
    <x v="0"/>
    <m/>
    <x v="2"/>
    <s v="Erection of 2nd floor roof extension to provide 4 flats (3 x one bedroom and 1 x two bedroom)"/>
    <s v="52 - 64 Heath Road, Twickenham"/>
    <s v="TW1 4BX"/>
    <m/>
    <m/>
    <m/>
    <m/>
    <m/>
    <m/>
    <m/>
    <m/>
    <m/>
    <n v="0"/>
    <m/>
    <n v="3"/>
    <n v="1"/>
    <m/>
    <m/>
    <m/>
    <m/>
    <m/>
    <m/>
    <n v="4"/>
    <n v="3"/>
    <n v="1"/>
    <n v="0"/>
    <n v="0"/>
    <n v="0"/>
    <n v="0"/>
    <n v="0"/>
    <n v="0"/>
    <n v="4"/>
    <x v="0"/>
    <m/>
    <m/>
    <n v="1"/>
    <n v="1"/>
    <n v="1"/>
    <n v="1"/>
    <m/>
    <m/>
    <m/>
    <m/>
    <m/>
    <m/>
    <m/>
    <m/>
    <m/>
    <m/>
    <m/>
    <n v="4"/>
    <n v="4"/>
    <m/>
    <m/>
    <m/>
    <n v="515974"/>
    <n v="173142"/>
    <x v="4"/>
    <x v="2"/>
    <x v="2"/>
    <x v="0"/>
    <m/>
    <x v="0"/>
    <x v="0"/>
    <m/>
    <x v="0"/>
    <s v="Y"/>
    <x v="2"/>
  </r>
  <r>
    <s v="21/1907/FUL"/>
    <x v="0"/>
    <x v="0"/>
    <x v="163"/>
    <d v="2025-09-13T00:00:00"/>
    <d v="2025-04-01T00:00:00"/>
    <m/>
    <x v="0"/>
    <m/>
    <x v="2"/>
    <x v="0"/>
    <x v="0"/>
    <m/>
    <x v="2"/>
    <s v="Demolition of Existing Two (2) Storey Detached Dwelling and Construction of New Two (2) Storey Detached Dwelling with Habitable Roof Space."/>
    <s v="42 Ormond Crescent, Hampton TW12 2TH"/>
    <s v="TW12 2TH"/>
    <m/>
    <m/>
    <m/>
    <n v="1"/>
    <m/>
    <m/>
    <m/>
    <m/>
    <m/>
    <n v="1"/>
    <m/>
    <m/>
    <m/>
    <m/>
    <m/>
    <n v="1"/>
    <m/>
    <m/>
    <m/>
    <n v="1"/>
    <n v="0"/>
    <n v="0"/>
    <n v="-1"/>
    <n v="0"/>
    <n v="1"/>
    <n v="0"/>
    <n v="0"/>
    <n v="0"/>
    <n v="0"/>
    <x v="0"/>
    <m/>
    <n v="0"/>
    <m/>
    <m/>
    <m/>
    <m/>
    <m/>
    <m/>
    <m/>
    <m/>
    <m/>
    <m/>
    <m/>
    <m/>
    <m/>
    <m/>
    <m/>
    <n v="0"/>
    <n v="0"/>
    <m/>
    <m/>
    <m/>
    <n v="513868"/>
    <n v="169976"/>
    <x v="7"/>
    <x v="1"/>
    <x v="0"/>
    <x v="0"/>
    <m/>
    <x v="0"/>
    <x v="0"/>
    <m/>
    <x v="0"/>
    <s v="Y"/>
    <x v="1"/>
  </r>
  <r>
    <s v="21/2209/FUL"/>
    <x v="3"/>
    <x v="0"/>
    <x v="164"/>
    <d v="2025-09-12T00:00:00"/>
    <d v="2025-09-11T00:00:00"/>
    <m/>
    <x v="0"/>
    <m/>
    <x v="2"/>
    <x v="0"/>
    <x v="0"/>
    <m/>
    <x v="2"/>
    <s v="Extension and subdivision of existing end of terrace house to form two maisonette flats."/>
    <s v="155 Priory Road, Hampton TW12 2PT"/>
    <s v="TW12 2PT"/>
    <m/>
    <m/>
    <m/>
    <n v="1"/>
    <m/>
    <m/>
    <m/>
    <m/>
    <m/>
    <n v="1"/>
    <m/>
    <m/>
    <n v="1"/>
    <n v="1"/>
    <m/>
    <m/>
    <m/>
    <m/>
    <m/>
    <n v="2"/>
    <n v="0"/>
    <n v="1"/>
    <n v="0"/>
    <n v="0"/>
    <n v="0"/>
    <n v="0"/>
    <n v="0"/>
    <n v="0"/>
    <n v="1"/>
    <x v="0"/>
    <m/>
    <n v="0.5"/>
    <n v="0.5"/>
    <m/>
    <m/>
    <m/>
    <m/>
    <m/>
    <m/>
    <m/>
    <m/>
    <m/>
    <m/>
    <m/>
    <m/>
    <m/>
    <m/>
    <n v="1"/>
    <n v="1"/>
    <m/>
    <m/>
    <m/>
    <n v="512620"/>
    <n v="170020"/>
    <x v="7"/>
    <x v="1"/>
    <x v="0"/>
    <x v="0"/>
    <m/>
    <x v="0"/>
    <x v="0"/>
    <m/>
    <x v="0"/>
    <s v="Y"/>
    <x v="1"/>
  </r>
  <r>
    <s v="21/2225/FUL"/>
    <x v="0"/>
    <x v="0"/>
    <x v="109"/>
    <d v="2025-04-21T00:00:00"/>
    <m/>
    <m/>
    <x v="0"/>
    <m/>
    <x v="2"/>
    <x v="0"/>
    <x v="0"/>
    <m/>
    <x v="2"/>
    <s v="Demolition of existing building and erection of replacement 5 bedroom dwelling including associated hard and soft landscaping, cycle store and outbuilding"/>
    <s v="22 Parke Road, Barnes SW13 9NG"/>
    <s v="SW13 9NG"/>
    <m/>
    <m/>
    <m/>
    <m/>
    <n v="1"/>
    <m/>
    <m/>
    <m/>
    <m/>
    <n v="1"/>
    <m/>
    <m/>
    <m/>
    <m/>
    <m/>
    <n v="1"/>
    <m/>
    <m/>
    <m/>
    <n v="1"/>
    <n v="0"/>
    <n v="0"/>
    <n v="0"/>
    <n v="-1"/>
    <n v="1"/>
    <n v="0"/>
    <n v="0"/>
    <n v="0"/>
    <n v="0"/>
    <x v="0"/>
    <m/>
    <n v="0"/>
    <m/>
    <m/>
    <m/>
    <m/>
    <m/>
    <m/>
    <m/>
    <m/>
    <m/>
    <m/>
    <m/>
    <m/>
    <m/>
    <m/>
    <m/>
    <n v="0"/>
    <n v="0"/>
    <m/>
    <m/>
    <m/>
    <n v="522088"/>
    <n v="177109"/>
    <x v="17"/>
    <x v="3"/>
    <x v="0"/>
    <x v="0"/>
    <m/>
    <x v="0"/>
    <x v="0"/>
    <m/>
    <x v="0"/>
    <m/>
    <x v="3"/>
  </r>
  <r>
    <s v="21/2758/FUL"/>
    <x v="0"/>
    <x v="0"/>
    <x v="165"/>
    <d v="2025-12-21T00:00:00"/>
    <d v="2025-09-30T00:00:00"/>
    <m/>
    <x v="0"/>
    <m/>
    <x v="2"/>
    <x v="1"/>
    <x v="0"/>
    <m/>
    <x v="2"/>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9"/>
    <n v="7"/>
    <n v="1"/>
    <m/>
    <m/>
    <m/>
    <m/>
    <m/>
    <n v="17"/>
    <n v="9"/>
    <n v="7"/>
    <n v="1"/>
    <n v="0"/>
    <n v="0"/>
    <n v="0"/>
    <n v="0"/>
    <n v="0"/>
    <n v="17"/>
    <x v="1"/>
    <m/>
    <m/>
    <m/>
    <n v="17"/>
    <m/>
    <m/>
    <m/>
    <m/>
    <m/>
    <m/>
    <m/>
    <m/>
    <m/>
    <m/>
    <m/>
    <m/>
    <m/>
    <n v="17"/>
    <n v="17"/>
    <m/>
    <m/>
    <m/>
    <n v="516311"/>
    <n v="173216"/>
    <x v="4"/>
    <x v="2"/>
    <x v="2"/>
    <x v="0"/>
    <m/>
    <x v="0"/>
    <x v="0"/>
    <s v="CA8 Twickenham Riverside"/>
    <x v="1"/>
    <s v="Y"/>
    <x v="2"/>
  </r>
  <r>
    <s v="21/2758/FUL"/>
    <x v="0"/>
    <x v="0"/>
    <x v="165"/>
    <d v="2025-12-21T00:00:00"/>
    <d v="2025-09-30T00:00:00"/>
    <m/>
    <x v="0"/>
    <m/>
    <x v="2"/>
    <x v="2"/>
    <x v="0"/>
    <m/>
    <x v="2"/>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ater Lane"/>
    <m/>
    <m/>
    <m/>
    <m/>
    <m/>
    <m/>
    <m/>
    <m/>
    <n v="0"/>
    <s v="Y"/>
    <n v="2"/>
    <n v="2"/>
    <m/>
    <m/>
    <m/>
    <m/>
    <m/>
    <m/>
    <n v="4"/>
    <n v="2"/>
    <n v="2"/>
    <n v="0"/>
    <n v="0"/>
    <n v="0"/>
    <n v="0"/>
    <n v="0"/>
    <n v="0"/>
    <n v="4"/>
    <x v="1"/>
    <m/>
    <m/>
    <m/>
    <n v="4"/>
    <m/>
    <m/>
    <m/>
    <m/>
    <m/>
    <m/>
    <m/>
    <m/>
    <m/>
    <m/>
    <m/>
    <m/>
    <m/>
    <n v="4"/>
    <n v="4"/>
    <m/>
    <m/>
    <m/>
    <n v="516311"/>
    <n v="173216"/>
    <x v="4"/>
    <x v="2"/>
    <x v="2"/>
    <x v="0"/>
    <m/>
    <x v="0"/>
    <x v="0"/>
    <s v="CA8 Twickenham Riverside"/>
    <x v="1"/>
    <s v="Y"/>
    <x v="2"/>
  </r>
  <r>
    <s v="21/2758/FUL"/>
    <x v="0"/>
    <x v="0"/>
    <x v="165"/>
    <d v="2025-12-21T00:00:00"/>
    <d v="2025-09-30T00:00:00"/>
    <m/>
    <x v="0"/>
    <m/>
    <x v="2"/>
    <x v="0"/>
    <x v="0"/>
    <m/>
    <x v="2"/>
    <s v="Demolition of existing buildings and structures and redevelopment of the site comprising 45 residential units (Use Class C3), ground floor commercial/retail/cafe (Use Class E), public house (Sui Generis), boathouse locker storage, floating pontoon and floating ecosystems with associated landscaping, reprovision of Diamond Jubilee Gardens, alterations to highway layout and parking provision and other relevant works."/>
    <s v="1-1C King Street, 2-4 Water Lane, The Embankment And River Wall, Water Lane, Wharf Lane And The Diamond Jubilee Gardens, Twickenham_x000a_"/>
    <s v="TW1 3DU"/>
    <s v="Wharf Lane"/>
    <m/>
    <m/>
    <m/>
    <m/>
    <m/>
    <m/>
    <m/>
    <m/>
    <n v="0"/>
    <m/>
    <n v="14"/>
    <n v="10"/>
    <m/>
    <m/>
    <m/>
    <m/>
    <m/>
    <m/>
    <n v="24"/>
    <n v="14"/>
    <n v="10"/>
    <n v="0"/>
    <n v="0"/>
    <n v="0"/>
    <n v="0"/>
    <n v="0"/>
    <n v="0"/>
    <n v="24"/>
    <x v="1"/>
    <m/>
    <m/>
    <m/>
    <n v="24"/>
    <m/>
    <m/>
    <m/>
    <m/>
    <m/>
    <m/>
    <m/>
    <m/>
    <m/>
    <m/>
    <m/>
    <m/>
    <m/>
    <n v="24"/>
    <n v="24"/>
    <m/>
    <m/>
    <m/>
    <n v="516311"/>
    <n v="173216"/>
    <x v="4"/>
    <x v="2"/>
    <x v="2"/>
    <x v="0"/>
    <m/>
    <x v="0"/>
    <x v="0"/>
    <s v="CA8 Twickenham Riverside"/>
    <x v="1"/>
    <s v="Y"/>
    <x v="2"/>
  </r>
  <r>
    <s v="21/2764/FUL"/>
    <x v="1"/>
    <x v="0"/>
    <x v="166"/>
    <d v="2025-06-28T00:00:00"/>
    <m/>
    <m/>
    <x v="0"/>
    <m/>
    <x v="2"/>
    <x v="0"/>
    <x v="0"/>
    <m/>
    <x v="2"/>
    <s v="Change of use of ground floor to create mixed Class E and C3 uses to provide a retail unit at ground floor, a separately accessed office in the basement and the replacement of the former tyre fitting bay and parking area with a building comprising two residential units"/>
    <s v="311 Upper Richmond Road West, East Sheen SW14 8QR"/>
    <s v="SW14 8QR"/>
    <m/>
    <m/>
    <m/>
    <m/>
    <m/>
    <m/>
    <m/>
    <m/>
    <m/>
    <n v="0"/>
    <m/>
    <n v="1"/>
    <n v="1"/>
    <m/>
    <m/>
    <m/>
    <m/>
    <m/>
    <m/>
    <n v="2"/>
    <n v="1"/>
    <n v="1"/>
    <n v="0"/>
    <n v="0"/>
    <n v="0"/>
    <n v="0"/>
    <n v="0"/>
    <n v="0"/>
    <n v="2"/>
    <x v="0"/>
    <m/>
    <n v="0.5"/>
    <n v="0.5"/>
    <n v="0.5"/>
    <n v="0.5"/>
    <m/>
    <m/>
    <m/>
    <m/>
    <m/>
    <m/>
    <m/>
    <m/>
    <m/>
    <m/>
    <m/>
    <m/>
    <n v="2"/>
    <n v="2"/>
    <m/>
    <m/>
    <m/>
    <n v="520700"/>
    <n v="175411"/>
    <x v="9"/>
    <x v="3"/>
    <x v="4"/>
    <x v="0"/>
    <m/>
    <x v="0"/>
    <x v="0"/>
    <m/>
    <x v="0"/>
    <s v="Y"/>
    <x v="5"/>
  </r>
  <r>
    <s v="21/2788/FUL"/>
    <x v="4"/>
    <x v="0"/>
    <x v="167"/>
    <d v="2025-12-16T00:00:00"/>
    <m/>
    <m/>
    <x v="0"/>
    <m/>
    <x v="2"/>
    <x v="0"/>
    <x v="0"/>
    <m/>
    <x v="2"/>
    <s v="Convert the building containing 9no. flats to 4no flats (Use Class C3) , car parking, extension to existing basement, two storey rear extension, replacement fenestrations at front of the property, replacement and new fenestrations  to rear and rear patio."/>
    <s v="13 Manor Road, Twickenham"/>
    <s v="TW2 5DF"/>
    <m/>
    <n v="9"/>
    <m/>
    <m/>
    <m/>
    <m/>
    <m/>
    <m/>
    <m/>
    <n v="9"/>
    <m/>
    <n v="1"/>
    <n v="3"/>
    <m/>
    <m/>
    <m/>
    <m/>
    <m/>
    <m/>
    <n v="4"/>
    <n v="-8"/>
    <n v="3"/>
    <n v="0"/>
    <n v="0"/>
    <n v="0"/>
    <n v="0"/>
    <n v="0"/>
    <n v="0"/>
    <n v="-5"/>
    <x v="0"/>
    <m/>
    <m/>
    <n v="-1.25"/>
    <n v="-1.25"/>
    <n v="-1.25"/>
    <n v="-1.25"/>
    <m/>
    <m/>
    <m/>
    <m/>
    <m/>
    <m/>
    <m/>
    <m/>
    <m/>
    <m/>
    <m/>
    <n v="-5"/>
    <n v="-5"/>
    <m/>
    <m/>
    <m/>
    <n v="514541"/>
    <n v="172794"/>
    <x v="16"/>
    <x v="2"/>
    <x v="0"/>
    <x v="0"/>
    <m/>
    <x v="0"/>
    <x v="0"/>
    <m/>
    <x v="0"/>
    <s v="Y"/>
    <x v="2"/>
  </r>
  <r>
    <s v="21/2970/FUL"/>
    <x v="3"/>
    <x v="0"/>
    <x v="168"/>
    <d v="2025-04-20T00:00:00"/>
    <m/>
    <m/>
    <x v="0"/>
    <m/>
    <x v="2"/>
    <x v="0"/>
    <x v="0"/>
    <m/>
    <x v="2"/>
    <s v="Change of use from retail (Use Class E) on first and second floors at no 19 to create a new, three bed maisonette; First floor side/rear extension and PV panels to existing roof of No.19; change of use and extension of roof space (Use Class E) at no. 19a, including rooflights, raising the roof eaves/ridge and a dormer extension to create a new Studio flat; New shop frontage, including separate residential access to No.19a."/>
    <s v="19 - 19A King Street, Richmond"/>
    <s v="TW9 1ND"/>
    <m/>
    <m/>
    <m/>
    <m/>
    <m/>
    <m/>
    <m/>
    <m/>
    <m/>
    <n v="0"/>
    <m/>
    <n v="1"/>
    <m/>
    <n v="1"/>
    <m/>
    <m/>
    <m/>
    <m/>
    <m/>
    <n v="2"/>
    <n v="1"/>
    <n v="0"/>
    <n v="1"/>
    <n v="0"/>
    <n v="0"/>
    <n v="0"/>
    <n v="0"/>
    <n v="0"/>
    <n v="2"/>
    <x v="0"/>
    <m/>
    <n v="0.5"/>
    <n v="0.5"/>
    <n v="0.5"/>
    <n v="0.5"/>
    <m/>
    <m/>
    <m/>
    <m/>
    <m/>
    <m/>
    <m/>
    <m/>
    <m/>
    <m/>
    <m/>
    <m/>
    <n v="2"/>
    <n v="2"/>
    <m/>
    <m/>
    <m/>
    <n v="517711"/>
    <n v="174824"/>
    <x v="12"/>
    <x v="4"/>
    <x v="3"/>
    <x v="0"/>
    <m/>
    <x v="0"/>
    <x v="0"/>
    <s v="CA3 Richmond Green"/>
    <x v="1"/>
    <s v="Y"/>
    <x v="4"/>
  </r>
  <r>
    <s v="21/4201/FUL"/>
    <x v="0"/>
    <x v="0"/>
    <x v="169"/>
    <d v="2025-10-21T00:00:00"/>
    <m/>
    <m/>
    <x v="0"/>
    <m/>
    <x v="2"/>
    <x v="0"/>
    <x v="0"/>
    <m/>
    <x v="2"/>
    <s v="Erection of a new dwellinghouse with associated parking and landscaping following the demolition of the existing house."/>
    <s v="5 Monmouth Avenue, Hampton Wick KT1 4HR"/>
    <s v="KT1 4HR"/>
    <m/>
    <m/>
    <m/>
    <n v="1"/>
    <m/>
    <m/>
    <m/>
    <m/>
    <m/>
    <n v="1"/>
    <m/>
    <m/>
    <m/>
    <m/>
    <n v="1"/>
    <m/>
    <m/>
    <m/>
    <m/>
    <n v="1"/>
    <n v="0"/>
    <n v="0"/>
    <n v="-1"/>
    <n v="1"/>
    <n v="0"/>
    <n v="0"/>
    <n v="0"/>
    <n v="0"/>
    <n v="0"/>
    <x v="0"/>
    <m/>
    <n v="0"/>
    <m/>
    <m/>
    <m/>
    <m/>
    <m/>
    <m/>
    <m/>
    <m/>
    <m/>
    <m/>
    <m/>
    <m/>
    <m/>
    <m/>
    <m/>
    <n v="0"/>
    <n v="0"/>
    <m/>
    <m/>
    <m/>
    <n v="517494"/>
    <n v="170095"/>
    <x v="14"/>
    <x v="1"/>
    <x v="0"/>
    <x v="0"/>
    <m/>
    <x v="0"/>
    <x v="0"/>
    <m/>
    <x v="0"/>
    <s v="Y"/>
    <x v="7"/>
  </r>
  <r>
    <s v="21/4257/FUL"/>
    <x v="0"/>
    <x v="0"/>
    <x v="170"/>
    <d v="2025-09-05T00:00:00"/>
    <d v="2025-08-25T00:00:00"/>
    <m/>
    <x v="0"/>
    <m/>
    <x v="2"/>
    <x v="0"/>
    <x v="0"/>
    <m/>
    <x v="2"/>
    <s v="Demolition of Existing House and Garaging and Erection of New Replacement Two Storey House with Part Basement, Additional Accommodation within the Roof Space, Attached Garages and External Works."/>
    <s v="Denbigh, 34 Lower Teddington Road, Hampton Wick KT1 4HJ"/>
    <s v="KT1 4HJ"/>
    <m/>
    <m/>
    <m/>
    <m/>
    <m/>
    <n v="1"/>
    <m/>
    <m/>
    <m/>
    <n v="1"/>
    <m/>
    <m/>
    <m/>
    <m/>
    <m/>
    <n v="1"/>
    <m/>
    <m/>
    <m/>
    <n v="1"/>
    <n v="0"/>
    <n v="0"/>
    <n v="0"/>
    <n v="0"/>
    <n v="0"/>
    <n v="0"/>
    <n v="0"/>
    <n v="0"/>
    <n v="0"/>
    <x v="0"/>
    <m/>
    <n v="0"/>
    <m/>
    <m/>
    <m/>
    <m/>
    <m/>
    <m/>
    <m/>
    <m/>
    <m/>
    <m/>
    <m/>
    <m/>
    <m/>
    <m/>
    <m/>
    <n v="0"/>
    <n v="0"/>
    <m/>
    <m/>
    <m/>
    <n v="517694"/>
    <n v="170046"/>
    <x v="14"/>
    <x v="1"/>
    <x v="0"/>
    <x v="1"/>
    <m/>
    <x v="0"/>
    <x v="6"/>
    <s v="CA18 Hampton Wick"/>
    <x v="1"/>
    <s v="Y"/>
    <x v="7"/>
  </r>
  <r>
    <s v="21/4262/FUL"/>
    <x v="1"/>
    <x v="0"/>
    <x v="33"/>
    <d v="2026-03-13T00:00:00"/>
    <m/>
    <m/>
    <x v="0"/>
    <m/>
    <x v="2"/>
    <x v="0"/>
    <x v="0"/>
    <m/>
    <x v="2"/>
    <s v="A new window opening to the rear and change of use of existing office to C3 (residential) use to provide one bedroom flat"/>
    <s v="41 Barnes High Street, Barnes SW13 9LN"/>
    <s v="SW13 9LN"/>
    <m/>
    <m/>
    <m/>
    <m/>
    <m/>
    <m/>
    <m/>
    <m/>
    <m/>
    <n v="0"/>
    <m/>
    <n v="1"/>
    <m/>
    <m/>
    <m/>
    <m/>
    <m/>
    <m/>
    <m/>
    <n v="1"/>
    <n v="1"/>
    <n v="0"/>
    <n v="0"/>
    <n v="0"/>
    <n v="0"/>
    <n v="0"/>
    <n v="0"/>
    <n v="0"/>
    <n v="1"/>
    <x v="0"/>
    <m/>
    <n v="0.25"/>
    <n v="0.25"/>
    <n v="0.25"/>
    <n v="0.25"/>
    <m/>
    <m/>
    <m/>
    <m/>
    <m/>
    <m/>
    <m/>
    <m/>
    <m/>
    <m/>
    <m/>
    <m/>
    <n v="1"/>
    <n v="1"/>
    <m/>
    <m/>
    <m/>
    <n v="521585"/>
    <n v="176415"/>
    <x v="17"/>
    <x v="3"/>
    <x v="0"/>
    <x v="1"/>
    <s v="High Street, Barnes"/>
    <x v="1"/>
    <x v="0"/>
    <s v="CA1 Barnes Green"/>
    <x v="1"/>
    <s v="Y"/>
    <x v="3"/>
  </r>
  <r>
    <s v="21/4417/FUL"/>
    <x v="2"/>
    <x v="0"/>
    <x v="149"/>
    <d v="2027-09-26T00:00:00"/>
    <m/>
    <m/>
    <x v="1"/>
    <m/>
    <x v="2"/>
    <x v="0"/>
    <x v="0"/>
    <m/>
    <x v="2"/>
    <s v="Part extension to rear at first floor level and additional floor to facilitate the creation of 6 new residential flats including alterations/extensions to existing first floor flats and addition of external terraces."/>
    <s v="36 And 38 And 40 York Street, Twickenham"/>
    <s v="TW1 3LJ"/>
    <m/>
    <m/>
    <m/>
    <m/>
    <m/>
    <m/>
    <m/>
    <m/>
    <m/>
    <n v="0"/>
    <m/>
    <n v="5"/>
    <n v="1"/>
    <m/>
    <m/>
    <m/>
    <m/>
    <m/>
    <m/>
    <n v="6"/>
    <n v="5"/>
    <n v="1"/>
    <n v="0"/>
    <n v="0"/>
    <n v="0"/>
    <n v="0"/>
    <n v="0"/>
    <n v="0"/>
    <n v="6"/>
    <x v="0"/>
    <m/>
    <m/>
    <n v="1.5"/>
    <n v="1.5"/>
    <n v="1.5"/>
    <n v="1.5"/>
    <m/>
    <m/>
    <m/>
    <m/>
    <m/>
    <m/>
    <m/>
    <m/>
    <m/>
    <m/>
    <m/>
    <n v="6"/>
    <n v="6"/>
    <m/>
    <m/>
    <m/>
    <n v="516375"/>
    <n v="173378"/>
    <x v="4"/>
    <x v="2"/>
    <x v="2"/>
    <x v="0"/>
    <m/>
    <x v="0"/>
    <x v="0"/>
    <s v="CA8 Twickenham Riverside"/>
    <x v="1"/>
    <s v="Y"/>
    <x v="2"/>
  </r>
  <r>
    <s v="22/0208/FUL"/>
    <x v="0"/>
    <x v="0"/>
    <x v="171"/>
    <d v="2025-09-02T00:00:00"/>
    <m/>
    <m/>
    <x v="0"/>
    <m/>
    <x v="2"/>
    <x v="0"/>
    <x v="0"/>
    <m/>
    <x v="2"/>
    <s v="Construction of two-storey house with basement."/>
    <s v="3 Bridle Lane, Twickenham TW1 3EG"/>
    <s v="TW1 3EG"/>
    <m/>
    <m/>
    <m/>
    <m/>
    <m/>
    <m/>
    <m/>
    <m/>
    <m/>
    <n v="0"/>
    <m/>
    <m/>
    <n v="1"/>
    <m/>
    <m/>
    <m/>
    <m/>
    <m/>
    <m/>
    <n v="1"/>
    <n v="0"/>
    <n v="1"/>
    <n v="0"/>
    <n v="0"/>
    <n v="0"/>
    <n v="0"/>
    <n v="0"/>
    <n v="0"/>
    <n v="1"/>
    <x v="0"/>
    <m/>
    <n v="0.25"/>
    <n v="0.25"/>
    <n v="0.25"/>
    <n v="0.25"/>
    <m/>
    <m/>
    <m/>
    <m/>
    <m/>
    <m/>
    <m/>
    <m/>
    <m/>
    <m/>
    <m/>
    <m/>
    <n v="1"/>
    <n v="1"/>
    <m/>
    <m/>
    <m/>
    <n v="516814"/>
    <n v="174183"/>
    <x v="3"/>
    <x v="2"/>
    <x v="0"/>
    <x v="0"/>
    <m/>
    <x v="0"/>
    <x v="0"/>
    <m/>
    <x v="0"/>
    <s v="Y"/>
    <x v="2"/>
  </r>
  <r>
    <s v="22/0252/HOT"/>
    <x v="0"/>
    <x v="5"/>
    <x v="172"/>
    <d v="2026-09-28T00:00:00"/>
    <m/>
    <m/>
    <x v="0"/>
    <m/>
    <x v="2"/>
    <x v="0"/>
    <x v="0"/>
    <m/>
    <x v="2"/>
    <s v="Construction of new 2 storey house in garden."/>
    <s v="39 Second Cross Road, Twickenham TW2 5QY"/>
    <s v="TW2 5QY"/>
    <m/>
    <m/>
    <m/>
    <m/>
    <m/>
    <m/>
    <m/>
    <m/>
    <m/>
    <n v="0"/>
    <m/>
    <m/>
    <n v="1"/>
    <m/>
    <m/>
    <m/>
    <m/>
    <m/>
    <m/>
    <n v="1"/>
    <n v="0"/>
    <n v="1"/>
    <n v="0"/>
    <n v="0"/>
    <n v="0"/>
    <n v="0"/>
    <n v="0"/>
    <n v="0"/>
    <n v="1"/>
    <x v="0"/>
    <m/>
    <n v="0.25"/>
    <n v="0.25"/>
    <n v="0.25"/>
    <n v="0.25"/>
    <m/>
    <m/>
    <m/>
    <m/>
    <m/>
    <m/>
    <m/>
    <m/>
    <m/>
    <m/>
    <m/>
    <m/>
    <n v="1"/>
    <n v="1"/>
    <m/>
    <m/>
    <m/>
    <n v="515083"/>
    <n v="172833"/>
    <x v="16"/>
    <x v="2"/>
    <x v="0"/>
    <x v="0"/>
    <m/>
    <x v="0"/>
    <x v="0"/>
    <s v="CA9 Twickenham Green"/>
    <x v="1"/>
    <s v="Y"/>
    <x v="2"/>
  </r>
  <r>
    <s v="22/1001/FUL"/>
    <x v="0"/>
    <x v="0"/>
    <x v="131"/>
    <d v="2026-08-08T00:00:00"/>
    <m/>
    <m/>
    <x v="0"/>
    <m/>
    <x v="2"/>
    <x v="0"/>
    <x v="0"/>
    <m/>
    <x v="2"/>
    <s v="Erection of a one and a half storey, three-bedroom house in the rear garden of No. 33 (including land to the rear of No. 35-35a) Wensleydale Road, with accommodation at basement level, associated hard and soft landscaping, 4 no. parking, refuse/recycling"/>
    <s v="33 Wensleydale Road, Hampton TW12 2LP"/>
    <s v="TW12 2LP"/>
    <m/>
    <m/>
    <m/>
    <m/>
    <m/>
    <m/>
    <m/>
    <m/>
    <m/>
    <n v="0"/>
    <m/>
    <m/>
    <m/>
    <n v="1"/>
    <m/>
    <m/>
    <m/>
    <m/>
    <m/>
    <n v="1"/>
    <n v="0"/>
    <n v="0"/>
    <n v="1"/>
    <n v="0"/>
    <n v="0"/>
    <n v="0"/>
    <n v="0"/>
    <n v="0"/>
    <n v="1"/>
    <x v="0"/>
    <m/>
    <n v="0.25"/>
    <n v="0.25"/>
    <n v="0.25"/>
    <n v="0.25"/>
    <m/>
    <m/>
    <m/>
    <m/>
    <m/>
    <m/>
    <m/>
    <m/>
    <m/>
    <m/>
    <m/>
    <m/>
    <n v="1"/>
    <n v="1"/>
    <m/>
    <m/>
    <m/>
    <n v="513515"/>
    <n v="170047"/>
    <x v="7"/>
    <x v="1"/>
    <x v="0"/>
    <x v="0"/>
    <m/>
    <x v="0"/>
    <x v="0"/>
    <m/>
    <x v="0"/>
    <s v="Y"/>
    <x v="1"/>
  </r>
  <r>
    <s v="22/1029/FUL"/>
    <x v="1"/>
    <x v="0"/>
    <x v="173"/>
    <d v="2027-04-26T00:00:00"/>
    <m/>
    <m/>
    <x v="1"/>
    <m/>
    <x v="2"/>
    <x v="0"/>
    <x v="0"/>
    <m/>
    <x v="2"/>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m/>
    <n v="46"/>
    <n v="14"/>
    <n v="6"/>
    <m/>
    <m/>
    <m/>
    <m/>
    <m/>
    <n v="66"/>
    <n v="46"/>
    <n v="14"/>
    <n v="6"/>
    <n v="0"/>
    <n v="0"/>
    <n v="0"/>
    <n v="0"/>
    <n v="0"/>
    <n v="66"/>
    <x v="1"/>
    <m/>
    <m/>
    <n v="33"/>
    <n v="33"/>
    <m/>
    <m/>
    <m/>
    <m/>
    <m/>
    <m/>
    <m/>
    <m/>
    <m/>
    <m/>
    <m/>
    <m/>
    <m/>
    <n v="66"/>
    <n v="66"/>
    <m/>
    <m/>
    <m/>
    <n v="517487"/>
    <n v="169400"/>
    <x v="14"/>
    <x v="1"/>
    <x v="0"/>
    <x v="0"/>
    <s v="Hampton Wick"/>
    <x v="1"/>
    <x v="0"/>
    <s v="CA18 Hampton Wick"/>
    <x v="1"/>
    <s v="Y"/>
    <x v="7"/>
  </r>
  <r>
    <s v="22/1029/FUL"/>
    <x v="1"/>
    <x v="0"/>
    <x v="173"/>
    <d v="2027-04-26T00:00:00"/>
    <m/>
    <m/>
    <x v="1"/>
    <m/>
    <x v="2"/>
    <x v="6"/>
    <x v="0"/>
    <m/>
    <x v="2"/>
    <s v="Change of use of the building from student accommodation to provide 70 residential flats (C3 Use Class)  including 4 social rent units, and 7 wheelchair accessible  dwellings M4(3), facade and elevational alterations, infill extension at ground floor leve"/>
    <s v="Kingston Bridge House, Church Grove, Hampton Wick KT1 4AG"/>
    <s v="KT1 4AG"/>
    <m/>
    <m/>
    <m/>
    <m/>
    <m/>
    <m/>
    <m/>
    <m/>
    <m/>
    <n v="0"/>
    <s v="Y"/>
    <n v="2"/>
    <n v="1"/>
    <n v="1"/>
    <m/>
    <m/>
    <m/>
    <m/>
    <m/>
    <n v="4"/>
    <n v="2"/>
    <n v="1"/>
    <n v="1"/>
    <n v="0"/>
    <n v="0"/>
    <n v="0"/>
    <n v="0"/>
    <n v="0"/>
    <n v="4"/>
    <x v="1"/>
    <m/>
    <m/>
    <n v="2"/>
    <n v="2"/>
    <m/>
    <m/>
    <m/>
    <m/>
    <m/>
    <m/>
    <m/>
    <m/>
    <m/>
    <m/>
    <m/>
    <m/>
    <m/>
    <n v="4"/>
    <n v="4"/>
    <m/>
    <m/>
    <m/>
    <n v="517487"/>
    <n v="169400"/>
    <x v="14"/>
    <x v="1"/>
    <x v="0"/>
    <x v="0"/>
    <s v="Hampton Wick"/>
    <x v="1"/>
    <x v="0"/>
    <s v="CA18 Hampton Wick"/>
    <x v="1"/>
    <s v="Y"/>
    <x v="7"/>
  </r>
  <r>
    <s v="22/1075/FUL"/>
    <x v="1"/>
    <x v="0"/>
    <x v="22"/>
    <d v="2026-02-07T00:00:00"/>
    <d v="2024-07-25T00:00:00"/>
    <m/>
    <x v="0"/>
    <d v="2025-05-14T00:00:00"/>
    <x v="2"/>
    <x v="0"/>
    <x v="0"/>
    <m/>
    <x v="2"/>
    <s v="Change of use of first floor from self-contained residential flat to office. Internal alterations including, upgrading the fire escape route, refurbishment of the kitchen to a tea room and WC facilities . Painting and decorating all rooms and corridors throughout the new offices and stair well to the private entrance."/>
    <s v="First Floor Flat, Teddington District Library, Waldegrave Road, Teddington TW11 8NY"/>
    <s v="TW11 8NY"/>
    <m/>
    <m/>
    <n v="1"/>
    <m/>
    <m/>
    <m/>
    <m/>
    <m/>
    <m/>
    <n v="1"/>
    <m/>
    <m/>
    <m/>
    <m/>
    <m/>
    <m/>
    <m/>
    <m/>
    <m/>
    <n v="0"/>
    <n v="0"/>
    <n v="-1"/>
    <n v="0"/>
    <n v="0"/>
    <n v="0"/>
    <n v="0"/>
    <n v="0"/>
    <n v="0"/>
    <n v="-1"/>
    <x v="0"/>
    <m/>
    <n v="-1"/>
    <m/>
    <m/>
    <m/>
    <m/>
    <m/>
    <m/>
    <m/>
    <m/>
    <m/>
    <m/>
    <m/>
    <m/>
    <m/>
    <m/>
    <m/>
    <n v="-1"/>
    <n v="-1"/>
    <m/>
    <m/>
    <m/>
    <n v="515895"/>
    <n v="171171"/>
    <x v="11"/>
    <x v="1"/>
    <x v="5"/>
    <x v="0"/>
    <m/>
    <x v="0"/>
    <x v="0"/>
    <s v="CA37 High Street Teddington"/>
    <x v="1"/>
    <s v="Y"/>
    <x v="7"/>
  </r>
  <r>
    <s v="22/1082/FUL"/>
    <x v="0"/>
    <x v="0"/>
    <x v="174"/>
    <d v="2026-06-20T00:00:00"/>
    <m/>
    <m/>
    <x v="0"/>
    <m/>
    <x v="2"/>
    <x v="0"/>
    <x v="0"/>
    <m/>
    <x v="2"/>
    <s v="Redevelopment of existing vacant car parking site to provide a two-storey one-bedroom detached dwellinghouse."/>
    <s v="Land Off Taylor Close, Hampton Hill"/>
    <s v="TW12 1HL"/>
    <m/>
    <m/>
    <m/>
    <m/>
    <m/>
    <m/>
    <m/>
    <m/>
    <m/>
    <n v="0"/>
    <m/>
    <n v="1"/>
    <m/>
    <m/>
    <m/>
    <m/>
    <m/>
    <m/>
    <m/>
    <n v="1"/>
    <n v="1"/>
    <n v="0"/>
    <n v="0"/>
    <n v="0"/>
    <n v="0"/>
    <n v="0"/>
    <n v="0"/>
    <n v="0"/>
    <n v="1"/>
    <x v="0"/>
    <m/>
    <n v="0.25"/>
    <n v="0.25"/>
    <n v="0.25"/>
    <n v="0.25"/>
    <m/>
    <m/>
    <m/>
    <m/>
    <m/>
    <m/>
    <m/>
    <m/>
    <m/>
    <m/>
    <m/>
    <m/>
    <n v="1"/>
    <n v="1"/>
    <m/>
    <m/>
    <m/>
    <n v="514372"/>
    <n v="171120"/>
    <x v="6"/>
    <x v="1"/>
    <x v="0"/>
    <x v="0"/>
    <s v="High Street, Hampton Hill"/>
    <x v="1"/>
    <x v="0"/>
    <m/>
    <x v="0"/>
    <m/>
    <x v="1"/>
  </r>
  <r>
    <s v="22/1106/GPD26"/>
    <x v="1"/>
    <x v="1"/>
    <x v="175"/>
    <d v="2025-05-30T00:00:00"/>
    <m/>
    <m/>
    <x v="0"/>
    <m/>
    <x v="2"/>
    <x v="0"/>
    <x v="0"/>
    <m/>
    <x v="2"/>
    <s v="Conversion of a shop to single family dwelling house."/>
    <s v="1 Station Road, Teddington TW11 9AA"/>
    <s v="TW11 9AA"/>
    <m/>
    <m/>
    <m/>
    <m/>
    <m/>
    <m/>
    <m/>
    <m/>
    <m/>
    <n v="0"/>
    <m/>
    <m/>
    <n v="1"/>
    <m/>
    <m/>
    <m/>
    <m/>
    <m/>
    <m/>
    <n v="1"/>
    <n v="0"/>
    <n v="1"/>
    <n v="0"/>
    <n v="0"/>
    <n v="0"/>
    <n v="0"/>
    <n v="0"/>
    <n v="0"/>
    <n v="1"/>
    <x v="0"/>
    <m/>
    <n v="0.25"/>
    <n v="0.25"/>
    <n v="0.25"/>
    <n v="0.25"/>
    <m/>
    <m/>
    <m/>
    <m/>
    <m/>
    <m/>
    <m/>
    <m/>
    <m/>
    <m/>
    <m/>
    <m/>
    <n v="1"/>
    <n v="1"/>
    <m/>
    <m/>
    <m/>
    <n v="515985"/>
    <n v="171070"/>
    <x v="11"/>
    <x v="1"/>
    <x v="5"/>
    <x v="0"/>
    <m/>
    <x v="0"/>
    <x v="0"/>
    <s v="CA37 High Street Teddington"/>
    <x v="1"/>
    <s v="Y"/>
    <x v="7"/>
  </r>
  <r>
    <s v="22/1219/FUL"/>
    <x v="4"/>
    <x v="0"/>
    <x v="176"/>
    <d v="2026-09-28T00:00:00"/>
    <m/>
    <m/>
    <x v="0"/>
    <m/>
    <x v="2"/>
    <x v="0"/>
    <x v="0"/>
    <m/>
    <x v="2"/>
    <s v="Subdivision of the existing dwelling into 2no. self-contained flats along with the construction of a rear extension, single storey infill extensions and 2x dormer windows with associated parking and amenity space."/>
    <s v="602 Hanworth Road, Whitton TW4 5LJ"/>
    <s v="TW4 5LJ"/>
    <m/>
    <m/>
    <m/>
    <n v="1"/>
    <m/>
    <m/>
    <m/>
    <m/>
    <m/>
    <n v="1"/>
    <m/>
    <m/>
    <n v="2"/>
    <m/>
    <m/>
    <m/>
    <m/>
    <m/>
    <m/>
    <n v="2"/>
    <n v="0"/>
    <n v="2"/>
    <n v="-1"/>
    <n v="0"/>
    <n v="0"/>
    <n v="0"/>
    <n v="0"/>
    <n v="0"/>
    <n v="1"/>
    <x v="0"/>
    <m/>
    <n v="0.25"/>
    <n v="0.25"/>
    <n v="0.25"/>
    <n v="0.25"/>
    <m/>
    <m/>
    <m/>
    <m/>
    <m/>
    <m/>
    <m/>
    <m/>
    <m/>
    <m/>
    <m/>
    <m/>
    <n v="1"/>
    <n v="1"/>
    <m/>
    <m/>
    <m/>
    <n v="512958"/>
    <n v="173983"/>
    <x v="15"/>
    <x v="0"/>
    <x v="0"/>
    <x v="0"/>
    <m/>
    <x v="0"/>
    <x v="0"/>
    <m/>
    <x v="0"/>
    <m/>
    <x v="0"/>
  </r>
  <r>
    <s v="22/1285/GPD26"/>
    <x v="1"/>
    <x v="1"/>
    <x v="177"/>
    <d v="2025-05-31T00:00:00"/>
    <d v="2025-04-01T00:00:00"/>
    <m/>
    <x v="0"/>
    <m/>
    <x v="2"/>
    <x v="0"/>
    <x v="0"/>
    <m/>
    <x v="2"/>
    <s v="Change of Use to Single Dwelling House"/>
    <s v="5 Bridle Lane, Twickenham TW1 3EG"/>
    <s v="TW1 3EG"/>
    <m/>
    <m/>
    <m/>
    <m/>
    <m/>
    <m/>
    <m/>
    <m/>
    <m/>
    <n v="0"/>
    <m/>
    <m/>
    <n v="1"/>
    <m/>
    <m/>
    <m/>
    <m/>
    <m/>
    <m/>
    <n v="1"/>
    <n v="0"/>
    <n v="1"/>
    <n v="0"/>
    <n v="0"/>
    <n v="0"/>
    <n v="0"/>
    <n v="0"/>
    <n v="0"/>
    <n v="1"/>
    <x v="0"/>
    <m/>
    <n v="1"/>
    <m/>
    <m/>
    <m/>
    <m/>
    <m/>
    <m/>
    <m/>
    <m/>
    <m/>
    <m/>
    <m/>
    <m/>
    <m/>
    <m/>
    <m/>
    <n v="1"/>
    <n v="1"/>
    <m/>
    <m/>
    <m/>
    <n v="516837"/>
    <n v="174180"/>
    <x v="3"/>
    <x v="2"/>
    <x v="0"/>
    <x v="0"/>
    <s v="St Margarets"/>
    <x v="1"/>
    <x v="0"/>
    <s v="CA49 Crown Road St Margarets"/>
    <x v="1"/>
    <s v="Y"/>
    <x v="2"/>
  </r>
  <r>
    <s v="22/1486/FUL"/>
    <x v="0"/>
    <x v="0"/>
    <x v="178"/>
    <d v="2026-09-20T00:00:00"/>
    <m/>
    <m/>
    <x v="0"/>
    <m/>
    <x v="2"/>
    <x v="0"/>
    <x v="0"/>
    <m/>
    <x v="2"/>
    <s v="Demolition of garage block and redevelopment of the site for two three storey four bed townhouses (Class C3) with associated amenity space, car and cycle parking and refuse stores"/>
    <s v="Garages Adjacent 11 Ferrymoor, Ham"/>
    <s v="TW10 7SD"/>
    <m/>
    <m/>
    <m/>
    <m/>
    <m/>
    <m/>
    <m/>
    <m/>
    <m/>
    <n v="0"/>
    <m/>
    <m/>
    <m/>
    <m/>
    <n v="2"/>
    <m/>
    <m/>
    <m/>
    <m/>
    <n v="2"/>
    <n v="0"/>
    <n v="0"/>
    <n v="0"/>
    <n v="2"/>
    <n v="0"/>
    <n v="0"/>
    <n v="0"/>
    <n v="0"/>
    <n v="2"/>
    <x v="0"/>
    <m/>
    <n v="0.5"/>
    <n v="0.5"/>
    <n v="0.5"/>
    <n v="0.5"/>
    <m/>
    <m/>
    <m/>
    <m/>
    <m/>
    <m/>
    <m/>
    <m/>
    <m/>
    <m/>
    <m/>
    <m/>
    <n v="2"/>
    <n v="2"/>
    <m/>
    <m/>
    <m/>
    <n v="516805"/>
    <n v="172149"/>
    <x v="10"/>
    <x v="5"/>
    <x v="0"/>
    <x v="0"/>
    <m/>
    <x v="0"/>
    <x v="0"/>
    <m/>
    <x v="0"/>
    <m/>
    <x v="6"/>
  </r>
  <r>
    <s v="22/1575/FUL"/>
    <x v="0"/>
    <x v="0"/>
    <x v="179"/>
    <d v="2026-01-09T00:00:00"/>
    <m/>
    <m/>
    <x v="0"/>
    <m/>
    <x v="2"/>
    <x v="0"/>
    <x v="0"/>
    <m/>
    <x v="2"/>
    <s v="Proposed two-storey 2-bedroom mews house with accommodation in the roof including parking, bicycle and bin storage and private amenity space"/>
    <s v="Land To Rear Of 177 High Street, Hampton Hill"/>
    <s v="TW12 1NL"/>
    <m/>
    <m/>
    <m/>
    <m/>
    <m/>
    <m/>
    <m/>
    <m/>
    <m/>
    <n v="0"/>
    <m/>
    <m/>
    <n v="1"/>
    <m/>
    <m/>
    <m/>
    <m/>
    <m/>
    <m/>
    <n v="1"/>
    <n v="0"/>
    <n v="1"/>
    <n v="0"/>
    <n v="0"/>
    <n v="0"/>
    <n v="0"/>
    <n v="0"/>
    <n v="0"/>
    <n v="1"/>
    <x v="0"/>
    <m/>
    <n v="0.25"/>
    <n v="0.25"/>
    <n v="0.25"/>
    <n v="0.25"/>
    <m/>
    <m/>
    <m/>
    <m/>
    <m/>
    <m/>
    <m/>
    <m/>
    <m/>
    <m/>
    <m/>
    <m/>
    <n v="1"/>
    <n v="1"/>
    <m/>
    <m/>
    <m/>
    <n v="514428"/>
    <n v="171230"/>
    <x v="6"/>
    <x v="1"/>
    <x v="0"/>
    <x v="0"/>
    <m/>
    <x v="0"/>
    <x v="0"/>
    <m/>
    <x v="0"/>
    <s v="Y"/>
    <x v="1"/>
  </r>
  <r>
    <s v="22/1769/GPD26"/>
    <x v="1"/>
    <x v="1"/>
    <x v="180"/>
    <d v="2025-09-18T00:00:00"/>
    <m/>
    <m/>
    <x v="0"/>
    <m/>
    <x v="2"/>
    <x v="0"/>
    <x v="0"/>
    <m/>
    <x v="2"/>
    <s v="Part change of use of the ground floor of the building from commercial premises (Use Class E) to 2 residential apartments (Use Class C3)."/>
    <s v="112 - 114 High Street, Whitton"/>
    <s v="TW2 7LD"/>
    <m/>
    <m/>
    <m/>
    <m/>
    <m/>
    <m/>
    <m/>
    <m/>
    <m/>
    <n v="0"/>
    <m/>
    <n v="2"/>
    <m/>
    <m/>
    <m/>
    <m/>
    <m/>
    <m/>
    <m/>
    <n v="2"/>
    <n v="2"/>
    <n v="0"/>
    <n v="0"/>
    <n v="0"/>
    <n v="0"/>
    <n v="0"/>
    <n v="0"/>
    <n v="0"/>
    <n v="2"/>
    <x v="0"/>
    <m/>
    <n v="0.5"/>
    <n v="0.5"/>
    <n v="0.5"/>
    <n v="0.5"/>
    <m/>
    <m/>
    <m/>
    <m/>
    <m/>
    <m/>
    <m/>
    <m/>
    <m/>
    <m/>
    <m/>
    <m/>
    <n v="2"/>
    <n v="2"/>
    <m/>
    <m/>
    <m/>
    <n v="514180"/>
    <n v="173646"/>
    <x v="0"/>
    <x v="0"/>
    <x v="1"/>
    <x v="0"/>
    <m/>
    <x v="0"/>
    <x v="0"/>
    <m/>
    <x v="0"/>
    <s v="Y"/>
    <x v="0"/>
  </r>
  <r>
    <s v="22/1825/FUL"/>
    <x v="0"/>
    <x v="0"/>
    <x v="123"/>
    <d v="2025-11-07T00:00:00"/>
    <m/>
    <m/>
    <x v="0"/>
    <m/>
    <x v="2"/>
    <x v="6"/>
    <x v="0"/>
    <m/>
    <x v="2"/>
    <s v="Demolition of existing dwelling and associated outbuildings, and erection of 4no. new 1bed and 2bed affordable flats, with associated landscaping, cycle and refuse stores"/>
    <s v="88 Richmond Road, Twickenham TW1 3BB"/>
    <s v="TW1 3BB"/>
    <m/>
    <m/>
    <m/>
    <n v="1"/>
    <m/>
    <m/>
    <m/>
    <m/>
    <m/>
    <n v="1"/>
    <s v="Y"/>
    <n v="3"/>
    <n v="1"/>
    <m/>
    <m/>
    <m/>
    <m/>
    <m/>
    <m/>
    <n v="4"/>
    <n v="3"/>
    <n v="1"/>
    <n v="-1"/>
    <n v="0"/>
    <n v="0"/>
    <n v="0"/>
    <n v="0"/>
    <n v="0"/>
    <n v="3"/>
    <x v="0"/>
    <m/>
    <n v="0.75"/>
    <n v="0.75"/>
    <n v="0.75"/>
    <n v="0.75"/>
    <m/>
    <m/>
    <m/>
    <m/>
    <m/>
    <m/>
    <m/>
    <m/>
    <m/>
    <m/>
    <m/>
    <m/>
    <n v="3"/>
    <n v="3"/>
    <m/>
    <m/>
    <m/>
    <n v="516734"/>
    <n v="173647"/>
    <x v="4"/>
    <x v="2"/>
    <x v="0"/>
    <x v="0"/>
    <m/>
    <x v="0"/>
    <x v="7"/>
    <s v="CA8 Twickenham Riverside"/>
    <x v="1"/>
    <s v="Y"/>
    <x v="2"/>
  </r>
  <r>
    <s v="22/1831/FUL"/>
    <x v="0"/>
    <x v="0"/>
    <x v="181"/>
    <d v="2026-04-28T00:00:00"/>
    <d v="2025-04-01T00:00:00"/>
    <m/>
    <x v="0"/>
    <m/>
    <x v="2"/>
    <x v="0"/>
    <x v="0"/>
    <m/>
    <x v="2"/>
    <s v="Erection of 2 detached dwellings with associated off street parking &amp; private amenity space which accommodates refuse and cycle storage."/>
    <s v="Willowdene, Millfield Road, Whitton TW4 5PN"/>
    <s v="TW4 5PN"/>
    <m/>
    <m/>
    <m/>
    <m/>
    <m/>
    <m/>
    <m/>
    <m/>
    <m/>
    <n v="0"/>
    <m/>
    <m/>
    <n v="1"/>
    <m/>
    <n v="1"/>
    <m/>
    <m/>
    <m/>
    <m/>
    <n v="2"/>
    <n v="0"/>
    <n v="1"/>
    <n v="0"/>
    <n v="1"/>
    <n v="0"/>
    <n v="0"/>
    <n v="0"/>
    <n v="0"/>
    <n v="2"/>
    <x v="0"/>
    <m/>
    <m/>
    <n v="1"/>
    <n v="1"/>
    <m/>
    <m/>
    <m/>
    <m/>
    <m/>
    <m/>
    <m/>
    <m/>
    <m/>
    <m/>
    <m/>
    <m/>
    <m/>
    <n v="2"/>
    <n v="2"/>
    <m/>
    <m/>
    <m/>
    <n v="512514"/>
    <n v="173445"/>
    <x v="15"/>
    <x v="0"/>
    <x v="0"/>
    <x v="0"/>
    <m/>
    <x v="0"/>
    <x v="0"/>
    <m/>
    <x v="0"/>
    <m/>
    <x v="0"/>
  </r>
  <r>
    <s v="22/1916/FUL"/>
    <x v="0"/>
    <x v="0"/>
    <x v="182"/>
    <d v="2025-10-12T00:00:00"/>
    <m/>
    <m/>
    <x v="0"/>
    <m/>
    <x v="2"/>
    <x v="0"/>
    <x v="0"/>
    <m/>
    <x v="2"/>
    <s v="Demolition of an existing detached residence and construction of a replacement 2 storey 5 bedroom house and associated hard and soft landscaping, refuse and cycle parking facilities"/>
    <s v="32 Sandy Lane, Petersham, Richmond TW10 7EL"/>
    <s v="TW10 7EL"/>
    <m/>
    <m/>
    <m/>
    <n v="1"/>
    <m/>
    <m/>
    <m/>
    <m/>
    <m/>
    <n v="1"/>
    <m/>
    <m/>
    <m/>
    <m/>
    <m/>
    <n v="1"/>
    <m/>
    <m/>
    <m/>
    <n v="1"/>
    <n v="0"/>
    <n v="0"/>
    <n v="-1"/>
    <n v="0"/>
    <n v="1"/>
    <n v="0"/>
    <n v="0"/>
    <n v="0"/>
    <n v="0"/>
    <x v="0"/>
    <m/>
    <n v="0"/>
    <m/>
    <m/>
    <m/>
    <m/>
    <m/>
    <m/>
    <m/>
    <m/>
    <m/>
    <m/>
    <m/>
    <m/>
    <m/>
    <m/>
    <m/>
    <n v="0"/>
    <n v="0"/>
    <m/>
    <m/>
    <m/>
    <n v="517777"/>
    <n v="172645"/>
    <x v="10"/>
    <x v="5"/>
    <x v="0"/>
    <x v="0"/>
    <m/>
    <x v="0"/>
    <x v="0"/>
    <m/>
    <x v="0"/>
    <m/>
    <x v="6"/>
  </r>
  <r>
    <s v="22/2399/FUL"/>
    <x v="4"/>
    <x v="0"/>
    <x v="183"/>
    <d v="2025-12-13T00:00:00"/>
    <d v="2025-11-25T00:00:00"/>
    <m/>
    <x v="0"/>
    <m/>
    <x v="2"/>
    <x v="0"/>
    <x v="0"/>
    <m/>
    <x v="2"/>
    <s v="Single storey rear extension, side dormer roof extension with solar panels, rooflights on front and side roof slopes, replacement fenestration and associated bin store to facilitate the conversion of two flats into a single dwellinghouse."/>
    <s v="92 Palewell Park, East Sheen SW14 8JH"/>
    <s v="SW14 8JH"/>
    <m/>
    <n v="1"/>
    <n v="1"/>
    <m/>
    <m/>
    <m/>
    <m/>
    <m/>
    <m/>
    <n v="2"/>
    <m/>
    <m/>
    <m/>
    <m/>
    <n v="1"/>
    <m/>
    <m/>
    <m/>
    <m/>
    <n v="1"/>
    <n v="-1"/>
    <n v="-1"/>
    <n v="0"/>
    <n v="1"/>
    <n v="0"/>
    <n v="0"/>
    <n v="0"/>
    <n v="0"/>
    <n v="-1"/>
    <x v="0"/>
    <m/>
    <m/>
    <n v="-0.5"/>
    <n v="-0.5"/>
    <m/>
    <m/>
    <m/>
    <m/>
    <m/>
    <m/>
    <m/>
    <m/>
    <m/>
    <m/>
    <m/>
    <m/>
    <m/>
    <n v="-1"/>
    <n v="-1"/>
    <m/>
    <m/>
    <m/>
    <n v="520649"/>
    <n v="175098"/>
    <x v="9"/>
    <x v="3"/>
    <x v="0"/>
    <x v="0"/>
    <m/>
    <x v="0"/>
    <x v="0"/>
    <m/>
    <x v="0"/>
    <s v="Y"/>
    <x v="5"/>
  </r>
  <r>
    <s v="22/2416/FUL"/>
    <x v="0"/>
    <x v="0"/>
    <x v="184"/>
    <d v="2026-07-11T00:00:00"/>
    <m/>
    <m/>
    <x v="0"/>
    <m/>
    <x v="2"/>
    <x v="0"/>
    <x v="0"/>
    <m/>
    <x v="2"/>
    <s v="Demolition of an existing single storey bungalow on the site, followed by the construction of a new single family residential dwelling."/>
    <s v="40 Twickenham Road, Teddington TW11 8AW"/>
    <s v="TW11 8AW"/>
    <m/>
    <m/>
    <m/>
    <n v="1"/>
    <m/>
    <m/>
    <m/>
    <m/>
    <m/>
    <n v="1"/>
    <m/>
    <m/>
    <m/>
    <m/>
    <m/>
    <m/>
    <n v="1"/>
    <m/>
    <m/>
    <n v="1"/>
    <n v="0"/>
    <n v="0"/>
    <n v="-1"/>
    <n v="0"/>
    <n v="0"/>
    <n v="1"/>
    <n v="0"/>
    <n v="0"/>
    <n v="0"/>
    <x v="0"/>
    <m/>
    <n v="0"/>
    <m/>
    <m/>
    <m/>
    <m/>
    <m/>
    <m/>
    <m/>
    <m/>
    <m/>
    <m/>
    <m/>
    <m/>
    <m/>
    <m/>
    <m/>
    <n v="0"/>
    <n v="0"/>
    <m/>
    <m/>
    <m/>
    <n v="516358"/>
    <n v="171680"/>
    <x v="11"/>
    <x v="1"/>
    <x v="0"/>
    <x v="1"/>
    <m/>
    <x v="0"/>
    <x v="0"/>
    <m/>
    <x v="0"/>
    <s v="Y"/>
    <x v="7"/>
  </r>
  <r>
    <s v="22/2662/FUL"/>
    <x v="0"/>
    <x v="0"/>
    <x v="185"/>
    <d v="2027-10-04T00:00:00"/>
    <m/>
    <m/>
    <x v="1"/>
    <m/>
    <x v="2"/>
    <x v="0"/>
    <x v="0"/>
    <m/>
    <x v="2"/>
    <s v="Erection of a 1 bedroom chalet/bungalow with the provision of amenity space and parking at rear of property."/>
    <s v="214 Hampton Road, Twickenham TW2 5NJ"/>
    <s v="TW2 5NJ"/>
    <m/>
    <m/>
    <m/>
    <m/>
    <m/>
    <m/>
    <m/>
    <m/>
    <m/>
    <n v="0"/>
    <m/>
    <n v="1"/>
    <m/>
    <m/>
    <m/>
    <m/>
    <m/>
    <m/>
    <m/>
    <n v="1"/>
    <n v="1"/>
    <n v="0"/>
    <n v="0"/>
    <n v="0"/>
    <n v="0"/>
    <n v="0"/>
    <n v="0"/>
    <n v="0"/>
    <n v="1"/>
    <x v="0"/>
    <m/>
    <n v="0.25"/>
    <n v="0.25"/>
    <n v="0.25"/>
    <n v="0.25"/>
    <m/>
    <m/>
    <m/>
    <m/>
    <m/>
    <m/>
    <m/>
    <m/>
    <m/>
    <m/>
    <m/>
    <m/>
    <n v="1"/>
    <n v="1"/>
    <m/>
    <m/>
    <m/>
    <n v="514736"/>
    <n v="172131"/>
    <x v="16"/>
    <x v="2"/>
    <x v="0"/>
    <x v="0"/>
    <m/>
    <x v="0"/>
    <x v="0"/>
    <m/>
    <x v="0"/>
    <s v="Y"/>
    <x v="2"/>
  </r>
  <r>
    <s v="22/2843/FUL"/>
    <x v="0"/>
    <x v="0"/>
    <x v="186"/>
    <d v="2026-02-08T00:00:00"/>
    <m/>
    <m/>
    <x v="0"/>
    <m/>
    <x v="2"/>
    <x v="0"/>
    <x v="0"/>
    <m/>
    <x v="2"/>
    <s v="Demolition of existing dwelling and replacement with a pair of two storey with basement semi-detached dwellings.  Alterations to boundary wall and assoicated hard and soft landscaping, cycle and refuse stores."/>
    <s v="62 Derby Road, East Sheen SW14 7DP"/>
    <s v="SW14 7DP"/>
    <m/>
    <m/>
    <m/>
    <m/>
    <n v="1"/>
    <m/>
    <m/>
    <m/>
    <m/>
    <n v="1"/>
    <m/>
    <m/>
    <m/>
    <n v="2"/>
    <m/>
    <m/>
    <m/>
    <m/>
    <m/>
    <n v="2"/>
    <n v="0"/>
    <n v="0"/>
    <n v="2"/>
    <n v="-1"/>
    <n v="0"/>
    <n v="0"/>
    <n v="0"/>
    <n v="0"/>
    <n v="1"/>
    <x v="0"/>
    <m/>
    <n v="0.25"/>
    <n v="0.25"/>
    <n v="0.25"/>
    <n v="0.25"/>
    <m/>
    <m/>
    <m/>
    <m/>
    <m/>
    <m/>
    <m/>
    <m/>
    <m/>
    <m/>
    <m/>
    <m/>
    <n v="1"/>
    <n v="1"/>
    <m/>
    <m/>
    <m/>
    <n v="519780"/>
    <n v="175098"/>
    <x v="9"/>
    <x v="3"/>
    <x v="0"/>
    <x v="0"/>
    <m/>
    <x v="0"/>
    <x v="0"/>
    <m/>
    <x v="0"/>
    <s v="Y"/>
    <x v="5"/>
  </r>
  <r>
    <s v="22/2876/GPD26"/>
    <x v="1"/>
    <x v="1"/>
    <x v="187"/>
    <d v="2025-12-12T00:00:00"/>
    <m/>
    <m/>
    <x v="0"/>
    <m/>
    <x v="2"/>
    <x v="0"/>
    <x v="0"/>
    <m/>
    <x v="2"/>
    <s v="Change of use of vacant office building to two flats"/>
    <s v="Mega House, 159A High Street, Hampton Hill, Hampton TW12 1NL"/>
    <s v="TW12 1NL"/>
    <m/>
    <m/>
    <m/>
    <m/>
    <m/>
    <m/>
    <m/>
    <m/>
    <m/>
    <n v="0"/>
    <m/>
    <m/>
    <n v="2"/>
    <m/>
    <m/>
    <m/>
    <m/>
    <m/>
    <m/>
    <n v="2"/>
    <n v="0"/>
    <n v="2"/>
    <n v="0"/>
    <n v="0"/>
    <n v="0"/>
    <n v="0"/>
    <n v="0"/>
    <n v="0"/>
    <n v="2"/>
    <x v="0"/>
    <m/>
    <n v="0.5"/>
    <n v="0.5"/>
    <n v="0.5"/>
    <n v="0.5"/>
    <m/>
    <m/>
    <m/>
    <m/>
    <m/>
    <m/>
    <m/>
    <m/>
    <m/>
    <m/>
    <m/>
    <m/>
    <n v="2"/>
    <n v="2"/>
    <m/>
    <m/>
    <m/>
    <n v="514405"/>
    <n v="171101"/>
    <x v="6"/>
    <x v="1"/>
    <x v="0"/>
    <x v="0"/>
    <s v="High Street, Hampton Hill"/>
    <x v="1"/>
    <x v="0"/>
    <s v="CA38 High Street Hampton Hill"/>
    <x v="1"/>
    <m/>
    <x v="1"/>
  </r>
  <r>
    <s v="22/3043/GPD24"/>
    <x v="1"/>
    <x v="1"/>
    <x v="188"/>
    <d v="2025-11-30T00:00:00"/>
    <m/>
    <m/>
    <x v="0"/>
    <m/>
    <x v="2"/>
    <x v="0"/>
    <x v="0"/>
    <m/>
    <x v="2"/>
    <s v="Change of use from Class E (commercial, business and service) to Mixed Use Class E (commercial, business and service) and Class C3 (dwellinghouses) to provide 1x self-contained dwelling."/>
    <s v="357 Upper Richmond Road West, East Sheen SW14 8QN"/>
    <s v="SW14 8QN"/>
    <m/>
    <m/>
    <m/>
    <m/>
    <m/>
    <m/>
    <m/>
    <m/>
    <m/>
    <n v="0"/>
    <m/>
    <n v="1"/>
    <m/>
    <m/>
    <m/>
    <m/>
    <m/>
    <m/>
    <m/>
    <n v="1"/>
    <n v="1"/>
    <n v="0"/>
    <n v="0"/>
    <n v="0"/>
    <n v="0"/>
    <n v="0"/>
    <n v="0"/>
    <n v="0"/>
    <n v="1"/>
    <x v="0"/>
    <m/>
    <n v="0.25"/>
    <n v="0.25"/>
    <n v="0.25"/>
    <n v="0.25"/>
    <m/>
    <m/>
    <m/>
    <m/>
    <m/>
    <m/>
    <m/>
    <m/>
    <m/>
    <m/>
    <m/>
    <m/>
    <n v="1"/>
    <n v="1"/>
    <m/>
    <m/>
    <m/>
    <n v="520553"/>
    <n v="175393"/>
    <x v="9"/>
    <x v="3"/>
    <x v="4"/>
    <x v="0"/>
    <m/>
    <x v="0"/>
    <x v="0"/>
    <m/>
    <x v="0"/>
    <s v="Y"/>
    <x v="5"/>
  </r>
  <r>
    <s v="22/3049/FUL"/>
    <x v="1"/>
    <x v="0"/>
    <x v="189"/>
    <d v="2026-11-14T00:00:00"/>
    <m/>
    <m/>
    <x v="0"/>
    <m/>
    <x v="2"/>
    <x v="0"/>
    <x v="0"/>
    <m/>
    <x v="2"/>
    <s v="Change of use of first floor from former financial services floorspace to 2 x one bedroom flats. Alterations to rear elevation and reinstatement of first floor roof terrace."/>
    <s v="256 Upper Richmond Road West, East Sheen SW14 7JF"/>
    <s v="SW14 7JF"/>
    <m/>
    <m/>
    <m/>
    <m/>
    <m/>
    <m/>
    <m/>
    <m/>
    <m/>
    <n v="0"/>
    <m/>
    <n v="2"/>
    <m/>
    <m/>
    <m/>
    <m/>
    <m/>
    <m/>
    <m/>
    <n v="2"/>
    <n v="2"/>
    <n v="0"/>
    <n v="0"/>
    <n v="0"/>
    <n v="0"/>
    <n v="0"/>
    <n v="0"/>
    <n v="0"/>
    <n v="2"/>
    <x v="0"/>
    <m/>
    <n v="0.5"/>
    <n v="0.5"/>
    <n v="0.5"/>
    <n v="0.5"/>
    <m/>
    <m/>
    <m/>
    <m/>
    <m/>
    <m/>
    <m/>
    <m/>
    <m/>
    <m/>
    <m/>
    <m/>
    <n v="2"/>
    <n v="2"/>
    <m/>
    <m/>
    <m/>
    <n v="520486"/>
    <n v="175416"/>
    <x v="9"/>
    <x v="3"/>
    <x v="4"/>
    <x v="0"/>
    <m/>
    <x v="0"/>
    <x v="0"/>
    <s v="CA70 Sheen Lane Mortlake"/>
    <x v="1"/>
    <s v="Y"/>
    <x v="5"/>
  </r>
  <r>
    <s v="22/3112/FUL"/>
    <x v="0"/>
    <x v="0"/>
    <x v="190"/>
    <d v="2026-09-14T00:00:00"/>
    <m/>
    <m/>
    <x v="0"/>
    <m/>
    <x v="2"/>
    <x v="5"/>
    <x v="0"/>
    <m/>
    <x v="2"/>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2"/>
    <n v="3"/>
    <m/>
    <m/>
    <m/>
    <m/>
    <m/>
    <m/>
    <n v="5"/>
    <n v="2"/>
    <n v="3"/>
    <n v="0"/>
    <n v="0"/>
    <n v="0"/>
    <n v="0"/>
    <n v="0"/>
    <n v="0"/>
    <n v="5"/>
    <x v="1"/>
    <m/>
    <m/>
    <m/>
    <n v="2.5"/>
    <n v="2.5"/>
    <m/>
    <m/>
    <m/>
    <m/>
    <m/>
    <m/>
    <m/>
    <m/>
    <m/>
    <m/>
    <m/>
    <m/>
    <n v="5"/>
    <n v="5"/>
    <m/>
    <m/>
    <m/>
    <n v="518385"/>
    <n v="174928"/>
    <x v="12"/>
    <x v="4"/>
    <x v="0"/>
    <x v="0"/>
    <m/>
    <x v="0"/>
    <x v="0"/>
    <s v="CA30 St Matthias Richmond"/>
    <x v="1"/>
    <s v="Y"/>
    <x v="4"/>
  </r>
  <r>
    <s v="22/3112/FUL"/>
    <x v="0"/>
    <x v="0"/>
    <x v="190"/>
    <d v="2026-09-14T00:00:00"/>
    <m/>
    <m/>
    <x v="0"/>
    <m/>
    <x v="2"/>
    <x v="6"/>
    <x v="0"/>
    <m/>
    <x v="2"/>
    <s v="Erection of one 4-storey building and one 2-storey building to provide 12 affordable housing units (7 Supported Living units and 5 London Living Rent units), plus one residential support unit; removal of existing vehicular access; landscaping including co"/>
    <s v="Meadows Hall, Church Road, Richmond TW10 6LN_x000a_"/>
    <s v="TW10 6LN"/>
    <m/>
    <m/>
    <m/>
    <m/>
    <m/>
    <m/>
    <m/>
    <m/>
    <m/>
    <n v="0"/>
    <s v="Y"/>
    <n v="7"/>
    <m/>
    <m/>
    <m/>
    <m/>
    <m/>
    <m/>
    <m/>
    <n v="7"/>
    <n v="7"/>
    <n v="0"/>
    <n v="0"/>
    <n v="0"/>
    <n v="0"/>
    <n v="0"/>
    <n v="0"/>
    <n v="0"/>
    <n v="7"/>
    <x v="1"/>
    <m/>
    <m/>
    <m/>
    <n v="3.5"/>
    <n v="3.5"/>
    <m/>
    <m/>
    <m/>
    <m/>
    <m/>
    <m/>
    <m/>
    <m/>
    <m/>
    <m/>
    <m/>
    <m/>
    <n v="7"/>
    <n v="7"/>
    <m/>
    <s v="Y"/>
    <m/>
    <n v="518385"/>
    <n v="174928"/>
    <x v="12"/>
    <x v="4"/>
    <x v="0"/>
    <x v="0"/>
    <m/>
    <x v="0"/>
    <x v="0"/>
    <s v="CA30 St Matthias Richmond"/>
    <x v="1"/>
    <s v="Y"/>
    <x v="4"/>
  </r>
  <r>
    <s v="22/3141/FUL"/>
    <x v="4"/>
    <x v="0"/>
    <x v="191"/>
    <d v="2025-12-19T00:00:00"/>
    <d v="2026-01-06T00:00:00"/>
    <m/>
    <x v="0"/>
    <m/>
    <x v="2"/>
    <x v="0"/>
    <x v="0"/>
    <m/>
    <x v="2"/>
    <s v="Rear dormer roof extension to facilitate the conversion of existing 2 bed maisonette into 2 flats (1 x 1 bed and 1 x 2 bed). Solar PV panels to rear pitched and flat roofs. 2no. Velux roof lights to front roof slope."/>
    <s v="23 Colston Road, East Sheen SW14 7PQ"/>
    <s v="SW14 7PQ"/>
    <m/>
    <m/>
    <n v="1"/>
    <m/>
    <m/>
    <m/>
    <m/>
    <m/>
    <m/>
    <n v="1"/>
    <m/>
    <n v="1"/>
    <n v="1"/>
    <m/>
    <m/>
    <m/>
    <m/>
    <m/>
    <m/>
    <n v="2"/>
    <n v="1"/>
    <n v="0"/>
    <n v="0"/>
    <n v="0"/>
    <n v="0"/>
    <n v="0"/>
    <n v="0"/>
    <n v="0"/>
    <n v="1"/>
    <x v="0"/>
    <m/>
    <m/>
    <n v="0.5"/>
    <n v="0.5"/>
    <m/>
    <m/>
    <m/>
    <m/>
    <m/>
    <m/>
    <m/>
    <m/>
    <m/>
    <m/>
    <m/>
    <m/>
    <m/>
    <n v="1"/>
    <n v="1"/>
    <m/>
    <m/>
    <m/>
    <n v="520360"/>
    <n v="175325"/>
    <x v="9"/>
    <x v="3"/>
    <x v="4"/>
    <x v="0"/>
    <m/>
    <x v="0"/>
    <x v="0"/>
    <m/>
    <x v="0"/>
    <s v="Y"/>
    <x v="5"/>
  </r>
  <r>
    <s v="22/3165/FUL"/>
    <x v="0"/>
    <x v="0"/>
    <x v="192"/>
    <d v="2028-02-17T00:00:00"/>
    <d v="2025-05-01T00:00:00"/>
    <m/>
    <x v="1"/>
    <m/>
    <x v="2"/>
    <x v="0"/>
    <x v="0"/>
    <m/>
    <x v="2"/>
    <s v="Demolition of existing commercial building and erection of mixed use part two, three and part four storey building comprising replacement commercial (Class E) floorspace and residential units (Class C3) including cycle parking, refuse storage, hard and soft landscaping, amendments to site access and other associated works."/>
    <s v="Clifford House, 424 Upper Richmond Road West, East Sheen SW14 7JX"/>
    <s v="SW14 7JX"/>
    <m/>
    <m/>
    <m/>
    <m/>
    <m/>
    <m/>
    <m/>
    <m/>
    <m/>
    <n v="0"/>
    <m/>
    <n v="4"/>
    <n v="4"/>
    <m/>
    <m/>
    <m/>
    <m/>
    <m/>
    <m/>
    <n v="8"/>
    <n v="4"/>
    <n v="4"/>
    <n v="0"/>
    <n v="0"/>
    <n v="0"/>
    <n v="0"/>
    <n v="0"/>
    <n v="0"/>
    <n v="8"/>
    <x v="0"/>
    <m/>
    <m/>
    <n v="4"/>
    <n v="4"/>
    <m/>
    <m/>
    <m/>
    <m/>
    <m/>
    <m/>
    <m/>
    <m/>
    <m/>
    <m/>
    <m/>
    <m/>
    <m/>
    <n v="8"/>
    <n v="8"/>
    <m/>
    <m/>
    <m/>
    <n v="519842"/>
    <n v="175358"/>
    <x v="8"/>
    <x v="4"/>
    <x v="0"/>
    <x v="0"/>
    <m/>
    <x v="0"/>
    <x v="0"/>
    <m/>
    <x v="0"/>
    <s v="Y"/>
    <x v="5"/>
  </r>
  <r>
    <s v="22/3228/FUL"/>
    <x v="4"/>
    <x v="0"/>
    <x v="193"/>
    <d v="2027-01-15T00:00:00"/>
    <m/>
    <m/>
    <x v="0"/>
    <m/>
    <x v="2"/>
    <x v="0"/>
    <x v="0"/>
    <m/>
    <x v="2"/>
    <s v="Conversion of dwelling into two residential properties, alterations to elevations, and associated works."/>
    <s v="154 Broad Lane, Hampton TW12 3BW"/>
    <s v="TW12 3BW"/>
    <m/>
    <m/>
    <m/>
    <m/>
    <n v="1"/>
    <m/>
    <m/>
    <m/>
    <m/>
    <n v="1"/>
    <m/>
    <m/>
    <n v="2"/>
    <m/>
    <m/>
    <m/>
    <m/>
    <m/>
    <m/>
    <n v="2"/>
    <n v="0"/>
    <n v="2"/>
    <n v="0"/>
    <n v="-1"/>
    <n v="0"/>
    <n v="0"/>
    <n v="0"/>
    <n v="0"/>
    <n v="1"/>
    <x v="0"/>
    <m/>
    <n v="0.25"/>
    <n v="0.25"/>
    <n v="0.25"/>
    <n v="0.25"/>
    <m/>
    <m/>
    <m/>
    <m/>
    <m/>
    <m/>
    <m/>
    <m/>
    <m/>
    <m/>
    <m/>
    <m/>
    <n v="1"/>
    <n v="1"/>
    <m/>
    <m/>
    <m/>
    <n v="512727"/>
    <n v="170496"/>
    <x v="1"/>
    <x v="1"/>
    <x v="0"/>
    <x v="0"/>
    <m/>
    <x v="0"/>
    <x v="0"/>
    <m/>
    <x v="0"/>
    <m/>
    <x v="1"/>
  </r>
  <r>
    <s v="22/3304/FUL"/>
    <x v="0"/>
    <x v="0"/>
    <x v="194"/>
    <d v="2026-04-25T00:00:00"/>
    <m/>
    <m/>
    <x v="0"/>
    <m/>
    <x v="2"/>
    <x v="0"/>
    <x v="0"/>
    <m/>
    <x v="2"/>
    <s v="Single storey rear extension, hip to gable and rear dormer roof extension and rooflights to front roof slope and associated cycle and refuse store and hard and soft landscaping and outbuilding to no. 2.  Demolition of existing single storey side extension to facilitate the erection of two storey dwelling house and associated cycle and refuse stores, replacement boundary fence, hard and soft landscaping and outbuilding."/>
    <s v="2 West Hall Road, Kew, Richmond TW9 4EE"/>
    <s v="TW9 4EE"/>
    <m/>
    <m/>
    <m/>
    <m/>
    <m/>
    <m/>
    <m/>
    <m/>
    <m/>
    <n v="0"/>
    <m/>
    <m/>
    <m/>
    <n v="1"/>
    <m/>
    <m/>
    <m/>
    <m/>
    <m/>
    <n v="1"/>
    <n v="0"/>
    <n v="0"/>
    <n v="1"/>
    <n v="0"/>
    <n v="0"/>
    <n v="0"/>
    <n v="0"/>
    <n v="0"/>
    <n v="1"/>
    <x v="0"/>
    <m/>
    <n v="0.25"/>
    <n v="0.25"/>
    <n v="0.25"/>
    <n v="0.25"/>
    <m/>
    <m/>
    <m/>
    <m/>
    <m/>
    <m/>
    <m/>
    <m/>
    <m/>
    <m/>
    <m/>
    <m/>
    <n v="1"/>
    <n v="1"/>
    <m/>
    <m/>
    <m/>
    <n v="519594"/>
    <n v="176510"/>
    <x v="13"/>
    <x v="4"/>
    <x v="0"/>
    <x v="0"/>
    <m/>
    <x v="0"/>
    <x v="0"/>
    <m/>
    <x v="0"/>
    <s v="Y"/>
    <x v="8"/>
  </r>
  <r>
    <s v="22/3468/FUL"/>
    <x v="4"/>
    <x v="0"/>
    <x v="195"/>
    <d v="2027-02-26T00:00:00"/>
    <m/>
    <m/>
    <x v="0"/>
    <m/>
    <x v="2"/>
    <x v="0"/>
    <x v="0"/>
    <m/>
    <x v="2"/>
    <s v="Subdivision of no 446 to create 1 no. dwellinghouse and 1 no. 2 bed flat. Alterations to fenestration/doors. Installation of vehicle gates. Installation of a new garden fence."/>
    <s v="446 Upper Richmond Road, Barnes SW15 5RQ"/>
    <s v="SW15 5RQ"/>
    <m/>
    <m/>
    <m/>
    <m/>
    <m/>
    <m/>
    <m/>
    <m/>
    <m/>
    <n v="0"/>
    <m/>
    <m/>
    <n v="1"/>
    <m/>
    <m/>
    <m/>
    <m/>
    <m/>
    <m/>
    <n v="1"/>
    <n v="0"/>
    <n v="1"/>
    <n v="0"/>
    <n v="0"/>
    <n v="0"/>
    <n v="0"/>
    <n v="0"/>
    <n v="0"/>
    <n v="1"/>
    <x v="0"/>
    <m/>
    <n v="0.25"/>
    <n v="0.25"/>
    <n v="0.25"/>
    <n v="0.25"/>
    <m/>
    <m/>
    <m/>
    <m/>
    <m/>
    <m/>
    <m/>
    <m/>
    <m/>
    <m/>
    <m/>
    <m/>
    <n v="1"/>
    <n v="1"/>
    <m/>
    <m/>
    <m/>
    <n v="522411"/>
    <n v="175485"/>
    <x v="5"/>
    <x v="3"/>
    <x v="0"/>
    <x v="0"/>
    <m/>
    <x v="0"/>
    <x v="0"/>
    <s v="CA32 Barnes Common"/>
    <x v="1"/>
    <s v="Y"/>
    <x v="3"/>
  </r>
  <r>
    <s v="22/3474/FUL"/>
    <x v="1"/>
    <x v="0"/>
    <x v="196"/>
    <d v="2028-03-03T00:00:00"/>
    <m/>
    <m/>
    <x v="1"/>
    <m/>
    <x v="2"/>
    <x v="0"/>
    <x v="0"/>
    <m/>
    <x v="2"/>
    <s v="Change of use from Use Class F1(a) - Provision of Education to a 2-bed 3-person flat including minor external changes and associated works"/>
    <s v="The Lodge, 69 The Green, Twickenham"/>
    <s v="TW2 5TU"/>
    <m/>
    <m/>
    <m/>
    <m/>
    <m/>
    <m/>
    <m/>
    <m/>
    <m/>
    <n v="0"/>
    <m/>
    <m/>
    <n v="1"/>
    <m/>
    <m/>
    <m/>
    <m/>
    <m/>
    <m/>
    <n v="1"/>
    <n v="0"/>
    <n v="1"/>
    <n v="0"/>
    <n v="0"/>
    <n v="0"/>
    <n v="0"/>
    <n v="0"/>
    <n v="0"/>
    <n v="1"/>
    <x v="0"/>
    <m/>
    <n v="0.25"/>
    <n v="0.25"/>
    <n v="0.25"/>
    <n v="0.25"/>
    <m/>
    <m/>
    <m/>
    <m/>
    <m/>
    <m/>
    <m/>
    <m/>
    <m/>
    <m/>
    <m/>
    <m/>
    <n v="1"/>
    <n v="1"/>
    <m/>
    <m/>
    <m/>
    <n v="515259"/>
    <n v="172781"/>
    <x v="2"/>
    <x v="2"/>
    <x v="0"/>
    <x v="0"/>
    <m/>
    <x v="0"/>
    <x v="0"/>
    <s v="CA9 Twickenham Green"/>
    <x v="1"/>
    <s v="Y"/>
    <x v="2"/>
  </r>
  <r>
    <s v="22/3573/FUL"/>
    <x v="4"/>
    <x v="0"/>
    <x v="197"/>
    <d v="2026-05-26T00:00:00"/>
    <m/>
    <m/>
    <x v="0"/>
    <m/>
    <x v="2"/>
    <x v="0"/>
    <x v="0"/>
    <m/>
    <x v="2"/>
    <s v="Conversion of 15A and 15B from 2 no. residential flats to 3 no. residential flats. Alterations to fenestration. Alteration to west elevation. Insertion of courtyards. Alterations to bin store and cycle store."/>
    <s v="13 - 17 White Hart Lane, Barnes SW13 0PX"/>
    <s v="SW13 0PX"/>
    <m/>
    <m/>
    <n v="1"/>
    <n v="1"/>
    <m/>
    <m/>
    <m/>
    <m/>
    <m/>
    <n v="2"/>
    <m/>
    <m/>
    <n v="3"/>
    <m/>
    <m/>
    <m/>
    <m/>
    <m/>
    <m/>
    <n v="3"/>
    <n v="0"/>
    <n v="2"/>
    <n v="-1"/>
    <n v="0"/>
    <n v="0"/>
    <n v="0"/>
    <n v="0"/>
    <n v="0"/>
    <n v="1"/>
    <x v="0"/>
    <m/>
    <n v="0.25"/>
    <n v="0.25"/>
    <n v="0.25"/>
    <n v="0.25"/>
    <m/>
    <m/>
    <m/>
    <m/>
    <m/>
    <m/>
    <m/>
    <m/>
    <m/>
    <m/>
    <m/>
    <m/>
    <n v="1"/>
    <n v="1"/>
    <m/>
    <m/>
    <m/>
    <n v="521299"/>
    <n v="176041"/>
    <x v="5"/>
    <x v="3"/>
    <x v="0"/>
    <x v="0"/>
    <s v="White Hart Lane/Mortlake H"/>
    <x v="1"/>
    <x v="0"/>
    <s v="CA16 Thorne Passage Mortlake"/>
    <x v="1"/>
    <s v="Y"/>
    <x v="3"/>
  </r>
  <r>
    <s v="22/3577/FUL"/>
    <x v="1"/>
    <x v="0"/>
    <x v="198"/>
    <d v="2027-06-25T00:00:00"/>
    <m/>
    <m/>
    <x v="1"/>
    <m/>
    <x v="2"/>
    <x v="0"/>
    <x v="0"/>
    <m/>
    <x v="2"/>
    <s v="Change of use of part ground floor and part first floor to form 4No. 1-bedroom flats and 2No. 2-bedroom flats."/>
    <s v="Units 3 And 15 Cross Deep Court, Heath Road, Twickenham TW1 1AG"/>
    <s v="TW1 1AG"/>
    <m/>
    <m/>
    <m/>
    <m/>
    <m/>
    <m/>
    <m/>
    <m/>
    <m/>
    <n v="0"/>
    <m/>
    <n v="4"/>
    <n v="2"/>
    <m/>
    <m/>
    <m/>
    <m/>
    <m/>
    <m/>
    <n v="6"/>
    <n v="4"/>
    <n v="2"/>
    <n v="0"/>
    <n v="0"/>
    <n v="0"/>
    <n v="0"/>
    <n v="0"/>
    <n v="0"/>
    <n v="6"/>
    <x v="0"/>
    <m/>
    <m/>
    <n v="1.5"/>
    <n v="1.5"/>
    <n v="1.5"/>
    <n v="1.5"/>
    <m/>
    <m/>
    <m/>
    <m/>
    <m/>
    <m/>
    <m/>
    <m/>
    <m/>
    <m/>
    <m/>
    <n v="6"/>
    <n v="6"/>
    <m/>
    <m/>
    <m/>
    <n v="516137"/>
    <n v="173134"/>
    <x v="2"/>
    <x v="2"/>
    <x v="2"/>
    <x v="0"/>
    <m/>
    <x v="0"/>
    <x v="0"/>
    <m/>
    <x v="0"/>
    <s v="Y"/>
    <x v="2"/>
  </r>
  <r>
    <s v="22/3799/FUL"/>
    <x v="3"/>
    <x v="0"/>
    <x v="199"/>
    <d v="2026-11-07T00:00:00"/>
    <m/>
    <m/>
    <x v="0"/>
    <m/>
    <x v="2"/>
    <x v="0"/>
    <x v="0"/>
    <m/>
    <x v="2"/>
    <s v="Proposed rear dormer roof extension and 2no. skylights on front roof slope. Conversion of existing flat into 3no. studio flats. Provision of cycle storage, bin and refuse storage areas."/>
    <s v="21 Colston Road, East Sheen SW14 7PQ"/>
    <s v="SW14 7PQ"/>
    <m/>
    <m/>
    <m/>
    <m/>
    <n v="1"/>
    <m/>
    <m/>
    <m/>
    <m/>
    <n v="1"/>
    <m/>
    <n v="3"/>
    <m/>
    <m/>
    <m/>
    <m/>
    <m/>
    <m/>
    <m/>
    <n v="3"/>
    <n v="3"/>
    <n v="0"/>
    <n v="0"/>
    <n v="-1"/>
    <n v="0"/>
    <n v="0"/>
    <n v="0"/>
    <n v="0"/>
    <n v="2"/>
    <x v="0"/>
    <m/>
    <n v="0.5"/>
    <n v="0.5"/>
    <n v="0.5"/>
    <n v="0.5"/>
    <m/>
    <m/>
    <m/>
    <m/>
    <m/>
    <m/>
    <m/>
    <m/>
    <m/>
    <m/>
    <m/>
    <m/>
    <n v="2"/>
    <n v="2"/>
    <m/>
    <m/>
    <m/>
    <n v="520370"/>
    <n v="175330"/>
    <x v="9"/>
    <x v="3"/>
    <x v="4"/>
    <x v="0"/>
    <m/>
    <x v="0"/>
    <x v="0"/>
    <m/>
    <x v="0"/>
    <s v="Y"/>
    <x v="5"/>
  </r>
  <r>
    <s v="23/0093/FUL"/>
    <x v="2"/>
    <x v="0"/>
    <x v="200"/>
    <d v="2027-02-02T00:00:00"/>
    <m/>
    <m/>
    <x v="0"/>
    <m/>
    <x v="2"/>
    <x v="0"/>
    <x v="0"/>
    <m/>
    <x v="2"/>
    <s v="Conversion of maisonette flat into two self-contained flats, including alterations &amp; loft extension, by replacing annex hip roof with Mansard roof"/>
    <s v="74A Richmond Road, Twickenham TW1 3BE"/>
    <s v="TW1 3BE"/>
    <m/>
    <m/>
    <m/>
    <m/>
    <n v="1"/>
    <m/>
    <m/>
    <m/>
    <m/>
    <n v="1"/>
    <m/>
    <n v="1"/>
    <m/>
    <n v="1"/>
    <m/>
    <m/>
    <m/>
    <m/>
    <m/>
    <n v="2"/>
    <n v="1"/>
    <n v="0"/>
    <n v="1"/>
    <n v="-1"/>
    <n v="0"/>
    <n v="0"/>
    <n v="0"/>
    <n v="0"/>
    <n v="1"/>
    <x v="0"/>
    <m/>
    <n v="0.25"/>
    <n v="0.25"/>
    <n v="0.25"/>
    <n v="0.25"/>
    <m/>
    <m/>
    <m/>
    <m/>
    <m/>
    <m/>
    <m/>
    <m/>
    <m/>
    <m/>
    <m/>
    <m/>
    <n v="1"/>
    <n v="1"/>
    <m/>
    <m/>
    <m/>
    <n v="516676"/>
    <n v="173608"/>
    <x v="4"/>
    <x v="2"/>
    <x v="0"/>
    <x v="0"/>
    <m/>
    <x v="0"/>
    <x v="0"/>
    <s v="CA8 Twickenham Riverside"/>
    <x v="1"/>
    <s v="Y"/>
    <x v="2"/>
  </r>
  <r>
    <s v="23/0145/FUL"/>
    <x v="0"/>
    <x v="0"/>
    <x v="201"/>
    <d v="2026-06-13T00:00:00"/>
    <d v="2025-10-06T00:00:00"/>
    <m/>
    <x v="0"/>
    <m/>
    <x v="2"/>
    <x v="0"/>
    <x v="0"/>
    <m/>
    <x v="2"/>
    <s v="Demolish existing end of terrace 3 bedroom house and create new 4 bedroom end of terrace house."/>
    <s v="2 Everdon Road, Barnes SW13 9AH"/>
    <s v="SW13 9AH"/>
    <m/>
    <m/>
    <m/>
    <n v="1"/>
    <m/>
    <m/>
    <m/>
    <m/>
    <m/>
    <n v="1"/>
    <m/>
    <m/>
    <m/>
    <m/>
    <n v="1"/>
    <m/>
    <m/>
    <m/>
    <m/>
    <n v="1"/>
    <n v="0"/>
    <n v="0"/>
    <n v="-1"/>
    <n v="1"/>
    <n v="0"/>
    <n v="0"/>
    <n v="0"/>
    <n v="0"/>
    <n v="0"/>
    <x v="0"/>
    <m/>
    <n v="0"/>
    <m/>
    <m/>
    <m/>
    <m/>
    <m/>
    <m/>
    <m/>
    <m/>
    <m/>
    <m/>
    <m/>
    <m/>
    <m/>
    <m/>
    <m/>
    <n v="0"/>
    <n v="0"/>
    <m/>
    <m/>
    <m/>
    <n v="522220"/>
    <n v="177505"/>
    <x v="17"/>
    <x v="3"/>
    <x v="0"/>
    <x v="0"/>
    <m/>
    <x v="0"/>
    <x v="0"/>
    <m/>
    <x v="0"/>
    <m/>
    <x v="3"/>
  </r>
  <r>
    <s v="23/0260/FUL"/>
    <x v="0"/>
    <x v="0"/>
    <x v="202"/>
    <d v="2027-02-01T00:00:00"/>
    <d v="2026-02-02T00:00:00"/>
    <m/>
    <x v="0"/>
    <m/>
    <x v="2"/>
    <x v="6"/>
    <x v="0"/>
    <m/>
    <x v="2"/>
    <s v="The erection of 7 part single, part two-storey residential dwellings; 8 car parking spaces (including 1 disabled parking space); landscaping incorporating communal amenity space and ecological enhancement area; secure cycle and refuse storage."/>
    <s v="The Mereway Centre, Mereway Road, Twickenham"/>
    <s v="TW2"/>
    <m/>
    <m/>
    <m/>
    <m/>
    <m/>
    <m/>
    <m/>
    <m/>
    <m/>
    <n v="0"/>
    <s v="Y"/>
    <m/>
    <m/>
    <n v="4"/>
    <n v="3"/>
    <m/>
    <m/>
    <m/>
    <m/>
    <n v="7"/>
    <n v="0"/>
    <n v="0"/>
    <n v="4"/>
    <n v="3"/>
    <n v="0"/>
    <n v="0"/>
    <n v="0"/>
    <n v="0"/>
    <n v="7"/>
    <x v="0"/>
    <m/>
    <m/>
    <m/>
    <n v="7"/>
    <m/>
    <m/>
    <m/>
    <m/>
    <m/>
    <m/>
    <m/>
    <m/>
    <m/>
    <m/>
    <m/>
    <m/>
    <m/>
    <n v="7"/>
    <n v="7"/>
    <m/>
    <m/>
    <m/>
    <n v="515033"/>
    <n v="173287"/>
    <x v="2"/>
    <x v="2"/>
    <x v="0"/>
    <x v="0"/>
    <m/>
    <x v="0"/>
    <x v="0"/>
    <m/>
    <x v="0"/>
    <s v="Y"/>
    <x v="2"/>
  </r>
  <r>
    <s v="23/0946/GPD26"/>
    <x v="1"/>
    <x v="1"/>
    <x v="203"/>
    <d v="2026-05-24T00:00:00"/>
    <m/>
    <m/>
    <x v="0"/>
    <m/>
    <x v="2"/>
    <x v="0"/>
    <x v="0"/>
    <m/>
    <x v="2"/>
    <s v="Change of use of ground floor from Use Class E to 1no. flat (Use Class C3)"/>
    <s v="145 White Hart Lane, Barnes SW13 0JP"/>
    <s v="SW13 0JP"/>
    <m/>
    <m/>
    <m/>
    <m/>
    <m/>
    <m/>
    <m/>
    <m/>
    <m/>
    <n v="0"/>
    <m/>
    <n v="1"/>
    <m/>
    <m/>
    <m/>
    <m/>
    <m/>
    <m/>
    <m/>
    <n v="1"/>
    <n v="1"/>
    <n v="0"/>
    <n v="0"/>
    <n v="0"/>
    <n v="0"/>
    <n v="0"/>
    <n v="0"/>
    <n v="0"/>
    <n v="1"/>
    <x v="0"/>
    <m/>
    <n v="0.25"/>
    <n v="0.25"/>
    <n v="0.25"/>
    <n v="0.25"/>
    <m/>
    <m/>
    <m/>
    <m/>
    <m/>
    <m/>
    <m/>
    <m/>
    <m/>
    <m/>
    <m/>
    <m/>
    <n v="1"/>
    <n v="1"/>
    <m/>
    <m/>
    <m/>
    <n v="521457"/>
    <n v="175623"/>
    <x v="5"/>
    <x v="3"/>
    <x v="0"/>
    <x v="0"/>
    <s v="Priests Bridge, Barnes"/>
    <x v="1"/>
    <x v="0"/>
    <m/>
    <x v="0"/>
    <s v="Y"/>
    <x v="3"/>
  </r>
  <r>
    <s v="23/1101/FUL"/>
    <x v="0"/>
    <x v="0"/>
    <x v="204"/>
    <d v="2027-04-02T00:00:00"/>
    <m/>
    <m/>
    <x v="1"/>
    <m/>
    <x v="2"/>
    <x v="0"/>
    <x v="0"/>
    <m/>
    <x v="2"/>
    <s v="Demolition of existing dwelling and construction of 2 no. semi detached dwellings, associated car parking, cycle and refuse storage and landscaping."/>
    <s v="22 Broad Lane, Hampton TW12 3AZ"/>
    <s v="TW12 3AZ"/>
    <m/>
    <m/>
    <m/>
    <m/>
    <n v="1"/>
    <m/>
    <m/>
    <m/>
    <m/>
    <n v="1"/>
    <m/>
    <m/>
    <m/>
    <m/>
    <n v="2"/>
    <m/>
    <m/>
    <m/>
    <m/>
    <n v="2"/>
    <n v="0"/>
    <n v="0"/>
    <n v="0"/>
    <n v="1"/>
    <n v="0"/>
    <n v="0"/>
    <n v="0"/>
    <n v="0"/>
    <n v="1"/>
    <x v="0"/>
    <m/>
    <n v="0.25"/>
    <n v="0.25"/>
    <n v="0.25"/>
    <n v="0.25"/>
    <m/>
    <m/>
    <m/>
    <m/>
    <m/>
    <m/>
    <m/>
    <m/>
    <m/>
    <m/>
    <m/>
    <m/>
    <n v="1"/>
    <n v="1"/>
    <m/>
    <m/>
    <m/>
    <n v="513617"/>
    <n v="170628"/>
    <x v="1"/>
    <x v="1"/>
    <x v="0"/>
    <x v="0"/>
    <m/>
    <x v="0"/>
    <x v="0"/>
    <m/>
    <x v="0"/>
    <m/>
    <x v="1"/>
  </r>
  <r>
    <s v="23/1127/FUL"/>
    <x v="0"/>
    <x v="0"/>
    <x v="205"/>
    <d v="2027-01-26T00:00:00"/>
    <d v="2025-04-01T00:00:00"/>
    <m/>
    <x v="0"/>
    <m/>
    <x v="2"/>
    <x v="0"/>
    <x v="0"/>
    <m/>
    <x v="2"/>
    <s v="Demolition of existing dwelling and construction of 2no. semi detached dwellings and associated parking and landscaping."/>
    <s v="6 Wensleydale Road, Hampton TW12 2LW"/>
    <s v="TW12 2LW"/>
    <m/>
    <m/>
    <m/>
    <n v="1"/>
    <m/>
    <m/>
    <m/>
    <m/>
    <m/>
    <n v="1"/>
    <m/>
    <m/>
    <m/>
    <n v="2"/>
    <m/>
    <m/>
    <m/>
    <m/>
    <m/>
    <n v="2"/>
    <n v="0"/>
    <n v="0"/>
    <n v="1"/>
    <n v="0"/>
    <n v="0"/>
    <n v="0"/>
    <n v="0"/>
    <n v="0"/>
    <n v="1"/>
    <x v="0"/>
    <m/>
    <m/>
    <n v="1"/>
    <m/>
    <m/>
    <m/>
    <m/>
    <m/>
    <m/>
    <m/>
    <m/>
    <m/>
    <m/>
    <m/>
    <m/>
    <m/>
    <m/>
    <n v="1"/>
    <n v="1"/>
    <m/>
    <m/>
    <m/>
    <n v="513480"/>
    <n v="169902"/>
    <x v="7"/>
    <x v="1"/>
    <x v="0"/>
    <x v="0"/>
    <m/>
    <x v="0"/>
    <x v="0"/>
    <m/>
    <x v="0"/>
    <s v="Y"/>
    <x v="1"/>
  </r>
  <r>
    <s v="23/1140/FUL"/>
    <x v="0"/>
    <x v="0"/>
    <x v="206"/>
    <d v="2027-05-02T00:00:00"/>
    <d v="2025-08-04T00:00:00"/>
    <m/>
    <x v="1"/>
    <m/>
    <x v="2"/>
    <x v="0"/>
    <x v="0"/>
    <m/>
    <x v="2"/>
    <s v="The demolition of existing house and the building of a new six bedroom house, over 3 above ground floors; ground, first and second (loft) floor and a basement level."/>
    <s v="291A Sheen Road, Richmond TW10 5AW"/>
    <s v="TW10 5AW"/>
    <m/>
    <m/>
    <m/>
    <m/>
    <n v="1"/>
    <m/>
    <m/>
    <m/>
    <m/>
    <n v="1"/>
    <m/>
    <m/>
    <m/>
    <m/>
    <m/>
    <m/>
    <n v="1"/>
    <m/>
    <m/>
    <n v="1"/>
    <n v="0"/>
    <n v="0"/>
    <n v="0"/>
    <n v="-1"/>
    <n v="0"/>
    <n v="1"/>
    <n v="0"/>
    <n v="0"/>
    <n v="0"/>
    <x v="0"/>
    <m/>
    <n v="0"/>
    <m/>
    <m/>
    <m/>
    <m/>
    <m/>
    <m/>
    <m/>
    <m/>
    <m/>
    <m/>
    <m/>
    <m/>
    <m/>
    <m/>
    <m/>
    <n v="0"/>
    <n v="0"/>
    <m/>
    <m/>
    <m/>
    <n v="519278"/>
    <n v="175104"/>
    <x v="12"/>
    <x v="4"/>
    <x v="0"/>
    <x v="0"/>
    <m/>
    <x v="0"/>
    <x v="0"/>
    <m/>
    <x v="0"/>
    <s v="Y"/>
    <x v="4"/>
  </r>
  <r>
    <s v="23/1175/FUL"/>
    <x v="1"/>
    <x v="0"/>
    <x v="207"/>
    <d v="2027-06-20T00:00:00"/>
    <d v="2025-04-01T00:00:00"/>
    <m/>
    <x v="1"/>
    <m/>
    <x v="2"/>
    <x v="0"/>
    <x v="0"/>
    <m/>
    <x v="2"/>
    <s v="Change of use from mixed use comprising ground floor car motor garage (B2) and ancillary first floor flat(C3) to residential (C3) including alterations to the front and rear facades, the construction of front and rear extensions and the conversion of the roofspace to provide additional accommodation to create 4 no. flats, rear roof extension,  rear roof dormer, 8 rooflights,  alterations to the existing crossover, two active electric charging points, alterations to the existing rear garage to accommodate car and cycle parking, landscaping and waste storage."/>
    <s v="14-16 Tudor Road, Hampton TW12 2NQ"/>
    <s v="TW12 2NQ"/>
    <m/>
    <m/>
    <n v="1"/>
    <m/>
    <m/>
    <m/>
    <m/>
    <m/>
    <m/>
    <n v="1"/>
    <m/>
    <n v="3"/>
    <m/>
    <n v="1"/>
    <m/>
    <m/>
    <m/>
    <m/>
    <m/>
    <n v="4"/>
    <n v="3"/>
    <n v="-1"/>
    <n v="1"/>
    <n v="0"/>
    <n v="0"/>
    <n v="0"/>
    <n v="0"/>
    <n v="0"/>
    <n v="3"/>
    <x v="0"/>
    <m/>
    <m/>
    <n v="3"/>
    <m/>
    <m/>
    <m/>
    <m/>
    <m/>
    <m/>
    <m/>
    <m/>
    <m/>
    <m/>
    <m/>
    <m/>
    <m/>
    <m/>
    <n v="3"/>
    <n v="3"/>
    <m/>
    <m/>
    <m/>
    <n v="513441"/>
    <n v="170019"/>
    <x v="7"/>
    <x v="1"/>
    <x v="0"/>
    <x v="0"/>
    <m/>
    <x v="0"/>
    <x v="0"/>
    <m/>
    <x v="0"/>
    <s v="Y"/>
    <x v="1"/>
  </r>
  <r>
    <s v="23/1413/GPH01"/>
    <x v="2"/>
    <x v="1"/>
    <x v="38"/>
    <d v="2026-07-17T00:00:00"/>
    <m/>
    <m/>
    <x v="0"/>
    <m/>
    <x v="2"/>
    <x v="0"/>
    <x v="0"/>
    <m/>
    <x v="2"/>
    <s v="Construction of an additional storey containing 3no. flats immediately above the existing topmost residential storey, and recreation of the existing roof shape; addition of 2no. off-street parking spaces along with secure bike and bin storage."/>
    <s v="Heritage House, 145 London Road Twickenham"/>
    <s v="TW1 1EF"/>
    <m/>
    <m/>
    <m/>
    <m/>
    <m/>
    <m/>
    <m/>
    <m/>
    <m/>
    <n v="0"/>
    <m/>
    <n v="6"/>
    <m/>
    <m/>
    <m/>
    <m/>
    <m/>
    <m/>
    <m/>
    <n v="6"/>
    <n v="6"/>
    <n v="0"/>
    <n v="0"/>
    <n v="0"/>
    <n v="0"/>
    <n v="0"/>
    <n v="0"/>
    <n v="0"/>
    <n v="6"/>
    <x v="0"/>
    <m/>
    <m/>
    <n v="1.5"/>
    <n v="1.5"/>
    <n v="1.5"/>
    <n v="1.5"/>
    <m/>
    <m/>
    <m/>
    <m/>
    <m/>
    <m/>
    <m/>
    <m/>
    <m/>
    <m/>
    <m/>
    <n v="6"/>
    <n v="6"/>
    <m/>
    <m/>
    <m/>
    <n v="516098"/>
    <n v="173924"/>
    <x v="3"/>
    <x v="2"/>
    <x v="0"/>
    <x v="0"/>
    <m/>
    <x v="0"/>
    <x v="0"/>
    <m/>
    <x v="0"/>
    <s v="Y"/>
    <x v="2"/>
  </r>
  <r>
    <s v="23/1565/OUT"/>
    <x v="0"/>
    <x v="6"/>
    <x v="208"/>
    <d v="2027-09-16T00:00:00"/>
    <m/>
    <m/>
    <x v="1"/>
    <m/>
    <x v="2"/>
    <x v="0"/>
    <x v="0"/>
    <m/>
    <x v="2"/>
    <s v="Outline application for demolition of existing garages and erection of 4 x 2 bedroom flats and 1 x 2 bedroom house with associated hard and soft landscaping, parking and cycle and refuse store. Landscaping to form part of the reserved matters."/>
    <s v="Garages And Land Adjacent Railway, South Worple Way, East Sheen"/>
    <s v="SW14"/>
    <m/>
    <m/>
    <m/>
    <m/>
    <m/>
    <m/>
    <m/>
    <m/>
    <m/>
    <n v="0"/>
    <m/>
    <m/>
    <n v="5"/>
    <m/>
    <m/>
    <m/>
    <m/>
    <m/>
    <m/>
    <n v="5"/>
    <n v="0"/>
    <n v="5"/>
    <n v="0"/>
    <n v="0"/>
    <n v="0"/>
    <n v="0"/>
    <n v="0"/>
    <n v="0"/>
    <n v="5"/>
    <x v="0"/>
    <m/>
    <m/>
    <n v="1.25"/>
    <n v="1.25"/>
    <n v="1.25"/>
    <n v="1.25"/>
    <m/>
    <m/>
    <m/>
    <m/>
    <m/>
    <m/>
    <m/>
    <m/>
    <m/>
    <m/>
    <m/>
    <n v="5"/>
    <n v="5"/>
    <m/>
    <m/>
    <m/>
    <n v="520619"/>
    <n v="175749"/>
    <x v="9"/>
    <x v="3"/>
    <x v="0"/>
    <x v="0"/>
    <m/>
    <x v="0"/>
    <x v="0"/>
    <m/>
    <x v="0"/>
    <s v="Y"/>
    <x v="5"/>
  </r>
  <r>
    <s v="23/1615/GPD26"/>
    <x v="1"/>
    <x v="1"/>
    <x v="209"/>
    <d v="2026-08-14T00:00:00"/>
    <d v="2025-07-11T00:00:00"/>
    <m/>
    <x v="0"/>
    <d v="2025-10-19T00:00:00"/>
    <x v="2"/>
    <x v="0"/>
    <x v="0"/>
    <m/>
    <x v="2"/>
    <s v="Conversion of existing ground floor offices (Class E) to residential (class C3). Retention of existing rear garden including secure cycle storage unit and recycling bin area."/>
    <s v="15 Nelson Road, Twickenham TW2 7AR"/>
    <s v="TW2 7AR"/>
    <m/>
    <m/>
    <m/>
    <m/>
    <m/>
    <m/>
    <m/>
    <m/>
    <m/>
    <n v="0"/>
    <m/>
    <n v="1"/>
    <m/>
    <m/>
    <m/>
    <m/>
    <m/>
    <m/>
    <m/>
    <n v="1"/>
    <n v="1"/>
    <n v="0"/>
    <n v="0"/>
    <n v="0"/>
    <n v="0"/>
    <n v="0"/>
    <n v="0"/>
    <n v="0"/>
    <n v="1"/>
    <x v="0"/>
    <m/>
    <n v="1"/>
    <m/>
    <m/>
    <m/>
    <m/>
    <m/>
    <m/>
    <m/>
    <m/>
    <m/>
    <m/>
    <m/>
    <m/>
    <m/>
    <m/>
    <m/>
    <n v="1"/>
    <n v="1"/>
    <m/>
    <m/>
    <m/>
    <n v="514480"/>
    <n v="174190"/>
    <x v="0"/>
    <x v="0"/>
    <x v="0"/>
    <x v="0"/>
    <m/>
    <x v="0"/>
    <x v="0"/>
    <m/>
    <x v="0"/>
    <s v="Y"/>
    <x v="0"/>
  </r>
  <r>
    <s v="23/1618/GPD26"/>
    <x v="1"/>
    <x v="1"/>
    <x v="210"/>
    <d v="2026-07-28T00:00:00"/>
    <m/>
    <m/>
    <x v="0"/>
    <m/>
    <x v="2"/>
    <x v="0"/>
    <x v="0"/>
    <m/>
    <x v="2"/>
    <s v="Conversion of office space into a single dwelling with associated cycle parking and refuse and recycling provision."/>
    <s v="Station Point, 121 Sandycombe Road, Richmond"/>
    <s v="TW9 2AD"/>
    <m/>
    <m/>
    <m/>
    <m/>
    <m/>
    <m/>
    <m/>
    <m/>
    <m/>
    <n v="0"/>
    <m/>
    <m/>
    <n v="1"/>
    <m/>
    <m/>
    <m/>
    <m/>
    <m/>
    <m/>
    <n v="1"/>
    <n v="0"/>
    <n v="1"/>
    <n v="0"/>
    <n v="0"/>
    <n v="0"/>
    <n v="0"/>
    <n v="0"/>
    <n v="0"/>
    <n v="1"/>
    <x v="0"/>
    <m/>
    <n v="0.25"/>
    <n v="0.25"/>
    <n v="0.25"/>
    <n v="0.25"/>
    <m/>
    <m/>
    <m/>
    <m/>
    <m/>
    <m/>
    <m/>
    <m/>
    <m/>
    <m/>
    <m/>
    <m/>
    <n v="1"/>
    <n v="1"/>
    <m/>
    <m/>
    <m/>
    <n v="519072"/>
    <n v="176048"/>
    <x v="13"/>
    <x v="4"/>
    <x v="0"/>
    <x v="0"/>
    <m/>
    <x v="0"/>
    <x v="0"/>
    <m/>
    <x v="0"/>
    <s v="Y"/>
    <x v="8"/>
  </r>
  <r>
    <s v="23/1619/FUL"/>
    <x v="1"/>
    <x v="0"/>
    <x v="209"/>
    <d v="2027-07-15T00:00:00"/>
    <m/>
    <m/>
    <x v="0"/>
    <m/>
    <x v="2"/>
    <x v="0"/>
    <x v="0"/>
    <m/>
    <x v="2"/>
    <s v="Change of Use from the Residential (C3) use into Hotel (C1) and a Listed Building Consent for removal of kitchen and pantry furniture and fixtures, and installation of en-suite shower room &amp; free-standing bath in Suite 1 (long room)."/>
    <s v="1 Palace Gate, Hampton Court Road, Hampton KT8 9BN"/>
    <s v="KT8 9BN"/>
    <m/>
    <m/>
    <m/>
    <n v="1"/>
    <m/>
    <m/>
    <m/>
    <m/>
    <m/>
    <n v="1"/>
    <m/>
    <m/>
    <m/>
    <m/>
    <m/>
    <m/>
    <m/>
    <m/>
    <m/>
    <n v="0"/>
    <n v="0"/>
    <n v="0"/>
    <n v="-1"/>
    <n v="0"/>
    <n v="0"/>
    <n v="0"/>
    <n v="0"/>
    <n v="0"/>
    <n v="-1"/>
    <x v="0"/>
    <m/>
    <n v="-0.25"/>
    <n v="-0.25"/>
    <n v="-0.25"/>
    <n v="-0.25"/>
    <m/>
    <m/>
    <m/>
    <m/>
    <m/>
    <m/>
    <m/>
    <m/>
    <m/>
    <m/>
    <m/>
    <m/>
    <n v="-1"/>
    <n v="-1"/>
    <m/>
    <m/>
    <m/>
    <n v="515409"/>
    <n v="168615"/>
    <x v="7"/>
    <x v="1"/>
    <x v="0"/>
    <x v="1"/>
    <m/>
    <x v="0"/>
    <x v="0"/>
    <s v="CA11 Hampton Court Green"/>
    <x v="1"/>
    <s v="Y"/>
    <x v="1"/>
  </r>
  <r>
    <s v="23/1623/FUL"/>
    <x v="1"/>
    <x v="0"/>
    <x v="211"/>
    <d v="2027-08-13T00:00:00"/>
    <d v="2025-04-01T00:00:00"/>
    <m/>
    <x v="1"/>
    <m/>
    <x v="2"/>
    <x v="0"/>
    <x v="0"/>
    <m/>
    <x v="2"/>
    <s v="Change of use from student accommodation to C3 residential use, side extension, erection of a part width rear extension to the lower and upper ground floor) and the creation of vehicular access to No. 23 Queens Road with alterations and improvements to the front boundary walls and landscaping of both no. 23 and no.21 Queens Road"/>
    <s v="21 - 23 Queens Road, Richmond"/>
    <s v="TW10 6JW"/>
    <m/>
    <m/>
    <m/>
    <m/>
    <m/>
    <m/>
    <m/>
    <m/>
    <m/>
    <n v="0"/>
    <m/>
    <m/>
    <m/>
    <m/>
    <m/>
    <m/>
    <m/>
    <n v="1"/>
    <m/>
    <n v="1"/>
    <n v="0"/>
    <n v="0"/>
    <n v="0"/>
    <n v="0"/>
    <n v="0"/>
    <n v="0"/>
    <n v="1"/>
    <n v="0"/>
    <n v="1"/>
    <x v="0"/>
    <m/>
    <n v="1"/>
    <m/>
    <m/>
    <m/>
    <m/>
    <m/>
    <m/>
    <m/>
    <m/>
    <m/>
    <m/>
    <m/>
    <m/>
    <m/>
    <m/>
    <m/>
    <n v="1"/>
    <n v="1"/>
    <m/>
    <m/>
    <m/>
    <n v="518603"/>
    <n v="174156"/>
    <x v="12"/>
    <x v="4"/>
    <x v="0"/>
    <x v="0"/>
    <m/>
    <x v="0"/>
    <x v="0"/>
    <s v="CA30 St Matthias Richmond"/>
    <x v="1"/>
    <s v="Y"/>
    <x v="4"/>
  </r>
  <r>
    <s v="23/1812/FUL"/>
    <x v="0"/>
    <x v="0"/>
    <x v="212"/>
    <d v="2026-09-07T00:00:00"/>
    <m/>
    <m/>
    <x v="0"/>
    <m/>
    <x v="2"/>
    <x v="0"/>
    <x v="0"/>
    <m/>
    <x v="2"/>
    <s v="Demolition of existing dwelling and erection of a replacement two storey dwelling."/>
    <s v="14 Cedar Heights, Petersham, Richmond TW10 7AE"/>
    <s v="TW10 7AE"/>
    <m/>
    <m/>
    <m/>
    <n v="1"/>
    <m/>
    <m/>
    <m/>
    <m/>
    <m/>
    <n v="1"/>
    <m/>
    <m/>
    <m/>
    <m/>
    <m/>
    <n v="1"/>
    <m/>
    <m/>
    <m/>
    <n v="1"/>
    <n v="0"/>
    <n v="0"/>
    <n v="-1"/>
    <n v="0"/>
    <n v="1"/>
    <n v="0"/>
    <n v="0"/>
    <n v="0"/>
    <n v="0"/>
    <x v="0"/>
    <m/>
    <n v="0"/>
    <m/>
    <m/>
    <m/>
    <m/>
    <m/>
    <m/>
    <m/>
    <m/>
    <m/>
    <m/>
    <m/>
    <m/>
    <m/>
    <m/>
    <m/>
    <n v="0"/>
    <n v="0"/>
    <m/>
    <m/>
    <m/>
    <n v="518160"/>
    <n v="173124"/>
    <x v="10"/>
    <x v="5"/>
    <x v="0"/>
    <x v="0"/>
    <m/>
    <x v="0"/>
    <x v="0"/>
    <m/>
    <x v="0"/>
    <m/>
    <x v="6"/>
  </r>
  <r>
    <s v="23/1819/FUL"/>
    <x v="3"/>
    <x v="0"/>
    <x v="213"/>
    <d v="2026-09-18T00:00:00"/>
    <m/>
    <m/>
    <x v="0"/>
    <m/>
    <x v="2"/>
    <x v="0"/>
    <x v="0"/>
    <m/>
    <x v="2"/>
    <s v="Ground floor conversion from commercial to two 1B1P self-contained dwellings. Single storey rear extension to accommodate one new 2B4P self-contained dwelling. First floor extension to allow the sub-division of the existing 3 bedroom first floor flat to form 2No. 1-bedroom flats and the construction of a mansard style roof extension to provide a further 2No. 1 bedroom flats at second floor level. Re-siting of existing front doors at ground floor level of the residential units."/>
    <s v="3 - 4 New Broadway, Hampton Hill"/>
    <s v="TW12 1JG"/>
    <m/>
    <m/>
    <m/>
    <n v="1"/>
    <m/>
    <m/>
    <m/>
    <m/>
    <m/>
    <n v="1"/>
    <m/>
    <n v="8"/>
    <m/>
    <m/>
    <m/>
    <m/>
    <m/>
    <m/>
    <m/>
    <n v="8"/>
    <n v="8"/>
    <n v="0"/>
    <n v="-1"/>
    <n v="0"/>
    <n v="0"/>
    <n v="0"/>
    <n v="0"/>
    <n v="0"/>
    <n v="7"/>
    <x v="0"/>
    <m/>
    <m/>
    <n v="3.5"/>
    <n v="3.5"/>
    <m/>
    <m/>
    <m/>
    <m/>
    <m/>
    <m/>
    <m/>
    <m/>
    <m/>
    <m/>
    <m/>
    <m/>
    <m/>
    <n v="7"/>
    <n v="7"/>
    <m/>
    <m/>
    <m/>
    <n v="514554"/>
    <n v="171260"/>
    <x v="6"/>
    <x v="1"/>
    <x v="0"/>
    <x v="0"/>
    <s v="High Street, Hampton Hill"/>
    <x v="1"/>
    <x v="0"/>
    <m/>
    <x v="0"/>
    <s v="Y"/>
    <x v="1"/>
  </r>
  <r>
    <s v="23/2090/FUL"/>
    <x v="4"/>
    <x v="0"/>
    <x v="214"/>
    <d v="2027-04-09T00:00:00"/>
    <m/>
    <m/>
    <x v="1"/>
    <m/>
    <x v="2"/>
    <x v="0"/>
    <x v="0"/>
    <m/>
    <x v="2"/>
    <s v="Change of use of existing building from use as hobbyist workshop to 1 bed studio apartment (C3) and associated external alterations including to roof and fenestration."/>
    <s v="Land Rear Of 63 Sheen Lane, East Sheen"/>
    <s v="SW14 8AB"/>
    <m/>
    <m/>
    <m/>
    <m/>
    <m/>
    <m/>
    <m/>
    <m/>
    <m/>
    <n v="0"/>
    <m/>
    <n v="1"/>
    <m/>
    <m/>
    <m/>
    <m/>
    <m/>
    <m/>
    <m/>
    <n v="1"/>
    <n v="1"/>
    <n v="0"/>
    <n v="0"/>
    <n v="0"/>
    <n v="0"/>
    <n v="0"/>
    <n v="0"/>
    <n v="0"/>
    <n v="1"/>
    <x v="0"/>
    <m/>
    <n v="0.25"/>
    <n v="0.25"/>
    <n v="0.25"/>
    <n v="0.25"/>
    <m/>
    <m/>
    <m/>
    <m/>
    <m/>
    <m/>
    <m/>
    <m/>
    <m/>
    <m/>
    <m/>
    <m/>
    <n v="1"/>
    <n v="1"/>
    <m/>
    <m/>
    <m/>
    <n v="520522"/>
    <n v="175644"/>
    <x v="9"/>
    <x v="3"/>
    <x v="4"/>
    <x v="0"/>
    <m/>
    <x v="0"/>
    <x v="0"/>
    <m/>
    <x v="0"/>
    <s v="Y"/>
    <x v="5"/>
  </r>
  <r>
    <s v="23/2244/FUL"/>
    <x v="0"/>
    <x v="0"/>
    <x v="108"/>
    <d v="2026-12-21T00:00:00"/>
    <m/>
    <m/>
    <x v="0"/>
    <m/>
    <x v="2"/>
    <x v="0"/>
    <x v="0"/>
    <m/>
    <x v="2"/>
    <s v="Demolition of the existing detached two-storey dwelling house with accommodation in the roofspace and existing attached single-storey garage and outbuildings, and their replacement with a pair of semi-detached two-storey dwelling houses with associated off-street car parking, cycle parking, bin store areas and landscaping."/>
    <s v="233 Nelson Road, Twickenham TW2 7BQ"/>
    <s v="TW2 7BQ"/>
    <m/>
    <m/>
    <m/>
    <m/>
    <n v="1"/>
    <m/>
    <m/>
    <m/>
    <m/>
    <n v="1"/>
    <m/>
    <m/>
    <m/>
    <n v="2"/>
    <m/>
    <m/>
    <m/>
    <m/>
    <m/>
    <n v="2"/>
    <n v="0"/>
    <n v="0"/>
    <n v="2"/>
    <n v="-1"/>
    <n v="0"/>
    <n v="0"/>
    <n v="0"/>
    <n v="0"/>
    <n v="1"/>
    <x v="0"/>
    <m/>
    <n v="0.25"/>
    <n v="0.25"/>
    <n v="0.25"/>
    <n v="0.25"/>
    <m/>
    <m/>
    <m/>
    <m/>
    <m/>
    <m/>
    <m/>
    <m/>
    <m/>
    <m/>
    <m/>
    <m/>
    <n v="1"/>
    <n v="1"/>
    <m/>
    <m/>
    <m/>
    <n v="513815"/>
    <n v="173889"/>
    <x v="0"/>
    <x v="0"/>
    <x v="0"/>
    <x v="0"/>
    <m/>
    <x v="0"/>
    <x v="0"/>
    <m/>
    <x v="0"/>
    <s v="Y"/>
    <x v="0"/>
  </r>
  <r>
    <s v="23/2250/FUL"/>
    <x v="3"/>
    <x v="0"/>
    <x v="159"/>
    <d v="2027-08-22T00:00:00"/>
    <m/>
    <m/>
    <x v="1"/>
    <m/>
    <x v="2"/>
    <x v="0"/>
    <x v="0"/>
    <m/>
    <x v="2"/>
    <s v="The construction of a first and second floor rear extension, erection of a rear dormer window and conversion of the existing two-bedroom flat to create 1No. one-bedroom flat and 1No. two-bedroom flat."/>
    <s v="31A Broad Street, Teddington TW11 8QZ"/>
    <s v="TW11 8QZ"/>
    <m/>
    <n v="1"/>
    <m/>
    <m/>
    <m/>
    <m/>
    <m/>
    <m/>
    <m/>
    <n v="1"/>
    <m/>
    <n v="1"/>
    <n v="1"/>
    <m/>
    <m/>
    <m/>
    <m/>
    <m/>
    <m/>
    <n v="2"/>
    <n v="0"/>
    <n v="1"/>
    <n v="0"/>
    <n v="0"/>
    <n v="0"/>
    <n v="0"/>
    <n v="0"/>
    <n v="0"/>
    <n v="1"/>
    <x v="0"/>
    <m/>
    <n v="0.25"/>
    <n v="0.25"/>
    <n v="0.25"/>
    <n v="0.25"/>
    <m/>
    <m/>
    <m/>
    <m/>
    <m/>
    <m/>
    <m/>
    <m/>
    <m/>
    <m/>
    <m/>
    <m/>
    <n v="1"/>
    <n v="1"/>
    <m/>
    <m/>
    <m/>
    <n v="515611"/>
    <n v="170996"/>
    <x v="11"/>
    <x v="1"/>
    <x v="5"/>
    <x v="0"/>
    <m/>
    <x v="0"/>
    <x v="0"/>
    <m/>
    <x v="0"/>
    <s v="Y"/>
    <x v="7"/>
  </r>
  <r>
    <s v="23/2359/FUL"/>
    <x v="0"/>
    <x v="0"/>
    <x v="56"/>
    <d v="2027-12-06T00:00:00"/>
    <d v="2025-11-06T00:00:00"/>
    <m/>
    <x v="1"/>
    <m/>
    <x v="2"/>
    <x v="0"/>
    <x v="0"/>
    <m/>
    <x v="2"/>
    <s v="Demolition of the existing bungalow and replacement with a pair of 2 storey, 3-bedroom semi-detached dwellinghouses with associated parking and landscaping"/>
    <s v="83 Udney Park Road, Teddington TW11 9BB"/>
    <s v="TW11 9BB"/>
    <m/>
    <m/>
    <n v="1"/>
    <m/>
    <m/>
    <m/>
    <m/>
    <m/>
    <m/>
    <n v="1"/>
    <m/>
    <m/>
    <m/>
    <n v="2"/>
    <m/>
    <m/>
    <m/>
    <m/>
    <m/>
    <n v="2"/>
    <n v="0"/>
    <n v="-1"/>
    <n v="2"/>
    <n v="0"/>
    <n v="0"/>
    <n v="0"/>
    <n v="0"/>
    <n v="0"/>
    <n v="1"/>
    <x v="0"/>
    <m/>
    <m/>
    <n v="0.5"/>
    <n v="0.5"/>
    <m/>
    <m/>
    <m/>
    <m/>
    <m/>
    <m/>
    <m/>
    <m/>
    <m/>
    <m/>
    <m/>
    <m/>
    <m/>
    <n v="1"/>
    <n v="1"/>
    <m/>
    <m/>
    <m/>
    <n v="516348"/>
    <n v="170774"/>
    <x v="14"/>
    <x v="1"/>
    <x v="0"/>
    <x v="0"/>
    <m/>
    <x v="0"/>
    <x v="0"/>
    <m/>
    <x v="0"/>
    <s v="Y"/>
    <x v="7"/>
  </r>
  <r>
    <s v="23/2413/FUL"/>
    <x v="0"/>
    <x v="0"/>
    <x v="215"/>
    <d v="2027-03-13T00:00:00"/>
    <d v="2025-05-01T00:00:00"/>
    <m/>
    <x v="0"/>
    <m/>
    <x v="2"/>
    <x v="0"/>
    <x v="0"/>
    <m/>
    <x v="2"/>
    <s v="Demolition of existing outbuilding. Erection of side/rear extension to create office floorspace and 1 x 2 bed flat with associated landscaping, cycle and refuse storage facilities."/>
    <s v="53 Sheen Lane, East Sheen SW14 8AB"/>
    <s v="SW14 8AB"/>
    <m/>
    <m/>
    <m/>
    <m/>
    <m/>
    <m/>
    <m/>
    <m/>
    <m/>
    <n v="0"/>
    <m/>
    <m/>
    <n v="1"/>
    <m/>
    <m/>
    <m/>
    <m/>
    <m/>
    <m/>
    <n v="1"/>
    <n v="0"/>
    <n v="1"/>
    <n v="0"/>
    <n v="0"/>
    <n v="0"/>
    <n v="0"/>
    <n v="0"/>
    <n v="0"/>
    <n v="1"/>
    <x v="0"/>
    <m/>
    <n v="0.5"/>
    <n v="0.5"/>
    <m/>
    <m/>
    <m/>
    <m/>
    <m/>
    <m/>
    <m/>
    <m/>
    <m/>
    <m/>
    <m/>
    <m/>
    <m/>
    <m/>
    <n v="1"/>
    <n v="1"/>
    <m/>
    <m/>
    <m/>
    <n v="520508"/>
    <n v="175676"/>
    <x v="9"/>
    <x v="3"/>
    <x v="4"/>
    <x v="0"/>
    <m/>
    <x v="0"/>
    <x v="0"/>
    <s v="CA70 Sheen Lane Mortlake"/>
    <x v="1"/>
    <s v="Y"/>
    <x v="5"/>
  </r>
  <r>
    <s v="23/2478/FUL"/>
    <x v="0"/>
    <x v="0"/>
    <x v="216"/>
    <d v="2027-07-09T00:00:00"/>
    <d v="2025-12-05T00:00:00"/>
    <m/>
    <x v="1"/>
    <m/>
    <x v="2"/>
    <x v="0"/>
    <x v="0"/>
    <m/>
    <x v="2"/>
    <s v="Demolition of the existing garages, erection of a residential dwelling (Use Class C3), parking, landscaping, store, alterations and improvements to the existing rear stair core to 19-23 Friars Stile Road and associated works."/>
    <s v="Rear Of 19-23 Friars Stile Road, Richmond"/>
    <s v="TW10 6QH"/>
    <m/>
    <m/>
    <m/>
    <m/>
    <m/>
    <m/>
    <m/>
    <m/>
    <m/>
    <n v="0"/>
    <m/>
    <m/>
    <m/>
    <n v="1"/>
    <m/>
    <m/>
    <m/>
    <m/>
    <m/>
    <n v="1"/>
    <n v="0"/>
    <n v="0"/>
    <n v="1"/>
    <n v="0"/>
    <n v="0"/>
    <n v="0"/>
    <n v="0"/>
    <n v="0"/>
    <n v="1"/>
    <x v="0"/>
    <m/>
    <m/>
    <n v="0.5"/>
    <n v="0.5"/>
    <m/>
    <m/>
    <m/>
    <m/>
    <m/>
    <m/>
    <m/>
    <m/>
    <m/>
    <m/>
    <m/>
    <m/>
    <m/>
    <n v="1"/>
    <n v="1"/>
    <m/>
    <m/>
    <m/>
    <n v="518414"/>
    <n v="174349"/>
    <x v="12"/>
    <x v="4"/>
    <x v="0"/>
    <x v="0"/>
    <m/>
    <x v="0"/>
    <x v="0"/>
    <s v="CA30 St Matthias Richmond"/>
    <x v="1"/>
    <s v="Y"/>
    <x v="4"/>
  </r>
  <r>
    <s v="23/2490/FUL"/>
    <x v="0"/>
    <x v="0"/>
    <x v="36"/>
    <d v="2027-01-24T00:00:00"/>
    <m/>
    <m/>
    <x v="0"/>
    <m/>
    <x v="2"/>
    <x v="0"/>
    <x v="0"/>
    <m/>
    <x v="2"/>
    <s v="Demolition of Existing Bungalow and the Erection of a Replacement Dwelling"/>
    <s v="84A Hampton Road, Twickenham TW2 5QS"/>
    <s v="TW2 5QS"/>
    <m/>
    <m/>
    <m/>
    <n v="1"/>
    <m/>
    <m/>
    <m/>
    <m/>
    <m/>
    <n v="1"/>
    <m/>
    <m/>
    <m/>
    <m/>
    <n v="1"/>
    <m/>
    <m/>
    <m/>
    <m/>
    <n v="1"/>
    <n v="0"/>
    <n v="0"/>
    <n v="-1"/>
    <n v="1"/>
    <n v="0"/>
    <n v="0"/>
    <n v="0"/>
    <n v="0"/>
    <n v="0"/>
    <x v="0"/>
    <m/>
    <n v="0"/>
    <m/>
    <m/>
    <m/>
    <m/>
    <m/>
    <m/>
    <m/>
    <m/>
    <m/>
    <m/>
    <m/>
    <m/>
    <m/>
    <m/>
    <m/>
    <n v="0"/>
    <n v="0"/>
    <m/>
    <m/>
    <m/>
    <n v="514998"/>
    <n v="172653"/>
    <x v="16"/>
    <x v="2"/>
    <x v="0"/>
    <x v="0"/>
    <m/>
    <x v="0"/>
    <x v="0"/>
    <m/>
    <x v="0"/>
    <s v="Y"/>
    <x v="2"/>
  </r>
  <r>
    <s v="23/2663/FUL"/>
    <x v="0"/>
    <x v="0"/>
    <x v="217"/>
    <d v="2027-12-18T00:00:00"/>
    <m/>
    <m/>
    <x v="0"/>
    <m/>
    <x v="2"/>
    <x v="0"/>
    <x v="0"/>
    <m/>
    <x v="2"/>
    <s v="Demolition of existing bungalow and the erection of a three-storey replacement dwelling with basement level"/>
    <s v="23A Hampton Road, Teddington TW11 0JN"/>
    <s v="TW11 0JN"/>
    <m/>
    <m/>
    <m/>
    <n v="1"/>
    <m/>
    <m/>
    <m/>
    <m/>
    <m/>
    <n v="1"/>
    <m/>
    <m/>
    <m/>
    <m/>
    <n v="1"/>
    <m/>
    <m/>
    <m/>
    <m/>
    <n v="1"/>
    <n v="0"/>
    <n v="0"/>
    <n v="-1"/>
    <n v="1"/>
    <n v="0"/>
    <n v="0"/>
    <n v="0"/>
    <n v="0"/>
    <n v="0"/>
    <x v="0"/>
    <m/>
    <n v="0"/>
    <m/>
    <m/>
    <m/>
    <m/>
    <m/>
    <m/>
    <m/>
    <m/>
    <m/>
    <m/>
    <m/>
    <m/>
    <m/>
    <m/>
    <m/>
    <n v="0"/>
    <n v="0"/>
    <m/>
    <m/>
    <m/>
    <n v="515364"/>
    <n v="171027"/>
    <x v="11"/>
    <x v="1"/>
    <x v="0"/>
    <x v="0"/>
    <m/>
    <x v="0"/>
    <x v="0"/>
    <m/>
    <x v="0"/>
    <s v="Y"/>
    <x v="7"/>
  </r>
  <r>
    <s v="23/2673/FUL"/>
    <x v="4"/>
    <x v="0"/>
    <x v="218"/>
    <d v="2026-12-14T00:00:00"/>
    <m/>
    <m/>
    <x v="0"/>
    <m/>
    <x v="2"/>
    <x v="0"/>
    <x v="0"/>
    <m/>
    <x v="2"/>
    <s v="Subdivision of two bed flat to two 1 bed flats with associated refuse storage and cycle parking."/>
    <s v="28 Hill Street, Richmond TW9 1TW"/>
    <s v="TW9 1TW"/>
    <m/>
    <m/>
    <n v="1"/>
    <m/>
    <m/>
    <m/>
    <m/>
    <m/>
    <m/>
    <n v="1"/>
    <m/>
    <n v="2"/>
    <m/>
    <m/>
    <m/>
    <m/>
    <m/>
    <m/>
    <m/>
    <n v="2"/>
    <n v="2"/>
    <n v="-1"/>
    <n v="0"/>
    <n v="0"/>
    <n v="0"/>
    <n v="0"/>
    <n v="0"/>
    <n v="0"/>
    <n v="1"/>
    <x v="0"/>
    <m/>
    <n v="0.25"/>
    <n v="0.25"/>
    <n v="0.25"/>
    <n v="0.25"/>
    <m/>
    <m/>
    <m/>
    <m/>
    <m/>
    <m/>
    <m/>
    <m/>
    <m/>
    <m/>
    <m/>
    <m/>
    <n v="1"/>
    <n v="1"/>
    <m/>
    <m/>
    <m/>
    <n v="517804"/>
    <n v="174681"/>
    <x v="12"/>
    <x v="4"/>
    <x v="3"/>
    <x v="0"/>
    <m/>
    <x v="0"/>
    <x v="0"/>
    <s v="CA17 Central Richmond"/>
    <x v="1"/>
    <s v="Y"/>
    <x v="4"/>
  </r>
  <r>
    <s v="23/2841/FUL"/>
    <x v="0"/>
    <x v="0"/>
    <x v="216"/>
    <d v="2027-07-09T00:00:00"/>
    <m/>
    <m/>
    <x v="1"/>
    <m/>
    <x v="2"/>
    <x v="0"/>
    <x v="0"/>
    <m/>
    <x v="2"/>
    <s v="Demolition of the existing detached dwelling and erection of a pair of semi detached dwellings, with associated parking, landscaping cycle and refuse enclosures."/>
    <s v="108 Stanley Road, Teddington TW11 8TX"/>
    <s v="TW11 8TX"/>
    <m/>
    <m/>
    <m/>
    <n v="1"/>
    <m/>
    <m/>
    <m/>
    <m/>
    <m/>
    <n v="1"/>
    <m/>
    <m/>
    <m/>
    <m/>
    <n v="2"/>
    <m/>
    <m/>
    <m/>
    <m/>
    <n v="2"/>
    <n v="0"/>
    <n v="0"/>
    <n v="-1"/>
    <n v="2"/>
    <n v="0"/>
    <n v="0"/>
    <n v="0"/>
    <n v="0"/>
    <n v="1"/>
    <x v="0"/>
    <m/>
    <n v="0.25"/>
    <n v="0.25"/>
    <n v="0.25"/>
    <n v="0.25"/>
    <m/>
    <m/>
    <m/>
    <m/>
    <m/>
    <m/>
    <m/>
    <m/>
    <m/>
    <m/>
    <m/>
    <m/>
    <n v="1"/>
    <n v="1"/>
    <m/>
    <m/>
    <m/>
    <n v="515306"/>
    <n v="171319"/>
    <x v="6"/>
    <x v="1"/>
    <x v="0"/>
    <x v="0"/>
    <m/>
    <x v="0"/>
    <x v="0"/>
    <m/>
    <x v="0"/>
    <s v="Y"/>
    <x v="7"/>
  </r>
  <r>
    <s v="23/2872/FUL"/>
    <x v="1"/>
    <x v="0"/>
    <x v="219"/>
    <d v="2027-11-27T00:00:00"/>
    <m/>
    <m/>
    <x v="1"/>
    <m/>
    <x v="2"/>
    <x v="0"/>
    <x v="0"/>
    <m/>
    <x v="2"/>
    <s v="Part change of use to create 1 x self-contained flat on the upper floors."/>
    <s v="Flat Above 10 King Street, Richmond TW9 1ND"/>
    <s v="TW9 1ND"/>
    <m/>
    <m/>
    <m/>
    <m/>
    <m/>
    <m/>
    <m/>
    <m/>
    <m/>
    <n v="0"/>
    <m/>
    <n v="1"/>
    <m/>
    <m/>
    <m/>
    <m/>
    <m/>
    <m/>
    <m/>
    <n v="1"/>
    <n v="1"/>
    <n v="0"/>
    <n v="0"/>
    <n v="0"/>
    <n v="0"/>
    <n v="0"/>
    <n v="0"/>
    <n v="0"/>
    <n v="1"/>
    <x v="0"/>
    <m/>
    <n v="0.25"/>
    <n v="0.25"/>
    <n v="0.25"/>
    <n v="0.25"/>
    <m/>
    <m/>
    <m/>
    <m/>
    <m/>
    <m/>
    <m/>
    <m/>
    <m/>
    <m/>
    <m/>
    <m/>
    <n v="1"/>
    <n v="1"/>
    <m/>
    <m/>
    <m/>
    <n v="517717"/>
    <n v="174791"/>
    <x v="12"/>
    <x v="4"/>
    <x v="3"/>
    <x v="0"/>
    <m/>
    <x v="0"/>
    <x v="0"/>
    <s v="CA17 Central Richmond"/>
    <x v="1"/>
    <s v="Y"/>
    <x v="4"/>
  </r>
  <r>
    <s v="23/2885/FUL"/>
    <x v="0"/>
    <x v="0"/>
    <x v="173"/>
    <d v="2027-04-26T00:00:00"/>
    <m/>
    <m/>
    <x v="1"/>
    <m/>
    <x v="2"/>
    <x v="0"/>
    <x v="0"/>
    <m/>
    <x v="2"/>
    <s v="Demolition of existing two storey side extension and replacement with a new two storey terraced house with rear parking, 2No. EVCPs"/>
    <s v="68 Lincoln Avenue, Twickenham TW2 6NQ"/>
    <s v="TW2 6NQ"/>
    <m/>
    <m/>
    <m/>
    <m/>
    <m/>
    <m/>
    <m/>
    <m/>
    <m/>
    <n v="0"/>
    <m/>
    <m/>
    <n v="1"/>
    <m/>
    <m/>
    <m/>
    <m/>
    <m/>
    <m/>
    <n v="1"/>
    <n v="0"/>
    <n v="1"/>
    <n v="0"/>
    <n v="0"/>
    <n v="0"/>
    <n v="0"/>
    <n v="0"/>
    <n v="0"/>
    <n v="1"/>
    <x v="0"/>
    <m/>
    <n v="0.25"/>
    <n v="0.25"/>
    <n v="0.25"/>
    <n v="0.25"/>
    <m/>
    <m/>
    <m/>
    <m/>
    <m/>
    <m/>
    <m/>
    <m/>
    <m/>
    <m/>
    <m/>
    <m/>
    <n v="1"/>
    <n v="1"/>
    <m/>
    <m/>
    <m/>
    <n v="514442"/>
    <n v="173117"/>
    <x v="16"/>
    <x v="2"/>
    <x v="0"/>
    <x v="0"/>
    <m/>
    <x v="0"/>
    <x v="0"/>
    <m/>
    <x v="0"/>
    <s v="Y"/>
    <x v="2"/>
  </r>
  <r>
    <s v="23/3062/FUL"/>
    <x v="2"/>
    <x v="0"/>
    <x v="220"/>
    <d v="2027-05-16T00:00:00"/>
    <m/>
    <m/>
    <x v="1"/>
    <m/>
    <x v="2"/>
    <x v="0"/>
    <x v="0"/>
    <m/>
    <x v="2"/>
    <s v="Demolition of existing side extension and erection of new 3 bedroom dwelling with associated amenity space, parking, cycle and waste storage."/>
    <s v="224 St Leonards Road, East Sheen SW14 7BN"/>
    <s v="SW14 7BN"/>
    <m/>
    <m/>
    <m/>
    <m/>
    <m/>
    <m/>
    <m/>
    <m/>
    <m/>
    <n v="0"/>
    <m/>
    <m/>
    <m/>
    <n v="1"/>
    <m/>
    <m/>
    <m/>
    <m/>
    <m/>
    <n v="1"/>
    <n v="0"/>
    <n v="0"/>
    <n v="1"/>
    <n v="0"/>
    <n v="0"/>
    <n v="0"/>
    <n v="0"/>
    <n v="0"/>
    <n v="1"/>
    <x v="0"/>
    <m/>
    <n v="0.25"/>
    <n v="0.25"/>
    <n v="0.25"/>
    <n v="0.25"/>
    <m/>
    <m/>
    <m/>
    <m/>
    <m/>
    <m/>
    <m/>
    <m/>
    <m/>
    <m/>
    <m/>
    <m/>
    <n v="1"/>
    <n v="1"/>
    <m/>
    <m/>
    <m/>
    <n v="519823"/>
    <n v="175563"/>
    <x v="8"/>
    <x v="4"/>
    <x v="0"/>
    <x v="0"/>
    <m/>
    <x v="0"/>
    <x v="0"/>
    <m/>
    <x v="0"/>
    <s v="Y"/>
    <x v="5"/>
  </r>
  <r>
    <s v="23/3199/FUL"/>
    <x v="4"/>
    <x v="0"/>
    <x v="221"/>
    <d v="2027-12-13T00:00:00"/>
    <m/>
    <m/>
    <x v="1"/>
    <m/>
    <x v="2"/>
    <x v="0"/>
    <x v="0"/>
    <m/>
    <x v="2"/>
    <s v="2-storey side extensions to the east and west side elevations (reconstruction of existing) and a GF rear extension to the main house. The reinstatement of a self contained dwelling house to the east/ side . The addition of an Outbuilding/ Gym. Amendments to the front boundary wall including new brickwork piers, a straight wall to the crossover and the insertion of new timber entrance gates. First floor rear extension to the main house and roof addition with dormer roof extensions. Provision of PV Panels."/>
    <s v="35 Fife Road, East Sheen SW14 7EJ"/>
    <s v="SW14 7EJ"/>
    <m/>
    <m/>
    <m/>
    <m/>
    <m/>
    <m/>
    <m/>
    <m/>
    <m/>
    <n v="0"/>
    <m/>
    <m/>
    <n v="1"/>
    <m/>
    <m/>
    <m/>
    <m/>
    <m/>
    <m/>
    <n v="1"/>
    <n v="0"/>
    <n v="1"/>
    <n v="0"/>
    <n v="0"/>
    <n v="0"/>
    <n v="0"/>
    <n v="0"/>
    <n v="0"/>
    <n v="1"/>
    <x v="0"/>
    <m/>
    <n v="0.25"/>
    <n v="0.25"/>
    <n v="0.25"/>
    <n v="0.25"/>
    <m/>
    <m/>
    <m/>
    <m/>
    <m/>
    <m/>
    <m/>
    <m/>
    <m/>
    <m/>
    <m/>
    <m/>
    <n v="1"/>
    <n v="1"/>
    <m/>
    <m/>
    <m/>
    <n v="520354"/>
    <n v="174562"/>
    <x v="9"/>
    <x v="3"/>
    <x v="0"/>
    <x v="0"/>
    <m/>
    <x v="0"/>
    <x v="0"/>
    <s v="CA13 Christchurch Road East Sheen"/>
    <x v="1"/>
    <s v="Y"/>
    <x v="5"/>
  </r>
  <r>
    <s v="23/3200/FUL"/>
    <x v="4"/>
    <x v="0"/>
    <x v="222"/>
    <d v="2027-05-09T00:00:00"/>
    <m/>
    <m/>
    <x v="1"/>
    <m/>
    <x v="2"/>
    <x v="0"/>
    <x v="0"/>
    <m/>
    <x v="2"/>
    <s v="Conversion from 3.no self-contained flats to a single family dwelling. Associated alterations comprising replacement windows and doors; removal of side entrance/lightwell and steps to existing lower ground floor flat; hard and soft landscaping including the replacement of existing concrete driveway with shingle; and installation of Air Source Heat Pump in rear garden at rear of garages."/>
    <s v="30 St Georges Road, Twickenham TW1 1QR"/>
    <s v="TW1 1QR"/>
    <m/>
    <n v="2"/>
    <n v="1"/>
    <m/>
    <m/>
    <m/>
    <m/>
    <m/>
    <m/>
    <n v="3"/>
    <m/>
    <m/>
    <m/>
    <m/>
    <m/>
    <n v="1"/>
    <m/>
    <m/>
    <m/>
    <n v="1"/>
    <n v="-2"/>
    <n v="-1"/>
    <n v="0"/>
    <n v="0"/>
    <n v="1"/>
    <n v="0"/>
    <n v="0"/>
    <n v="0"/>
    <n v="-2"/>
    <x v="0"/>
    <m/>
    <n v="-0.5"/>
    <n v="-0.5"/>
    <n v="-0.5"/>
    <n v="-0.5"/>
    <m/>
    <m/>
    <m/>
    <m/>
    <m/>
    <m/>
    <m/>
    <m/>
    <m/>
    <m/>
    <m/>
    <m/>
    <n v="-2"/>
    <n v="-2"/>
    <m/>
    <m/>
    <m/>
    <n v="516870"/>
    <n v="174825"/>
    <x v="3"/>
    <x v="2"/>
    <x v="0"/>
    <x v="0"/>
    <m/>
    <x v="0"/>
    <x v="0"/>
    <s v="CA19 St Margarets"/>
    <x v="1"/>
    <s v="Y"/>
    <x v="2"/>
  </r>
  <r>
    <s v="23/3288/FUL"/>
    <x v="0"/>
    <x v="0"/>
    <x v="223"/>
    <d v="2027-11-11T00:00:00"/>
    <m/>
    <m/>
    <x v="1"/>
    <m/>
    <x v="2"/>
    <x v="0"/>
    <x v="0"/>
    <m/>
    <x v="2"/>
    <s v="Erection of a terrace of three, 4-bedroom townhouses and associated parking, access and landscaping on a 26-space private car park."/>
    <s v="Car Park Adjacent Elfin Works, Elfin Grove, Teddington"/>
    <s v="TW11"/>
    <m/>
    <m/>
    <m/>
    <m/>
    <m/>
    <m/>
    <m/>
    <m/>
    <m/>
    <n v="0"/>
    <m/>
    <m/>
    <m/>
    <m/>
    <n v="3"/>
    <m/>
    <m/>
    <m/>
    <m/>
    <n v="3"/>
    <n v="0"/>
    <n v="0"/>
    <n v="0"/>
    <n v="3"/>
    <n v="0"/>
    <n v="0"/>
    <n v="0"/>
    <n v="0"/>
    <n v="3"/>
    <x v="0"/>
    <m/>
    <n v="0.75"/>
    <n v="0.75"/>
    <n v="0.75"/>
    <n v="0.75"/>
    <m/>
    <m/>
    <m/>
    <m/>
    <m/>
    <m/>
    <m/>
    <m/>
    <m/>
    <m/>
    <m/>
    <m/>
    <n v="3"/>
    <n v="3"/>
    <m/>
    <m/>
    <m/>
    <n v="515674"/>
    <n v="171025"/>
    <x v="11"/>
    <x v="1"/>
    <x v="5"/>
    <x v="0"/>
    <m/>
    <x v="0"/>
    <x v="0"/>
    <m/>
    <x v="0"/>
    <s v="Y"/>
    <x v="7"/>
  </r>
  <r>
    <s v="23/3371/FUL"/>
    <x v="3"/>
    <x v="0"/>
    <x v="224"/>
    <d v="2027-06-11T00:00:00"/>
    <m/>
    <m/>
    <x v="1"/>
    <m/>
    <x v="2"/>
    <x v="0"/>
    <x v="0"/>
    <m/>
    <x v="2"/>
    <s v="Creation of two additional levels of Class C3 accommodation comprising 7no.units, conversion and excavation of the existing Class E basement and part conversion of existing floorspace at basement, ground, first, second, and third floor levels to provide internal access and ancillary residential floorspace with external alterations and associated development."/>
    <s v="Westminster House, Kew Road, Richmond TW9 2ND"/>
    <s v="TW9 2ND"/>
    <m/>
    <m/>
    <m/>
    <m/>
    <m/>
    <m/>
    <m/>
    <m/>
    <m/>
    <n v="0"/>
    <m/>
    <n v="3"/>
    <n v="4"/>
    <m/>
    <m/>
    <m/>
    <m/>
    <m/>
    <m/>
    <n v="7"/>
    <n v="3"/>
    <n v="4"/>
    <n v="0"/>
    <n v="0"/>
    <n v="0"/>
    <n v="0"/>
    <n v="0"/>
    <n v="0"/>
    <n v="7"/>
    <x v="0"/>
    <m/>
    <m/>
    <n v="1.75"/>
    <n v="1.75"/>
    <n v="1.75"/>
    <n v="1.75"/>
    <m/>
    <m/>
    <m/>
    <m/>
    <m/>
    <m/>
    <m/>
    <m/>
    <m/>
    <m/>
    <m/>
    <n v="7"/>
    <n v="7"/>
    <m/>
    <m/>
    <m/>
    <n v="518068"/>
    <n v="175208"/>
    <x v="12"/>
    <x v="4"/>
    <x v="3"/>
    <x v="0"/>
    <m/>
    <x v="0"/>
    <x v="0"/>
    <s v="CA17 Central Richmond"/>
    <x v="1"/>
    <s v="Y"/>
    <x v="4"/>
  </r>
  <r>
    <s v="23/3399/GPH01"/>
    <x v="2"/>
    <x v="1"/>
    <x v="225"/>
    <d v="2027-02-05T00:00:00"/>
    <m/>
    <m/>
    <x v="0"/>
    <m/>
    <x v="2"/>
    <x v="0"/>
    <x v="0"/>
    <m/>
    <x v="2"/>
    <s v="A two-storey upward extension creating 8 flats."/>
    <s v="1 - 12 Duke Of Cambridge Close, Whitton"/>
    <s v="TW2 7DG"/>
    <m/>
    <m/>
    <m/>
    <m/>
    <m/>
    <m/>
    <m/>
    <m/>
    <m/>
    <n v="0"/>
    <m/>
    <m/>
    <n v="8"/>
    <m/>
    <m/>
    <m/>
    <m/>
    <m/>
    <m/>
    <n v="8"/>
    <n v="0"/>
    <n v="8"/>
    <n v="0"/>
    <n v="0"/>
    <n v="0"/>
    <n v="0"/>
    <n v="0"/>
    <n v="0"/>
    <n v="8"/>
    <x v="0"/>
    <m/>
    <m/>
    <n v="2"/>
    <n v="2"/>
    <n v="2"/>
    <n v="2"/>
    <m/>
    <m/>
    <m/>
    <m/>
    <m/>
    <m/>
    <m/>
    <m/>
    <m/>
    <m/>
    <m/>
    <n v="8"/>
    <n v="8"/>
    <m/>
    <m/>
    <m/>
    <n v="514983"/>
    <n v="174123"/>
    <x v="0"/>
    <x v="0"/>
    <x v="0"/>
    <x v="0"/>
    <m/>
    <x v="0"/>
    <x v="0"/>
    <m/>
    <x v="0"/>
    <s v="Y"/>
    <x v="0"/>
  </r>
  <r>
    <s v="23/3400/GPH01"/>
    <x v="2"/>
    <x v="1"/>
    <x v="225"/>
    <d v="2027-02-05T00:00:00"/>
    <m/>
    <m/>
    <x v="0"/>
    <m/>
    <x v="2"/>
    <x v="0"/>
    <x v="0"/>
    <m/>
    <x v="2"/>
    <s v="A two-storey upward extension creating 8 flats."/>
    <s v="13 - 24 Duke Of Cambridge Close, Whitton"/>
    <s v="TW2 7DG"/>
    <m/>
    <m/>
    <m/>
    <m/>
    <m/>
    <m/>
    <m/>
    <m/>
    <m/>
    <n v="0"/>
    <m/>
    <m/>
    <n v="8"/>
    <m/>
    <m/>
    <m/>
    <m/>
    <m/>
    <m/>
    <n v="8"/>
    <n v="0"/>
    <n v="8"/>
    <n v="0"/>
    <n v="0"/>
    <n v="0"/>
    <n v="0"/>
    <n v="0"/>
    <n v="0"/>
    <n v="8"/>
    <x v="0"/>
    <m/>
    <m/>
    <n v="2"/>
    <n v="2"/>
    <n v="2"/>
    <n v="2"/>
    <m/>
    <m/>
    <m/>
    <m/>
    <m/>
    <m/>
    <m/>
    <m/>
    <m/>
    <m/>
    <m/>
    <n v="8"/>
    <n v="8"/>
    <m/>
    <m/>
    <m/>
    <n v="514985"/>
    <n v="174185"/>
    <x v="0"/>
    <x v="0"/>
    <x v="0"/>
    <x v="0"/>
    <m/>
    <x v="0"/>
    <x v="0"/>
    <m/>
    <x v="0"/>
    <s v="Y"/>
    <x v="0"/>
  </r>
  <r>
    <s v="24/0208/FUL"/>
    <x v="0"/>
    <x v="0"/>
    <x v="226"/>
    <d v="2027-09-02T00:00:00"/>
    <d v="2025-04-01T00:00:00"/>
    <m/>
    <x v="1"/>
    <m/>
    <x v="2"/>
    <x v="0"/>
    <x v="0"/>
    <m/>
    <x v="2"/>
    <s v="Demolition of existing 2 storey dwelling house and erection of new 2.5 storey dwelling house plus basement, garden building, landscaping works and ASHP."/>
    <s v="1 Cumberland Road, Barnes SW13 9LY"/>
    <s v="SW13 9LY"/>
    <m/>
    <m/>
    <m/>
    <n v="1"/>
    <m/>
    <m/>
    <m/>
    <m/>
    <m/>
    <n v="1"/>
    <m/>
    <m/>
    <m/>
    <m/>
    <n v="1"/>
    <m/>
    <m/>
    <m/>
    <m/>
    <n v="1"/>
    <n v="0"/>
    <n v="0"/>
    <n v="-1"/>
    <n v="1"/>
    <n v="0"/>
    <n v="0"/>
    <n v="0"/>
    <n v="0"/>
    <n v="0"/>
    <x v="0"/>
    <m/>
    <n v="0"/>
    <m/>
    <m/>
    <m/>
    <m/>
    <m/>
    <m/>
    <m/>
    <m/>
    <m/>
    <m/>
    <m/>
    <m/>
    <m/>
    <m/>
    <m/>
    <n v="0"/>
    <n v="0"/>
    <m/>
    <m/>
    <m/>
    <n v="521968"/>
    <n v="176878"/>
    <x v="17"/>
    <x v="3"/>
    <x v="0"/>
    <x v="0"/>
    <m/>
    <x v="0"/>
    <x v="0"/>
    <m/>
    <x v="0"/>
    <m/>
    <x v="3"/>
  </r>
  <r>
    <s v="24/0231/FUL"/>
    <x v="0"/>
    <x v="0"/>
    <x v="227"/>
    <d v="2027-09-05T00:00:00"/>
    <m/>
    <m/>
    <x v="1"/>
    <m/>
    <x v="2"/>
    <x v="0"/>
    <x v="0"/>
    <m/>
    <x v="2"/>
    <s v="Demolition of existing garages and erection of new dwelling attached to No.81 Rosslyn Avenue including basement level, landscaping, on plot parking, bin and cycle store. Provision of air source heat pump."/>
    <s v="Land Adjacent To 81 Rosslyn Avenue, Barnes"/>
    <s v="SW13"/>
    <m/>
    <m/>
    <m/>
    <m/>
    <m/>
    <m/>
    <m/>
    <m/>
    <m/>
    <n v="0"/>
    <m/>
    <m/>
    <m/>
    <n v="1"/>
    <m/>
    <m/>
    <m/>
    <m/>
    <m/>
    <n v="1"/>
    <n v="0"/>
    <n v="0"/>
    <n v="1"/>
    <n v="0"/>
    <n v="0"/>
    <n v="0"/>
    <n v="0"/>
    <n v="0"/>
    <n v="1"/>
    <x v="0"/>
    <m/>
    <n v="0.25"/>
    <n v="0.25"/>
    <n v="0.25"/>
    <n v="0.25"/>
    <m/>
    <m/>
    <m/>
    <m/>
    <m/>
    <m/>
    <m/>
    <m/>
    <m/>
    <m/>
    <m/>
    <m/>
    <n v="1"/>
    <n v="1"/>
    <m/>
    <m/>
    <m/>
    <n v="521623"/>
    <n v="175758"/>
    <x v="5"/>
    <x v="3"/>
    <x v="0"/>
    <x v="0"/>
    <m/>
    <x v="0"/>
    <x v="0"/>
    <m/>
    <x v="0"/>
    <s v="Y"/>
    <x v="3"/>
  </r>
  <r>
    <s v="24/0264/GPD26"/>
    <x v="1"/>
    <x v="1"/>
    <x v="228"/>
    <d v="2027-03-25T00:00:00"/>
    <m/>
    <m/>
    <x v="0"/>
    <m/>
    <x v="2"/>
    <x v="0"/>
    <x v="0"/>
    <m/>
    <x v="2"/>
    <s v="Change of use of part of the ground floor from commercial (use class E) to a single residential dwelling (use class C3)."/>
    <s v="137 Percy Road, Twickenham TW2 6HU"/>
    <s v="TW2 6HU"/>
    <m/>
    <m/>
    <m/>
    <m/>
    <m/>
    <m/>
    <m/>
    <m/>
    <m/>
    <n v="0"/>
    <m/>
    <n v="1"/>
    <m/>
    <m/>
    <m/>
    <m/>
    <m/>
    <m/>
    <m/>
    <n v="1"/>
    <n v="1"/>
    <n v="0"/>
    <n v="0"/>
    <n v="0"/>
    <n v="0"/>
    <n v="0"/>
    <n v="0"/>
    <n v="0"/>
    <n v="1"/>
    <x v="0"/>
    <m/>
    <n v="0.25"/>
    <n v="0.25"/>
    <n v="0.25"/>
    <n v="0.25"/>
    <m/>
    <m/>
    <m/>
    <m/>
    <m/>
    <m/>
    <m/>
    <m/>
    <m/>
    <m/>
    <m/>
    <m/>
    <n v="1"/>
    <n v="1"/>
    <m/>
    <m/>
    <m/>
    <n v="514200"/>
    <n v="173509"/>
    <x v="15"/>
    <x v="0"/>
    <x v="1"/>
    <x v="0"/>
    <m/>
    <x v="0"/>
    <x v="0"/>
    <m/>
    <x v="0"/>
    <s v="Y"/>
    <x v="0"/>
  </r>
  <r>
    <s v="24/0305/FUL"/>
    <x v="4"/>
    <x v="0"/>
    <x v="60"/>
    <d v="2028-02-26T00:00:00"/>
    <m/>
    <m/>
    <x v="1"/>
    <d v="2025-10-13T00:00:00"/>
    <x v="2"/>
    <x v="0"/>
    <x v="0"/>
    <m/>
    <x v="2"/>
    <s v="Subdivision of existing residential unit to create 1 x 1 bedroom flat at first floor, and 1 x retained 1 bed residential unit at 2nd and 3rd floors with associated cycle/refuse stores and rear boundary treatment."/>
    <s v="Flat Front, 366A Upper Richmond Road West, East Sheen SW14 7JU"/>
    <s v="SW14 7JU"/>
    <m/>
    <m/>
    <m/>
    <n v="1"/>
    <m/>
    <m/>
    <m/>
    <m/>
    <m/>
    <n v="1"/>
    <m/>
    <n v="2"/>
    <m/>
    <m/>
    <m/>
    <m/>
    <m/>
    <m/>
    <m/>
    <n v="2"/>
    <n v="2"/>
    <n v="0"/>
    <n v="-1"/>
    <n v="0"/>
    <n v="0"/>
    <n v="0"/>
    <n v="0"/>
    <n v="0"/>
    <n v="1"/>
    <x v="0"/>
    <m/>
    <n v="1"/>
    <m/>
    <m/>
    <m/>
    <m/>
    <m/>
    <m/>
    <m/>
    <m/>
    <m/>
    <m/>
    <m/>
    <m/>
    <m/>
    <m/>
    <m/>
    <n v="1"/>
    <n v="1"/>
    <m/>
    <m/>
    <m/>
    <n v="520029"/>
    <n v="175366"/>
    <x v="8"/>
    <x v="4"/>
    <x v="4"/>
    <x v="0"/>
    <m/>
    <x v="0"/>
    <x v="0"/>
    <m/>
    <x v="0"/>
    <s v="Y"/>
    <x v="5"/>
  </r>
  <r>
    <s v="24/0353/FUL"/>
    <x v="0"/>
    <x v="0"/>
    <x v="206"/>
    <d v="2027-05-02T00:00:00"/>
    <m/>
    <m/>
    <x v="1"/>
    <m/>
    <x v="2"/>
    <x v="0"/>
    <x v="0"/>
    <m/>
    <x v="2"/>
    <s v="Demolition of existing dwelling and construction of replacement dwelling and associated site works."/>
    <s v="92 Boileau Road, Barnes SW13 9BP"/>
    <s v="SW13 9BP"/>
    <m/>
    <m/>
    <m/>
    <n v="1"/>
    <m/>
    <m/>
    <m/>
    <m/>
    <m/>
    <n v="1"/>
    <m/>
    <m/>
    <m/>
    <m/>
    <n v="1"/>
    <m/>
    <m/>
    <m/>
    <m/>
    <n v="1"/>
    <n v="0"/>
    <n v="0"/>
    <n v="-1"/>
    <n v="1"/>
    <n v="0"/>
    <n v="0"/>
    <n v="0"/>
    <n v="0"/>
    <n v="0"/>
    <x v="0"/>
    <m/>
    <n v="0"/>
    <m/>
    <m/>
    <m/>
    <m/>
    <m/>
    <m/>
    <m/>
    <m/>
    <m/>
    <m/>
    <m/>
    <m/>
    <m/>
    <m/>
    <m/>
    <n v="0"/>
    <n v="0"/>
    <m/>
    <m/>
    <m/>
    <n v="522561"/>
    <n v="177624"/>
    <x v="17"/>
    <x v="3"/>
    <x v="0"/>
    <x v="0"/>
    <m/>
    <x v="0"/>
    <x v="0"/>
    <m/>
    <x v="0"/>
    <m/>
    <x v="3"/>
  </r>
  <r>
    <s v="24/0438/FUL"/>
    <x v="1"/>
    <x v="0"/>
    <x v="223"/>
    <d v="2027-11-11T00:00:00"/>
    <m/>
    <m/>
    <x v="1"/>
    <m/>
    <x v="2"/>
    <x v="0"/>
    <x v="0"/>
    <m/>
    <x v="2"/>
    <s v="Change of use of first and second floors to provide 7 x residential dwellings (Class C3) and associated fenestration alterations"/>
    <s v="47 George Street, Richmond TW9 1HJ"/>
    <s v="TW9 1HJ"/>
    <m/>
    <m/>
    <m/>
    <m/>
    <m/>
    <m/>
    <m/>
    <m/>
    <m/>
    <n v="0"/>
    <m/>
    <n v="4"/>
    <n v="3"/>
    <m/>
    <m/>
    <m/>
    <m/>
    <m/>
    <m/>
    <n v="7"/>
    <n v="4"/>
    <n v="3"/>
    <n v="0"/>
    <n v="0"/>
    <n v="0"/>
    <n v="0"/>
    <n v="0"/>
    <n v="0"/>
    <n v="7"/>
    <x v="0"/>
    <m/>
    <m/>
    <n v="1.75"/>
    <n v="1.75"/>
    <n v="1.75"/>
    <n v="1.75"/>
    <m/>
    <m/>
    <m/>
    <m/>
    <m/>
    <m/>
    <m/>
    <m/>
    <m/>
    <m/>
    <m/>
    <n v="7"/>
    <n v="7"/>
    <m/>
    <m/>
    <m/>
    <n v="517897"/>
    <n v="174945"/>
    <x v="12"/>
    <x v="4"/>
    <x v="3"/>
    <x v="0"/>
    <m/>
    <x v="0"/>
    <x v="0"/>
    <s v="CA17 Central Richmond"/>
    <x v="1"/>
    <s v="Y"/>
    <x v="4"/>
  </r>
  <r>
    <s v="24/0555/GPH03"/>
    <x v="2"/>
    <x v="1"/>
    <x v="229"/>
    <d v="2027-04-25T00:00:00"/>
    <m/>
    <m/>
    <x v="1"/>
    <m/>
    <x v="2"/>
    <x v="0"/>
    <x v="0"/>
    <m/>
    <x v="2"/>
    <s v="Erection of additional storey to provide for 3 residential units (1 x 1Bed, and 2 x 2Bed) with provision of green roof, new water tank, cycle/refuse and recycling (amended description)."/>
    <s v="Canham House, 17 Heath Road, Twickenham TW1 4AW"/>
    <s v="TW1 4AW"/>
    <m/>
    <m/>
    <m/>
    <m/>
    <m/>
    <m/>
    <m/>
    <m/>
    <m/>
    <n v="0"/>
    <m/>
    <n v="1"/>
    <n v="2"/>
    <m/>
    <m/>
    <m/>
    <m/>
    <m/>
    <m/>
    <n v="3"/>
    <n v="1"/>
    <n v="2"/>
    <n v="0"/>
    <n v="0"/>
    <n v="0"/>
    <n v="0"/>
    <n v="0"/>
    <n v="0"/>
    <n v="3"/>
    <x v="0"/>
    <m/>
    <n v="0.75"/>
    <n v="0.75"/>
    <n v="0.75"/>
    <n v="0.75"/>
    <m/>
    <m/>
    <m/>
    <m/>
    <m/>
    <m/>
    <m/>
    <m/>
    <m/>
    <m/>
    <m/>
    <m/>
    <n v="3"/>
    <n v="3"/>
    <m/>
    <m/>
    <m/>
    <n v="516087"/>
    <n v="173122"/>
    <x v="2"/>
    <x v="2"/>
    <x v="2"/>
    <x v="0"/>
    <m/>
    <x v="0"/>
    <x v="0"/>
    <m/>
    <x v="0"/>
    <s v="Y"/>
    <x v="2"/>
  </r>
  <r>
    <s v="24/0564/FUL"/>
    <x v="1"/>
    <x v="0"/>
    <x v="230"/>
    <d v="2027-09-19T00:00:00"/>
    <m/>
    <m/>
    <x v="1"/>
    <m/>
    <x v="2"/>
    <x v="0"/>
    <x v="0"/>
    <m/>
    <x v="2"/>
    <s v="Creation of 4no. dwellings on the site through the refurbishment and extension of the existing former substation with associated landscaping, refuse storage, and cycle parking"/>
    <s v="320A And Land To Rear Of 324 Upper Richmond Road West, East Sheen"/>
    <s v="SW14 7JN"/>
    <m/>
    <m/>
    <m/>
    <m/>
    <m/>
    <m/>
    <m/>
    <m/>
    <m/>
    <n v="0"/>
    <m/>
    <m/>
    <n v="1"/>
    <n v="3"/>
    <m/>
    <m/>
    <m/>
    <m/>
    <m/>
    <n v="4"/>
    <n v="0"/>
    <n v="1"/>
    <n v="3"/>
    <n v="0"/>
    <n v="0"/>
    <n v="0"/>
    <n v="0"/>
    <n v="0"/>
    <n v="4"/>
    <x v="0"/>
    <m/>
    <m/>
    <n v="1"/>
    <n v="1"/>
    <n v="1"/>
    <n v="1"/>
    <m/>
    <m/>
    <m/>
    <m/>
    <m/>
    <m/>
    <m/>
    <m/>
    <m/>
    <m/>
    <m/>
    <n v="4"/>
    <n v="4"/>
    <m/>
    <m/>
    <m/>
    <n v="520256"/>
    <n v="175337"/>
    <x v="9"/>
    <x v="3"/>
    <x v="4"/>
    <x v="0"/>
    <m/>
    <x v="0"/>
    <x v="0"/>
    <m/>
    <x v="0"/>
    <s v="Y"/>
    <x v="5"/>
  </r>
  <r>
    <s v="24/0708/FUL"/>
    <x v="0"/>
    <x v="0"/>
    <x v="231"/>
    <d v="2027-10-23T00:00:00"/>
    <m/>
    <m/>
    <x v="1"/>
    <m/>
    <x v="2"/>
    <x v="0"/>
    <x v="0"/>
    <m/>
    <x v="2"/>
    <s v="Demolition of existing two-storey dwelling house and construction of new two-storey dwellinghouse with basement and amendments to front boundary wall access points."/>
    <s v="16 Sandy Lane, Petersham, Richmond TW10 7EL"/>
    <s v="TW10 7EL"/>
    <m/>
    <m/>
    <m/>
    <n v="1"/>
    <m/>
    <m/>
    <m/>
    <m/>
    <m/>
    <n v="1"/>
    <m/>
    <m/>
    <m/>
    <m/>
    <m/>
    <n v="1"/>
    <m/>
    <m/>
    <m/>
    <n v="1"/>
    <n v="0"/>
    <n v="0"/>
    <n v="-1"/>
    <n v="0"/>
    <n v="1"/>
    <n v="0"/>
    <n v="0"/>
    <n v="0"/>
    <n v="0"/>
    <x v="0"/>
    <m/>
    <n v="0"/>
    <m/>
    <m/>
    <m/>
    <m/>
    <m/>
    <m/>
    <m/>
    <m/>
    <m/>
    <m/>
    <m/>
    <m/>
    <m/>
    <m/>
    <m/>
    <n v="0"/>
    <n v="0"/>
    <m/>
    <m/>
    <m/>
    <n v="517870"/>
    <n v="172671"/>
    <x v="10"/>
    <x v="5"/>
    <x v="0"/>
    <x v="0"/>
    <m/>
    <x v="0"/>
    <x v="0"/>
    <m/>
    <x v="0"/>
    <m/>
    <x v="6"/>
  </r>
  <r>
    <s v="24/0710/GPD26"/>
    <x v="1"/>
    <x v="1"/>
    <x v="232"/>
    <d v="2027-05-08T00:00:00"/>
    <m/>
    <m/>
    <x v="1"/>
    <m/>
    <x v="2"/>
    <x v="0"/>
    <x v="0"/>
    <m/>
    <x v="2"/>
    <s v="Proposed change of use from Class E units to 2No. 1 bed apartments C3 (residential) Use Class."/>
    <s v="3 - 4 New Broadway, Hampton Hill"/>
    <s v="TW12 1JG"/>
    <m/>
    <m/>
    <m/>
    <m/>
    <m/>
    <m/>
    <m/>
    <m/>
    <m/>
    <n v="0"/>
    <m/>
    <n v="2"/>
    <m/>
    <m/>
    <m/>
    <m/>
    <m/>
    <m/>
    <m/>
    <n v="2"/>
    <n v="2"/>
    <n v="0"/>
    <n v="0"/>
    <n v="0"/>
    <n v="0"/>
    <n v="0"/>
    <n v="0"/>
    <n v="0"/>
    <n v="2"/>
    <x v="0"/>
    <m/>
    <n v="0.5"/>
    <n v="0.5"/>
    <n v="0.5"/>
    <n v="0.5"/>
    <m/>
    <m/>
    <m/>
    <m/>
    <m/>
    <m/>
    <m/>
    <m/>
    <m/>
    <m/>
    <m/>
    <m/>
    <n v="2"/>
    <n v="2"/>
    <m/>
    <m/>
    <m/>
    <n v="514554"/>
    <n v="171260"/>
    <x v="6"/>
    <x v="1"/>
    <x v="0"/>
    <x v="0"/>
    <s v="High Street, Hampton Hill"/>
    <x v="1"/>
    <x v="0"/>
    <m/>
    <x v="0"/>
    <s v="Y"/>
    <x v="1"/>
  </r>
  <r>
    <s v="24/0778/FUL"/>
    <x v="1"/>
    <x v="0"/>
    <x v="233"/>
    <d v="2027-12-09T00:00:00"/>
    <m/>
    <m/>
    <x v="1"/>
    <m/>
    <x v="2"/>
    <x v="0"/>
    <x v="0"/>
    <m/>
    <x v="2"/>
    <s v="Change of use of premises from a mixed use (Class A1/E and Class C3) to a residential uses (Class C3) to form a pair of semi-detached houses with associated ASHPs, PV panels and refuse and cycle stores. Removal of shop fronts. Associated fenestration alte"/>
    <s v="561 - 563 Upper Richmond Road West, East Sheen SW14 7ED"/>
    <s v="SW14 7ED"/>
    <m/>
    <m/>
    <m/>
    <n v="1"/>
    <n v="1"/>
    <m/>
    <m/>
    <m/>
    <m/>
    <n v="2"/>
    <m/>
    <m/>
    <m/>
    <m/>
    <n v="2"/>
    <m/>
    <m/>
    <m/>
    <m/>
    <n v="2"/>
    <n v="0"/>
    <n v="0"/>
    <n v="-1"/>
    <n v="1"/>
    <n v="0"/>
    <n v="0"/>
    <n v="0"/>
    <n v="0"/>
    <n v="0"/>
    <x v="0"/>
    <m/>
    <n v="0"/>
    <m/>
    <m/>
    <m/>
    <m/>
    <m/>
    <m/>
    <m/>
    <m/>
    <m/>
    <m/>
    <m/>
    <m/>
    <m/>
    <m/>
    <m/>
    <n v="0"/>
    <n v="0"/>
    <m/>
    <m/>
    <m/>
    <n v="519756"/>
    <n v="175319"/>
    <x v="9"/>
    <x v="3"/>
    <x v="0"/>
    <x v="0"/>
    <m/>
    <x v="0"/>
    <x v="0"/>
    <m/>
    <x v="0"/>
    <s v="Y"/>
    <x v="5"/>
  </r>
  <r>
    <s v="24/0825/FUL"/>
    <x v="0"/>
    <x v="0"/>
    <x v="234"/>
    <d v="2027-10-29T00:00:00"/>
    <m/>
    <m/>
    <x v="1"/>
    <m/>
    <x v="2"/>
    <x v="0"/>
    <x v="0"/>
    <m/>
    <x v="2"/>
    <s v="The erection of a self-build single-storey detached dwelling within the rear garden with associated cycle and refuse stores and 1x ASHP."/>
    <s v="134 St Leonards Road, East Sheen SW14 7NN"/>
    <s v="SW14 7NN"/>
    <m/>
    <m/>
    <m/>
    <m/>
    <m/>
    <m/>
    <m/>
    <m/>
    <m/>
    <n v="0"/>
    <m/>
    <m/>
    <m/>
    <n v="1"/>
    <m/>
    <m/>
    <m/>
    <m/>
    <m/>
    <n v="1"/>
    <n v="0"/>
    <n v="0"/>
    <n v="1"/>
    <n v="0"/>
    <n v="0"/>
    <n v="0"/>
    <n v="0"/>
    <n v="0"/>
    <n v="1"/>
    <x v="0"/>
    <m/>
    <n v="0.25"/>
    <n v="0.25"/>
    <n v="0.25"/>
    <n v="0.25"/>
    <m/>
    <m/>
    <m/>
    <m/>
    <m/>
    <m/>
    <m/>
    <m/>
    <m/>
    <m/>
    <m/>
    <m/>
    <n v="1"/>
    <n v="1"/>
    <m/>
    <m/>
    <m/>
    <n v="520076"/>
    <n v="175642"/>
    <x v="8"/>
    <x v="4"/>
    <x v="0"/>
    <x v="0"/>
    <m/>
    <x v="0"/>
    <x v="0"/>
    <m/>
    <x v="0"/>
    <s v="Y"/>
    <x v="5"/>
  </r>
  <r>
    <s v="24/0848/FUL"/>
    <x v="1"/>
    <x v="0"/>
    <x v="235"/>
    <d v="2027-11-18T00:00:00"/>
    <m/>
    <m/>
    <x v="1"/>
    <m/>
    <x v="2"/>
    <x v="0"/>
    <x v="0"/>
    <m/>
    <x v="2"/>
    <s v="Demolition of single storey garage and annex, remodelling of existing two storey property and change of use from Use Class E to C3 and construction of new two storey extension to form five no. residential apartments. External alterations to form refuse store and amenity spaces."/>
    <s v="179 Upper Richmond Road West, East Sheen SW14 8DU"/>
    <s v="SW14 8DU"/>
    <m/>
    <m/>
    <m/>
    <m/>
    <m/>
    <m/>
    <m/>
    <m/>
    <m/>
    <n v="0"/>
    <m/>
    <n v="3"/>
    <n v="2"/>
    <m/>
    <m/>
    <m/>
    <m/>
    <m/>
    <m/>
    <n v="5"/>
    <n v="3"/>
    <n v="2"/>
    <n v="0"/>
    <n v="0"/>
    <n v="0"/>
    <n v="0"/>
    <n v="0"/>
    <n v="0"/>
    <n v="5"/>
    <x v="0"/>
    <m/>
    <m/>
    <n v="1.25"/>
    <n v="1.25"/>
    <n v="1.25"/>
    <n v="1.25"/>
    <m/>
    <m/>
    <m/>
    <m/>
    <m/>
    <m/>
    <m/>
    <m/>
    <m/>
    <m/>
    <m/>
    <n v="5"/>
    <n v="5"/>
    <m/>
    <m/>
    <m/>
    <n v="520965"/>
    <n v="175430"/>
    <x v="9"/>
    <x v="3"/>
    <x v="4"/>
    <x v="0"/>
    <m/>
    <x v="0"/>
    <x v="0"/>
    <m/>
    <x v="0"/>
    <s v="Y"/>
    <x v="5"/>
  </r>
  <r>
    <s v="24/1039/GPD26"/>
    <x v="1"/>
    <x v="1"/>
    <x v="132"/>
    <d v="2027-06-14T00:00:00"/>
    <m/>
    <m/>
    <x v="1"/>
    <m/>
    <x v="2"/>
    <x v="0"/>
    <x v="0"/>
    <m/>
    <x v="2"/>
    <s v="Change of use to 2 separate 2 bedroom dwellings"/>
    <s v="75 Sheen Lane, East Sheen SW14 8AD"/>
    <s v="SW14 8AD"/>
    <m/>
    <m/>
    <m/>
    <m/>
    <m/>
    <m/>
    <m/>
    <m/>
    <m/>
    <n v="0"/>
    <m/>
    <m/>
    <n v="2"/>
    <m/>
    <m/>
    <m/>
    <m/>
    <m/>
    <m/>
    <n v="2"/>
    <n v="0"/>
    <n v="2"/>
    <n v="0"/>
    <n v="0"/>
    <n v="0"/>
    <n v="0"/>
    <n v="0"/>
    <n v="0"/>
    <n v="2"/>
    <x v="0"/>
    <m/>
    <n v="0.5"/>
    <n v="0.5"/>
    <n v="0.5"/>
    <n v="0.5"/>
    <m/>
    <m/>
    <m/>
    <m/>
    <m/>
    <m/>
    <m/>
    <m/>
    <m/>
    <m/>
    <m/>
    <m/>
    <n v="2"/>
    <n v="2"/>
    <m/>
    <m/>
    <m/>
    <n v="520495"/>
    <n v="175597"/>
    <x v="9"/>
    <x v="3"/>
    <x v="4"/>
    <x v="0"/>
    <m/>
    <x v="0"/>
    <x v="0"/>
    <s v="CA70 Sheen Lane Mortlake"/>
    <x v="1"/>
    <s v="Y"/>
    <x v="5"/>
  </r>
  <r>
    <s v="24/1053/FUL"/>
    <x v="2"/>
    <x v="0"/>
    <x v="236"/>
    <d v="2028-01-09T00:00:00"/>
    <m/>
    <m/>
    <x v="1"/>
    <m/>
    <x v="2"/>
    <x v="0"/>
    <x v="0"/>
    <m/>
    <x v="2"/>
    <s v="First and second floor rear extension incorporating first floor terrace. Additional window to rear elevation. Removal of front elevation advertising panels at first and second floor."/>
    <s v="37 Kew Road, Richmond TW9 2NQ"/>
    <s v="TW9 2NQ"/>
    <m/>
    <m/>
    <m/>
    <m/>
    <m/>
    <m/>
    <m/>
    <m/>
    <m/>
    <n v="0"/>
    <m/>
    <m/>
    <m/>
    <m/>
    <m/>
    <m/>
    <m/>
    <m/>
    <m/>
    <n v="0"/>
    <n v="0"/>
    <n v="0"/>
    <n v="0"/>
    <n v="0"/>
    <n v="0"/>
    <n v="0"/>
    <n v="0"/>
    <n v="0"/>
    <n v="0"/>
    <x v="0"/>
    <m/>
    <n v="0"/>
    <m/>
    <m/>
    <m/>
    <m/>
    <m/>
    <m/>
    <m/>
    <m/>
    <m/>
    <m/>
    <m/>
    <m/>
    <m/>
    <m/>
    <m/>
    <n v="0"/>
    <n v="0"/>
    <m/>
    <m/>
    <m/>
    <n v="518061"/>
    <n v="175273"/>
    <x v="12"/>
    <x v="4"/>
    <x v="3"/>
    <x v="0"/>
    <m/>
    <x v="0"/>
    <x v="0"/>
    <s v="CA17 Central Richmond"/>
    <x v="1"/>
    <s v="Y"/>
    <x v="4"/>
  </r>
  <r>
    <s v="24/1385/FUL"/>
    <x v="3"/>
    <x v="0"/>
    <x v="237"/>
    <d v="2027-11-01T00:00:00"/>
    <d v="2025-04-01T00:00:00"/>
    <m/>
    <x v="1"/>
    <m/>
    <x v="2"/>
    <x v="0"/>
    <x v="0"/>
    <m/>
    <x v="2"/>
    <s v="Conversion of Class E rear storage into Class C3, internal reconfiguration of internal layout, rear first floor extension and changes to shopfront to allow for residential access from street"/>
    <s v="54 The Green, Twickenham TW2 5AB"/>
    <s v="TW2 5AB"/>
    <m/>
    <m/>
    <m/>
    <n v="1"/>
    <m/>
    <m/>
    <m/>
    <m/>
    <m/>
    <n v="1"/>
    <m/>
    <m/>
    <m/>
    <m/>
    <n v="1"/>
    <m/>
    <m/>
    <m/>
    <m/>
    <n v="1"/>
    <n v="0"/>
    <n v="0"/>
    <n v="-1"/>
    <n v="1"/>
    <n v="0"/>
    <n v="0"/>
    <n v="0"/>
    <n v="0"/>
    <n v="0"/>
    <x v="0"/>
    <m/>
    <n v="0"/>
    <m/>
    <m/>
    <m/>
    <m/>
    <m/>
    <m/>
    <m/>
    <m/>
    <m/>
    <m/>
    <m/>
    <m/>
    <m/>
    <m/>
    <m/>
    <n v="0"/>
    <n v="0"/>
    <m/>
    <m/>
    <m/>
    <n v="515323"/>
    <n v="173040"/>
    <x v="2"/>
    <x v="2"/>
    <x v="0"/>
    <x v="0"/>
    <s v="Twickenham Green"/>
    <x v="1"/>
    <x v="0"/>
    <s v="CA9 Twickenham Green"/>
    <x v="1"/>
    <s v="Y"/>
    <x v="2"/>
  </r>
  <r>
    <s v="24/1402/GPD26"/>
    <x v="1"/>
    <x v="1"/>
    <x v="238"/>
    <d v="2027-07-15T00:00:00"/>
    <m/>
    <m/>
    <x v="1"/>
    <m/>
    <x v="2"/>
    <x v="0"/>
    <x v="0"/>
    <m/>
    <x v="2"/>
    <s v="Change of use from Class E (office) to a 2-bedroom dwelling house."/>
    <s v="4 Latimer Road, Teddington TW11 8QA"/>
    <s v="TW11 8QA"/>
    <m/>
    <m/>
    <m/>
    <m/>
    <m/>
    <m/>
    <m/>
    <m/>
    <m/>
    <n v="0"/>
    <m/>
    <m/>
    <n v="1"/>
    <m/>
    <m/>
    <m/>
    <m/>
    <m/>
    <m/>
    <n v="1"/>
    <n v="0"/>
    <n v="1"/>
    <n v="0"/>
    <n v="0"/>
    <n v="0"/>
    <n v="0"/>
    <n v="0"/>
    <n v="0"/>
    <n v="1"/>
    <x v="0"/>
    <m/>
    <n v="0.25"/>
    <n v="0.25"/>
    <n v="0.25"/>
    <n v="0.25"/>
    <m/>
    <m/>
    <m/>
    <m/>
    <m/>
    <m/>
    <m/>
    <m/>
    <m/>
    <m/>
    <m/>
    <m/>
    <n v="1"/>
    <n v="1"/>
    <m/>
    <m/>
    <m/>
    <n v="515652"/>
    <n v="171261"/>
    <x v="11"/>
    <x v="1"/>
    <x v="0"/>
    <x v="0"/>
    <m/>
    <x v="0"/>
    <x v="0"/>
    <m/>
    <x v="0"/>
    <s v="Y"/>
    <x v="7"/>
  </r>
  <r>
    <s v="24/1419/FUL"/>
    <x v="3"/>
    <x v="0"/>
    <x v="239"/>
    <d v="2028-01-16T00:00:00"/>
    <m/>
    <m/>
    <x v="1"/>
    <m/>
    <x v="2"/>
    <x v="0"/>
    <x v="0"/>
    <m/>
    <x v="2"/>
    <s v="Change of use of upper floors from Class E to C3 residential, erection of mansard roof extension, first-floor rear extension and use of terraced area at first-floor level to facilitate the creation of 2no. units."/>
    <s v="357 Upper Richmond Road West, East Sheen SW14 8QN"/>
    <s v="SW14 8QN"/>
    <m/>
    <m/>
    <m/>
    <m/>
    <m/>
    <m/>
    <m/>
    <m/>
    <m/>
    <n v="0"/>
    <m/>
    <m/>
    <n v="2"/>
    <m/>
    <m/>
    <m/>
    <m/>
    <m/>
    <m/>
    <n v="2"/>
    <n v="0"/>
    <n v="2"/>
    <n v="0"/>
    <n v="0"/>
    <n v="0"/>
    <n v="0"/>
    <n v="0"/>
    <n v="0"/>
    <n v="2"/>
    <x v="0"/>
    <m/>
    <n v="0.5"/>
    <n v="0.5"/>
    <n v="0.5"/>
    <n v="0.5"/>
    <m/>
    <m/>
    <m/>
    <m/>
    <m/>
    <m/>
    <m/>
    <m/>
    <m/>
    <m/>
    <m/>
    <m/>
    <n v="2"/>
    <n v="2"/>
    <m/>
    <m/>
    <m/>
    <n v="520553"/>
    <n v="175393"/>
    <x v="9"/>
    <x v="3"/>
    <x v="4"/>
    <x v="0"/>
    <m/>
    <x v="0"/>
    <x v="0"/>
    <m/>
    <x v="0"/>
    <s v="Y"/>
    <x v="5"/>
  </r>
  <r>
    <s v="24/1563/GPD26"/>
    <x v="1"/>
    <x v="1"/>
    <x v="240"/>
    <d v="2027-06-25T00:00:00"/>
    <m/>
    <m/>
    <x v="1"/>
    <m/>
    <x v="2"/>
    <x v="0"/>
    <x v="0"/>
    <m/>
    <x v="2"/>
    <s v="Proposed change of use from 2No. Class E units to 2No. 1 bed apartments C3 (residential) Use Class."/>
    <s v="3 - 4 New Broadway, Hampton Hill"/>
    <s v="TW12 1JG"/>
    <m/>
    <m/>
    <m/>
    <m/>
    <m/>
    <m/>
    <m/>
    <m/>
    <m/>
    <n v="0"/>
    <m/>
    <n v="2"/>
    <m/>
    <m/>
    <m/>
    <m/>
    <m/>
    <m/>
    <m/>
    <n v="2"/>
    <n v="2"/>
    <n v="0"/>
    <n v="0"/>
    <n v="0"/>
    <n v="0"/>
    <n v="0"/>
    <n v="0"/>
    <n v="0"/>
    <n v="2"/>
    <x v="0"/>
    <m/>
    <n v="0.5"/>
    <n v="0.5"/>
    <n v="0.5"/>
    <n v="0.5"/>
    <m/>
    <m/>
    <m/>
    <m/>
    <m/>
    <m/>
    <m/>
    <m/>
    <m/>
    <m/>
    <m/>
    <m/>
    <n v="2"/>
    <n v="2"/>
    <m/>
    <m/>
    <m/>
    <n v="514554"/>
    <n v="171260"/>
    <x v="6"/>
    <x v="1"/>
    <x v="0"/>
    <x v="0"/>
    <s v="High Street, Hampton Hill"/>
    <x v="1"/>
    <x v="0"/>
    <m/>
    <x v="0"/>
    <s v="Y"/>
    <x v="1"/>
  </r>
  <r>
    <s v="24/1580/GPD24"/>
    <x v="1"/>
    <x v="1"/>
    <x v="241"/>
    <d v="2027-08-14T00:00:00"/>
    <m/>
    <m/>
    <x v="1"/>
    <m/>
    <x v="2"/>
    <x v="0"/>
    <x v="0"/>
    <m/>
    <x v="2"/>
    <s v="Change of use of building from a use within Class E (commercial, business and service) of Schedule 2 to the Use Classes Order, to a mixed use for any purpose within that Class and as up to 2 flats. This would principally comprise the conversion of the fir"/>
    <s v="74 Heath Road, Twickenham TW1 4BW"/>
    <s v="TW1 4BW"/>
    <m/>
    <m/>
    <m/>
    <m/>
    <m/>
    <m/>
    <m/>
    <m/>
    <m/>
    <n v="0"/>
    <m/>
    <n v="1"/>
    <m/>
    <m/>
    <m/>
    <m/>
    <m/>
    <m/>
    <m/>
    <n v="1"/>
    <n v="1"/>
    <n v="0"/>
    <n v="0"/>
    <n v="0"/>
    <n v="0"/>
    <n v="0"/>
    <n v="0"/>
    <n v="0"/>
    <n v="1"/>
    <x v="0"/>
    <m/>
    <n v="0.25"/>
    <n v="0.25"/>
    <n v="0.25"/>
    <n v="0.25"/>
    <m/>
    <m/>
    <m/>
    <m/>
    <m/>
    <m/>
    <m/>
    <m/>
    <m/>
    <m/>
    <m/>
    <m/>
    <n v="1"/>
    <n v="1"/>
    <m/>
    <m/>
    <m/>
    <n v="515923"/>
    <n v="173141"/>
    <x v="4"/>
    <x v="2"/>
    <x v="2"/>
    <x v="0"/>
    <m/>
    <x v="0"/>
    <x v="0"/>
    <m/>
    <x v="0"/>
    <s v="Y"/>
    <x v="2"/>
  </r>
  <r>
    <s v="24/1598/GPD26"/>
    <x v="1"/>
    <x v="1"/>
    <x v="240"/>
    <d v="2027-08-19T00:00:00"/>
    <m/>
    <m/>
    <x v="1"/>
    <m/>
    <x v="2"/>
    <x v="0"/>
    <x v="0"/>
    <m/>
    <x v="2"/>
    <s v="Conversion of business premises into a dwelling house"/>
    <s v="Engravers House, 35 Wick Road, Teddington TW11 9DN"/>
    <s v="TW11 9DN"/>
    <m/>
    <m/>
    <m/>
    <m/>
    <m/>
    <m/>
    <m/>
    <m/>
    <m/>
    <n v="0"/>
    <m/>
    <m/>
    <n v="1"/>
    <m/>
    <m/>
    <m/>
    <m/>
    <m/>
    <m/>
    <n v="1"/>
    <n v="0"/>
    <n v="1"/>
    <n v="0"/>
    <n v="0"/>
    <n v="0"/>
    <n v="0"/>
    <n v="0"/>
    <n v="0"/>
    <n v="1"/>
    <x v="0"/>
    <m/>
    <n v="0.25"/>
    <n v="0.25"/>
    <n v="0.25"/>
    <n v="0.25"/>
    <m/>
    <m/>
    <m/>
    <m/>
    <m/>
    <m/>
    <m/>
    <m/>
    <m/>
    <m/>
    <m/>
    <m/>
    <n v="1"/>
    <n v="1"/>
    <m/>
    <m/>
    <m/>
    <n v="517024"/>
    <n v="170121"/>
    <x v="14"/>
    <x v="1"/>
    <x v="0"/>
    <x v="0"/>
    <m/>
    <x v="0"/>
    <x v="0"/>
    <s v="CA83 Wick Road"/>
    <x v="1"/>
    <s v="Y"/>
    <x v="7"/>
  </r>
  <r>
    <s v="24/1630/FUL"/>
    <x v="4"/>
    <x v="0"/>
    <x v="242"/>
    <d v="2028-02-14T00:00:00"/>
    <m/>
    <m/>
    <x v="1"/>
    <m/>
    <x v="2"/>
    <x v="0"/>
    <x v="0"/>
    <m/>
    <x v="2"/>
    <s v="Conversion of a 2-storey flat into 2 self-contained flats providing refuse storage, cycling storage and amenity space."/>
    <s v="12A High Street, Hampton Wick KT1 4DB"/>
    <s v="KT1 4DB"/>
    <m/>
    <m/>
    <n v="1"/>
    <m/>
    <m/>
    <m/>
    <m/>
    <m/>
    <m/>
    <n v="1"/>
    <m/>
    <n v="2"/>
    <m/>
    <m/>
    <m/>
    <m/>
    <m/>
    <m/>
    <m/>
    <n v="2"/>
    <n v="2"/>
    <n v="-1"/>
    <n v="0"/>
    <n v="0"/>
    <n v="0"/>
    <n v="0"/>
    <n v="0"/>
    <n v="0"/>
    <n v="1"/>
    <x v="0"/>
    <m/>
    <n v="0.25"/>
    <n v="0.25"/>
    <n v="0.25"/>
    <n v="0.25"/>
    <m/>
    <m/>
    <m/>
    <m/>
    <m/>
    <m/>
    <m/>
    <m/>
    <m/>
    <m/>
    <m/>
    <m/>
    <n v="1"/>
    <n v="1"/>
    <m/>
    <m/>
    <m/>
    <n v="517587"/>
    <n v="169488"/>
    <x v="14"/>
    <x v="1"/>
    <x v="0"/>
    <x v="0"/>
    <s v="Hampton Wick"/>
    <x v="1"/>
    <x v="0"/>
    <s v="CA18 Hampton Wick"/>
    <x v="1"/>
    <s v="Y"/>
    <x v="7"/>
  </r>
  <r>
    <s v="24/1704/FUL"/>
    <x v="1"/>
    <x v="0"/>
    <x v="243"/>
    <d v="2028-01-21T00:00:00"/>
    <d v="2025-07-10T00:00:00"/>
    <m/>
    <x v="1"/>
    <m/>
    <x v="2"/>
    <x v="0"/>
    <x v="0"/>
    <m/>
    <x v="2"/>
    <s v="Change of use of first, second and third floors from Use Class E to residential. Addition of rear escape metal staircase, and extension of rear dormers. Removal of internal valley roof and infill the void behind existing feature parapet and addition of 2 conservation roof lights to existing front elevation roof. Fenestration alterations."/>
    <s v="2 - 6 London Road, Twickenham TW1 3RR"/>
    <s v="TW1 3RR"/>
    <m/>
    <m/>
    <m/>
    <m/>
    <m/>
    <m/>
    <m/>
    <m/>
    <m/>
    <n v="0"/>
    <m/>
    <n v="5"/>
    <n v="1"/>
    <m/>
    <m/>
    <m/>
    <m/>
    <m/>
    <m/>
    <n v="6"/>
    <n v="5"/>
    <n v="1"/>
    <n v="0"/>
    <n v="0"/>
    <n v="0"/>
    <n v="0"/>
    <n v="0"/>
    <n v="0"/>
    <n v="6"/>
    <x v="0"/>
    <m/>
    <m/>
    <n v="3"/>
    <n v="3"/>
    <m/>
    <m/>
    <m/>
    <m/>
    <m/>
    <m/>
    <m/>
    <m/>
    <m/>
    <m/>
    <m/>
    <m/>
    <m/>
    <n v="6"/>
    <n v="6"/>
    <m/>
    <m/>
    <m/>
    <n v="516277"/>
    <n v="173330"/>
    <x v="4"/>
    <x v="2"/>
    <x v="2"/>
    <x v="0"/>
    <m/>
    <x v="0"/>
    <x v="0"/>
    <s v="CA8 Twickenham Riverside"/>
    <x v="1"/>
    <s v="Y"/>
    <x v="2"/>
  </r>
  <r>
    <s v="24/1752/GPD26"/>
    <x v="1"/>
    <x v="1"/>
    <x v="226"/>
    <d v="2027-09-02T00:00:00"/>
    <m/>
    <m/>
    <x v="1"/>
    <m/>
    <x v="2"/>
    <x v="0"/>
    <x v="0"/>
    <m/>
    <x v="2"/>
    <s v="Change Use of motor repair garage (Use Class E) to a 2-bedroom dwelling (Use Class C3)."/>
    <s v="144 Waldegrave Road, Teddington TW11 8NA"/>
    <s v="TW11 8NA"/>
    <m/>
    <m/>
    <m/>
    <m/>
    <m/>
    <m/>
    <m/>
    <m/>
    <m/>
    <n v="0"/>
    <m/>
    <m/>
    <n v="1"/>
    <m/>
    <m/>
    <m/>
    <m/>
    <m/>
    <m/>
    <n v="1"/>
    <n v="0"/>
    <n v="1"/>
    <n v="0"/>
    <n v="0"/>
    <n v="0"/>
    <n v="0"/>
    <n v="0"/>
    <n v="0"/>
    <n v="1"/>
    <x v="0"/>
    <m/>
    <n v="0.25"/>
    <n v="0.25"/>
    <n v="0.25"/>
    <n v="0.25"/>
    <m/>
    <m/>
    <m/>
    <m/>
    <m/>
    <m/>
    <m/>
    <m/>
    <m/>
    <m/>
    <m/>
    <m/>
    <n v="1"/>
    <n v="1"/>
    <m/>
    <m/>
    <m/>
    <n v="515621"/>
    <n v="171705"/>
    <x v="11"/>
    <x v="1"/>
    <x v="0"/>
    <x v="0"/>
    <s v="Waldegrave Road, Teddingto"/>
    <x v="1"/>
    <x v="0"/>
    <m/>
    <x v="0"/>
    <s v="Y"/>
    <x v="7"/>
  </r>
  <r>
    <s v="24/1789/FUL"/>
    <x v="4"/>
    <x v="0"/>
    <x v="244"/>
    <d v="2027-10-01T00:00:00"/>
    <d v="2025-06-01T00:00:00"/>
    <m/>
    <x v="1"/>
    <d v="2025-07-09T00:00:00"/>
    <x v="2"/>
    <x v="0"/>
    <x v="0"/>
    <m/>
    <x v="2"/>
    <s v="Re-configuration and subdivision of Units 4 and 5 to create three units (net gain of 1 unit), with associated works."/>
    <s v="246 Powder Mill Lane, Twickenham TW2 6EJ"/>
    <s v="TW2 6EJ"/>
    <m/>
    <n v="1"/>
    <m/>
    <n v="1"/>
    <m/>
    <m/>
    <m/>
    <m/>
    <m/>
    <n v="2"/>
    <m/>
    <n v="3"/>
    <m/>
    <m/>
    <m/>
    <m/>
    <m/>
    <m/>
    <m/>
    <n v="3"/>
    <n v="2"/>
    <n v="0"/>
    <n v="-1"/>
    <n v="0"/>
    <n v="0"/>
    <n v="0"/>
    <n v="0"/>
    <n v="0"/>
    <n v="1"/>
    <x v="0"/>
    <m/>
    <n v="1"/>
    <m/>
    <m/>
    <m/>
    <m/>
    <m/>
    <m/>
    <m/>
    <m/>
    <m/>
    <m/>
    <m/>
    <m/>
    <m/>
    <m/>
    <m/>
    <n v="1"/>
    <n v="1"/>
    <m/>
    <m/>
    <m/>
    <n v="512713"/>
    <n v="173573"/>
    <x v="15"/>
    <x v="0"/>
    <x v="0"/>
    <x v="0"/>
    <s v="Hanworth Road"/>
    <x v="1"/>
    <x v="0"/>
    <m/>
    <x v="0"/>
    <m/>
    <x v="0"/>
  </r>
  <r>
    <s v="24/1843/GPD26"/>
    <x v="1"/>
    <x v="1"/>
    <x v="245"/>
    <d v="2027-09-09T00:00:00"/>
    <m/>
    <m/>
    <x v="1"/>
    <m/>
    <x v="2"/>
    <x v="0"/>
    <x v="0"/>
    <m/>
    <x v="2"/>
    <s v="CLASS MA Prior Approval Application for change of use from Class E to Class C3"/>
    <s v="Land At Myrtle Road And 1 High Street, Hampton Hill, Hampton TW12 1NA"/>
    <s v="TW12 1NA"/>
    <m/>
    <m/>
    <m/>
    <m/>
    <m/>
    <m/>
    <m/>
    <m/>
    <m/>
    <n v="0"/>
    <m/>
    <n v="4"/>
    <n v="1"/>
    <m/>
    <m/>
    <m/>
    <m/>
    <m/>
    <m/>
    <n v="5"/>
    <n v="4"/>
    <n v="1"/>
    <n v="0"/>
    <n v="0"/>
    <n v="0"/>
    <n v="0"/>
    <n v="0"/>
    <n v="0"/>
    <n v="5"/>
    <x v="0"/>
    <m/>
    <m/>
    <n v="1.25"/>
    <n v="1.25"/>
    <n v="1.25"/>
    <n v="1.25"/>
    <m/>
    <m/>
    <m/>
    <m/>
    <m/>
    <m/>
    <m/>
    <m/>
    <m/>
    <m/>
    <m/>
    <n v="5"/>
    <n v="5"/>
    <m/>
    <m/>
    <m/>
    <n v="514188"/>
    <n v="170550"/>
    <x v="6"/>
    <x v="1"/>
    <x v="0"/>
    <x v="0"/>
    <m/>
    <x v="0"/>
    <x v="0"/>
    <s v="CA38 High Street Hampton Hill"/>
    <x v="1"/>
    <m/>
    <x v="1"/>
  </r>
  <r>
    <s v="24/1844/GPD26"/>
    <x v="1"/>
    <x v="1"/>
    <x v="246"/>
    <d v="2027-10-14T00:00:00"/>
    <m/>
    <m/>
    <x v="1"/>
    <m/>
    <x v="2"/>
    <x v="0"/>
    <x v="0"/>
    <m/>
    <x v="2"/>
    <s v="Conversion of an office building (Use Class E) to 6 single-family dwellings (C3) with associated refuse and cycle storage"/>
    <s v="The Puzzle Academy, 1 Messom Mews, Twickenham TW1 4DP"/>
    <s v="TW1 4DP"/>
    <m/>
    <m/>
    <m/>
    <m/>
    <m/>
    <m/>
    <m/>
    <m/>
    <m/>
    <n v="0"/>
    <m/>
    <m/>
    <n v="4"/>
    <n v="2"/>
    <m/>
    <m/>
    <m/>
    <m/>
    <m/>
    <n v="6"/>
    <n v="0"/>
    <n v="4"/>
    <n v="2"/>
    <n v="0"/>
    <n v="0"/>
    <n v="0"/>
    <n v="0"/>
    <n v="0"/>
    <n v="6"/>
    <x v="0"/>
    <m/>
    <m/>
    <n v="1.5"/>
    <n v="1.5"/>
    <n v="1.5"/>
    <n v="1.5"/>
    <m/>
    <m/>
    <m/>
    <m/>
    <m/>
    <m/>
    <m/>
    <m/>
    <m/>
    <m/>
    <m/>
    <n v="6"/>
    <n v="6"/>
    <m/>
    <m/>
    <m/>
    <n v="516112"/>
    <n v="173409"/>
    <x v="4"/>
    <x v="2"/>
    <x v="2"/>
    <x v="0"/>
    <m/>
    <x v="0"/>
    <x v="0"/>
    <s v="CA47 Queens Road Twickenham"/>
    <x v="1"/>
    <s v="Y"/>
    <x v="2"/>
  </r>
  <r>
    <s v="24/1881/GPD26"/>
    <x v="1"/>
    <x v="1"/>
    <x v="149"/>
    <d v="2027-09-26T00:00:00"/>
    <m/>
    <m/>
    <x v="1"/>
    <m/>
    <x v="2"/>
    <x v="0"/>
    <x v="0"/>
    <m/>
    <x v="2"/>
    <s v="Conversion of existing office buiding into two dwellings."/>
    <s v="60 Glentham Road, Barnes SW13 9JJ"/>
    <s v="SW13 9JJ"/>
    <m/>
    <m/>
    <m/>
    <m/>
    <m/>
    <m/>
    <m/>
    <m/>
    <m/>
    <n v="0"/>
    <m/>
    <m/>
    <n v="2"/>
    <m/>
    <m/>
    <m/>
    <m/>
    <m/>
    <m/>
    <n v="2"/>
    <n v="0"/>
    <n v="2"/>
    <n v="0"/>
    <n v="0"/>
    <n v="0"/>
    <n v="0"/>
    <n v="0"/>
    <n v="0"/>
    <n v="2"/>
    <x v="0"/>
    <m/>
    <n v="0.5"/>
    <n v="0.5"/>
    <n v="0.5"/>
    <n v="0.5"/>
    <m/>
    <m/>
    <m/>
    <m/>
    <m/>
    <m/>
    <m/>
    <m/>
    <m/>
    <m/>
    <m/>
    <m/>
    <n v="2"/>
    <n v="2"/>
    <m/>
    <m/>
    <m/>
    <n v="522553"/>
    <n v="177889"/>
    <x v="17"/>
    <x v="3"/>
    <x v="0"/>
    <x v="0"/>
    <m/>
    <x v="0"/>
    <x v="0"/>
    <s v="CA25 Castelnau"/>
    <x v="1"/>
    <s v="Y"/>
    <x v="3"/>
  </r>
  <r>
    <s v="24/1885/GPD26"/>
    <x v="1"/>
    <x v="1"/>
    <x v="247"/>
    <d v="2027-09-24T00:00:00"/>
    <m/>
    <m/>
    <x v="1"/>
    <m/>
    <x v="2"/>
    <x v="0"/>
    <x v="0"/>
    <m/>
    <x v="2"/>
    <s v="Conversion of existing workshop/studios into two dwellings"/>
    <s v="Sheen Stables Rear Of 119 Sheen Lane, East Sheen"/>
    <s v="SW14 8AE"/>
    <m/>
    <m/>
    <m/>
    <m/>
    <m/>
    <m/>
    <m/>
    <m/>
    <m/>
    <n v="0"/>
    <m/>
    <n v="2"/>
    <m/>
    <m/>
    <m/>
    <m/>
    <m/>
    <m/>
    <m/>
    <n v="2"/>
    <n v="2"/>
    <n v="0"/>
    <n v="0"/>
    <n v="0"/>
    <n v="0"/>
    <n v="0"/>
    <n v="0"/>
    <n v="0"/>
    <n v="2"/>
    <x v="0"/>
    <m/>
    <n v="0.5"/>
    <n v="0.5"/>
    <n v="0.5"/>
    <n v="0.5"/>
    <m/>
    <m/>
    <m/>
    <m/>
    <m/>
    <m/>
    <m/>
    <m/>
    <m/>
    <m/>
    <m/>
    <m/>
    <n v="2"/>
    <n v="2"/>
    <m/>
    <m/>
    <m/>
    <n v="520522"/>
    <n v="175477"/>
    <x v="9"/>
    <x v="3"/>
    <x v="4"/>
    <x v="0"/>
    <m/>
    <x v="0"/>
    <x v="0"/>
    <s v="CA70 Sheen Lane Mortlake"/>
    <x v="1"/>
    <s v="Y"/>
    <x v="5"/>
  </r>
  <r>
    <s v="24/1925/FUL"/>
    <x v="1"/>
    <x v="0"/>
    <x v="248"/>
    <d v="2027-12-18T00:00:00"/>
    <d v="2025-09-19T00:00:00"/>
    <m/>
    <x v="1"/>
    <m/>
    <x v="2"/>
    <x v="0"/>
    <x v="0"/>
    <m/>
    <x v="2"/>
    <s v="Change of use of rear part of property from Class C3 (residential) to Class E (e) (dental practice) to extend an existing NHS dental practice, together with minor external amendments and refuse, recycling, and bicycle storage."/>
    <s v="Surgery And Premises Rear Of 70 - 74 Station Road, Hampton TW2 2AX"/>
    <s v="TW2 2AX"/>
    <m/>
    <m/>
    <n v="1"/>
    <m/>
    <m/>
    <m/>
    <m/>
    <m/>
    <m/>
    <n v="1"/>
    <m/>
    <m/>
    <m/>
    <m/>
    <m/>
    <m/>
    <m/>
    <m/>
    <m/>
    <n v="0"/>
    <n v="0"/>
    <n v="-1"/>
    <n v="0"/>
    <n v="0"/>
    <n v="0"/>
    <n v="0"/>
    <n v="0"/>
    <n v="0"/>
    <n v="-1"/>
    <x v="0"/>
    <m/>
    <n v="-0.5"/>
    <n v="-0.5"/>
    <m/>
    <m/>
    <m/>
    <m/>
    <m/>
    <m/>
    <m/>
    <m/>
    <m/>
    <m/>
    <m/>
    <m/>
    <m/>
    <m/>
    <n v="-1"/>
    <n v="-1"/>
    <m/>
    <m/>
    <m/>
    <n v="513727"/>
    <n v="169746"/>
    <x v="7"/>
    <x v="1"/>
    <x v="0"/>
    <x v="0"/>
    <s v="Station Road, Hampton"/>
    <x v="1"/>
    <x v="0"/>
    <s v="CA12 Hampton Village"/>
    <x v="1"/>
    <s v="Y"/>
    <x v="1"/>
  </r>
  <r>
    <s v="24/2041/GPD24"/>
    <x v="1"/>
    <x v="1"/>
    <x v="185"/>
    <d v="2027-10-04T00:00:00"/>
    <m/>
    <m/>
    <x v="1"/>
    <m/>
    <x v="2"/>
    <x v="0"/>
    <x v="0"/>
    <m/>
    <x v="2"/>
    <s v="Change of use of commercial office floorspace (Class E) to provide 2 x 2 bedroom flats (Class C3) at first floor level."/>
    <s v="15 St Georges Road, Richmond"/>
    <s v="TW9 2LH"/>
    <m/>
    <m/>
    <m/>
    <m/>
    <m/>
    <m/>
    <m/>
    <m/>
    <m/>
    <n v="0"/>
    <m/>
    <m/>
    <n v="2"/>
    <m/>
    <m/>
    <m/>
    <m/>
    <m/>
    <m/>
    <n v="2"/>
    <n v="0"/>
    <n v="2"/>
    <n v="0"/>
    <n v="0"/>
    <n v="0"/>
    <n v="0"/>
    <n v="0"/>
    <n v="0"/>
    <n v="2"/>
    <x v="0"/>
    <m/>
    <n v="0.5"/>
    <n v="0.5"/>
    <n v="0.5"/>
    <n v="0.5"/>
    <m/>
    <m/>
    <m/>
    <m/>
    <m/>
    <m/>
    <m/>
    <m/>
    <m/>
    <m/>
    <m/>
    <m/>
    <n v="2"/>
    <n v="2"/>
    <m/>
    <m/>
    <m/>
    <n v="518929"/>
    <n v="175587"/>
    <x v="8"/>
    <x v="4"/>
    <x v="0"/>
    <x v="0"/>
    <m/>
    <x v="0"/>
    <x v="0"/>
    <m/>
    <x v="0"/>
    <s v="Y"/>
    <x v="4"/>
  </r>
  <r>
    <s v="24/2061/FUL"/>
    <x v="4"/>
    <x v="0"/>
    <x v="249"/>
    <d v="2028-03-05T00:00:00"/>
    <d v="2025-10-01T00:00:00"/>
    <m/>
    <x v="1"/>
    <d v="2025-12-19T00:00:00"/>
    <x v="2"/>
    <x v="0"/>
    <x v="0"/>
    <m/>
    <x v="2"/>
    <s v="Reversion of the lower ground floor flat and upper floor dwelling into a single-family dwelling house with associated cycle and refuse stores, replacement fenestration and heat pump. Removal of vehciular access and associated extension of front boundary t"/>
    <s v="14 Strafford Road, Twickenham TW1 3AE"/>
    <s v="TW1 3AE"/>
    <m/>
    <n v="1"/>
    <m/>
    <m/>
    <m/>
    <n v="1"/>
    <m/>
    <m/>
    <m/>
    <n v="2"/>
    <m/>
    <m/>
    <m/>
    <m/>
    <m/>
    <n v="1"/>
    <m/>
    <m/>
    <m/>
    <n v="1"/>
    <n v="-1"/>
    <n v="0"/>
    <n v="0"/>
    <n v="0"/>
    <n v="0"/>
    <n v="0"/>
    <n v="0"/>
    <n v="0"/>
    <n v="-1"/>
    <x v="0"/>
    <m/>
    <n v="-1"/>
    <m/>
    <m/>
    <m/>
    <m/>
    <m/>
    <m/>
    <m/>
    <m/>
    <m/>
    <m/>
    <m/>
    <m/>
    <m/>
    <m/>
    <m/>
    <n v="-1"/>
    <n v="-1"/>
    <m/>
    <m/>
    <m/>
    <n v="516490"/>
    <n v="173705"/>
    <x v="4"/>
    <x v="2"/>
    <x v="0"/>
    <x v="0"/>
    <m/>
    <x v="0"/>
    <x v="0"/>
    <s v="CA48 Amyand Park Road Twickenham"/>
    <x v="1"/>
    <s v="Y"/>
    <x v="2"/>
  </r>
  <r>
    <s v="24/2125/FUL"/>
    <x v="0"/>
    <x v="0"/>
    <x v="250"/>
    <d v="2027-11-15T00:00:00"/>
    <m/>
    <m/>
    <x v="1"/>
    <m/>
    <x v="2"/>
    <x v="0"/>
    <x v="0"/>
    <m/>
    <x v="2"/>
    <s v="Construction of part two storey and part single storey attached dwellinghouse; provision of refuse / recycling storage, and amenity space and associated alterations to 15 Tayben Avenue; (following demolition of existing workshop / storage to 15 Tayben Ave"/>
    <s v="13 - 15 Tayben Avenue, Twickenham"/>
    <s v="TW2 7RA"/>
    <m/>
    <m/>
    <m/>
    <m/>
    <m/>
    <m/>
    <m/>
    <m/>
    <m/>
    <n v="0"/>
    <m/>
    <n v="1"/>
    <m/>
    <m/>
    <m/>
    <m/>
    <m/>
    <m/>
    <m/>
    <n v="1"/>
    <n v="1"/>
    <n v="0"/>
    <n v="0"/>
    <n v="0"/>
    <n v="0"/>
    <n v="0"/>
    <n v="0"/>
    <n v="0"/>
    <n v="1"/>
    <x v="0"/>
    <m/>
    <n v="0.25"/>
    <n v="0.25"/>
    <n v="0.25"/>
    <n v="0.25"/>
    <m/>
    <m/>
    <m/>
    <m/>
    <m/>
    <m/>
    <m/>
    <m/>
    <m/>
    <m/>
    <m/>
    <m/>
    <n v="1"/>
    <n v="1"/>
    <m/>
    <m/>
    <m/>
    <n v="515398"/>
    <n v="174060"/>
    <x v="3"/>
    <x v="2"/>
    <x v="0"/>
    <x v="0"/>
    <m/>
    <x v="0"/>
    <x v="0"/>
    <m/>
    <x v="0"/>
    <s v="Y"/>
    <x v="2"/>
  </r>
  <r>
    <s v="24/2479/GPD26"/>
    <x v="1"/>
    <x v="1"/>
    <x v="251"/>
    <d v="2027-11-25T00:00:00"/>
    <m/>
    <m/>
    <x v="1"/>
    <m/>
    <x v="2"/>
    <x v="0"/>
    <x v="0"/>
    <m/>
    <x v="2"/>
    <s v="Prior Approval Class MA Change of use from Class E Office to Class C3 residential comprising 2 no. 2 bedroom houses and 1 no. 1 bedroom flat."/>
    <s v="8 Second Cross Road, Twickenham"/>
    <s v="TW2 5RF"/>
    <m/>
    <m/>
    <m/>
    <m/>
    <m/>
    <m/>
    <m/>
    <m/>
    <m/>
    <n v="0"/>
    <m/>
    <n v="1"/>
    <n v="2"/>
    <m/>
    <m/>
    <m/>
    <m/>
    <m/>
    <m/>
    <n v="3"/>
    <n v="1"/>
    <n v="2"/>
    <n v="0"/>
    <n v="0"/>
    <n v="0"/>
    <n v="0"/>
    <n v="0"/>
    <n v="0"/>
    <n v="3"/>
    <x v="0"/>
    <m/>
    <n v="0.75"/>
    <n v="0.75"/>
    <n v="0.75"/>
    <n v="0.75"/>
    <m/>
    <m/>
    <m/>
    <m/>
    <m/>
    <m/>
    <m/>
    <m/>
    <m/>
    <m/>
    <m/>
    <m/>
    <n v="3"/>
    <n v="3"/>
    <m/>
    <m/>
    <m/>
    <n v="515110"/>
    <n v="172754"/>
    <x v="16"/>
    <x v="2"/>
    <x v="0"/>
    <x v="0"/>
    <s v="Hampton Road, Twickenham"/>
    <x v="1"/>
    <x v="0"/>
    <m/>
    <x v="0"/>
    <s v="Y"/>
    <x v="2"/>
  </r>
  <r>
    <s v="24/2528/GPD26"/>
    <x v="1"/>
    <x v="1"/>
    <x v="252"/>
    <d v="2027-12-02T00:00:00"/>
    <m/>
    <m/>
    <x v="1"/>
    <m/>
    <x v="2"/>
    <x v="0"/>
    <x v="0"/>
    <m/>
    <x v="2"/>
    <s v="Conversion of offices into a single dwelling"/>
    <s v="Unit 19 And 20, Station Point, 121 Sandycombe Road, Richmond TW9 2AD"/>
    <s v="TW9 2AD"/>
    <m/>
    <m/>
    <m/>
    <m/>
    <m/>
    <m/>
    <m/>
    <m/>
    <m/>
    <n v="0"/>
    <m/>
    <m/>
    <m/>
    <n v="1"/>
    <m/>
    <m/>
    <m/>
    <m/>
    <m/>
    <n v="1"/>
    <n v="0"/>
    <n v="0"/>
    <n v="1"/>
    <n v="0"/>
    <n v="0"/>
    <n v="0"/>
    <n v="0"/>
    <n v="0"/>
    <n v="1"/>
    <x v="0"/>
    <m/>
    <n v="0.25"/>
    <n v="0.25"/>
    <n v="0.25"/>
    <n v="0.25"/>
    <m/>
    <m/>
    <m/>
    <m/>
    <m/>
    <m/>
    <m/>
    <m/>
    <m/>
    <m/>
    <m/>
    <m/>
    <n v="1"/>
    <n v="1"/>
    <m/>
    <m/>
    <m/>
    <n v="519072"/>
    <n v="176048"/>
    <x v="13"/>
    <x v="4"/>
    <x v="0"/>
    <x v="0"/>
    <m/>
    <x v="0"/>
    <x v="0"/>
    <m/>
    <x v="0"/>
    <s v="Y"/>
    <x v="8"/>
  </r>
  <r>
    <s v="24/2620/GPD26"/>
    <x v="1"/>
    <x v="1"/>
    <x v="151"/>
    <d v="2027-12-20T00:00:00"/>
    <d v="2025-04-28T00:00:00"/>
    <m/>
    <x v="1"/>
    <m/>
    <x v="2"/>
    <x v="0"/>
    <x v="0"/>
    <m/>
    <x v="2"/>
    <s v="Conversion of existing vacant office space to create 1no. 2 bedroom flat at first floor level and 1no. 1 bedroom flat at second floor level."/>
    <s v="First And Second Floors, 1 - 3 Halford Road, Richmond TW10 6AW"/>
    <s v="TW10 6AW"/>
    <m/>
    <m/>
    <m/>
    <m/>
    <m/>
    <m/>
    <m/>
    <m/>
    <m/>
    <n v="0"/>
    <m/>
    <n v="1"/>
    <n v="1"/>
    <m/>
    <m/>
    <m/>
    <m/>
    <m/>
    <m/>
    <n v="2"/>
    <n v="1"/>
    <n v="1"/>
    <n v="0"/>
    <n v="0"/>
    <n v="0"/>
    <n v="0"/>
    <n v="0"/>
    <n v="0"/>
    <n v="2"/>
    <x v="0"/>
    <m/>
    <m/>
    <n v="2"/>
    <m/>
    <m/>
    <m/>
    <m/>
    <m/>
    <m/>
    <m/>
    <m/>
    <m/>
    <m/>
    <m/>
    <m/>
    <m/>
    <m/>
    <n v="2"/>
    <n v="2"/>
    <m/>
    <m/>
    <m/>
    <n v="517972"/>
    <n v="174793"/>
    <x v="12"/>
    <x v="4"/>
    <x v="3"/>
    <x v="0"/>
    <m/>
    <x v="0"/>
    <x v="0"/>
    <s v="CA17 Central Richmond"/>
    <x v="1"/>
    <s v="Y"/>
    <x v="4"/>
  </r>
  <r>
    <s v="24/2622/GPD26"/>
    <x v="1"/>
    <x v="1"/>
    <x v="253"/>
    <d v="2027-12-05T00:00:00"/>
    <m/>
    <m/>
    <x v="1"/>
    <m/>
    <x v="2"/>
    <x v="0"/>
    <x v="0"/>
    <m/>
    <x v="2"/>
    <s v="Change of use from the existing Use Class E ground floor unit to residential to create 2 x 1-bedroom flats."/>
    <s v="83A Station Road, Hampton TW12 2BJ"/>
    <s v="TW12 2BJ"/>
    <m/>
    <m/>
    <m/>
    <m/>
    <m/>
    <m/>
    <m/>
    <m/>
    <m/>
    <n v="0"/>
    <m/>
    <n v="2"/>
    <m/>
    <m/>
    <m/>
    <m/>
    <m/>
    <m/>
    <m/>
    <n v="2"/>
    <n v="2"/>
    <n v="0"/>
    <n v="0"/>
    <n v="0"/>
    <n v="0"/>
    <n v="0"/>
    <n v="0"/>
    <n v="0"/>
    <n v="2"/>
    <x v="0"/>
    <m/>
    <n v="0.5"/>
    <n v="0.5"/>
    <n v="0.5"/>
    <n v="0.5"/>
    <m/>
    <m/>
    <m/>
    <m/>
    <m/>
    <m/>
    <m/>
    <m/>
    <m/>
    <m/>
    <m/>
    <m/>
    <n v="2"/>
    <n v="2"/>
    <m/>
    <m/>
    <m/>
    <n v="513719"/>
    <n v="169668"/>
    <x v="7"/>
    <x v="1"/>
    <x v="0"/>
    <x v="0"/>
    <s v="Station Road, Hampton"/>
    <x v="1"/>
    <x v="0"/>
    <s v="CA12 Hampton Village"/>
    <x v="1"/>
    <s v="Y"/>
    <x v="1"/>
  </r>
  <r>
    <s v="24/2653/GPD24"/>
    <x v="1"/>
    <x v="1"/>
    <x v="254"/>
    <d v="2027-11-28T00:00:00"/>
    <m/>
    <m/>
    <x v="1"/>
    <m/>
    <x v="2"/>
    <x v="0"/>
    <x v="0"/>
    <m/>
    <x v="2"/>
    <s v="Change of use of the first to fourth floors of the above property from Class E (Commercial) to C3 (dwellinghouses) comprising 2 x self- contained residential units (bin store at ground floor). Application to determine if prior approval is required for a proposed: Change of use from Commercial, Business and Service (Use Class E), or betting office or pay day loan shop to mixed use including up to two flats (Use Class C3)Town and Country Planning (General Permitted Development) (England) Order 2015 (as amended) - Schedule 2, Part 3, Class G"/>
    <s v="Parkway House, Sheen Lane, East Sheen"/>
    <s v="SW14 8LS"/>
    <m/>
    <m/>
    <m/>
    <m/>
    <m/>
    <m/>
    <m/>
    <m/>
    <m/>
    <n v="0"/>
    <m/>
    <m/>
    <m/>
    <m/>
    <m/>
    <m/>
    <n v="2"/>
    <m/>
    <m/>
    <n v="2"/>
    <n v="0"/>
    <n v="0"/>
    <n v="0"/>
    <n v="0"/>
    <n v="0"/>
    <n v="2"/>
    <n v="0"/>
    <n v="0"/>
    <n v="2"/>
    <x v="0"/>
    <m/>
    <n v="0.5"/>
    <n v="0.5"/>
    <n v="0.5"/>
    <n v="0.5"/>
    <m/>
    <m/>
    <m/>
    <m/>
    <m/>
    <m/>
    <m/>
    <m/>
    <m/>
    <m/>
    <m/>
    <m/>
    <n v="2"/>
    <n v="2"/>
    <m/>
    <m/>
    <m/>
    <n v="520529"/>
    <n v="175363"/>
    <x v="9"/>
    <x v="3"/>
    <x v="4"/>
    <x v="0"/>
    <m/>
    <x v="0"/>
    <x v="0"/>
    <m/>
    <x v="0"/>
    <s v="Y"/>
    <x v="5"/>
  </r>
  <r>
    <s v="24/2680/GPD26"/>
    <x v="1"/>
    <x v="1"/>
    <x v="255"/>
    <d v="2027-12-16T00:00:00"/>
    <m/>
    <m/>
    <x v="1"/>
    <m/>
    <x v="2"/>
    <x v="0"/>
    <x v="0"/>
    <m/>
    <x v="2"/>
    <s v="Conversion of a ground floor restaurant into a 1-bedroom, 2-person residential flat."/>
    <s v="6 New Broadway, Hampton Hill, Hampton TW12 1JG"/>
    <s v="TW12 1JG"/>
    <m/>
    <m/>
    <m/>
    <m/>
    <m/>
    <m/>
    <m/>
    <m/>
    <m/>
    <n v="0"/>
    <m/>
    <n v="1"/>
    <m/>
    <m/>
    <m/>
    <m/>
    <m/>
    <m/>
    <m/>
    <n v="1"/>
    <n v="1"/>
    <n v="0"/>
    <n v="0"/>
    <n v="0"/>
    <n v="0"/>
    <n v="0"/>
    <n v="0"/>
    <n v="0"/>
    <n v="1"/>
    <x v="0"/>
    <m/>
    <n v="0.25"/>
    <n v="0.25"/>
    <n v="0.25"/>
    <n v="0.25"/>
    <m/>
    <m/>
    <m/>
    <m/>
    <m/>
    <m/>
    <m/>
    <m/>
    <m/>
    <m/>
    <m/>
    <m/>
    <n v="1"/>
    <n v="1"/>
    <m/>
    <m/>
    <m/>
    <n v="514567"/>
    <n v="171256"/>
    <x v="6"/>
    <x v="1"/>
    <x v="0"/>
    <x v="0"/>
    <s v="High Street, Hampton Hill"/>
    <x v="1"/>
    <x v="0"/>
    <m/>
    <x v="0"/>
    <s v="Y"/>
    <x v="1"/>
  </r>
  <r>
    <s v="24/2688/FUL"/>
    <x v="1"/>
    <x v="0"/>
    <x v="256"/>
    <d v="2028-02-19T00:00:00"/>
    <m/>
    <m/>
    <x v="1"/>
    <m/>
    <x v="2"/>
    <x v="0"/>
    <x v="0"/>
    <m/>
    <x v="2"/>
    <s v="Change of use Class E to single dwelling C3 including internal alterations such as removal of modern partitions and lobbies at ground floor."/>
    <s v="9 The Green, Richmond TW9 1PX"/>
    <s v="TW9 1PX"/>
    <m/>
    <m/>
    <m/>
    <m/>
    <m/>
    <m/>
    <m/>
    <m/>
    <m/>
    <n v="0"/>
    <m/>
    <m/>
    <m/>
    <m/>
    <m/>
    <m/>
    <n v="1"/>
    <m/>
    <m/>
    <n v="1"/>
    <n v="0"/>
    <n v="0"/>
    <n v="0"/>
    <n v="0"/>
    <n v="0"/>
    <n v="1"/>
    <n v="0"/>
    <n v="0"/>
    <n v="1"/>
    <x v="0"/>
    <m/>
    <n v="0.25"/>
    <n v="0.25"/>
    <n v="0.25"/>
    <n v="0.25"/>
    <m/>
    <m/>
    <m/>
    <m/>
    <m/>
    <m/>
    <m/>
    <m/>
    <m/>
    <m/>
    <m/>
    <m/>
    <n v="1"/>
    <n v="1"/>
    <m/>
    <m/>
    <m/>
    <n v="517842"/>
    <n v="174938"/>
    <x v="12"/>
    <x v="4"/>
    <x v="3"/>
    <x v="0"/>
    <m/>
    <x v="0"/>
    <x v="0"/>
    <s v="CA3 Richmond Green"/>
    <x v="1"/>
    <s v="Y"/>
    <x v="4"/>
  </r>
  <r>
    <s v="24/2729/GPD26"/>
    <x v="1"/>
    <x v="1"/>
    <x v="257"/>
    <d v="2028-01-03T00:00:00"/>
    <m/>
    <m/>
    <x v="1"/>
    <m/>
    <x v="2"/>
    <x v="0"/>
    <x v="0"/>
    <m/>
    <x v="2"/>
    <s v="Change of use of building from Class E to 3 x 1 bed flats and 1 x 2 bed flat with associated parking and communal amenity space."/>
    <s v="151 Sheen Lane, East Sheen SW14 8LR"/>
    <s v="SW14 8LR"/>
    <m/>
    <m/>
    <m/>
    <m/>
    <m/>
    <m/>
    <m/>
    <m/>
    <m/>
    <n v="0"/>
    <m/>
    <n v="3"/>
    <n v="1"/>
    <m/>
    <m/>
    <m/>
    <m/>
    <m/>
    <m/>
    <n v="4"/>
    <n v="3"/>
    <n v="1"/>
    <n v="0"/>
    <n v="0"/>
    <n v="0"/>
    <n v="0"/>
    <n v="0"/>
    <n v="0"/>
    <n v="4"/>
    <x v="0"/>
    <m/>
    <n v="1"/>
    <n v="1"/>
    <n v="1"/>
    <n v="1"/>
    <m/>
    <m/>
    <m/>
    <m/>
    <m/>
    <m/>
    <m/>
    <m/>
    <m/>
    <m/>
    <m/>
    <m/>
    <n v="4"/>
    <n v="4"/>
    <m/>
    <m/>
    <m/>
    <n v="520488"/>
    <n v="175298"/>
    <x v="9"/>
    <x v="3"/>
    <x v="0"/>
    <x v="0"/>
    <m/>
    <x v="0"/>
    <x v="0"/>
    <m/>
    <x v="0"/>
    <s v="Y"/>
    <x v="5"/>
  </r>
  <r>
    <s v="24/2797/GPD26"/>
    <x v="1"/>
    <x v="1"/>
    <x v="258"/>
    <d v="2028-01-08T00:00:00"/>
    <m/>
    <m/>
    <x v="1"/>
    <m/>
    <x v="2"/>
    <x v="0"/>
    <x v="0"/>
    <m/>
    <x v="2"/>
    <s v="Proposal for conversion of the ground floor rear portion into a studio space and the entire first floor clinic into 2 studios of single person occupancy under class MA of the GPDO."/>
    <s v="46 Sheen Lane, East Sheen SW14 8LP"/>
    <s v="SW14 8LP"/>
    <m/>
    <m/>
    <m/>
    <m/>
    <m/>
    <m/>
    <m/>
    <m/>
    <m/>
    <n v="0"/>
    <m/>
    <n v="3"/>
    <m/>
    <m/>
    <m/>
    <m/>
    <m/>
    <m/>
    <m/>
    <n v="3"/>
    <n v="3"/>
    <n v="0"/>
    <n v="0"/>
    <n v="0"/>
    <n v="0"/>
    <n v="0"/>
    <n v="0"/>
    <n v="0"/>
    <n v="3"/>
    <x v="0"/>
    <m/>
    <n v="0.75"/>
    <n v="0.75"/>
    <n v="0.75"/>
    <n v="0.75"/>
    <m/>
    <m/>
    <m/>
    <m/>
    <m/>
    <m/>
    <m/>
    <m/>
    <m/>
    <m/>
    <m/>
    <m/>
    <n v="3"/>
    <n v="3"/>
    <m/>
    <m/>
    <m/>
    <n v="520467"/>
    <n v="175568"/>
    <x v="9"/>
    <x v="3"/>
    <x v="4"/>
    <x v="0"/>
    <m/>
    <x v="0"/>
    <x v="0"/>
    <s v="CA70 Sheen Lane Mortlake"/>
    <x v="1"/>
    <s v="Y"/>
    <x v="5"/>
  </r>
  <r>
    <s v="24/2798/GPD26"/>
    <x v="1"/>
    <x v="1"/>
    <x v="258"/>
    <d v="2028-01-08T00:00:00"/>
    <m/>
    <m/>
    <x v="1"/>
    <m/>
    <x v="2"/>
    <x v="0"/>
    <x v="1"/>
    <m/>
    <x v="2"/>
    <s v="Proposal for conversion of the ground floor rear portion into a studio space and the entire first floor clinic into one 3 bed / 4 person occupancy flat under class MA of the GPDO."/>
    <s v="46 Sheen Lane, East Sheen SW14 8LP"/>
    <s v="SW14 8LP"/>
    <m/>
    <m/>
    <m/>
    <m/>
    <m/>
    <m/>
    <m/>
    <m/>
    <m/>
    <n v="0"/>
    <m/>
    <m/>
    <m/>
    <n v="1"/>
    <m/>
    <m/>
    <m/>
    <m/>
    <m/>
    <n v="1"/>
    <n v="0"/>
    <n v="0"/>
    <n v="1"/>
    <n v="0"/>
    <n v="0"/>
    <n v="0"/>
    <n v="0"/>
    <n v="0"/>
    <n v="1"/>
    <x v="0"/>
    <m/>
    <n v="0.25"/>
    <n v="0.25"/>
    <n v="0.25"/>
    <n v="0.25"/>
    <m/>
    <m/>
    <m/>
    <m/>
    <m/>
    <m/>
    <m/>
    <m/>
    <m/>
    <m/>
    <m/>
    <m/>
    <n v="1"/>
    <n v="1"/>
    <m/>
    <m/>
    <m/>
    <n v="520467"/>
    <n v="175568"/>
    <x v="9"/>
    <x v="3"/>
    <x v="4"/>
    <x v="0"/>
    <m/>
    <x v="0"/>
    <x v="0"/>
    <s v="CA70 Sheen Lane Mortlake"/>
    <x v="1"/>
    <s v="Y"/>
    <x v="5"/>
  </r>
  <r>
    <s v="24/2830/FUL"/>
    <x v="4"/>
    <x v="0"/>
    <x v="259"/>
    <d v="2028-02-24T00:00:00"/>
    <d v="2025-04-01T00:00:00"/>
    <m/>
    <x v="1"/>
    <m/>
    <x v="2"/>
    <x v="0"/>
    <x v="0"/>
    <m/>
    <x v="2"/>
    <s v="Internal alterations involving the amalgamation of two residential units to form one house with the addition of solar panels on the garage roof and an ASHP to the rear of the property"/>
    <s v="Corner House, Vicarage Road, East Sheen"/>
    <s v="SW14 8RS"/>
    <m/>
    <m/>
    <n v="1"/>
    <m/>
    <n v="1"/>
    <m/>
    <m/>
    <m/>
    <m/>
    <n v="2"/>
    <m/>
    <m/>
    <m/>
    <m/>
    <m/>
    <m/>
    <m/>
    <n v="1"/>
    <m/>
    <n v="1"/>
    <n v="0"/>
    <n v="-1"/>
    <n v="0"/>
    <n v="-1"/>
    <n v="0"/>
    <n v="0"/>
    <n v="1"/>
    <n v="0"/>
    <n v="-1"/>
    <x v="0"/>
    <m/>
    <n v="-1"/>
    <m/>
    <m/>
    <m/>
    <m/>
    <m/>
    <m/>
    <m/>
    <m/>
    <m/>
    <m/>
    <m/>
    <m/>
    <m/>
    <m/>
    <m/>
    <n v="-1"/>
    <n v="-1"/>
    <m/>
    <m/>
    <m/>
    <n v="520451"/>
    <n v="174895"/>
    <x v="9"/>
    <x v="3"/>
    <x v="0"/>
    <x v="0"/>
    <m/>
    <x v="0"/>
    <x v="0"/>
    <s v="CA64 Sheen Lane East Sheen"/>
    <x v="1"/>
    <s v="Y"/>
    <x v="5"/>
  </r>
  <r>
    <s v="24/2838/GPD24"/>
    <x v="1"/>
    <x v="1"/>
    <x v="151"/>
    <d v="2027-12-20T00:00:00"/>
    <m/>
    <m/>
    <x v="1"/>
    <m/>
    <x v="2"/>
    <x v="0"/>
    <x v="0"/>
    <m/>
    <x v="2"/>
    <s v="Change of use of first and second floors from retail (Class E) to one dwelling (Class C3)."/>
    <s v="5A King Street, Twickenham"/>
    <s v="TW1 3SD"/>
    <m/>
    <m/>
    <m/>
    <m/>
    <m/>
    <m/>
    <m/>
    <m/>
    <m/>
    <n v="0"/>
    <m/>
    <m/>
    <m/>
    <m/>
    <n v="1"/>
    <m/>
    <m/>
    <m/>
    <m/>
    <n v="1"/>
    <n v="0"/>
    <n v="0"/>
    <n v="0"/>
    <n v="1"/>
    <n v="0"/>
    <n v="0"/>
    <n v="0"/>
    <n v="0"/>
    <n v="1"/>
    <x v="0"/>
    <m/>
    <n v="0.25"/>
    <n v="0.25"/>
    <n v="0.25"/>
    <n v="0.25"/>
    <m/>
    <m/>
    <m/>
    <m/>
    <m/>
    <m/>
    <m/>
    <m/>
    <m/>
    <m/>
    <m/>
    <m/>
    <n v="1"/>
    <n v="1"/>
    <m/>
    <m/>
    <m/>
    <n v="516276"/>
    <n v="173221"/>
    <x v="4"/>
    <x v="2"/>
    <x v="2"/>
    <x v="0"/>
    <m/>
    <x v="0"/>
    <x v="0"/>
    <s v="CA8 Twickenham Riverside"/>
    <x v="1"/>
    <s v="Y"/>
    <x v="2"/>
  </r>
  <r>
    <s v="24/2938/FUL"/>
    <x v="4"/>
    <x v="0"/>
    <x v="260"/>
    <d v="2028-01-28T00:00:00"/>
    <d v="2025-04-21T00:00:00"/>
    <m/>
    <x v="1"/>
    <m/>
    <x v="2"/>
    <x v="0"/>
    <x v="0"/>
    <m/>
    <x v="2"/>
    <s v="Amalgamation of two dwellings into a single family 4 bedroom dwelling; alterations to existing rear dormers; addition of front porch; addition of side entrance door; and conversion of a single garage into a garden room. Addition of rooflights, alterations"/>
    <s v="2 Verdun Road, Barnes SW13 9AY"/>
    <s v="SW13 9AY"/>
    <m/>
    <m/>
    <n v="1"/>
    <n v="1"/>
    <m/>
    <m/>
    <m/>
    <m/>
    <m/>
    <n v="2"/>
    <m/>
    <m/>
    <m/>
    <m/>
    <n v="1"/>
    <m/>
    <m/>
    <m/>
    <m/>
    <n v="1"/>
    <n v="0"/>
    <n v="-1"/>
    <n v="-1"/>
    <n v="1"/>
    <n v="0"/>
    <n v="0"/>
    <n v="0"/>
    <n v="0"/>
    <n v="-1"/>
    <x v="0"/>
    <m/>
    <n v="-1"/>
    <m/>
    <m/>
    <m/>
    <m/>
    <m/>
    <m/>
    <m/>
    <m/>
    <m/>
    <m/>
    <m/>
    <m/>
    <m/>
    <m/>
    <m/>
    <n v="-1"/>
    <n v="-1"/>
    <m/>
    <m/>
    <m/>
    <n v="522180"/>
    <n v="177229"/>
    <x v="17"/>
    <x v="3"/>
    <x v="0"/>
    <x v="0"/>
    <m/>
    <x v="0"/>
    <x v="0"/>
    <m/>
    <x v="0"/>
    <m/>
    <x v="3"/>
  </r>
  <r>
    <s v="24/3009/GPD24"/>
    <x v="1"/>
    <x v="1"/>
    <x v="243"/>
    <d v="2028-01-21T00:00:00"/>
    <m/>
    <m/>
    <x v="1"/>
    <m/>
    <x v="2"/>
    <x v="0"/>
    <x v="0"/>
    <m/>
    <x v="2"/>
    <s v="Change of use from Class E commercial business and service use to mixed use consisting of Class E commercial business and service use and Class C3 residential (2 flats)."/>
    <s v="100 High Street, Whitton, Twickenham TW2 7LN"/>
    <s v="TW2 7LN"/>
    <m/>
    <m/>
    <m/>
    <m/>
    <m/>
    <m/>
    <m/>
    <m/>
    <m/>
    <n v="0"/>
    <m/>
    <n v="1"/>
    <n v="1"/>
    <m/>
    <m/>
    <m/>
    <m/>
    <m/>
    <m/>
    <n v="2"/>
    <n v="1"/>
    <n v="1"/>
    <n v="0"/>
    <n v="0"/>
    <n v="0"/>
    <n v="0"/>
    <n v="0"/>
    <n v="0"/>
    <n v="2"/>
    <x v="0"/>
    <m/>
    <n v="0.5"/>
    <n v="0.5"/>
    <n v="0.5"/>
    <n v="0.5"/>
    <m/>
    <m/>
    <m/>
    <m/>
    <m/>
    <m/>
    <m/>
    <m/>
    <m/>
    <m/>
    <m/>
    <m/>
    <n v="2"/>
    <n v="2"/>
    <m/>
    <m/>
    <m/>
    <n v="514182"/>
    <n v="173680"/>
    <x v="0"/>
    <x v="0"/>
    <x v="1"/>
    <x v="0"/>
    <m/>
    <x v="0"/>
    <x v="0"/>
    <m/>
    <x v="0"/>
    <s v="Y"/>
    <x v="0"/>
  </r>
  <r>
    <s v="24/3142/GPD26"/>
    <x v="1"/>
    <x v="1"/>
    <x v="260"/>
    <d v="2028-01-28T00:00:00"/>
    <m/>
    <m/>
    <x v="1"/>
    <m/>
    <x v="2"/>
    <x v="0"/>
    <x v="0"/>
    <m/>
    <x v="2"/>
    <s v="Change use of the first floor ancillary floorspace to the ground floor commercial unit into 1-bed/1-person self contained flat."/>
    <s v="70 - 72 Richmond Road, Twickenham TW1 3BE"/>
    <s v="TW1 3BE"/>
    <m/>
    <m/>
    <m/>
    <m/>
    <m/>
    <m/>
    <m/>
    <m/>
    <m/>
    <n v="0"/>
    <m/>
    <n v="1"/>
    <m/>
    <m/>
    <m/>
    <m/>
    <m/>
    <m/>
    <m/>
    <n v="1"/>
    <n v="1"/>
    <n v="0"/>
    <n v="0"/>
    <n v="0"/>
    <n v="0"/>
    <n v="0"/>
    <n v="0"/>
    <n v="0"/>
    <n v="1"/>
    <x v="0"/>
    <m/>
    <n v="0.25"/>
    <n v="0.25"/>
    <n v="0.25"/>
    <n v="0.25"/>
    <m/>
    <m/>
    <m/>
    <m/>
    <m/>
    <m/>
    <m/>
    <m/>
    <m/>
    <m/>
    <m/>
    <m/>
    <n v="1"/>
    <n v="1"/>
    <m/>
    <m/>
    <m/>
    <n v="516650"/>
    <n v="173601"/>
    <x v="4"/>
    <x v="2"/>
    <x v="0"/>
    <x v="0"/>
    <m/>
    <x v="0"/>
    <x v="0"/>
    <s v="CA8 Twickenham Riverside"/>
    <x v="1"/>
    <s v="Y"/>
    <x v="2"/>
  </r>
  <r>
    <s v="24/3263/GPD26"/>
    <x v="1"/>
    <x v="1"/>
    <x v="261"/>
    <d v="2028-02-13T00:00:00"/>
    <m/>
    <m/>
    <x v="1"/>
    <m/>
    <x v="2"/>
    <x v="0"/>
    <x v="0"/>
    <m/>
    <x v="2"/>
    <s v="Change of use of offices (Use Class E) to 11No. apartments (Use Class C3)."/>
    <s v="1B Sandford House And 1C Jardine House, Claremont Road, Teddington"/>
    <s v="TW11 8DG"/>
    <m/>
    <m/>
    <m/>
    <m/>
    <m/>
    <m/>
    <m/>
    <m/>
    <m/>
    <n v="0"/>
    <m/>
    <n v="10"/>
    <n v="1"/>
    <m/>
    <m/>
    <m/>
    <m/>
    <m/>
    <m/>
    <n v="11"/>
    <n v="10"/>
    <n v="1"/>
    <n v="0"/>
    <n v="0"/>
    <n v="0"/>
    <n v="0"/>
    <n v="0"/>
    <n v="0"/>
    <n v="11"/>
    <x v="1"/>
    <m/>
    <m/>
    <n v="2.75"/>
    <n v="2.75"/>
    <n v="2.75"/>
    <n v="2.75"/>
    <m/>
    <m/>
    <m/>
    <m/>
    <m/>
    <m/>
    <m/>
    <m/>
    <m/>
    <m/>
    <m/>
    <n v="11"/>
    <n v="11"/>
    <m/>
    <m/>
    <m/>
    <n v="515769"/>
    <n v="171467"/>
    <x v="11"/>
    <x v="1"/>
    <x v="0"/>
    <x v="0"/>
    <m/>
    <x v="0"/>
    <x v="0"/>
    <m/>
    <x v="0"/>
    <s v="Y"/>
    <x v="7"/>
  </r>
  <r>
    <s v="PA25/0073"/>
    <x v="1"/>
    <x v="1"/>
    <x v="262"/>
    <d v="2028-03-28T00:00:00"/>
    <m/>
    <m/>
    <x v="1"/>
    <m/>
    <x v="2"/>
    <x v="0"/>
    <x v="0"/>
    <m/>
    <x v="2"/>
    <s v="Change of use from Office to 3 no. C3 residential units"/>
    <s v="34 Candler Mews, Twickenham TW1 3JF"/>
    <s v="TW1 3JF"/>
    <m/>
    <m/>
    <m/>
    <m/>
    <m/>
    <m/>
    <m/>
    <m/>
    <m/>
    <n v="0"/>
    <m/>
    <m/>
    <n v="2"/>
    <n v="1"/>
    <m/>
    <m/>
    <m/>
    <m/>
    <m/>
    <n v="3"/>
    <n v="0"/>
    <n v="2"/>
    <n v="1"/>
    <n v="0"/>
    <n v="0"/>
    <n v="0"/>
    <n v="0"/>
    <n v="0"/>
    <n v="3"/>
    <x v="0"/>
    <m/>
    <n v="0.75"/>
    <n v="0.75"/>
    <n v="0.75"/>
    <n v="0.75"/>
    <m/>
    <m/>
    <m/>
    <m/>
    <m/>
    <m/>
    <m/>
    <m/>
    <m/>
    <m/>
    <m/>
    <m/>
    <n v="3"/>
    <n v="3"/>
    <m/>
    <m/>
    <m/>
    <n v="516360"/>
    <n v="173781"/>
    <x v="4"/>
    <x v="2"/>
    <x v="0"/>
    <x v="0"/>
    <m/>
    <x v="0"/>
    <x v="0"/>
    <m/>
    <x v="0"/>
    <s v="Y"/>
    <x v="2"/>
  </r>
  <r>
    <s v="Site Allocation"/>
    <x v="0"/>
    <x v="7"/>
    <x v="263"/>
    <m/>
    <m/>
    <m/>
    <x v="0"/>
    <m/>
    <x v="3"/>
    <x v="7"/>
    <x v="2"/>
    <m/>
    <x v="2"/>
    <m/>
    <s v="Sainsbury’s, Manor Road"/>
    <s v="TW9 4NZ"/>
    <m/>
    <m/>
    <m/>
    <m/>
    <m/>
    <m/>
    <m/>
    <m/>
    <m/>
    <n v="0"/>
    <m/>
    <m/>
    <m/>
    <m/>
    <m/>
    <m/>
    <m/>
    <m/>
    <m/>
    <n v="250"/>
    <n v="0"/>
    <n v="0"/>
    <n v="0"/>
    <n v="0"/>
    <n v="0"/>
    <n v="0"/>
    <n v="0"/>
    <n v="0"/>
    <n v="250"/>
    <x v="1"/>
    <m/>
    <m/>
    <m/>
    <m/>
    <m/>
    <m/>
    <n v="50"/>
    <n v="50"/>
    <n v="50"/>
    <n v="50"/>
    <n v="50"/>
    <m/>
    <m/>
    <m/>
    <m/>
    <m/>
    <m/>
    <n v="0"/>
    <n v="250"/>
    <m/>
    <m/>
    <m/>
    <n v="519125"/>
    <n v="175579"/>
    <x v="8"/>
    <x v="4"/>
    <x v="0"/>
    <x v="0"/>
    <m/>
    <x v="0"/>
    <x v="0"/>
    <m/>
    <x v="0"/>
    <s v="Y"/>
    <x v="4"/>
  </r>
  <r>
    <s v="Site Allocation"/>
    <x v="3"/>
    <x v="7"/>
    <x v="263"/>
    <m/>
    <m/>
    <m/>
    <x v="0"/>
    <m/>
    <x v="3"/>
    <x v="7"/>
    <x v="3"/>
    <m/>
    <x v="2"/>
    <m/>
    <s v="Teddington Telephone Exchange"/>
    <s v="TW11 8JD"/>
    <m/>
    <m/>
    <m/>
    <m/>
    <m/>
    <m/>
    <m/>
    <m/>
    <m/>
    <n v="0"/>
    <m/>
    <m/>
    <m/>
    <m/>
    <m/>
    <m/>
    <m/>
    <m/>
    <m/>
    <n v="20"/>
    <n v="0"/>
    <n v="0"/>
    <n v="0"/>
    <n v="0"/>
    <n v="0"/>
    <n v="0"/>
    <n v="0"/>
    <n v="0"/>
    <n v="20"/>
    <x v="1"/>
    <m/>
    <m/>
    <m/>
    <m/>
    <m/>
    <m/>
    <m/>
    <n v="5"/>
    <n v="5"/>
    <n v="5"/>
    <n v="5"/>
    <m/>
    <m/>
    <m/>
    <m/>
    <m/>
    <m/>
    <n v="0"/>
    <n v="20"/>
    <m/>
    <m/>
    <m/>
    <n v="516258"/>
    <n v="171100"/>
    <x v="11"/>
    <x v="1"/>
    <x v="5"/>
    <x v="0"/>
    <m/>
    <x v="0"/>
    <x v="0"/>
    <s v="CA37 High Street Teddington"/>
    <x v="1"/>
    <s v="Y"/>
    <x v="7"/>
  </r>
  <r>
    <s v="21/3107/FUL"/>
    <x v="0"/>
    <x v="0"/>
    <x v="263"/>
    <m/>
    <m/>
    <m/>
    <x v="0"/>
    <m/>
    <x v="4"/>
    <x v="7"/>
    <x v="4"/>
    <m/>
    <x v="2"/>
    <s v="Demolition of existing structures and redevelopment of site including construction of three new buildings comprising 106 residential units of mixed tenure (Use Class C3), alterations and conversion of two existing buildings for 3 residential use (Use Class C3), car and cycle parking, landscaping and associated works"/>
    <s v="Barnes Hospital, South Worple Way, East Sheen"/>
    <s v="SW14 8SU"/>
    <m/>
    <m/>
    <m/>
    <m/>
    <m/>
    <m/>
    <m/>
    <m/>
    <m/>
    <n v="0"/>
    <m/>
    <m/>
    <m/>
    <m/>
    <m/>
    <m/>
    <m/>
    <m/>
    <m/>
    <n v="107"/>
    <n v="0"/>
    <n v="0"/>
    <n v="0"/>
    <n v="0"/>
    <n v="0"/>
    <n v="0"/>
    <n v="0"/>
    <n v="0"/>
    <n v="107"/>
    <x v="1"/>
    <m/>
    <m/>
    <m/>
    <n v="35.6666666666667"/>
    <n v="35.666666666666664"/>
    <n v="35.666666666666664"/>
    <m/>
    <m/>
    <m/>
    <m/>
    <m/>
    <m/>
    <m/>
    <m/>
    <m/>
    <m/>
    <m/>
    <n v="107.00000000000003"/>
    <n v="107.00000000000003"/>
    <m/>
    <m/>
    <m/>
    <n v="521203"/>
    <n v="175677"/>
    <x v="5"/>
    <x v="3"/>
    <x v="0"/>
    <x v="0"/>
    <m/>
    <x v="0"/>
    <x v="0"/>
    <m/>
    <x v="0"/>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2"/>
    <m/>
    <m/>
    <m/>
    <m/>
    <m/>
    <m/>
    <m/>
    <m/>
    <n v="0"/>
    <m/>
    <n v="22"/>
    <n v="63"/>
    <n v="33"/>
    <n v="0"/>
    <m/>
    <m/>
    <m/>
    <m/>
    <n v="118"/>
    <n v="22"/>
    <n v="63"/>
    <n v="33"/>
    <n v="0"/>
    <n v="0"/>
    <n v="0"/>
    <n v="0"/>
    <n v="0"/>
    <n v="118"/>
    <x v="1"/>
    <m/>
    <m/>
    <m/>
    <m/>
    <m/>
    <n v="118"/>
    <m/>
    <m/>
    <m/>
    <m/>
    <m/>
    <m/>
    <m/>
    <m/>
    <m/>
    <m/>
    <m/>
    <n v="118"/>
    <n v="118"/>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3"/>
    <m/>
    <m/>
    <m/>
    <m/>
    <m/>
    <m/>
    <m/>
    <m/>
    <n v="0"/>
    <m/>
    <n v="8"/>
    <n v="27"/>
    <n v="13"/>
    <n v="0"/>
    <m/>
    <m/>
    <m/>
    <m/>
    <n v="48"/>
    <n v="8"/>
    <n v="27"/>
    <n v="13"/>
    <n v="0"/>
    <n v="0"/>
    <n v="0"/>
    <n v="0"/>
    <n v="0"/>
    <n v="48"/>
    <x v="1"/>
    <m/>
    <m/>
    <m/>
    <m/>
    <m/>
    <n v="48"/>
    <m/>
    <m/>
    <m/>
    <m/>
    <m/>
    <m/>
    <m/>
    <m/>
    <m/>
    <m/>
    <m/>
    <n v="48"/>
    <n v="48"/>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6"/>
    <m/>
    <m/>
    <m/>
    <m/>
    <m/>
    <m/>
    <m/>
    <m/>
    <n v="0"/>
    <m/>
    <n v="4"/>
    <n v="14"/>
    <n v="6"/>
    <n v="0"/>
    <m/>
    <m/>
    <m/>
    <m/>
    <n v="24"/>
    <n v="4"/>
    <n v="14"/>
    <n v="6"/>
    <n v="0"/>
    <n v="0"/>
    <n v="0"/>
    <n v="0"/>
    <n v="0"/>
    <n v="24"/>
    <x v="1"/>
    <m/>
    <m/>
    <m/>
    <m/>
    <m/>
    <n v="24"/>
    <m/>
    <m/>
    <m/>
    <m/>
    <m/>
    <m/>
    <m/>
    <m/>
    <m/>
    <m/>
    <m/>
    <n v="24"/>
    <n v="24"/>
    <m/>
    <m/>
    <m/>
    <n v="520502"/>
    <n v="175950"/>
    <x v="5"/>
    <x v="3"/>
    <x v="0"/>
    <x v="0"/>
    <s v="Mortlake"/>
    <x v="1"/>
    <x v="0"/>
    <s v="CA33 Mortlake"/>
    <x v="1"/>
    <s v="Y"/>
    <x v="5"/>
  </r>
  <r>
    <s v="22/0900/OUT"/>
    <x v="3"/>
    <x v="6"/>
    <x v="264"/>
    <d v="2028-05-02T00:00:00"/>
    <m/>
    <m/>
    <x v="0"/>
    <m/>
    <x v="4"/>
    <x v="4"/>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s v="Y"/>
    <n v="5"/>
    <n v="8"/>
    <n v="0"/>
    <n v="0"/>
    <m/>
    <m/>
    <m/>
    <m/>
    <n v="13"/>
    <n v="5"/>
    <n v="8"/>
    <n v="0"/>
    <n v="0"/>
    <n v="0"/>
    <n v="0"/>
    <n v="0"/>
    <n v="0"/>
    <n v="13"/>
    <x v="1"/>
    <m/>
    <m/>
    <m/>
    <m/>
    <m/>
    <n v="13"/>
    <m/>
    <m/>
    <m/>
    <m/>
    <m/>
    <m/>
    <m/>
    <m/>
    <m/>
    <m/>
    <m/>
    <n v="13"/>
    <n v="13"/>
    <m/>
    <m/>
    <m/>
    <n v="520502"/>
    <n v="175950"/>
    <x v="5"/>
    <x v="3"/>
    <x v="0"/>
    <x v="0"/>
    <s v="Mortlake"/>
    <x v="1"/>
    <x v="0"/>
    <s v="CA33 Mortlake"/>
    <x v="1"/>
    <s v="Y"/>
    <x v="5"/>
  </r>
  <r>
    <s v="22/0900/OUT"/>
    <x v="3"/>
    <x v="6"/>
    <x v="264"/>
    <d v="2028-05-02T00:00:00"/>
    <m/>
    <m/>
    <x v="0"/>
    <m/>
    <x v="4"/>
    <x v="6"/>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s v="Y"/>
    <n v="0"/>
    <n v="0"/>
    <n v="14"/>
    <n v="0"/>
    <m/>
    <m/>
    <m/>
    <m/>
    <n v="14"/>
    <n v="0"/>
    <n v="0"/>
    <n v="14"/>
    <n v="0"/>
    <n v="0"/>
    <n v="0"/>
    <n v="0"/>
    <n v="0"/>
    <n v="14"/>
    <x v="1"/>
    <m/>
    <m/>
    <m/>
    <m/>
    <m/>
    <n v="18"/>
    <m/>
    <m/>
    <m/>
    <m/>
    <m/>
    <m/>
    <m/>
    <m/>
    <m/>
    <m/>
    <m/>
    <n v="18"/>
    <n v="18"/>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8"/>
    <m/>
    <m/>
    <m/>
    <m/>
    <m/>
    <m/>
    <m/>
    <m/>
    <n v="0"/>
    <m/>
    <n v="3"/>
    <n v="43"/>
    <n v="46"/>
    <n v="5"/>
    <m/>
    <m/>
    <m/>
    <m/>
    <n v="97"/>
    <n v="3"/>
    <n v="43"/>
    <n v="46"/>
    <n v="5"/>
    <n v="0"/>
    <n v="0"/>
    <n v="0"/>
    <n v="0"/>
    <n v="97"/>
    <x v="1"/>
    <m/>
    <m/>
    <m/>
    <m/>
    <m/>
    <n v="93"/>
    <m/>
    <m/>
    <m/>
    <m/>
    <m/>
    <m/>
    <m/>
    <m/>
    <m/>
    <m/>
    <m/>
    <n v="93"/>
    <n v="93"/>
    <m/>
    <m/>
    <m/>
    <n v="520502"/>
    <n v="175950"/>
    <x v="5"/>
    <x v="3"/>
    <x v="0"/>
    <x v="0"/>
    <s v="Mortlake"/>
    <x v="1"/>
    <x v="0"/>
    <s v="CA33 Mortlake"/>
    <x v="1"/>
    <s v="Y"/>
    <x v="5"/>
  </r>
  <r>
    <s v="22/0900/OUT"/>
    <x v="3"/>
    <x v="6"/>
    <x v="264"/>
    <d v="2028-05-02T00:00:00"/>
    <m/>
    <m/>
    <x v="0"/>
    <m/>
    <x v="4"/>
    <x v="6"/>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1 - Building 19"/>
    <m/>
    <m/>
    <m/>
    <m/>
    <m/>
    <m/>
    <m/>
    <m/>
    <n v="0"/>
    <s v="Y"/>
    <n v="0"/>
    <n v="3"/>
    <n v="30"/>
    <n v="5"/>
    <m/>
    <m/>
    <m/>
    <m/>
    <n v="38"/>
    <n v="0"/>
    <n v="3"/>
    <n v="30"/>
    <n v="5"/>
    <n v="0"/>
    <n v="0"/>
    <n v="0"/>
    <n v="0"/>
    <n v="38"/>
    <x v="1"/>
    <m/>
    <m/>
    <m/>
    <m/>
    <m/>
    <n v="38"/>
    <m/>
    <m/>
    <m/>
    <m/>
    <m/>
    <m/>
    <m/>
    <m/>
    <m/>
    <m/>
    <m/>
    <n v="38"/>
    <n v="38"/>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4"/>
    <m/>
    <m/>
    <m/>
    <m/>
    <m/>
    <m/>
    <m/>
    <m/>
    <n v="0"/>
    <m/>
    <n v="0"/>
    <n v="15"/>
    <n v="5"/>
    <n v="0"/>
    <m/>
    <m/>
    <m/>
    <m/>
    <n v="20"/>
    <n v="0"/>
    <n v="15"/>
    <n v="5"/>
    <n v="0"/>
    <n v="0"/>
    <n v="0"/>
    <n v="0"/>
    <n v="0"/>
    <n v="20"/>
    <x v="1"/>
    <m/>
    <m/>
    <m/>
    <m/>
    <m/>
    <m/>
    <n v="20"/>
    <m/>
    <m/>
    <m/>
    <m/>
    <m/>
    <m/>
    <m/>
    <m/>
    <m/>
    <m/>
    <n v="0"/>
    <n v="20"/>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7"/>
    <m/>
    <m/>
    <m/>
    <m/>
    <m/>
    <m/>
    <m/>
    <m/>
    <n v="0"/>
    <m/>
    <n v="19"/>
    <n v="47"/>
    <n v="21"/>
    <n v="0"/>
    <m/>
    <m/>
    <m/>
    <m/>
    <n v="87"/>
    <n v="19"/>
    <n v="47"/>
    <n v="21"/>
    <n v="0"/>
    <n v="0"/>
    <n v="0"/>
    <n v="0"/>
    <n v="0"/>
    <n v="87"/>
    <x v="1"/>
    <m/>
    <m/>
    <m/>
    <m/>
    <m/>
    <m/>
    <n v="87"/>
    <m/>
    <m/>
    <m/>
    <m/>
    <m/>
    <m/>
    <m/>
    <m/>
    <m/>
    <m/>
    <n v="0"/>
    <n v="87"/>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8"/>
    <m/>
    <m/>
    <m/>
    <m/>
    <m/>
    <m/>
    <m/>
    <m/>
    <n v="0"/>
    <m/>
    <n v="22"/>
    <n v="43"/>
    <n v="33"/>
    <n v="2"/>
    <m/>
    <m/>
    <m/>
    <m/>
    <n v="100"/>
    <n v="22"/>
    <n v="43"/>
    <n v="33"/>
    <n v="2"/>
    <n v="0"/>
    <n v="0"/>
    <n v="0"/>
    <n v="0"/>
    <n v="100"/>
    <x v="1"/>
    <m/>
    <m/>
    <m/>
    <m/>
    <m/>
    <m/>
    <n v="100"/>
    <m/>
    <m/>
    <m/>
    <m/>
    <m/>
    <m/>
    <m/>
    <m/>
    <m/>
    <m/>
    <n v="0"/>
    <n v="100"/>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3"/>
    <m/>
    <m/>
    <m/>
    <m/>
    <m/>
    <m/>
    <m/>
    <m/>
    <n v="0"/>
    <m/>
    <n v="19"/>
    <n v="21"/>
    <n v="2"/>
    <n v="0"/>
    <m/>
    <m/>
    <m/>
    <m/>
    <n v="42"/>
    <n v="19"/>
    <n v="21"/>
    <n v="2"/>
    <n v="0"/>
    <n v="0"/>
    <n v="0"/>
    <n v="0"/>
    <n v="0"/>
    <n v="42"/>
    <x v="1"/>
    <m/>
    <m/>
    <m/>
    <m/>
    <m/>
    <m/>
    <n v="42"/>
    <m/>
    <m/>
    <m/>
    <m/>
    <m/>
    <m/>
    <m/>
    <m/>
    <m/>
    <m/>
    <n v="0"/>
    <n v="42"/>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4"/>
    <m/>
    <m/>
    <m/>
    <m/>
    <m/>
    <m/>
    <m/>
    <m/>
    <n v="0"/>
    <m/>
    <n v="8"/>
    <n v="24"/>
    <n v="2"/>
    <n v="0"/>
    <m/>
    <m/>
    <m/>
    <m/>
    <n v="34"/>
    <n v="8"/>
    <n v="24"/>
    <n v="2"/>
    <n v="0"/>
    <n v="0"/>
    <n v="0"/>
    <n v="0"/>
    <n v="0"/>
    <n v="34"/>
    <x v="1"/>
    <m/>
    <m/>
    <m/>
    <m/>
    <m/>
    <m/>
    <n v="34"/>
    <m/>
    <m/>
    <m/>
    <m/>
    <m/>
    <m/>
    <m/>
    <m/>
    <m/>
    <m/>
    <n v="0"/>
    <n v="34"/>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5"/>
    <m/>
    <m/>
    <m/>
    <m/>
    <m/>
    <m/>
    <m/>
    <m/>
    <n v="0"/>
    <m/>
    <n v="83"/>
    <n v="27"/>
    <n v="0"/>
    <n v="2"/>
    <m/>
    <m/>
    <m/>
    <m/>
    <n v="112"/>
    <n v="83"/>
    <n v="27"/>
    <n v="0"/>
    <n v="2"/>
    <n v="0"/>
    <n v="0"/>
    <n v="0"/>
    <n v="0"/>
    <n v="112"/>
    <x v="1"/>
    <m/>
    <m/>
    <m/>
    <m/>
    <m/>
    <m/>
    <n v="112"/>
    <m/>
    <m/>
    <m/>
    <m/>
    <m/>
    <m/>
    <m/>
    <m/>
    <m/>
    <m/>
    <n v="0"/>
    <n v="112"/>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6"/>
    <m/>
    <m/>
    <m/>
    <m/>
    <m/>
    <m/>
    <m/>
    <m/>
    <n v="0"/>
    <m/>
    <n v="41"/>
    <n v="31"/>
    <n v="1"/>
    <n v="0"/>
    <m/>
    <m/>
    <m/>
    <m/>
    <n v="73"/>
    <n v="41"/>
    <n v="31"/>
    <n v="1"/>
    <n v="0"/>
    <n v="0"/>
    <n v="0"/>
    <n v="0"/>
    <n v="0"/>
    <n v="73"/>
    <x v="1"/>
    <m/>
    <m/>
    <m/>
    <m/>
    <m/>
    <m/>
    <n v="73"/>
    <m/>
    <m/>
    <m/>
    <m/>
    <m/>
    <m/>
    <m/>
    <m/>
    <m/>
    <m/>
    <n v="0"/>
    <n v="73"/>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2 - Building 17"/>
    <m/>
    <m/>
    <m/>
    <m/>
    <m/>
    <m/>
    <m/>
    <m/>
    <n v="0"/>
    <m/>
    <n v="45"/>
    <n v="20"/>
    <n v="8"/>
    <n v="0"/>
    <m/>
    <m/>
    <m/>
    <m/>
    <n v="73"/>
    <n v="45"/>
    <n v="20"/>
    <n v="8"/>
    <n v="0"/>
    <n v="0"/>
    <n v="0"/>
    <n v="0"/>
    <n v="0"/>
    <n v="73"/>
    <x v="1"/>
    <m/>
    <m/>
    <m/>
    <m/>
    <m/>
    <m/>
    <n v="73"/>
    <m/>
    <m/>
    <m/>
    <m/>
    <m/>
    <m/>
    <m/>
    <m/>
    <m/>
    <m/>
    <n v="0"/>
    <n v="73"/>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9"/>
    <m/>
    <m/>
    <m/>
    <m/>
    <m/>
    <m/>
    <m/>
    <m/>
    <n v="0"/>
    <m/>
    <n v="0"/>
    <n v="6"/>
    <n v="3"/>
    <n v="4"/>
    <m/>
    <m/>
    <m/>
    <m/>
    <n v="13"/>
    <n v="0"/>
    <n v="6"/>
    <n v="3"/>
    <n v="4"/>
    <n v="0"/>
    <n v="0"/>
    <n v="0"/>
    <n v="0"/>
    <n v="13"/>
    <x v="1"/>
    <m/>
    <m/>
    <m/>
    <m/>
    <m/>
    <m/>
    <n v="13"/>
    <m/>
    <m/>
    <m/>
    <m/>
    <m/>
    <m/>
    <m/>
    <m/>
    <m/>
    <m/>
    <n v="0"/>
    <n v="13"/>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0"/>
    <m/>
    <m/>
    <m/>
    <m/>
    <m/>
    <m/>
    <m/>
    <m/>
    <n v="0"/>
    <m/>
    <n v="22"/>
    <n v="17"/>
    <n v="0"/>
    <n v="0"/>
    <m/>
    <m/>
    <m/>
    <m/>
    <n v="39"/>
    <n v="22"/>
    <n v="17"/>
    <n v="0"/>
    <n v="0"/>
    <n v="0"/>
    <n v="0"/>
    <n v="0"/>
    <n v="0"/>
    <n v="39"/>
    <x v="1"/>
    <m/>
    <m/>
    <m/>
    <m/>
    <m/>
    <m/>
    <n v="39"/>
    <m/>
    <m/>
    <m/>
    <m/>
    <m/>
    <m/>
    <m/>
    <m/>
    <m/>
    <m/>
    <n v="0"/>
    <n v="39"/>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1"/>
    <m/>
    <m/>
    <m/>
    <m/>
    <m/>
    <m/>
    <m/>
    <m/>
    <n v="0"/>
    <m/>
    <n v="11"/>
    <n v="21"/>
    <n v="19"/>
    <n v="1"/>
    <m/>
    <m/>
    <m/>
    <m/>
    <n v="52"/>
    <n v="11"/>
    <n v="21"/>
    <n v="19"/>
    <n v="1"/>
    <n v="0"/>
    <n v="0"/>
    <n v="0"/>
    <n v="0"/>
    <n v="52"/>
    <x v="1"/>
    <m/>
    <m/>
    <m/>
    <m/>
    <m/>
    <m/>
    <n v="52"/>
    <m/>
    <m/>
    <m/>
    <m/>
    <m/>
    <m/>
    <m/>
    <m/>
    <m/>
    <m/>
    <n v="0"/>
    <n v="52"/>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3 - Building 12"/>
    <m/>
    <m/>
    <m/>
    <m/>
    <m/>
    <m/>
    <m/>
    <m/>
    <n v="0"/>
    <m/>
    <n v="4"/>
    <n v="37"/>
    <n v="7"/>
    <n v="0"/>
    <m/>
    <m/>
    <m/>
    <m/>
    <n v="48"/>
    <n v="4"/>
    <n v="37"/>
    <n v="7"/>
    <n v="0"/>
    <n v="0"/>
    <n v="0"/>
    <n v="0"/>
    <n v="0"/>
    <n v="48"/>
    <x v="1"/>
    <m/>
    <m/>
    <m/>
    <m/>
    <m/>
    <m/>
    <n v="48"/>
    <m/>
    <m/>
    <m/>
    <m/>
    <m/>
    <m/>
    <m/>
    <m/>
    <m/>
    <m/>
    <n v="0"/>
    <n v="48"/>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4 - Building 20"/>
    <m/>
    <m/>
    <m/>
    <m/>
    <m/>
    <m/>
    <m/>
    <m/>
    <n v="0"/>
    <m/>
    <n v="0"/>
    <n v="1"/>
    <n v="11"/>
    <n v="4"/>
    <m/>
    <m/>
    <m/>
    <m/>
    <n v="16"/>
    <n v="0"/>
    <n v="1"/>
    <n v="11"/>
    <n v="4"/>
    <n v="0"/>
    <n v="0"/>
    <n v="0"/>
    <n v="0"/>
    <n v="16"/>
    <x v="1"/>
    <m/>
    <m/>
    <m/>
    <m/>
    <m/>
    <m/>
    <m/>
    <m/>
    <n v="16"/>
    <m/>
    <m/>
    <m/>
    <m/>
    <m/>
    <m/>
    <m/>
    <m/>
    <n v="0"/>
    <n v="16"/>
    <m/>
    <m/>
    <m/>
    <n v="520502"/>
    <n v="175950"/>
    <x v="5"/>
    <x v="3"/>
    <x v="0"/>
    <x v="0"/>
    <s v="Mortlake"/>
    <x v="1"/>
    <x v="0"/>
    <s v="CA33 Mortlake"/>
    <x v="1"/>
    <s v="Y"/>
    <x v="5"/>
  </r>
  <r>
    <s v="22/0900/OUT"/>
    <x v="3"/>
    <x v="6"/>
    <x v="264"/>
    <d v="2028-05-02T00:00:00"/>
    <m/>
    <m/>
    <x v="0"/>
    <m/>
    <x v="4"/>
    <x v="0"/>
    <x v="5"/>
    <m/>
    <x v="2"/>
    <s v="Hybrid application to include: 1. Demolition of existing buildings (except the Maltings and the façade of the Bottling Plant and former Hotel), walls, associated structures, site clearance and groundworks, to allow for the comprehensive phased redevelopment of the site: 2. Detailed application for the works to the east side of Ship Lane which comprise: a. Alterations and extensions to existing buildings and erection of buildings varying in height from 3 to 9 storeys plus a basement of one to two storeys below ground to allow for residential apartments; flexible use floorspace for retail, financial and professional services, café/restaurant and drinking establishment uses, offices, non-residential institutions and community use and boathouse; Hotel / public house with accommodation; Cinema and Offices. b. New pedestrian, vehicle and cycle accesses and internal routes, and associated highway works c. Provision of on-site cycle, vehicle and servicing parking at surface and basement level d. Provision of public open space, amenity and play space and landscaping e. Flood defence and towpath works f. Installation of plant and energy equipment 3. Outline application, with all matters reserved for works to the west of Ship Lane which comprise: a. The erection of a single storey basement and buildings varying in height from 3 to 8 storeys b. Residential development c. Provision of on-site cycle, vehicle and servicing parking d. Provision of public open space, amenity and play space and landscaping e. New pedestrian, vehicle and cycle accesses and internal routes, and associated highways works."/>
    <s v="The Stag Brewery, Lower Richmond Road, Mortlake, London "/>
    <s v="SW14 7ET "/>
    <s v="Phase 4 - Building 21"/>
    <m/>
    <m/>
    <m/>
    <m/>
    <m/>
    <m/>
    <m/>
    <m/>
    <n v="0"/>
    <m/>
    <n v="0"/>
    <n v="0"/>
    <n v="1"/>
    <n v="6"/>
    <m/>
    <m/>
    <m/>
    <m/>
    <n v="7"/>
    <n v="0"/>
    <n v="0"/>
    <n v="1"/>
    <n v="6"/>
    <n v="0"/>
    <n v="0"/>
    <n v="0"/>
    <n v="0"/>
    <n v="7"/>
    <x v="1"/>
    <m/>
    <m/>
    <m/>
    <m/>
    <m/>
    <m/>
    <m/>
    <m/>
    <n v="7"/>
    <m/>
    <m/>
    <m/>
    <m/>
    <m/>
    <m/>
    <m/>
    <m/>
    <n v="0"/>
    <n v="7"/>
    <m/>
    <m/>
    <m/>
    <n v="520502"/>
    <n v="175950"/>
    <x v="5"/>
    <x v="3"/>
    <x v="0"/>
    <x v="0"/>
    <s v="Mortlake"/>
    <x v="1"/>
    <x v="0"/>
    <s v="CA33 Mortlake"/>
    <x v="1"/>
    <s v="Y"/>
    <x v="5"/>
  </r>
  <r>
    <s v="22/2204/FUL"/>
    <x v="0"/>
    <x v="0"/>
    <x v="263"/>
    <m/>
    <m/>
    <m/>
    <x v="0"/>
    <m/>
    <x v="4"/>
    <x v="7"/>
    <x v="6"/>
    <m/>
    <x v="2"/>
    <s v="Demolition of existing buildings and erection of 1no. mixed use building between three and five storeys plus basement in height, comprising 86no. residential flats (Class C3) and 1,311.2sq.m of commercial floorspace (Class E); 1no.two storey building comprising 595sq.m of commercial floorspace (Class E); 14no. residential houses (Class C3); and, associated access, external landscaping and car parking."/>
    <s v="St Clare Business Park And 7 - 11 Windmill Road, Hampton Hill"/>
    <s v="TW12 1PZ"/>
    <m/>
    <m/>
    <m/>
    <m/>
    <m/>
    <m/>
    <m/>
    <m/>
    <m/>
    <m/>
    <m/>
    <m/>
    <m/>
    <m/>
    <m/>
    <m/>
    <m/>
    <m/>
    <m/>
    <n v="100"/>
    <n v="0"/>
    <n v="0"/>
    <n v="0"/>
    <n v="0"/>
    <n v="0"/>
    <n v="0"/>
    <n v="0"/>
    <n v="0"/>
    <n v="100"/>
    <x v="1"/>
    <m/>
    <m/>
    <m/>
    <n v="33.333333333333336"/>
    <n v="33.333333333333336"/>
    <n v="33.333333333333336"/>
    <m/>
    <m/>
    <m/>
    <m/>
    <m/>
    <m/>
    <m/>
    <m/>
    <m/>
    <m/>
    <m/>
    <n v="100"/>
    <n v="100"/>
    <m/>
    <m/>
    <m/>
    <n v="514199"/>
    <n v="170906"/>
    <x v="6"/>
    <x v="1"/>
    <x v="0"/>
    <x v="0"/>
    <s v="High Street, Hampton Hill"/>
    <x v="1"/>
    <x v="0"/>
    <m/>
    <x v="0"/>
    <m/>
    <x v="1"/>
  </r>
  <r>
    <s v="Site Allocation"/>
    <x v="3"/>
    <x v="7"/>
    <x v="263"/>
    <m/>
    <m/>
    <m/>
    <x v="0"/>
    <m/>
    <x v="5"/>
    <x v="7"/>
    <x v="7"/>
    <m/>
    <x v="2"/>
    <m/>
    <s v="Teddington Police Station"/>
    <s v="TW11 0AQ"/>
    <m/>
    <m/>
    <m/>
    <m/>
    <m/>
    <m/>
    <m/>
    <m/>
    <m/>
    <m/>
    <m/>
    <m/>
    <m/>
    <m/>
    <m/>
    <m/>
    <m/>
    <m/>
    <m/>
    <n v="20"/>
    <n v="0"/>
    <n v="0"/>
    <n v="0"/>
    <n v="0"/>
    <n v="0"/>
    <n v="0"/>
    <n v="0"/>
    <n v="0"/>
    <n v="20"/>
    <x v="1"/>
    <m/>
    <m/>
    <m/>
    <m/>
    <m/>
    <n v="20"/>
    <m/>
    <m/>
    <m/>
    <m/>
    <m/>
    <m/>
    <m/>
    <m/>
    <m/>
    <m/>
    <m/>
    <n v="20"/>
    <n v="20"/>
    <m/>
    <m/>
    <m/>
    <n v="515852"/>
    <n v="170855"/>
    <x v="11"/>
    <x v="1"/>
    <x v="5"/>
    <x v="0"/>
    <m/>
    <x v="0"/>
    <x v="0"/>
    <s v="CA22 Park Road Teddington"/>
    <x v="1"/>
    <s v="Y"/>
    <x v="7"/>
  </r>
  <r>
    <s v="Site Allocation"/>
    <x v="3"/>
    <x v="7"/>
    <x v="263"/>
    <m/>
    <m/>
    <m/>
    <x v="0"/>
    <m/>
    <x v="5"/>
    <x v="7"/>
    <x v="8"/>
    <m/>
    <x v="2"/>
    <m/>
    <s v="Twickenham Telephone Exchange"/>
    <s v="TW1 3NZ"/>
    <m/>
    <m/>
    <m/>
    <m/>
    <m/>
    <m/>
    <m/>
    <m/>
    <m/>
    <m/>
    <m/>
    <m/>
    <m/>
    <m/>
    <m/>
    <m/>
    <m/>
    <m/>
    <m/>
    <n v="20"/>
    <n v="0"/>
    <n v="0"/>
    <n v="0"/>
    <n v="0"/>
    <n v="0"/>
    <n v="0"/>
    <n v="0"/>
    <n v="0"/>
    <n v="20"/>
    <x v="1"/>
    <m/>
    <m/>
    <m/>
    <m/>
    <n v="10"/>
    <n v="10"/>
    <m/>
    <m/>
    <m/>
    <m/>
    <m/>
    <m/>
    <m/>
    <m/>
    <m/>
    <m/>
    <m/>
    <n v="20"/>
    <n v="20"/>
    <m/>
    <m/>
    <m/>
    <n v="516325"/>
    <n v="173426"/>
    <x v="4"/>
    <x v="2"/>
    <x v="2"/>
    <x v="0"/>
    <m/>
    <x v="0"/>
    <x v="0"/>
    <m/>
    <x v="0"/>
    <s v="Y"/>
    <x v="2"/>
  </r>
  <r>
    <s v="Site Allocation"/>
    <x v="3"/>
    <x v="7"/>
    <x v="263"/>
    <m/>
    <m/>
    <m/>
    <x v="0"/>
    <m/>
    <x v="5"/>
    <x v="7"/>
    <x v="9"/>
    <m/>
    <x v="2"/>
    <m/>
    <s v="Whitton Telephone Exchange"/>
    <s v="TW2 7BE"/>
    <m/>
    <m/>
    <m/>
    <m/>
    <m/>
    <m/>
    <m/>
    <m/>
    <m/>
    <m/>
    <m/>
    <m/>
    <m/>
    <m/>
    <m/>
    <m/>
    <m/>
    <m/>
    <m/>
    <n v="20"/>
    <n v="0"/>
    <n v="0"/>
    <n v="0"/>
    <n v="0"/>
    <n v="0"/>
    <n v="0"/>
    <n v="0"/>
    <n v="0"/>
    <n v="20"/>
    <x v="1"/>
    <m/>
    <m/>
    <m/>
    <m/>
    <n v="10"/>
    <n v="10"/>
    <m/>
    <m/>
    <m/>
    <m/>
    <m/>
    <m/>
    <m/>
    <m/>
    <m/>
    <m/>
    <m/>
    <n v="20"/>
    <n v="20"/>
    <m/>
    <m/>
    <m/>
    <n v="514055"/>
    <n v="173847"/>
    <x v="0"/>
    <x v="0"/>
    <x v="1"/>
    <x v="0"/>
    <m/>
    <x v="0"/>
    <x v="0"/>
    <m/>
    <x v="0"/>
    <s v="Y"/>
    <x v="0"/>
  </r>
  <r>
    <s v="Large Sites Trend"/>
    <x v="3"/>
    <x v="7"/>
    <x v="263"/>
    <m/>
    <m/>
    <m/>
    <x v="0"/>
    <m/>
    <x v="6"/>
    <x v="7"/>
    <x v="10"/>
    <m/>
    <x v="2"/>
    <m/>
    <s v="Large Sites Trend"/>
    <s v="N/A"/>
    <m/>
    <m/>
    <m/>
    <m/>
    <m/>
    <m/>
    <m/>
    <m/>
    <m/>
    <m/>
    <m/>
    <m/>
    <m/>
    <m/>
    <m/>
    <m/>
    <m/>
    <m/>
    <m/>
    <n v="432"/>
    <n v="0"/>
    <n v="0"/>
    <n v="0"/>
    <n v="0"/>
    <n v="0"/>
    <n v="0"/>
    <n v="0"/>
    <n v="0"/>
    <n v="144"/>
    <x v="0"/>
    <m/>
    <m/>
    <m/>
    <m/>
    <m/>
    <m/>
    <m/>
    <m/>
    <m/>
    <n v="72"/>
    <n v="72"/>
    <n v="72"/>
    <n v="72"/>
    <n v="72"/>
    <n v="72"/>
    <n v="72"/>
    <n v="72"/>
    <n v="0"/>
    <n v="144"/>
    <m/>
    <m/>
    <m/>
    <m/>
    <m/>
    <x v="18"/>
    <x v="6"/>
    <x v="0"/>
    <x v="0"/>
    <m/>
    <x v="0"/>
    <x v="0"/>
    <m/>
    <x v="0"/>
    <m/>
    <x v="9"/>
  </r>
  <r>
    <s v="Small Sites Trend"/>
    <x v="3"/>
    <x v="7"/>
    <x v="263"/>
    <m/>
    <m/>
    <m/>
    <x v="0"/>
    <m/>
    <x v="6"/>
    <x v="7"/>
    <x v="11"/>
    <m/>
    <x v="2"/>
    <m/>
    <s v="Small Sites Trend"/>
    <s v="N/A"/>
    <m/>
    <m/>
    <m/>
    <m/>
    <m/>
    <m/>
    <m/>
    <m/>
    <m/>
    <m/>
    <m/>
    <m/>
    <m/>
    <m/>
    <m/>
    <m/>
    <m/>
    <m/>
    <m/>
    <n v="3316"/>
    <n v="0"/>
    <n v="0"/>
    <n v="0"/>
    <n v="0"/>
    <n v="0"/>
    <n v="0"/>
    <n v="0"/>
    <n v="0"/>
    <n v="1912"/>
    <x v="0"/>
    <m/>
    <n v="20"/>
    <n v="20"/>
    <n v="234"/>
    <n v="234"/>
    <n v="234"/>
    <n v="234"/>
    <n v="234"/>
    <n v="234"/>
    <n v="234"/>
    <n v="234"/>
    <n v="234"/>
    <n v="234"/>
    <n v="234"/>
    <n v="234"/>
    <n v="234"/>
    <n v="234"/>
    <n v="742"/>
    <n v="1912"/>
    <m/>
    <m/>
    <m/>
    <m/>
    <m/>
    <x v="18"/>
    <x v="6"/>
    <x v="0"/>
    <x v="0"/>
    <m/>
    <x v="0"/>
    <x v="0"/>
    <m/>
    <x v="0"/>
    <m/>
    <x v="9"/>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s v="23/1149/FUL"/>
    <s v="CHU"/>
    <s v="Care Home Beds"/>
    <d v="2024-06-14T00:00:00"/>
    <d v="2027-06-14T00:00:00"/>
    <d v="2025-02-01T00:00:00"/>
    <d v="2025-03-03T00:00:00"/>
    <x v="0"/>
    <s v="Change of Use from Guest House (Use Class C1) to Care Home (Use Class C2) comprising 9No. bedrooms with associated refuse and cycle store, car parking and evcp."/>
    <s v="Bushy Park Lodge, 6 Sandy Lane, Teddington TW11 0DR"/>
    <s v="TW11 0DR"/>
    <m/>
    <m/>
    <n v="9"/>
    <n v="9"/>
    <m/>
    <m/>
    <m/>
    <m/>
    <m/>
    <m/>
    <m/>
    <m/>
    <m/>
    <m/>
    <m/>
    <m/>
    <m/>
    <n v="9"/>
    <n v="9"/>
    <m/>
    <m/>
    <m/>
    <m/>
    <m/>
    <m/>
    <m/>
    <m/>
    <m/>
    <m/>
  </r>
  <r>
    <s v="24/0688/ES191"/>
    <s v="CHU"/>
    <s v="HMO"/>
    <d v="2024-05-30T00:00:00"/>
    <d v="2024-05-30T00:00:00"/>
    <d v="2024-05-30T00:00:00"/>
    <d v="2024-05-30T00:00:00"/>
    <x v="0"/>
    <s v="House in Multiple Occupation Use (Sui Generis) relating to the use of the whole demise."/>
    <s v="252 Kingston Road, Teddington TW11 9JQ"/>
    <s v="TW11 9JQ"/>
    <m/>
    <m/>
    <m/>
    <m/>
    <m/>
    <n v="8"/>
    <n v="8"/>
    <m/>
    <m/>
    <m/>
    <m/>
    <m/>
    <m/>
    <n v="4.4444444444444446"/>
    <m/>
    <m/>
    <m/>
    <n v="4.4444444444444446"/>
    <n v="4.4444444444444446"/>
    <m/>
    <m/>
    <m/>
    <m/>
    <m/>
    <m/>
    <m/>
    <m/>
    <m/>
    <m/>
  </r>
  <r>
    <s v="19/0111/FUL"/>
    <s v="MIX"/>
    <s v="HMO"/>
    <d v="2019-12-12T00:00:00"/>
    <d v="2022-12-12T00:00:00"/>
    <d v="2020-03-30T00:00:00"/>
    <m/>
    <x v="1"/>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27-29 Lower Teddington Road"/>
    <s v="KT1"/>
    <m/>
    <m/>
    <m/>
    <m/>
    <n v="14"/>
    <n v="0"/>
    <n v="-14"/>
    <m/>
    <m/>
    <m/>
    <m/>
    <m/>
    <m/>
    <n v="-7.7777777777777777"/>
    <m/>
    <m/>
    <m/>
    <n v="-7.7777777777777777"/>
    <m/>
    <n v="-8"/>
    <m/>
    <m/>
    <m/>
    <m/>
    <m/>
    <m/>
    <m/>
    <m/>
    <m/>
  </r>
  <r>
    <s v="19/0111/FUL"/>
    <s v="MIX"/>
    <s v="Student Bedrooms"/>
    <d v="2019-12-12T00:00:00"/>
    <d v="2022-12-12T00:00:00"/>
    <d v="2020-03-30T00:00:00"/>
    <m/>
    <x v="1"/>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23-27 Lower Teddington Road"/>
    <s v="KT1"/>
    <m/>
    <m/>
    <m/>
    <m/>
    <m/>
    <m/>
    <m/>
    <n v="0"/>
    <n v="10"/>
    <n v="10"/>
    <m/>
    <m/>
    <m/>
    <m/>
    <n v="4"/>
    <m/>
    <m/>
    <n v="4"/>
    <m/>
    <n v="4"/>
    <m/>
    <m/>
    <m/>
    <m/>
    <m/>
    <m/>
    <m/>
    <m/>
    <m/>
  </r>
  <r>
    <s v="23/1897/VRC"/>
    <s v="MIX"/>
    <s v="Care Home Beds"/>
    <d v="2024-01-24T00:00:00"/>
    <d v="2027-01-24T00:00:00"/>
    <d v="2024-03-21T00:00:00"/>
    <m/>
    <x v="1"/>
    <s v="Variation of condition U148816 - Approved plans of planning permission 22/1496/FUL to revise internal layouts, reduce guest beds from 57 to 50, increase height of BTM by 200mm, lower ground floor by 145mm, amend landscaping including location and extent o"/>
    <s v="Richmond Inn Hotel, 50 - 56 Sheen Road, Richmond, TW9 1UG"/>
    <s v="TW9 1UG"/>
    <m/>
    <m/>
    <n v="50"/>
    <n v="50"/>
    <m/>
    <m/>
    <m/>
    <m/>
    <m/>
    <m/>
    <m/>
    <m/>
    <m/>
    <m/>
    <m/>
    <m/>
    <m/>
    <n v="50"/>
    <m/>
    <m/>
    <n v="50"/>
    <m/>
    <m/>
    <m/>
    <m/>
    <m/>
    <m/>
    <m/>
    <m/>
  </r>
  <r>
    <s v="23/1623/FUL"/>
    <s v="CHU"/>
    <s v="Student Bedrooms"/>
    <d v="2024-08-13T00:00:00"/>
    <d v="2027-08-13T00:00:00"/>
    <d v="2025-04-01T00:00:00"/>
    <m/>
    <x v="1"/>
    <s v="Change of use from student accommodation to C3 residential use, side extension, erection of a part width rear extension to the lower and upper ground floor) and the creation of vehicular access to No. 23 Queens Road with alterations and improvements to th"/>
    <s v="21 - 23 Queens Road, Richmond"/>
    <s v="TW10 6JW"/>
    <m/>
    <m/>
    <m/>
    <m/>
    <m/>
    <m/>
    <m/>
    <n v="15"/>
    <n v="0"/>
    <n v="-15"/>
    <m/>
    <m/>
    <m/>
    <m/>
    <n v="-6"/>
    <m/>
    <m/>
    <n v="-6"/>
    <m/>
    <n v="-6"/>
    <m/>
    <m/>
    <m/>
    <m/>
    <m/>
    <m/>
    <m/>
    <m/>
    <m/>
  </r>
  <r>
    <s v="19/2822/FUL "/>
    <s v="MIX"/>
    <s v="Care Home Beds"/>
    <d v="2023-05-12T00:00:00"/>
    <d v="2026-05-12T00:00:00"/>
    <d v="2025-09-01T00:00:00"/>
    <m/>
    <x v="2"/>
    <s v="Retention and refurbishment of the former police station building with part demolition of rear wings and ancillary buildings, and the construction of a three storey side and rear extension and basement to form a registered care home comprising 22 care suites and 66 care bed units, with shared facilities, car and cycle parking, landscaping and ancillary works."/>
    <s v="Hampton Police Station, Station Road, Hampton TW12 2AX"/>
    <s v="TW12 2AX"/>
    <m/>
    <m/>
    <n v="88"/>
    <n v="88"/>
    <m/>
    <m/>
    <m/>
    <m/>
    <m/>
    <m/>
    <m/>
    <m/>
    <m/>
    <m/>
    <m/>
    <m/>
    <m/>
    <n v="88"/>
    <m/>
    <m/>
    <n v="44"/>
    <n v="44"/>
    <m/>
    <m/>
    <m/>
    <m/>
    <m/>
    <m/>
    <m/>
  </r>
  <r>
    <s v="22/1029/FUL"/>
    <s v="CHU"/>
    <s v="Student Bedrooms"/>
    <d v="2024-04-26T00:00:00"/>
    <d v="2027-04-26T00:00:00"/>
    <m/>
    <m/>
    <x v="2"/>
    <s v="Change of use of the building from student accommodation to provide 70 residential flats (C3 Use Class) including 4 social rent units, and 7 wheelchair accessible dwellings M4(3), facade and elevational alterations, infill extension at ground floor level and with associated landscaping, widening of two crossovers, access, parking/refuse provision and other external alterations."/>
    <s v="Kingston Bridge House, Church Grove, Hampton Wick KT1 4AG"/>
    <m/>
    <m/>
    <m/>
    <m/>
    <m/>
    <m/>
    <m/>
    <m/>
    <n v="216"/>
    <n v="0"/>
    <n v="-216"/>
    <m/>
    <m/>
    <m/>
    <m/>
    <n v="-86.4"/>
    <m/>
    <m/>
    <n v="-86.4"/>
    <m/>
    <m/>
    <n v="-43.2"/>
    <n v="-43.2"/>
    <m/>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s v="23/1149/FUL"/>
    <s v="CHU"/>
    <s v="Care Home Beds"/>
    <d v="2024-06-14T00:00:00"/>
    <d v="2027-06-14T00:00:00"/>
    <d v="2025-02-01T00:00:00"/>
    <d v="2025-03-03T00:00:00"/>
    <x v="0"/>
    <s v="Change of Use from Guest House (Use Class C1) to Care Home (Use Class C2) comprising 9No. bedrooms with associated refuse and cycle store, car parking and evcp."/>
    <s v="Bushy Park Lodge, 6 Sandy Lane, Teddington TW11 0DR"/>
    <s v="TW11 0DR"/>
    <m/>
    <m/>
    <n v="9"/>
    <n v="9"/>
    <m/>
    <m/>
    <m/>
    <m/>
    <m/>
    <m/>
    <m/>
    <m/>
    <m/>
    <m/>
    <m/>
    <m/>
    <m/>
    <n v="9"/>
    <n v="9"/>
  </r>
  <r>
    <s v="24/0688/ES191"/>
    <s v="CHU"/>
    <s v="HMO"/>
    <d v="2024-05-30T00:00:00"/>
    <d v="2024-05-30T00:00:00"/>
    <d v="2024-05-30T00:00:00"/>
    <d v="2024-05-30T00:00:00"/>
    <x v="0"/>
    <s v="House in Multiple Occupation Use (Sui Generis) relating to the use of the whole demise."/>
    <s v="252 Kingston Road, Teddington TW11 9JQ"/>
    <s v="TW11 9JQ"/>
    <m/>
    <m/>
    <m/>
    <m/>
    <m/>
    <n v="8"/>
    <n v="8"/>
    <m/>
    <m/>
    <m/>
    <m/>
    <m/>
    <m/>
    <n v="4.4444444444444446"/>
    <m/>
    <m/>
    <m/>
    <n v="4.4444444444444446"/>
    <n v="4.4444444444444446"/>
  </r>
  <r>
    <s v="19/0111/FUL"/>
    <s v="MIX"/>
    <s v="HMO"/>
    <d v="2019-12-12T00:00:00"/>
    <d v="2022-12-12T00:00:00"/>
    <d v="2020-03-30T00:00:00"/>
    <m/>
    <x v="1"/>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27-29 Lower Teddington Road"/>
    <s v="KT1"/>
    <m/>
    <m/>
    <m/>
    <m/>
    <n v="14"/>
    <n v="0"/>
    <n v="-14"/>
    <m/>
    <m/>
    <m/>
    <m/>
    <m/>
    <m/>
    <n v="-7.7777777777777777"/>
    <m/>
    <m/>
    <m/>
    <n v="-7.7777777777777777"/>
    <m/>
  </r>
  <r>
    <s v="19/0111/FUL"/>
    <s v="MIX"/>
    <s v="Student Bedrooms"/>
    <d v="2019-12-12T00:00:00"/>
    <d v="2022-12-12T00:00:00"/>
    <d v="2020-03-30T00:00:00"/>
    <m/>
    <x v="1"/>
    <s v="Erection of an independent senior living extra care building comprising of 28 units (following demolition of existing care home) at 12 - 14 Station Road, the refurbishment and renovation of Nos.13 and 23 - 33 Lower Teddington Road (including the erection of a single-storey rear extension to No.23. Change of use of No.13 from ancillary offices to residential with the retention of the offices elsewhere on the site and the conversion of houses in multiple occupation to residential apartments at Nos.27 &amp; 29). The erection of a temporary sales building to the rear of No. 31 &amp; 33 Teddington Road, and associated landscape planting and car parking."/>
    <s v="23-27 Lower Teddington Road"/>
    <s v="KT1"/>
    <m/>
    <m/>
    <m/>
    <m/>
    <m/>
    <m/>
    <m/>
    <n v="0"/>
    <n v="10"/>
    <n v="10"/>
    <m/>
    <m/>
    <m/>
    <m/>
    <n v="4"/>
    <m/>
    <m/>
    <n v="4"/>
    <m/>
  </r>
  <r>
    <s v="23/1897/VRC"/>
    <s v="MIX"/>
    <s v="Care Home Beds"/>
    <d v="2024-01-24T00:00:00"/>
    <d v="2027-01-24T00:00:00"/>
    <d v="2024-03-21T00:00:00"/>
    <m/>
    <x v="1"/>
    <s v="Variation of condition U148816 - Approved plans of planning permission 22/1496/FUL to revise internal layouts, reduce guest beds from 57 to 50, increase height of BTM by 200mm, lower ground floor by 145mm, amend landscaping including location and extent o"/>
    <s v="Richmond Inn Hotel, 50 - 56 Sheen Road, Richmond, TW9 1UG"/>
    <s v="TW9 1UG"/>
    <m/>
    <m/>
    <n v="50"/>
    <n v="50"/>
    <m/>
    <m/>
    <m/>
    <m/>
    <m/>
    <m/>
    <m/>
    <m/>
    <m/>
    <m/>
    <m/>
    <m/>
    <m/>
    <n v="50"/>
    <m/>
  </r>
  <r>
    <s v="23/1623/FUL"/>
    <s v="CHU"/>
    <s v="Student Bedrooms"/>
    <d v="2024-08-13T00:00:00"/>
    <d v="2027-08-13T00:00:00"/>
    <d v="2025-04-01T00:00:00"/>
    <m/>
    <x v="1"/>
    <s v="Change of use from student accommodation to C3 residential use, side extension, erection of a part width rear extension to the lower and upper ground floor) and the creation of vehicular access to No. 23 Queens Road with alterations and improvements to th"/>
    <s v="21 - 23 Queens Road, Richmond"/>
    <s v="TW10 6JW"/>
    <m/>
    <m/>
    <m/>
    <m/>
    <m/>
    <m/>
    <m/>
    <n v="15"/>
    <n v="0"/>
    <n v="-15"/>
    <m/>
    <m/>
    <m/>
    <m/>
    <n v="-6"/>
    <m/>
    <m/>
    <n v="-6"/>
    <m/>
  </r>
  <r>
    <s v="19/2822/FUL "/>
    <s v="MIX"/>
    <s v="Care Home Beds"/>
    <d v="2023-05-12T00:00:00"/>
    <d v="2026-05-12T00:00:00"/>
    <d v="2025-09-01T00:00:00"/>
    <m/>
    <x v="2"/>
    <s v="Retention and refurbishment of the former police station building with part demolition of rear wings and ancillary buildings, and the construction of a three storey side and rear extension and basement to form a registered care home comprising 22 care suites and 66 care bed units, with shared facilities, car and cycle parking, landscaping and ancillary works."/>
    <s v="Hampton Police Station, Station Road, Hampton TW12 2AX"/>
    <s v="TW12 2AX"/>
    <m/>
    <m/>
    <n v="88"/>
    <n v="88"/>
    <m/>
    <m/>
    <m/>
    <m/>
    <m/>
    <m/>
    <m/>
    <m/>
    <m/>
    <m/>
    <m/>
    <m/>
    <m/>
    <n v="88"/>
    <m/>
  </r>
  <r>
    <s v="22/1029/FUL"/>
    <s v="CHU"/>
    <s v="Student Bedrooms"/>
    <d v="2024-04-26T00:00:00"/>
    <d v="2027-04-26T00:00:00"/>
    <m/>
    <m/>
    <x v="2"/>
    <s v="Change of use of the building from student accommodation to provide 70 residential flats (C3 Use Class) including 4 social rent units, and 7 wheelchair accessible dwellings M4(3), facade and elevational alterations, infill extension at ground floor level and with associated landscaping, widening of two crossovers, access, parking/refuse provision and other external alterations."/>
    <s v="Kingston Bridge House, Church Grove, Hampton Wick KT1 4AG"/>
    <m/>
    <m/>
    <m/>
    <m/>
    <m/>
    <m/>
    <m/>
    <m/>
    <n v="216"/>
    <n v="0"/>
    <n v="-216"/>
    <m/>
    <m/>
    <m/>
    <m/>
    <n v="-86.4"/>
    <m/>
    <m/>
    <n v="-86.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3D0F26-2CF9-4AF4-BD36-E96738621A7C}" name="PivotTable2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65:E567" firstHeaderRow="1" firstDataRow="2" firstDataCol="1"/>
  <pivotFields count="85">
    <pivotField showAll="0" defaultSubtotal="0"/>
    <pivotField multipleItemSelectionAllowed="1" showAll="0" defaultSubtotal="0"/>
    <pivotField multipleItemSelectionAllowed="1"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multipleItemSelectionAllowed="1" showAll="0" defaultSubtotal="0"/>
    <pivotField multipleItemSelectionAllowed="1" showAll="0" defaultSubtotal="0"/>
    <pivotField showAll="0"/>
    <pivotField dataField="1" showAll="0"/>
    <pivotField axis="axisCol"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Fields count="1">
    <field x="13"/>
  </colFields>
  <colItems count="3">
    <i>
      <x/>
    </i>
    <i>
      <x v="1"/>
    </i>
    <i t="grand">
      <x/>
    </i>
  </colItems>
  <dataFields count="1">
    <dataField name="Average of approval to completion" fld="12" subtotal="average" baseField="0" baseItem="32" numFmtId="164"/>
  </dataFields>
  <formats count="37">
    <format dxfId="43">
      <pivotArea type="all" dataOnly="0" outline="0" fieldPosition="0"/>
    </format>
    <format dxfId="42">
      <pivotArea type="all" dataOnly="0" outline="0" fieldPosition="0"/>
    </format>
    <format dxfId="41">
      <pivotArea type="all" dataOnly="0" outline="0" fieldPosition="0"/>
    </format>
    <format dxfId="40">
      <pivotArea type="all" dataOnly="0" outline="0" fieldPosition="0"/>
    </format>
    <format dxfId="39">
      <pivotArea type="all" dataOnly="0" outline="0" fieldPosition="0"/>
    </format>
    <format dxfId="38">
      <pivotArea type="all" dataOnly="0" outline="0" fieldPosition="0"/>
    </format>
    <format dxfId="37">
      <pivotArea type="all" dataOnly="0" outline="0" fieldPosition="0"/>
    </format>
    <format dxfId="36">
      <pivotArea type="all" dataOnly="0" outline="0" fieldPosition="0"/>
    </format>
    <format dxfId="35">
      <pivotArea type="all" dataOnly="0" outline="0" fieldPosition="0"/>
    </format>
    <format dxfId="34">
      <pivotArea type="all" dataOnly="0" outline="0" fieldPosition="0"/>
    </format>
    <format dxfId="33">
      <pivotArea type="all" dataOnly="0" outline="0" fieldPosition="0"/>
    </format>
    <format dxfId="32">
      <pivotArea outline="0" collapsedLevelsAreSubtotals="1" fieldPosition="0"/>
    </format>
    <format dxfId="31">
      <pivotArea dataOnly="0" labelOnly="1" grandRow="1" outline="0" fieldPosition="0"/>
    </format>
    <format dxfId="30">
      <pivotArea dataOnly="0" labelOnly="1" outline="0" axis="axisValues" fieldPosition="0"/>
    </format>
    <format dxfId="29">
      <pivotArea type="all" dataOnly="0" outline="0" fieldPosition="0"/>
    </format>
    <format dxfId="28">
      <pivotArea outline="0" collapsedLevelsAreSubtotals="1" fieldPosition="0"/>
    </format>
    <format dxfId="27">
      <pivotArea dataOnly="0" labelOnly="1" grandRow="1" outline="0" fieldPosition="0"/>
    </format>
    <format dxfId="26">
      <pivotArea dataOnly="0" labelOnly="1" outline="0" axis="axisValues" fieldPosition="0"/>
    </format>
    <format dxfId="25">
      <pivotArea type="all" dataOnly="0" outline="0" fieldPosition="0"/>
    </format>
    <format dxfId="24">
      <pivotArea outline="0" collapsedLevelsAreSubtotals="1" fieldPosition="0"/>
    </format>
    <format dxfId="23">
      <pivotArea dataOnly="0" labelOnly="1" grandRow="1" outline="0" fieldPosition="0"/>
    </format>
    <format dxfId="22">
      <pivotArea dataOnly="0" labelOnly="1" outline="0" axis="axisValues" fieldPosition="0"/>
    </format>
    <format dxfId="21">
      <pivotArea type="all" dataOnly="0" outline="0" fieldPosition="0"/>
    </format>
    <format dxfId="20">
      <pivotArea outline="0" collapsedLevelsAreSubtotals="1" fieldPosition="0"/>
    </format>
    <format dxfId="19">
      <pivotArea field="71" type="button" dataOnly="0" labelOnly="1" outline="0"/>
    </format>
    <format dxfId="18">
      <pivotArea dataOnly="0" labelOnly="1" grandRow="1" outline="0" fieldPosition="0"/>
    </format>
    <format dxfId="17">
      <pivotArea dataOnly="0" labelOnly="1" outline="0" axis="axisValues" fieldPosition="0"/>
    </format>
    <format dxfId="16">
      <pivotArea type="all" dataOnly="0" outline="0" fieldPosition="0"/>
    </format>
    <format dxfId="15">
      <pivotArea outline="0" collapsedLevelsAreSubtotals="1" fieldPosition="0"/>
    </format>
    <format dxfId="14">
      <pivotArea field="71" type="button" dataOnly="0" labelOnly="1" outline="0"/>
    </format>
    <format dxfId="13">
      <pivotArea dataOnly="0" labelOnly="1" grandRow="1" outline="0" fieldPosition="0"/>
    </format>
    <format dxfId="12">
      <pivotArea dataOnly="0" labelOnly="1" outline="0" axis="axisValues" fieldPosition="0"/>
    </format>
    <format dxfId="11">
      <pivotArea type="all" dataOnly="0" outline="0" fieldPosition="0"/>
    </format>
    <format dxfId="10">
      <pivotArea outline="0" collapsedLevelsAreSubtotals="1" fieldPosition="0"/>
    </format>
    <format dxfId="9">
      <pivotArea field="71" type="button" dataOnly="0" labelOnly="1" outline="0"/>
    </format>
    <format dxfId="8">
      <pivotArea dataOnly="0" labelOnly="1" grandRow="1" outline="0" fieldPosition="0"/>
    </format>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E982E9BD-F7B0-4C6F-BBE8-013635BA59C4}" name="PivotTable29"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251:I270"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Items count="1">
    <i/>
  </colItems>
  <pageFields count="1">
    <pageField fld="9" hier="-1"/>
  </pageFields>
  <dataFields count="1">
    <dataField name="Sum of Net Dwellings" fld="45" baseField="0" baseItem="0"/>
  </dataFields>
  <formats count="38">
    <format dxfId="479">
      <pivotArea type="all" dataOnly="0" outline="0" fieldPosition="0"/>
    </format>
    <format dxfId="478">
      <pivotArea type="all" dataOnly="0" outline="0" fieldPosition="0"/>
    </format>
    <format dxfId="477">
      <pivotArea type="all" dataOnly="0" outline="0" fieldPosition="0"/>
    </format>
    <format dxfId="476">
      <pivotArea type="all" dataOnly="0" outline="0" fieldPosition="0"/>
    </format>
    <format dxfId="475">
      <pivotArea type="all" dataOnly="0" outline="0" fieldPosition="0"/>
    </format>
    <format dxfId="474">
      <pivotArea type="all" dataOnly="0" outline="0" fieldPosition="0"/>
    </format>
    <format dxfId="473">
      <pivotArea type="all" dataOnly="0" outline="0" fieldPosition="0"/>
    </format>
    <format dxfId="472">
      <pivotArea type="all" dataOnly="0" outline="0" fieldPosition="0"/>
    </format>
    <format dxfId="471">
      <pivotArea type="all" dataOnly="0" outline="0" fieldPosition="0"/>
    </format>
    <format dxfId="470">
      <pivotArea type="all" dataOnly="0" outline="0" fieldPosition="0"/>
    </format>
    <format dxfId="469">
      <pivotArea type="all" dataOnly="0" outline="0" fieldPosition="0"/>
    </format>
    <format dxfId="468">
      <pivotArea outline="0" collapsedLevelsAreSubtotals="1" fieldPosition="0"/>
    </format>
    <format dxfId="467">
      <pivotArea dataOnly="0" labelOnly="1" grandRow="1" outline="0" fieldPosition="0"/>
    </format>
    <format dxfId="466">
      <pivotArea dataOnly="0" labelOnly="1" outline="0" axis="axisValues" fieldPosition="0"/>
    </format>
    <format dxfId="465">
      <pivotArea type="all" dataOnly="0" outline="0" fieldPosition="0"/>
    </format>
    <format dxfId="464">
      <pivotArea outline="0" collapsedLevelsAreSubtotals="1" fieldPosition="0"/>
    </format>
    <format dxfId="463">
      <pivotArea dataOnly="0" labelOnly="1" grandRow="1" outline="0" fieldPosition="0"/>
    </format>
    <format dxfId="462">
      <pivotArea dataOnly="0" labelOnly="1" outline="0" axis="axisValues" fieldPosition="0"/>
    </format>
    <format dxfId="461">
      <pivotArea type="all" dataOnly="0" outline="0" fieldPosition="0"/>
    </format>
    <format dxfId="460">
      <pivotArea outline="0" collapsedLevelsAreSubtotals="1" fieldPosition="0"/>
    </format>
    <format dxfId="459">
      <pivotArea dataOnly="0" labelOnly="1" grandRow="1" outline="0" fieldPosition="0"/>
    </format>
    <format dxfId="458">
      <pivotArea dataOnly="0" labelOnly="1" outline="0" axis="axisValues" fieldPosition="0"/>
    </format>
    <format dxfId="457">
      <pivotArea type="all" dataOnly="0" outline="0" fieldPosition="0"/>
    </format>
    <format dxfId="456">
      <pivotArea outline="0" collapsedLevelsAreSubtotals="1" fieldPosition="0"/>
    </format>
    <format dxfId="455">
      <pivotArea field="71" type="button" dataOnly="0" labelOnly="1" outline="0" axis="axisRow" fieldPosition="0"/>
    </format>
    <format dxfId="454">
      <pivotArea dataOnly="0" labelOnly="1" grandRow="1" outline="0" fieldPosition="0"/>
    </format>
    <format dxfId="453">
      <pivotArea dataOnly="0" labelOnly="1" outline="0" axis="axisValues" fieldPosition="0"/>
    </format>
    <format dxfId="452">
      <pivotArea type="all" dataOnly="0" outline="0" fieldPosition="0"/>
    </format>
    <format dxfId="451">
      <pivotArea outline="0" collapsedLevelsAreSubtotals="1" fieldPosition="0"/>
    </format>
    <format dxfId="450">
      <pivotArea field="71" type="button" dataOnly="0" labelOnly="1" outline="0" axis="axisRow" fieldPosition="0"/>
    </format>
    <format dxfId="449">
      <pivotArea dataOnly="0" labelOnly="1" grandRow="1" outline="0" fieldPosition="0"/>
    </format>
    <format dxfId="448">
      <pivotArea dataOnly="0" labelOnly="1" outline="0" axis="axisValues" fieldPosition="0"/>
    </format>
    <format dxfId="447">
      <pivotArea type="all" dataOnly="0" outline="0" fieldPosition="0"/>
    </format>
    <format dxfId="446">
      <pivotArea outline="0" collapsedLevelsAreSubtotals="1" fieldPosition="0"/>
    </format>
    <format dxfId="445">
      <pivotArea field="71" type="button" dataOnly="0" labelOnly="1" outline="0" axis="axisRow" fieldPosition="0"/>
    </format>
    <format dxfId="444">
      <pivotArea dataOnly="0" labelOnly="1" fieldPosition="0">
        <references count="1">
          <reference field="71" count="15">
            <x v="0"/>
            <x v="1"/>
            <x v="2"/>
            <x v="4"/>
            <x v="5"/>
            <x v="7"/>
            <x v="8"/>
            <x v="9"/>
            <x v="11"/>
            <x v="12"/>
            <x v="13"/>
            <x v="15"/>
            <x v="16"/>
            <x v="17"/>
            <x v="18"/>
          </reference>
        </references>
      </pivotArea>
    </format>
    <format dxfId="443">
      <pivotArea dataOnly="0" labelOnly="1" grandRow="1" outline="0" fieldPosition="0"/>
    </format>
    <format dxfId="44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2AD13188-15AD-4BB0-84EA-1CA3AD3E66B4}" name="PivotTable1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477:I483" firstHeaderRow="1" firstDataRow="1" firstDataCol="1" rowPageCount="4" colPageCount="1"/>
  <pivotFields count="85">
    <pivotField showAll="0" defaultSubtotal="0"/>
    <pivotField axis="axisPage" multipleItemSelectionAllowed="1" showAll="0" defaultSubtotal="0">
      <items count="5">
        <item x="1"/>
        <item x="4"/>
        <item x="2"/>
        <item x="3"/>
        <item x="0"/>
      </items>
    </pivotField>
    <pivotField axis="axisPage" multipleItemSelectionAllowed="1" showAll="0" defaultSubtotal="0">
      <items count="8">
        <item x="1"/>
        <item h="1" x="5"/>
        <item h="1" x="0"/>
        <item h="1" x="2"/>
        <item h="1" x="3"/>
        <item h="1" x="4"/>
        <item h="1" x="6"/>
        <item h="1"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x="2"/>
        <item h="1" x="6"/>
        <item h="1" x="3"/>
        <item h="1" x="4"/>
        <item h="1" x="5"/>
      </items>
    </pivotField>
    <pivotField multipleItemSelectionAllowed="1" showAll="0" defaultSubtotal="0"/>
    <pivotField axis="axisPage" multipleItemSelectionAllowed="1" showAll="0">
      <items count="13">
        <item x="4"/>
        <item x="10"/>
        <item h="1"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0">
        <item x="17"/>
        <item x="9"/>
        <item x="7"/>
        <item x="1"/>
        <item x="15"/>
        <item x="13"/>
        <item x="8"/>
        <item x="12"/>
        <item x="2"/>
        <item x="11"/>
        <item x="4"/>
        <item x="16"/>
        <item x="0"/>
        <item x="6"/>
        <item x="5"/>
        <item x="10"/>
        <item x="14"/>
        <item x="3"/>
        <item x="18"/>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6">
    <i>
      <x/>
    </i>
    <i>
      <x v="2"/>
    </i>
    <i>
      <x v="3"/>
    </i>
    <i>
      <x v="4"/>
    </i>
    <i>
      <x v="5"/>
    </i>
    <i t="grand">
      <x/>
    </i>
  </rowItems>
  <colItems count="1">
    <i/>
  </colItems>
  <pageFields count="4">
    <pageField fld="11" hier="-1"/>
    <pageField fld="9" hier="-1"/>
    <pageField fld="2" hier="-1"/>
    <pageField fld="1" hier="-1"/>
  </pageFields>
  <dataFields count="1">
    <dataField name="Sum of Net Dwellings" fld="45" baseField="0" baseItem="0"/>
  </dataFields>
  <formats count="48">
    <format dxfId="527">
      <pivotArea type="all" dataOnly="0" outline="0" fieldPosition="0"/>
    </format>
    <format dxfId="526">
      <pivotArea type="all" dataOnly="0" outline="0" fieldPosition="0"/>
    </format>
    <format dxfId="525">
      <pivotArea type="all" dataOnly="0" outline="0" fieldPosition="0"/>
    </format>
    <format dxfId="524">
      <pivotArea type="all" dataOnly="0" outline="0" fieldPosition="0"/>
    </format>
    <format dxfId="523">
      <pivotArea type="all" dataOnly="0" outline="0" fieldPosition="0"/>
    </format>
    <format dxfId="522">
      <pivotArea type="all" dataOnly="0" outline="0" fieldPosition="0"/>
    </format>
    <format dxfId="521">
      <pivotArea type="all" dataOnly="0" outline="0" fieldPosition="0"/>
    </format>
    <format dxfId="520">
      <pivotArea dataOnly="0" labelOnly="1" outline="0" fieldPosition="0">
        <references count="1">
          <reference field="4294967294" count="1">
            <x v="0"/>
          </reference>
        </references>
      </pivotArea>
    </format>
    <format dxfId="519">
      <pivotArea dataOnly="0" labelOnly="1" outline="0" fieldPosition="0">
        <references count="1">
          <reference field="4294967294" count="1">
            <x v="0"/>
          </reference>
        </references>
      </pivotArea>
    </format>
    <format dxfId="518">
      <pivotArea dataOnly="0" labelOnly="1" outline="0" fieldPosition="0">
        <references count="1">
          <reference field="4294967294" count="1">
            <x v="0"/>
          </reference>
        </references>
      </pivotArea>
    </format>
    <format dxfId="517">
      <pivotArea type="all" dataOnly="0" outline="0" fieldPosition="0"/>
    </format>
    <format dxfId="516">
      <pivotArea type="all" dataOnly="0" outline="0" fieldPosition="0"/>
    </format>
    <format dxfId="515">
      <pivotArea type="all" dataOnly="0" outline="0" fieldPosition="0"/>
    </format>
    <format dxfId="514">
      <pivotArea type="all" dataOnly="0" outline="0" fieldPosition="0"/>
    </format>
    <format dxfId="513">
      <pivotArea outline="0" collapsedLevelsAreSubtotals="1" fieldPosition="0"/>
    </format>
    <format dxfId="512">
      <pivotArea dataOnly="0" labelOnly="1" grandRow="1" outline="0" fieldPosition="0"/>
    </format>
    <format dxfId="511">
      <pivotArea dataOnly="0" labelOnly="1" outline="0" axis="axisValues" fieldPosition="0"/>
    </format>
    <format dxfId="510">
      <pivotArea type="all" dataOnly="0" outline="0" fieldPosition="0"/>
    </format>
    <format dxfId="509">
      <pivotArea outline="0" collapsedLevelsAreSubtotals="1" fieldPosition="0"/>
    </format>
    <format dxfId="508">
      <pivotArea dataOnly="0" labelOnly="1" grandRow="1" outline="0" fieldPosition="0"/>
    </format>
    <format dxfId="507">
      <pivotArea dataOnly="0" labelOnly="1" outline="0" axis="axisValues" fieldPosition="0"/>
    </format>
    <format dxfId="506">
      <pivotArea type="all" dataOnly="0" outline="0" fieldPosition="0"/>
    </format>
    <format dxfId="505">
      <pivotArea outline="0" collapsedLevelsAreSubtotals="1" fieldPosition="0"/>
    </format>
    <format dxfId="504">
      <pivotArea dataOnly="0" labelOnly="1" grandRow="1" outline="0" fieldPosition="0"/>
    </format>
    <format dxfId="503">
      <pivotArea dataOnly="0" labelOnly="1" outline="0" axis="axisValues" fieldPosition="0"/>
    </format>
    <format dxfId="502">
      <pivotArea type="all" dataOnly="0" outline="0" fieldPosition="0"/>
    </format>
    <format dxfId="501">
      <pivotArea outline="0" collapsedLevelsAreSubtotals="1" fieldPosition="0"/>
    </format>
    <format dxfId="500">
      <pivotArea field="71" type="button" dataOnly="0" labelOnly="1" outline="0"/>
    </format>
    <format dxfId="499">
      <pivotArea dataOnly="0" labelOnly="1" grandRow="1" outline="0" fieldPosition="0"/>
    </format>
    <format dxfId="498">
      <pivotArea dataOnly="0" labelOnly="1" outline="0" axis="axisValues" fieldPosition="0"/>
    </format>
    <format dxfId="497">
      <pivotArea type="all" dataOnly="0" outline="0" fieldPosition="0"/>
    </format>
    <format dxfId="496">
      <pivotArea outline="0" collapsedLevelsAreSubtotals="1" fieldPosition="0"/>
    </format>
    <format dxfId="495">
      <pivotArea field="71" type="button" dataOnly="0" labelOnly="1" outline="0"/>
    </format>
    <format dxfId="494">
      <pivotArea dataOnly="0" labelOnly="1" grandRow="1" outline="0" fieldPosition="0"/>
    </format>
    <format dxfId="493">
      <pivotArea dataOnly="0" labelOnly="1" outline="0" axis="axisValues" fieldPosition="0"/>
    </format>
    <format dxfId="492">
      <pivotArea type="all" dataOnly="0" outline="0" fieldPosition="0"/>
    </format>
    <format dxfId="491">
      <pivotArea outline="0" collapsedLevelsAreSubtotals="1" fieldPosition="0"/>
    </format>
    <format dxfId="490">
      <pivotArea field="71" type="button" dataOnly="0" labelOnly="1" outline="0"/>
    </format>
    <format dxfId="489">
      <pivotArea dataOnly="0" labelOnly="1" grandRow="1" outline="0" fieldPosition="0"/>
    </format>
    <format dxfId="488">
      <pivotArea dataOnly="0" labelOnly="1" outline="0" axis="axisValues" fieldPosition="0"/>
    </format>
    <format dxfId="487">
      <pivotArea type="all" dataOnly="0" outline="0" fieldPosition="0"/>
    </format>
    <format dxfId="486">
      <pivotArea outline="0" collapsedLevelsAreSubtotals="1" fieldPosition="0"/>
    </format>
    <format dxfId="485">
      <pivotArea field="72" type="button" dataOnly="0" labelOnly="1" outline="0" axis="axisRow" fieldPosition="0"/>
    </format>
    <format dxfId="484">
      <pivotArea dataOnly="0" labelOnly="1" fieldPosition="0">
        <references count="1">
          <reference field="72" count="5">
            <x v="0"/>
            <x v="2"/>
            <x v="3"/>
            <x v="4"/>
            <x v="5"/>
          </reference>
        </references>
      </pivotArea>
    </format>
    <format dxfId="483">
      <pivotArea dataOnly="0" labelOnly="1" grandRow="1" outline="0" fieldPosition="0"/>
    </format>
    <format dxfId="482">
      <pivotArea dataOnly="0" labelOnly="1" outline="0" axis="axisValues" fieldPosition="0"/>
    </format>
    <format dxfId="481">
      <pivotArea outline="0" collapsedLevelsAreSubtotals="1" fieldPosition="0"/>
    </format>
    <format dxfId="48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3FEA428-B3AB-4CAD-A6EA-CD65B3544CDE}" name="PivotTable46" cacheId="0"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239:I242" firstHeaderRow="1" firstDataRow="1" firstDataCol="1" rowPageCount="1" colPageCount="1"/>
  <pivotFields count="86">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1"/>
        <item x="0"/>
        <item t="default"/>
      </items>
    </pivotField>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2"/>
  </rowFields>
  <rowItems count="3">
    <i>
      <x/>
    </i>
    <i>
      <x v="1"/>
    </i>
    <i t="grand">
      <x/>
    </i>
  </rowItems>
  <colItems count="1">
    <i/>
  </colItems>
  <pageFields count="1">
    <pageField fld="9" hier="-1"/>
  </pageFields>
  <dataFields count="1">
    <dataField name="Sum of Net Dwellings" fld="45" baseField="0" baseItem="0"/>
  </dataFields>
  <formats count="35">
    <format dxfId="562">
      <pivotArea type="all" dataOnly="0" outline="0" fieldPosition="0"/>
    </format>
    <format dxfId="561">
      <pivotArea type="all" dataOnly="0" outline="0" fieldPosition="0"/>
    </format>
    <format dxfId="560">
      <pivotArea type="all" dataOnly="0" outline="0" fieldPosition="0"/>
    </format>
    <format dxfId="559">
      <pivotArea type="all" dataOnly="0" outline="0" fieldPosition="0"/>
    </format>
    <format dxfId="558">
      <pivotArea type="all" dataOnly="0" outline="0" fieldPosition="0"/>
    </format>
    <format dxfId="557">
      <pivotArea type="all" dataOnly="0" outline="0" fieldPosition="0"/>
    </format>
    <format dxfId="556">
      <pivotArea type="all" dataOnly="0" outline="0" fieldPosition="0"/>
    </format>
    <format dxfId="555">
      <pivotArea type="all" dataOnly="0" outline="0" fieldPosition="0"/>
    </format>
    <format dxfId="554">
      <pivotArea type="all" dataOnly="0" outline="0" fieldPosition="0"/>
    </format>
    <format dxfId="553">
      <pivotArea type="all" dataOnly="0" outline="0" fieldPosition="0"/>
    </format>
    <format dxfId="552">
      <pivotArea type="all" dataOnly="0" outline="0" fieldPosition="0"/>
    </format>
    <format dxfId="551">
      <pivotArea outline="0" collapsedLevelsAreSubtotals="1" fieldPosition="0"/>
    </format>
    <format dxfId="550">
      <pivotArea dataOnly="0" labelOnly="1" grandRow="1" outline="0" fieldPosition="0"/>
    </format>
    <format dxfId="549">
      <pivotArea dataOnly="0" labelOnly="1" outline="0" axis="axisValues" fieldPosition="0"/>
    </format>
    <format dxfId="548">
      <pivotArea type="all" dataOnly="0" outline="0" fieldPosition="0"/>
    </format>
    <format dxfId="547">
      <pivotArea outline="0" collapsedLevelsAreSubtotals="1" fieldPosition="0"/>
    </format>
    <format dxfId="546">
      <pivotArea dataOnly="0" labelOnly="1" grandRow="1" outline="0" fieldPosition="0"/>
    </format>
    <format dxfId="545">
      <pivotArea dataOnly="0" labelOnly="1" outline="0" axis="axisValues" fieldPosition="0"/>
    </format>
    <format dxfId="544">
      <pivotArea type="all" dataOnly="0" outline="0" fieldPosition="0"/>
    </format>
    <format dxfId="543">
      <pivotArea outline="0" collapsedLevelsAreSubtotals="1" fieldPosition="0"/>
    </format>
    <format dxfId="542">
      <pivotArea dataOnly="0" labelOnly="1" grandRow="1" outline="0" fieldPosition="0"/>
    </format>
    <format dxfId="541">
      <pivotArea dataOnly="0" labelOnly="1" outline="0" axis="axisValues" fieldPosition="0"/>
    </format>
    <format dxfId="540">
      <pivotArea type="all" dataOnly="0" outline="0" fieldPosition="0"/>
    </format>
    <format dxfId="539">
      <pivotArea type="all" dataOnly="0" outline="0" fieldPosition="0"/>
    </format>
    <format dxfId="538">
      <pivotArea outline="0" collapsedLevelsAreSubtotals="1" fieldPosition="0"/>
    </format>
    <format dxfId="537">
      <pivotArea dataOnly="0" labelOnly="1" grandRow="1" outline="0" fieldPosition="0"/>
    </format>
    <format dxfId="536">
      <pivotArea dataOnly="0" labelOnly="1" outline="0" axis="axisValues" fieldPosition="0"/>
    </format>
    <format dxfId="535">
      <pivotArea type="all" dataOnly="0" outline="0" fieldPosition="0"/>
    </format>
    <format dxfId="534">
      <pivotArea outline="0" collapsedLevelsAreSubtotals="1" fieldPosition="0"/>
    </format>
    <format dxfId="533">
      <pivotArea dataOnly="0" labelOnly="1" grandRow="1" outline="0" fieldPosition="0"/>
    </format>
    <format dxfId="532">
      <pivotArea dataOnly="0" labelOnly="1" outline="0" axis="axisValues" fieldPosition="0"/>
    </format>
    <format dxfId="531">
      <pivotArea type="all" dataOnly="0" outline="0" fieldPosition="0"/>
    </format>
    <format dxfId="530">
      <pivotArea outline="0" collapsedLevelsAreSubtotals="1" fieldPosition="0"/>
    </format>
    <format dxfId="529">
      <pivotArea dataOnly="0" labelOnly="1" grandRow="1" outline="0" fieldPosition="0"/>
    </format>
    <format dxfId="5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B312665-C716-4B81-BC5F-99576D69EF86}" name="PivotTable3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520:I529" firstHeaderRow="1" firstDataRow="1" firstDataCol="1" rowPageCount="4" colPageCount="1"/>
  <pivotFields count="85">
    <pivotField showAll="0" defaultSubtotal="0"/>
    <pivotField axis="axisPage" multipleItemSelectionAllowed="1" showAll="0" defaultSubtotal="0">
      <items count="5">
        <item x="1"/>
        <item x="4"/>
        <item x="2"/>
        <item x="3"/>
        <item x="0"/>
      </items>
    </pivotField>
    <pivotField axis="axisPage" multipleItemSelectionAllowed="1" showAll="0" defaultSubtotal="0">
      <items count="8">
        <item x="1"/>
        <item h="1" x="5"/>
        <item h="1" x="0"/>
        <item h="1" x="2"/>
        <item h="1" x="3"/>
        <item h="1" x="4"/>
        <item h="1" x="6"/>
        <item h="1"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x="2"/>
        <item h="1" x="6"/>
        <item h="1" x="3"/>
        <item h="1" x="4"/>
        <item h="1" x="5"/>
      </items>
    </pivotField>
    <pivotField multipleItemSelectionAllowed="1" showAll="0" defaultSubtotal="0"/>
    <pivotField axis="axisPage" multipleItemSelectionAllowed="1" showAll="0">
      <items count="13">
        <item x="4"/>
        <item x="10"/>
        <item h="1"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0">
        <item x="17"/>
        <item x="9"/>
        <item x="7"/>
        <item x="1"/>
        <item x="15"/>
        <item x="13"/>
        <item x="8"/>
        <item x="12"/>
        <item x="2"/>
        <item x="11"/>
        <item x="4"/>
        <item x="16"/>
        <item x="0"/>
        <item x="6"/>
        <item x="5"/>
        <item x="10"/>
        <item x="14"/>
        <item x="3"/>
        <item x="18"/>
        <item t="default"/>
      </items>
    </pivotField>
    <pivotField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9">
    <i>
      <x/>
    </i>
    <i>
      <x v="2"/>
    </i>
    <i>
      <x v="3"/>
    </i>
    <i>
      <x v="4"/>
    </i>
    <i>
      <x v="5"/>
    </i>
    <i>
      <x v="6"/>
    </i>
    <i>
      <x v="7"/>
    </i>
    <i>
      <x v="8"/>
    </i>
    <i t="grand">
      <x/>
    </i>
  </rowItems>
  <colItems count="1">
    <i/>
  </colItems>
  <pageFields count="4">
    <pageField fld="11" hier="-1"/>
    <pageField fld="9" hier="-1"/>
    <pageField fld="2" hier="-1"/>
    <pageField fld="1" hier="-1"/>
  </pageFields>
  <dataFields count="1">
    <dataField name="Sum of Net Dwellings" fld="45" baseField="0" baseItem="0"/>
  </dataFields>
  <formats count="47">
    <format dxfId="609">
      <pivotArea type="all" dataOnly="0" outline="0" fieldPosition="0"/>
    </format>
    <format dxfId="608">
      <pivotArea type="all" dataOnly="0" outline="0" fieldPosition="0"/>
    </format>
    <format dxfId="607">
      <pivotArea type="all" dataOnly="0" outline="0" fieldPosition="0"/>
    </format>
    <format dxfId="606">
      <pivotArea type="all" dataOnly="0" outline="0" fieldPosition="0"/>
    </format>
    <format dxfId="605">
      <pivotArea type="all" dataOnly="0" outline="0" fieldPosition="0"/>
    </format>
    <format dxfId="604">
      <pivotArea type="all" dataOnly="0" outline="0" fieldPosition="0"/>
    </format>
    <format dxfId="603">
      <pivotArea type="all" dataOnly="0" outline="0" fieldPosition="0"/>
    </format>
    <format dxfId="602">
      <pivotArea dataOnly="0" labelOnly="1" outline="0" fieldPosition="0">
        <references count="1">
          <reference field="4294967294" count="1">
            <x v="0"/>
          </reference>
        </references>
      </pivotArea>
    </format>
    <format dxfId="601">
      <pivotArea dataOnly="0" labelOnly="1" outline="0" fieldPosition="0">
        <references count="1">
          <reference field="4294967294" count="1">
            <x v="0"/>
          </reference>
        </references>
      </pivotArea>
    </format>
    <format dxfId="600">
      <pivotArea dataOnly="0" labelOnly="1" outline="0" fieldPosition="0">
        <references count="1">
          <reference field="4294967294" count="1">
            <x v="0"/>
          </reference>
        </references>
      </pivotArea>
    </format>
    <format dxfId="599">
      <pivotArea type="all" dataOnly="0" outline="0" fieldPosition="0"/>
    </format>
    <format dxfId="598">
      <pivotArea type="all" dataOnly="0" outline="0" fieldPosition="0"/>
    </format>
    <format dxfId="597">
      <pivotArea type="all" dataOnly="0" outline="0" fieldPosition="0"/>
    </format>
    <format dxfId="596">
      <pivotArea type="all" dataOnly="0" outline="0" fieldPosition="0"/>
    </format>
    <format dxfId="595">
      <pivotArea outline="0" collapsedLevelsAreSubtotals="1" fieldPosition="0"/>
    </format>
    <format dxfId="594">
      <pivotArea dataOnly="0" labelOnly="1" grandRow="1" outline="0" fieldPosition="0"/>
    </format>
    <format dxfId="593">
      <pivotArea dataOnly="0" labelOnly="1" outline="0" axis="axisValues" fieldPosition="0"/>
    </format>
    <format dxfId="592">
      <pivotArea type="all" dataOnly="0" outline="0" fieldPosition="0"/>
    </format>
    <format dxfId="591">
      <pivotArea outline="0" collapsedLevelsAreSubtotals="1" fieldPosition="0"/>
    </format>
    <format dxfId="590">
      <pivotArea dataOnly="0" labelOnly="1" grandRow="1" outline="0" fieldPosition="0"/>
    </format>
    <format dxfId="589">
      <pivotArea dataOnly="0" labelOnly="1" outline="0" axis="axisValues" fieldPosition="0"/>
    </format>
    <format dxfId="588">
      <pivotArea type="all" dataOnly="0" outline="0" fieldPosition="0"/>
    </format>
    <format dxfId="587">
      <pivotArea outline="0" collapsedLevelsAreSubtotals="1" fieldPosition="0"/>
    </format>
    <format dxfId="586">
      <pivotArea dataOnly="0" labelOnly="1" grandRow="1" outline="0" fieldPosition="0"/>
    </format>
    <format dxfId="585">
      <pivotArea dataOnly="0" labelOnly="1" outline="0" axis="axisValues" fieldPosition="0"/>
    </format>
    <format dxfId="584">
      <pivotArea type="all" dataOnly="0" outline="0" fieldPosition="0"/>
    </format>
    <format dxfId="583">
      <pivotArea outline="0" collapsedLevelsAreSubtotals="1" fieldPosition="0"/>
    </format>
    <format dxfId="582">
      <pivotArea field="71" type="button" dataOnly="0" labelOnly="1" outline="0"/>
    </format>
    <format dxfId="581">
      <pivotArea dataOnly="0" labelOnly="1" grandRow="1" outline="0" fieldPosition="0"/>
    </format>
    <format dxfId="580">
      <pivotArea dataOnly="0" labelOnly="1" outline="0" axis="axisValues" fieldPosition="0"/>
    </format>
    <format dxfId="579">
      <pivotArea type="all" dataOnly="0" outline="0" fieldPosition="0"/>
    </format>
    <format dxfId="578">
      <pivotArea outline="0" collapsedLevelsAreSubtotals="1" fieldPosition="0"/>
    </format>
    <format dxfId="577">
      <pivotArea field="71" type="button" dataOnly="0" labelOnly="1" outline="0"/>
    </format>
    <format dxfId="576">
      <pivotArea dataOnly="0" labelOnly="1" grandRow="1" outline="0" fieldPosition="0"/>
    </format>
    <format dxfId="575">
      <pivotArea dataOnly="0" labelOnly="1" outline="0" axis="axisValues" fieldPosition="0"/>
    </format>
    <format dxfId="574">
      <pivotArea type="all" dataOnly="0" outline="0" fieldPosition="0"/>
    </format>
    <format dxfId="573">
      <pivotArea outline="0" collapsedLevelsAreSubtotals="1" fieldPosition="0"/>
    </format>
    <format dxfId="572">
      <pivotArea field="71" type="button" dataOnly="0" labelOnly="1" outline="0"/>
    </format>
    <format dxfId="571">
      <pivotArea dataOnly="0" labelOnly="1" grandRow="1" outline="0" fieldPosition="0"/>
    </format>
    <format dxfId="570">
      <pivotArea dataOnly="0" labelOnly="1" outline="0" axis="axisValues" fieldPosition="0"/>
    </format>
    <format dxfId="569">
      <pivotArea type="all" dataOnly="0" outline="0" fieldPosition="0"/>
    </format>
    <format dxfId="568">
      <pivotArea outline="0" collapsedLevelsAreSubtotals="1" fieldPosition="0"/>
    </format>
    <format dxfId="567">
      <pivotArea field="72" type="button" dataOnly="0" labelOnly="1" outline="0"/>
    </format>
    <format dxfId="566">
      <pivotArea dataOnly="0" labelOnly="1" grandRow="1" outline="0" fieldPosition="0"/>
    </format>
    <format dxfId="565">
      <pivotArea dataOnly="0" labelOnly="1" outline="0" axis="axisValues" fieldPosition="0"/>
    </format>
    <format dxfId="564">
      <pivotArea outline="0" collapsedLevelsAreSubtotals="1" fieldPosition="0"/>
    </format>
    <format dxfId="56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E493BC83-2536-41E5-B57A-4CEEE364E3FE}" name="PivotTable3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499:F509"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6"/>
        <item h="1" x="4"/>
        <item h="1" x="5"/>
      </items>
    </pivotField>
    <pivotField multipleItemSelectionAllowed="1" showAll="0" defaultSubtotal="0"/>
    <pivotField axis="axisPage" multipleItemSelectionAllowed="1" showAll="0">
      <items count="13">
        <item x="10"/>
        <item h="1" x="1"/>
        <item x="2"/>
        <item x="11"/>
        <item x="5"/>
        <item x="7"/>
        <item x="3"/>
        <item x="8"/>
        <item x="9"/>
        <item x="0"/>
        <item h="1" x="4"/>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0">
        <item x="17"/>
        <item x="9"/>
        <item x="7"/>
        <item x="1"/>
        <item x="15"/>
        <item x="13"/>
        <item x="8"/>
        <item x="12"/>
        <item x="2"/>
        <item x="11"/>
        <item x="4"/>
        <item x="16"/>
        <item x="0"/>
        <item x="6"/>
        <item x="5"/>
        <item x="10"/>
        <item x="14"/>
        <item x="3"/>
        <item x="18"/>
        <item t="default"/>
      </items>
    </pivotField>
    <pivotField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10">
    <i>
      <x/>
    </i>
    <i>
      <x v="1"/>
    </i>
    <i>
      <x v="2"/>
    </i>
    <i>
      <x v="3"/>
    </i>
    <i>
      <x v="4"/>
    </i>
    <i>
      <x v="5"/>
    </i>
    <i>
      <x v="6"/>
    </i>
    <i>
      <x v="7"/>
    </i>
    <i>
      <x v="8"/>
    </i>
    <i t="grand">
      <x/>
    </i>
  </rowItems>
  <colItems count="1">
    <i/>
  </colItems>
  <pageFields count="4">
    <pageField fld="11" hier="-1"/>
    <pageField fld="9" hier="-1"/>
    <pageField fld="2" hier="-1"/>
    <pageField fld="1" hier="-1"/>
  </pageFields>
  <dataFields count="1">
    <dataField name="Sum of Net Dwellings" fld="45" baseField="0" baseItem="0"/>
  </dataFields>
  <formats count="45">
    <format dxfId="654">
      <pivotArea type="all" dataOnly="0" outline="0" fieldPosition="0"/>
    </format>
    <format dxfId="653">
      <pivotArea type="all" dataOnly="0" outline="0" fieldPosition="0"/>
    </format>
    <format dxfId="652">
      <pivotArea type="all" dataOnly="0" outline="0" fieldPosition="0"/>
    </format>
    <format dxfId="651">
      <pivotArea type="all" dataOnly="0" outline="0" fieldPosition="0"/>
    </format>
    <format dxfId="650">
      <pivotArea type="all" dataOnly="0" outline="0" fieldPosition="0"/>
    </format>
    <format dxfId="649">
      <pivotArea type="all" dataOnly="0" outline="0" fieldPosition="0"/>
    </format>
    <format dxfId="648">
      <pivotArea type="all" dataOnly="0" outline="0" fieldPosition="0"/>
    </format>
    <format dxfId="647">
      <pivotArea dataOnly="0" labelOnly="1" outline="0" fieldPosition="0">
        <references count="1">
          <reference field="4294967294" count="1">
            <x v="0"/>
          </reference>
        </references>
      </pivotArea>
    </format>
    <format dxfId="646">
      <pivotArea dataOnly="0" labelOnly="1" outline="0" fieldPosition="0">
        <references count="1">
          <reference field="4294967294" count="1">
            <x v="0"/>
          </reference>
        </references>
      </pivotArea>
    </format>
    <format dxfId="645">
      <pivotArea dataOnly="0" labelOnly="1" outline="0" fieldPosition="0">
        <references count="1">
          <reference field="4294967294" count="1">
            <x v="0"/>
          </reference>
        </references>
      </pivotArea>
    </format>
    <format dxfId="644">
      <pivotArea type="all" dataOnly="0" outline="0" fieldPosition="0"/>
    </format>
    <format dxfId="643">
      <pivotArea type="all" dataOnly="0" outline="0" fieldPosition="0"/>
    </format>
    <format dxfId="642">
      <pivotArea type="all" dataOnly="0" outline="0" fieldPosition="0"/>
    </format>
    <format dxfId="641">
      <pivotArea type="all" dataOnly="0" outline="0" fieldPosition="0"/>
    </format>
    <format dxfId="640">
      <pivotArea outline="0" collapsedLevelsAreSubtotals="1" fieldPosition="0"/>
    </format>
    <format dxfId="639">
      <pivotArea dataOnly="0" labelOnly="1" grandRow="1" outline="0" fieldPosition="0"/>
    </format>
    <format dxfId="638">
      <pivotArea dataOnly="0" labelOnly="1" outline="0" axis="axisValues" fieldPosition="0"/>
    </format>
    <format dxfId="637">
      <pivotArea type="all" dataOnly="0" outline="0" fieldPosition="0"/>
    </format>
    <format dxfId="636">
      <pivotArea outline="0" collapsedLevelsAreSubtotals="1" fieldPosition="0"/>
    </format>
    <format dxfId="635">
      <pivotArea dataOnly="0" labelOnly="1" grandRow="1" outline="0" fieldPosition="0"/>
    </format>
    <format dxfId="634">
      <pivotArea dataOnly="0" labelOnly="1" outline="0" axis="axisValues" fieldPosition="0"/>
    </format>
    <format dxfId="633">
      <pivotArea type="all" dataOnly="0" outline="0" fieldPosition="0"/>
    </format>
    <format dxfId="632">
      <pivotArea outline="0" collapsedLevelsAreSubtotals="1" fieldPosition="0"/>
    </format>
    <format dxfId="631">
      <pivotArea dataOnly="0" labelOnly="1" grandRow="1" outline="0" fieldPosition="0"/>
    </format>
    <format dxfId="630">
      <pivotArea dataOnly="0" labelOnly="1" outline="0" axis="axisValues" fieldPosition="0"/>
    </format>
    <format dxfId="629">
      <pivotArea type="all" dataOnly="0" outline="0" fieldPosition="0"/>
    </format>
    <format dxfId="628">
      <pivotArea outline="0" collapsedLevelsAreSubtotals="1" fieldPosition="0"/>
    </format>
    <format dxfId="627">
      <pivotArea field="71" type="button" dataOnly="0" labelOnly="1" outline="0"/>
    </format>
    <format dxfId="626">
      <pivotArea dataOnly="0" labelOnly="1" grandRow="1" outline="0" fieldPosition="0"/>
    </format>
    <format dxfId="625">
      <pivotArea dataOnly="0" labelOnly="1" outline="0" axis="axisValues" fieldPosition="0"/>
    </format>
    <format dxfId="624">
      <pivotArea type="all" dataOnly="0" outline="0" fieldPosition="0"/>
    </format>
    <format dxfId="623">
      <pivotArea outline="0" collapsedLevelsAreSubtotals="1" fieldPosition="0"/>
    </format>
    <format dxfId="622">
      <pivotArea field="71" type="button" dataOnly="0" labelOnly="1" outline="0"/>
    </format>
    <format dxfId="621">
      <pivotArea dataOnly="0" labelOnly="1" grandRow="1" outline="0" fieldPosition="0"/>
    </format>
    <format dxfId="620">
      <pivotArea dataOnly="0" labelOnly="1" outline="0" axis="axisValues" fieldPosition="0"/>
    </format>
    <format dxfId="619">
      <pivotArea type="all" dataOnly="0" outline="0" fieldPosition="0"/>
    </format>
    <format dxfId="618">
      <pivotArea outline="0" collapsedLevelsAreSubtotals="1" fieldPosition="0"/>
    </format>
    <format dxfId="617">
      <pivotArea field="71" type="button" dataOnly="0" labelOnly="1" outline="0"/>
    </format>
    <format dxfId="616">
      <pivotArea dataOnly="0" labelOnly="1" grandRow="1" outline="0" fieldPosition="0"/>
    </format>
    <format dxfId="615">
      <pivotArea dataOnly="0" labelOnly="1" outline="0" axis="axisValues" fieldPosition="0"/>
    </format>
    <format dxfId="614">
      <pivotArea type="all" dataOnly="0" outline="0" fieldPosition="0"/>
    </format>
    <format dxfId="613">
      <pivotArea outline="0" collapsedLevelsAreSubtotals="1" fieldPosition="0"/>
    </format>
    <format dxfId="612">
      <pivotArea field="72" type="button" dataOnly="0" labelOnly="1" outline="0"/>
    </format>
    <format dxfId="611">
      <pivotArea dataOnly="0" labelOnly="1" grandRow="1" outline="0" fieldPosition="0"/>
    </format>
    <format dxfId="61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59F4FA53-A135-4A12-BF54-D64DE0CF6010}" name="PivotTable7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356:F375"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Items count="1">
    <i/>
  </colItems>
  <pageFields count="4">
    <pageField fld="11" hier="-1"/>
    <pageField fld="9" hier="-1"/>
    <pageField fld="2" hier="-1"/>
    <pageField fld="1" hier="-1"/>
  </pageFields>
  <dataFields count="1">
    <dataField name="Sum of Net Dwellings" fld="45" baseField="0" baseItem="0"/>
  </dataFields>
  <formats count="41">
    <format dxfId="695">
      <pivotArea type="all" dataOnly="0" outline="0" fieldPosition="0"/>
    </format>
    <format dxfId="694">
      <pivotArea type="all" dataOnly="0" outline="0" fieldPosition="0"/>
    </format>
    <format dxfId="693">
      <pivotArea type="all" dataOnly="0" outline="0" fieldPosition="0"/>
    </format>
    <format dxfId="692">
      <pivotArea type="all" dataOnly="0" outline="0" fieldPosition="0"/>
    </format>
    <format dxfId="691">
      <pivotArea type="all" dataOnly="0" outline="0" fieldPosition="0"/>
    </format>
    <format dxfId="690">
      <pivotArea type="all" dataOnly="0" outline="0" fieldPosition="0"/>
    </format>
    <format dxfId="689">
      <pivotArea type="all" dataOnly="0" outline="0" fieldPosition="0"/>
    </format>
    <format dxfId="688">
      <pivotArea dataOnly="0" labelOnly="1" outline="0" fieldPosition="0">
        <references count="1">
          <reference field="4294967294" count="1">
            <x v="0"/>
          </reference>
        </references>
      </pivotArea>
    </format>
    <format dxfId="687">
      <pivotArea dataOnly="0" labelOnly="1" outline="0" fieldPosition="0">
        <references count="1">
          <reference field="4294967294" count="1">
            <x v="0"/>
          </reference>
        </references>
      </pivotArea>
    </format>
    <format dxfId="686">
      <pivotArea dataOnly="0" labelOnly="1" outline="0" fieldPosition="0">
        <references count="1">
          <reference field="4294967294" count="1">
            <x v="0"/>
          </reference>
        </references>
      </pivotArea>
    </format>
    <format dxfId="685">
      <pivotArea type="all" dataOnly="0" outline="0" fieldPosition="0"/>
    </format>
    <format dxfId="684">
      <pivotArea type="all" dataOnly="0" outline="0" fieldPosition="0"/>
    </format>
    <format dxfId="683">
      <pivotArea type="all" dataOnly="0" outline="0" fieldPosition="0"/>
    </format>
    <format dxfId="682">
      <pivotArea type="all" dataOnly="0" outline="0" fieldPosition="0"/>
    </format>
    <format dxfId="681">
      <pivotArea outline="0" collapsedLevelsAreSubtotals="1" fieldPosition="0"/>
    </format>
    <format dxfId="680">
      <pivotArea dataOnly="0" labelOnly="1" grandRow="1" outline="0" fieldPosition="0"/>
    </format>
    <format dxfId="679">
      <pivotArea dataOnly="0" labelOnly="1" outline="0" axis="axisValues" fieldPosition="0"/>
    </format>
    <format dxfId="678">
      <pivotArea type="all" dataOnly="0" outline="0" fieldPosition="0"/>
    </format>
    <format dxfId="677">
      <pivotArea outline="0" collapsedLevelsAreSubtotals="1" fieldPosition="0"/>
    </format>
    <format dxfId="676">
      <pivotArea dataOnly="0" labelOnly="1" grandRow="1" outline="0" fieldPosition="0"/>
    </format>
    <format dxfId="675">
      <pivotArea dataOnly="0" labelOnly="1" outline="0" axis="axisValues" fieldPosition="0"/>
    </format>
    <format dxfId="674">
      <pivotArea type="all" dataOnly="0" outline="0" fieldPosition="0"/>
    </format>
    <format dxfId="673">
      <pivotArea outline="0" collapsedLevelsAreSubtotals="1" fieldPosition="0"/>
    </format>
    <format dxfId="672">
      <pivotArea dataOnly="0" labelOnly="1" grandRow="1" outline="0" fieldPosition="0"/>
    </format>
    <format dxfId="671">
      <pivotArea dataOnly="0" labelOnly="1" outline="0" axis="axisValues" fieldPosition="0"/>
    </format>
    <format dxfId="670">
      <pivotArea type="all" dataOnly="0" outline="0" fieldPosition="0"/>
    </format>
    <format dxfId="669">
      <pivotArea outline="0" collapsedLevelsAreSubtotals="1" fieldPosition="0"/>
    </format>
    <format dxfId="668">
      <pivotArea field="71" type="button" dataOnly="0" labelOnly="1" outline="0" axis="axisRow" fieldPosition="0"/>
    </format>
    <format dxfId="667">
      <pivotArea dataOnly="0" labelOnly="1" grandRow="1" outline="0" fieldPosition="0"/>
    </format>
    <format dxfId="666">
      <pivotArea dataOnly="0" labelOnly="1" outline="0" axis="axisValues" fieldPosition="0"/>
    </format>
    <format dxfId="665">
      <pivotArea type="all" dataOnly="0" outline="0" fieldPosition="0"/>
    </format>
    <format dxfId="664">
      <pivotArea outline="0" collapsedLevelsAreSubtotals="1" fieldPosition="0"/>
    </format>
    <format dxfId="663">
      <pivotArea field="71" type="button" dataOnly="0" labelOnly="1" outline="0" axis="axisRow" fieldPosition="0"/>
    </format>
    <format dxfId="662">
      <pivotArea dataOnly="0" labelOnly="1" grandRow="1" outline="0" fieldPosition="0"/>
    </format>
    <format dxfId="661">
      <pivotArea dataOnly="0" labelOnly="1" outline="0" axis="axisValues" fieldPosition="0"/>
    </format>
    <format dxfId="660">
      <pivotArea type="all" dataOnly="0" outline="0" fieldPosition="0"/>
    </format>
    <format dxfId="659">
      <pivotArea outline="0" collapsedLevelsAreSubtotals="1" fieldPosition="0"/>
    </format>
    <format dxfId="658">
      <pivotArea field="71" type="button" dataOnly="0" labelOnly="1" outline="0" axis="axisRow" fieldPosition="0"/>
    </format>
    <format dxfId="657">
      <pivotArea dataOnly="0" labelOnly="1" fieldPosition="0">
        <references count="1">
          <reference field="71" count="15">
            <x v="0"/>
            <x v="1"/>
            <x v="2"/>
            <x v="4"/>
            <x v="5"/>
            <x v="7"/>
            <x v="8"/>
            <x v="9"/>
            <x v="11"/>
            <x v="12"/>
            <x v="13"/>
            <x v="15"/>
            <x v="16"/>
            <x v="17"/>
            <x v="18"/>
          </reference>
        </references>
      </pivotArea>
    </format>
    <format dxfId="656">
      <pivotArea dataOnly="0" labelOnly="1" grandRow="1" outline="0" fieldPosition="0"/>
    </format>
    <format dxfId="65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F30537A7-BFF2-4282-8590-ADC4829CF7EA}" name="PivotTable8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388:I405" firstHeaderRow="1" firstDataRow="1" firstDataCol="1" rowPageCount="4" colPageCount="1"/>
  <pivotFields count="85">
    <pivotField showAll="0" defaultSubtotal="0"/>
    <pivotField axis="axisPage" multipleItemSelectionAllowed="1" showAll="0" defaultSubtotal="0">
      <items count="5">
        <item x="1"/>
        <item x="4"/>
        <item x="2"/>
        <item x="3"/>
        <item x="0"/>
      </items>
    </pivotField>
    <pivotField axis="axisPage" multipleItemSelectionAllowed="1" showAll="0" defaultSubtotal="0">
      <items count="8">
        <item x="1"/>
        <item h="1" x="5"/>
        <item h="1" x="0"/>
        <item h="1" x="2"/>
        <item h="1" x="3"/>
        <item h="1" x="4"/>
        <item h="1" x="6"/>
        <item h="1"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0">
        <item x="17"/>
        <item x="9"/>
        <item x="7"/>
        <item x="1"/>
        <item x="15"/>
        <item x="13"/>
        <item x="8"/>
        <item x="12"/>
        <item x="2"/>
        <item x="11"/>
        <item x="4"/>
        <item x="16"/>
        <item x="0"/>
        <item x="6"/>
        <item x="5"/>
        <item x="10"/>
        <item x="14"/>
        <item x="3"/>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7">
    <i>
      <x/>
    </i>
    <i>
      <x v="1"/>
    </i>
    <i>
      <x v="2"/>
    </i>
    <i>
      <x v="4"/>
    </i>
    <i>
      <x v="5"/>
    </i>
    <i>
      <x v="6"/>
    </i>
    <i>
      <x v="7"/>
    </i>
    <i>
      <x v="8"/>
    </i>
    <i>
      <x v="9"/>
    </i>
    <i>
      <x v="10"/>
    </i>
    <i>
      <x v="11"/>
    </i>
    <i>
      <x v="12"/>
    </i>
    <i>
      <x v="13"/>
    </i>
    <i>
      <x v="14"/>
    </i>
    <i>
      <x v="16"/>
    </i>
    <i>
      <x v="17"/>
    </i>
    <i t="grand">
      <x/>
    </i>
  </rowItems>
  <colItems count="1">
    <i/>
  </colItems>
  <pageFields count="4">
    <pageField fld="11" hier="-1"/>
    <pageField fld="9" hier="-1"/>
    <pageField fld="2" hier="-1"/>
    <pageField fld="1" hier="-1"/>
  </pageFields>
  <dataFields count="1">
    <dataField name="Sum of Net Dwellings" fld="45" baseField="0" baseItem="0"/>
  </dataFields>
  <formats count="41">
    <format dxfId="736">
      <pivotArea type="all" dataOnly="0" outline="0" fieldPosition="0"/>
    </format>
    <format dxfId="735">
      <pivotArea type="all" dataOnly="0" outline="0" fieldPosition="0"/>
    </format>
    <format dxfId="734">
      <pivotArea type="all" dataOnly="0" outline="0" fieldPosition="0"/>
    </format>
    <format dxfId="733">
      <pivotArea type="all" dataOnly="0" outline="0" fieldPosition="0"/>
    </format>
    <format dxfId="732">
      <pivotArea type="all" dataOnly="0" outline="0" fieldPosition="0"/>
    </format>
    <format dxfId="731">
      <pivotArea type="all" dataOnly="0" outline="0" fieldPosition="0"/>
    </format>
    <format dxfId="730">
      <pivotArea type="all" dataOnly="0" outline="0" fieldPosition="0"/>
    </format>
    <format dxfId="729">
      <pivotArea dataOnly="0" labelOnly="1" outline="0" fieldPosition="0">
        <references count="1">
          <reference field="4294967294" count="1">
            <x v="0"/>
          </reference>
        </references>
      </pivotArea>
    </format>
    <format dxfId="728">
      <pivotArea dataOnly="0" labelOnly="1" outline="0" fieldPosition="0">
        <references count="1">
          <reference field="4294967294" count="1">
            <x v="0"/>
          </reference>
        </references>
      </pivotArea>
    </format>
    <format dxfId="727">
      <pivotArea dataOnly="0" labelOnly="1" outline="0" fieldPosition="0">
        <references count="1">
          <reference field="4294967294" count="1">
            <x v="0"/>
          </reference>
        </references>
      </pivotArea>
    </format>
    <format dxfId="726">
      <pivotArea type="all" dataOnly="0" outline="0" fieldPosition="0"/>
    </format>
    <format dxfId="725">
      <pivotArea type="all" dataOnly="0" outline="0" fieldPosition="0"/>
    </format>
    <format dxfId="724">
      <pivotArea type="all" dataOnly="0" outline="0" fieldPosition="0"/>
    </format>
    <format dxfId="723">
      <pivotArea type="all" dataOnly="0" outline="0" fieldPosition="0"/>
    </format>
    <format dxfId="722">
      <pivotArea outline="0" collapsedLevelsAreSubtotals="1" fieldPosition="0"/>
    </format>
    <format dxfId="721">
      <pivotArea dataOnly="0" labelOnly="1" grandRow="1" outline="0" fieldPosition="0"/>
    </format>
    <format dxfId="720">
      <pivotArea dataOnly="0" labelOnly="1" outline="0" axis="axisValues" fieldPosition="0"/>
    </format>
    <format dxfId="719">
      <pivotArea type="all" dataOnly="0" outline="0" fieldPosition="0"/>
    </format>
    <format dxfId="718">
      <pivotArea outline="0" collapsedLevelsAreSubtotals="1" fieldPosition="0"/>
    </format>
    <format dxfId="717">
      <pivotArea dataOnly="0" labelOnly="1" grandRow="1" outline="0" fieldPosition="0"/>
    </format>
    <format dxfId="716">
      <pivotArea dataOnly="0" labelOnly="1" outline="0" axis="axisValues" fieldPosition="0"/>
    </format>
    <format dxfId="715">
      <pivotArea type="all" dataOnly="0" outline="0" fieldPosition="0"/>
    </format>
    <format dxfId="714">
      <pivotArea outline="0" collapsedLevelsAreSubtotals="1" fieldPosition="0"/>
    </format>
    <format dxfId="713">
      <pivotArea dataOnly="0" labelOnly="1" grandRow="1" outline="0" fieldPosition="0"/>
    </format>
    <format dxfId="712">
      <pivotArea dataOnly="0" labelOnly="1" outline="0" axis="axisValues" fieldPosition="0"/>
    </format>
    <format dxfId="711">
      <pivotArea type="all" dataOnly="0" outline="0" fieldPosition="0"/>
    </format>
    <format dxfId="710">
      <pivotArea outline="0" collapsedLevelsAreSubtotals="1" fieldPosition="0"/>
    </format>
    <format dxfId="709">
      <pivotArea field="71" type="button" dataOnly="0" labelOnly="1" outline="0" axis="axisRow" fieldPosition="0"/>
    </format>
    <format dxfId="708">
      <pivotArea dataOnly="0" labelOnly="1" grandRow="1" outline="0" fieldPosition="0"/>
    </format>
    <format dxfId="707">
      <pivotArea dataOnly="0" labelOnly="1" outline="0" axis="axisValues" fieldPosition="0"/>
    </format>
    <format dxfId="706">
      <pivotArea type="all" dataOnly="0" outline="0" fieldPosition="0"/>
    </format>
    <format dxfId="705">
      <pivotArea outline="0" collapsedLevelsAreSubtotals="1" fieldPosition="0"/>
    </format>
    <format dxfId="704">
      <pivotArea field="71" type="button" dataOnly="0" labelOnly="1" outline="0" axis="axisRow" fieldPosition="0"/>
    </format>
    <format dxfId="703">
      <pivotArea dataOnly="0" labelOnly="1" grandRow="1" outline="0" fieldPosition="0"/>
    </format>
    <format dxfId="702">
      <pivotArea dataOnly="0" labelOnly="1" outline="0" axis="axisValues" fieldPosition="0"/>
    </format>
    <format dxfId="701">
      <pivotArea type="all" dataOnly="0" outline="0" fieldPosition="0"/>
    </format>
    <format dxfId="700">
      <pivotArea outline="0" collapsedLevelsAreSubtotals="1" fieldPosition="0"/>
    </format>
    <format dxfId="699">
      <pivotArea field="71" type="button" dataOnly="0" labelOnly="1" outline="0" axis="axisRow" fieldPosition="0"/>
    </format>
    <format dxfId="698">
      <pivotArea dataOnly="0" labelOnly="1" fieldPosition="0">
        <references count="1">
          <reference field="71" count="10">
            <x v="1"/>
            <x v="2"/>
            <x v="3"/>
            <x v="5"/>
            <x v="6"/>
            <x v="7"/>
            <x v="8"/>
            <x v="9"/>
            <x v="10"/>
            <x v="13"/>
          </reference>
        </references>
      </pivotArea>
    </format>
    <format dxfId="697">
      <pivotArea dataOnly="0" labelOnly="1" grandRow="1" outline="0" fieldPosition="0"/>
    </format>
    <format dxfId="69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E89E4C2-CB3E-47F5-8DA2-385A51DB11B4}" name="PivotTable1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456:F463"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6"/>
        <item h="1" x="4"/>
        <item h="1" x="5"/>
      </items>
    </pivotField>
    <pivotField multipleItemSelectionAllowed="1" showAll="0" defaultSubtotal="0"/>
    <pivotField axis="axisPage" multipleItemSelectionAllowed="1" showAll="0">
      <items count="13">
        <item x="10"/>
        <item h="1" x="1"/>
        <item x="2"/>
        <item x="11"/>
        <item x="5"/>
        <item x="7"/>
        <item x="3"/>
        <item x="8"/>
        <item x="9"/>
        <item x="0"/>
        <item h="1" x="4"/>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0">
        <item x="17"/>
        <item x="9"/>
        <item x="7"/>
        <item x="1"/>
        <item x="15"/>
        <item x="13"/>
        <item x="8"/>
        <item x="12"/>
        <item x="2"/>
        <item x="11"/>
        <item x="4"/>
        <item x="16"/>
        <item x="0"/>
        <item x="6"/>
        <item x="5"/>
        <item x="10"/>
        <item x="14"/>
        <item x="3"/>
        <item x="18"/>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7">
    <i>
      <x/>
    </i>
    <i>
      <x v="1"/>
    </i>
    <i>
      <x v="2"/>
    </i>
    <i>
      <x v="3"/>
    </i>
    <i>
      <x v="4"/>
    </i>
    <i>
      <x v="5"/>
    </i>
    <i t="grand">
      <x/>
    </i>
  </rowItems>
  <colItems count="1">
    <i/>
  </colItems>
  <pageFields count="4">
    <pageField fld="11" hier="-1"/>
    <pageField fld="9" hier="-1"/>
    <pageField fld="2" hier="-1"/>
    <pageField fld="1" hier="-1"/>
  </pageFields>
  <dataFields count="1">
    <dataField name="Sum of Net Dwellings" fld="45" baseField="0" baseItem="0"/>
  </dataFields>
  <formats count="46">
    <format dxfId="782">
      <pivotArea type="all" dataOnly="0" outline="0" fieldPosition="0"/>
    </format>
    <format dxfId="781">
      <pivotArea type="all" dataOnly="0" outline="0" fieldPosition="0"/>
    </format>
    <format dxfId="780">
      <pivotArea type="all" dataOnly="0" outline="0" fieldPosition="0"/>
    </format>
    <format dxfId="779">
      <pivotArea type="all" dataOnly="0" outline="0" fieldPosition="0"/>
    </format>
    <format dxfId="778">
      <pivotArea type="all" dataOnly="0" outline="0" fieldPosition="0"/>
    </format>
    <format dxfId="777">
      <pivotArea type="all" dataOnly="0" outline="0" fieldPosition="0"/>
    </format>
    <format dxfId="776">
      <pivotArea type="all" dataOnly="0" outline="0" fieldPosition="0"/>
    </format>
    <format dxfId="775">
      <pivotArea dataOnly="0" labelOnly="1" outline="0" fieldPosition="0">
        <references count="1">
          <reference field="4294967294" count="1">
            <x v="0"/>
          </reference>
        </references>
      </pivotArea>
    </format>
    <format dxfId="774">
      <pivotArea dataOnly="0" labelOnly="1" outline="0" fieldPosition="0">
        <references count="1">
          <reference field="4294967294" count="1">
            <x v="0"/>
          </reference>
        </references>
      </pivotArea>
    </format>
    <format dxfId="773">
      <pivotArea dataOnly="0" labelOnly="1" outline="0" fieldPosition="0">
        <references count="1">
          <reference field="4294967294" count="1">
            <x v="0"/>
          </reference>
        </references>
      </pivotArea>
    </format>
    <format dxfId="772">
      <pivotArea type="all" dataOnly="0" outline="0" fieldPosition="0"/>
    </format>
    <format dxfId="771">
      <pivotArea type="all" dataOnly="0" outline="0" fieldPosition="0"/>
    </format>
    <format dxfId="770">
      <pivotArea type="all" dataOnly="0" outline="0" fieldPosition="0"/>
    </format>
    <format dxfId="769">
      <pivotArea type="all" dataOnly="0" outline="0" fieldPosition="0"/>
    </format>
    <format dxfId="768">
      <pivotArea outline="0" collapsedLevelsAreSubtotals="1" fieldPosition="0"/>
    </format>
    <format dxfId="767">
      <pivotArea dataOnly="0" labelOnly="1" grandRow="1" outline="0" fieldPosition="0"/>
    </format>
    <format dxfId="766">
      <pivotArea dataOnly="0" labelOnly="1" outline="0" axis="axisValues" fieldPosition="0"/>
    </format>
    <format dxfId="765">
      <pivotArea type="all" dataOnly="0" outline="0" fieldPosition="0"/>
    </format>
    <format dxfId="764">
      <pivotArea outline="0" collapsedLevelsAreSubtotals="1" fieldPosition="0"/>
    </format>
    <format dxfId="763">
      <pivotArea dataOnly="0" labelOnly="1" grandRow="1" outline="0" fieldPosition="0"/>
    </format>
    <format dxfId="762">
      <pivotArea dataOnly="0" labelOnly="1" outline="0" axis="axisValues" fieldPosition="0"/>
    </format>
    <format dxfId="761">
      <pivotArea type="all" dataOnly="0" outline="0" fieldPosition="0"/>
    </format>
    <format dxfId="760">
      <pivotArea outline="0" collapsedLevelsAreSubtotals="1" fieldPosition="0"/>
    </format>
    <format dxfId="759">
      <pivotArea dataOnly="0" labelOnly="1" grandRow="1" outline="0" fieldPosition="0"/>
    </format>
    <format dxfId="758">
      <pivotArea dataOnly="0" labelOnly="1" outline="0" axis="axisValues" fieldPosition="0"/>
    </format>
    <format dxfId="757">
      <pivotArea type="all" dataOnly="0" outline="0" fieldPosition="0"/>
    </format>
    <format dxfId="756">
      <pivotArea outline="0" collapsedLevelsAreSubtotals="1" fieldPosition="0"/>
    </format>
    <format dxfId="755">
      <pivotArea field="71" type="button" dataOnly="0" labelOnly="1" outline="0"/>
    </format>
    <format dxfId="754">
      <pivotArea dataOnly="0" labelOnly="1" grandRow="1" outline="0" fieldPosition="0"/>
    </format>
    <format dxfId="753">
      <pivotArea dataOnly="0" labelOnly="1" outline="0" axis="axisValues" fieldPosition="0"/>
    </format>
    <format dxfId="752">
      <pivotArea type="all" dataOnly="0" outline="0" fieldPosition="0"/>
    </format>
    <format dxfId="751">
      <pivotArea outline="0" collapsedLevelsAreSubtotals="1" fieldPosition="0"/>
    </format>
    <format dxfId="750">
      <pivotArea field="71" type="button" dataOnly="0" labelOnly="1" outline="0"/>
    </format>
    <format dxfId="749">
      <pivotArea dataOnly="0" labelOnly="1" grandRow="1" outline="0" fieldPosition="0"/>
    </format>
    <format dxfId="748">
      <pivotArea dataOnly="0" labelOnly="1" outline="0" axis="axisValues" fieldPosition="0"/>
    </format>
    <format dxfId="747">
      <pivotArea type="all" dataOnly="0" outline="0" fieldPosition="0"/>
    </format>
    <format dxfId="746">
      <pivotArea outline="0" collapsedLevelsAreSubtotals="1" fieldPosition="0"/>
    </format>
    <format dxfId="745">
      <pivotArea field="71" type="button" dataOnly="0" labelOnly="1" outline="0"/>
    </format>
    <format dxfId="744">
      <pivotArea dataOnly="0" labelOnly="1" grandRow="1" outline="0" fieldPosition="0"/>
    </format>
    <format dxfId="743">
      <pivotArea dataOnly="0" labelOnly="1" outline="0" axis="axisValues" fieldPosition="0"/>
    </format>
    <format dxfId="742">
      <pivotArea type="all" dataOnly="0" outline="0" fieldPosition="0"/>
    </format>
    <format dxfId="741">
      <pivotArea outline="0" collapsedLevelsAreSubtotals="1" fieldPosition="0"/>
    </format>
    <format dxfId="740">
      <pivotArea field="72" type="button" dataOnly="0" labelOnly="1" outline="0" axis="axisRow" fieldPosition="0"/>
    </format>
    <format dxfId="739">
      <pivotArea dataOnly="0" labelOnly="1" fieldPosition="0">
        <references count="1">
          <reference field="72" count="6">
            <x v="0"/>
            <x v="1"/>
            <x v="2"/>
            <x v="3"/>
            <x v="4"/>
            <x v="5"/>
          </reference>
        </references>
      </pivotArea>
    </format>
    <format dxfId="738">
      <pivotArea dataOnly="0" labelOnly="1" grandRow="1" outline="0" fieldPosition="0"/>
    </format>
    <format dxfId="7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37EE7B1A-4669-4B6B-807D-6586BB238B52}" name="PivotTable8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31:M439" firstHeaderRow="0" firstDataRow="1" firstDataCol="1" rowPageCount="1" colPageCount="1"/>
  <pivotFields count="85">
    <pivotField showAll="0" defaultSubtotal="0"/>
    <pivotField multipleItemSelectionAllowed="1" showAll="0" defaultSubtotal="0"/>
    <pivotField multipleItemSelectionAllowed="1"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h="1" x="2"/>
        <item x="3"/>
        <item x="4"/>
        <item x="5"/>
        <item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axis="axisRow" showAll="0">
      <items count="20">
        <item x="17"/>
        <item x="9"/>
        <item x="6"/>
        <item x="10"/>
        <item x="7"/>
        <item x="1"/>
        <item x="14"/>
        <item x="15"/>
        <item x="13"/>
        <item x="5"/>
        <item x="8"/>
        <item x="12"/>
        <item x="2"/>
        <item x="3"/>
        <item x="11"/>
        <item x="4"/>
        <item x="16"/>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8">
    <i>
      <x v="2"/>
    </i>
    <i>
      <x v="9"/>
    </i>
    <i>
      <x v="10"/>
    </i>
    <i>
      <x v="14"/>
    </i>
    <i>
      <x v="15"/>
    </i>
    <i>
      <x v="17"/>
    </i>
    <i>
      <x v="18"/>
    </i>
    <i t="grand">
      <x/>
    </i>
  </rowItems>
  <colFields count="1">
    <field x="-2"/>
  </colFields>
  <colItems count="11">
    <i>
      <x/>
    </i>
    <i i="1">
      <x v="1"/>
    </i>
    <i i="2">
      <x v="2"/>
    </i>
    <i i="3">
      <x v="3"/>
    </i>
    <i i="4">
      <x v="4"/>
    </i>
    <i i="5">
      <x v="5"/>
    </i>
    <i i="6">
      <x v="6"/>
    </i>
    <i i="7">
      <x v="7"/>
    </i>
    <i i="8">
      <x v="8"/>
    </i>
    <i i="9">
      <x v="9"/>
    </i>
    <i i="10">
      <x v="10"/>
    </i>
  </colItems>
  <pageFields count="1">
    <pageField fld="9" hier="-1"/>
  </pageFields>
  <dataFields count="11">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 name="Sum of 2030/31 (6)" fld="53" baseField="0" baseItem="0"/>
    <dataField name="Sum of 2031/32 (7)" fld="54" baseField="0" baseItem="0"/>
    <dataField name="Sum of 2032/33 (8)" fld="55" baseField="0" baseItem="0"/>
    <dataField name="Sum of 2033/34 (9)" fld="56" baseField="0" baseItem="0"/>
    <dataField name="Sum of 2034/35 (10)" fld="57" baseField="70" baseItem="15"/>
    <dataField name="Sum of 2025–2035 Total" fld="65" baseField="0" baseItem="0"/>
  </dataFields>
  <formats count="36">
    <format dxfId="818">
      <pivotArea type="all" dataOnly="0" outline="0" fieldPosition="0"/>
    </format>
    <format dxfId="817">
      <pivotArea type="all" dataOnly="0" outline="0" fieldPosition="0"/>
    </format>
    <format dxfId="816">
      <pivotArea type="all" dataOnly="0" outline="0" fieldPosition="0"/>
    </format>
    <format dxfId="815">
      <pivotArea type="all" dataOnly="0" outline="0" fieldPosition="0"/>
    </format>
    <format dxfId="814">
      <pivotArea type="all" dataOnly="0" outline="0" fieldPosition="0"/>
    </format>
    <format dxfId="813">
      <pivotArea type="all" dataOnly="0" outline="0" fieldPosition="0"/>
    </format>
    <format dxfId="812">
      <pivotArea type="all" dataOnly="0" outline="0" fieldPosition="0"/>
    </format>
    <format dxfId="811">
      <pivotArea type="all" dataOnly="0" outline="0" fieldPosition="0"/>
    </format>
    <format dxfId="810">
      <pivotArea type="all" dataOnly="0" outline="0" fieldPosition="0"/>
    </format>
    <format dxfId="809">
      <pivotArea type="all" dataOnly="0" outline="0" fieldPosition="0"/>
    </format>
    <format dxfId="808">
      <pivotArea type="all" dataOnly="0" outline="0" fieldPosition="0"/>
    </format>
    <format dxfId="807">
      <pivotArea outline="0" collapsedLevelsAreSubtotals="1" fieldPosition="0"/>
    </format>
    <format dxfId="806">
      <pivotArea dataOnly="0" labelOnly="1" grandRow="1" outline="0" fieldPosition="0"/>
    </format>
    <format dxfId="805">
      <pivotArea outline="0" collapsedLevelsAreSubtotals="1" fieldPosition="0"/>
    </format>
    <format dxfId="804">
      <pivotArea type="all" dataOnly="0" outline="0" fieldPosition="0"/>
    </format>
    <format dxfId="803">
      <pivotArea outline="0" collapsedLevelsAreSubtotals="1" fieldPosition="0"/>
    </format>
    <format dxfId="802">
      <pivotArea dataOnly="0" labelOnly="1" grandRow="1" outline="0" fieldPosition="0"/>
    </format>
    <format dxfId="801">
      <pivotArea type="all" dataOnly="0" outline="0" fieldPosition="0"/>
    </format>
    <format dxfId="800">
      <pivotArea outline="0" collapsedLevelsAreSubtotals="1" fieldPosition="0"/>
    </format>
    <format dxfId="799">
      <pivotArea dataOnly="0" labelOnly="1" grandRow="1" outline="0" fieldPosition="0"/>
    </format>
    <format dxfId="798">
      <pivotArea type="all" dataOnly="0" outline="0" fieldPosition="0"/>
    </format>
    <format dxfId="797">
      <pivotArea outline="0" collapsedLevelsAreSubtotals="1" fieldPosition="0"/>
    </format>
    <format dxfId="796">
      <pivotArea outline="0" collapsedLevelsAreSubtotals="1" fieldPosition="0"/>
    </format>
    <format dxfId="795">
      <pivotArea type="all" dataOnly="0" outline="0" fieldPosition="0"/>
    </format>
    <format dxfId="794">
      <pivotArea outline="0" collapsedLevelsAreSubtotals="1" fieldPosition="0"/>
    </format>
    <format dxfId="793">
      <pivotArea field="71" type="button" dataOnly="0" labelOnly="1" outline="0" axis="axisRow" fieldPosition="0"/>
    </format>
    <format dxfId="792">
      <pivotArea dataOnly="0" labelOnly="1" grandRow="1" outline="0" fieldPosition="0"/>
    </format>
    <format dxfId="791">
      <pivotArea type="all" dataOnly="0" outline="0" fieldPosition="0"/>
    </format>
    <format dxfId="790">
      <pivotArea outline="0" collapsedLevelsAreSubtotals="1" fieldPosition="0"/>
    </format>
    <format dxfId="789">
      <pivotArea field="71" type="button" dataOnly="0" labelOnly="1" outline="0" axis="axisRow" fieldPosition="0"/>
    </format>
    <format dxfId="788">
      <pivotArea dataOnly="0" labelOnly="1" grandRow="1" outline="0" fieldPosition="0"/>
    </format>
    <format dxfId="787">
      <pivotArea type="all" dataOnly="0" outline="0" fieldPosition="0"/>
    </format>
    <format dxfId="786">
      <pivotArea outline="0" collapsedLevelsAreSubtotals="1" fieldPosition="0"/>
    </format>
    <format dxfId="785">
      <pivotArea field="71" type="button" dataOnly="0" labelOnly="1" outline="0" axis="axisRow" fieldPosition="0"/>
    </format>
    <format dxfId="784">
      <pivotArea dataOnly="0" labelOnly="1" fieldPosition="0">
        <references count="1">
          <reference field="71" count="8">
            <x v="2"/>
            <x v="9"/>
            <x v="10"/>
            <x v="11"/>
            <x v="12"/>
            <x v="14"/>
            <x v="15"/>
            <x v="17"/>
          </reference>
        </references>
      </pivotArea>
    </format>
    <format dxfId="78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9F19C5D6-4675-4F0B-B023-64DBF7C4FBF9}" name="PivotTable20"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88:B89" firstHeaderRow="1" firstDataRow="1" firstDataCol="0" rowPageCount="2" colPageCount="1"/>
  <pivotFields count="85">
    <pivotField showAll="0" defaultSubtotal="0"/>
    <pivotField axis="axisPage" multipleItemSelectionAllowed="1" showAll="0" defaultSubtotal="0">
      <items count="5">
        <item x="1"/>
        <item x="4"/>
        <item x="2"/>
        <item h="1" x="3"/>
        <item h="1"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 hier="-1"/>
  </pageFields>
  <dataFields count="1">
    <dataField name="Sum of Units Proposed" fld="36" baseField="0" baseItem="0"/>
  </dataFields>
  <formats count="40">
    <format dxfId="858">
      <pivotArea type="all" dataOnly="0" outline="0" fieldPosition="0"/>
    </format>
    <format dxfId="857">
      <pivotArea type="all" dataOnly="0" outline="0" fieldPosition="0"/>
    </format>
    <format dxfId="856">
      <pivotArea type="all" dataOnly="0" outline="0" fieldPosition="0"/>
    </format>
    <format dxfId="855">
      <pivotArea type="all" dataOnly="0" outline="0" fieldPosition="0"/>
    </format>
    <format dxfId="854">
      <pivotArea type="all" dataOnly="0" outline="0" fieldPosition="0"/>
    </format>
    <format dxfId="853">
      <pivotArea type="all" dataOnly="0" outline="0" fieldPosition="0"/>
    </format>
    <format dxfId="852">
      <pivotArea type="all" dataOnly="0" outline="0" fieldPosition="0"/>
    </format>
    <format dxfId="851">
      <pivotArea type="all" dataOnly="0" outline="0" fieldPosition="0"/>
    </format>
    <format dxfId="850">
      <pivotArea type="all" dataOnly="0" outline="0" fieldPosition="0"/>
    </format>
    <format dxfId="849">
      <pivotArea type="all" dataOnly="0" outline="0" fieldPosition="0"/>
    </format>
    <format dxfId="848">
      <pivotArea type="all" dataOnly="0" outline="0" fieldPosition="0"/>
    </format>
    <format dxfId="847">
      <pivotArea outline="0" collapsedLevelsAreSubtotals="1" fieldPosition="0"/>
    </format>
    <format dxfId="846">
      <pivotArea dataOnly="0" labelOnly="1" outline="0" axis="axisValues" fieldPosition="0"/>
    </format>
    <format dxfId="845">
      <pivotArea type="all" dataOnly="0" outline="0" fieldPosition="0"/>
    </format>
    <format dxfId="844">
      <pivotArea outline="0" collapsedLevelsAreSubtotals="1" fieldPosition="0"/>
    </format>
    <format dxfId="843">
      <pivotArea dataOnly="0" labelOnly="1" outline="0" axis="axisValues" fieldPosition="0"/>
    </format>
    <format dxfId="842">
      <pivotArea type="all" dataOnly="0" outline="0" fieldPosition="0"/>
    </format>
    <format dxfId="841">
      <pivotArea outline="0" collapsedLevelsAreSubtotals="1" fieldPosition="0"/>
    </format>
    <format dxfId="840">
      <pivotArea dataOnly="0" labelOnly="1" outline="0" axis="axisValues" fieldPosition="0"/>
    </format>
    <format dxfId="839">
      <pivotArea type="all" dataOnly="0" outline="0" fieldPosition="0"/>
    </format>
    <format dxfId="838">
      <pivotArea outline="0" collapsedLevelsAreSubtotals="1" fieldPosition="0"/>
    </format>
    <format dxfId="837">
      <pivotArea dataOnly="0" labelOnly="1" outline="0" axis="axisValues" fieldPosition="0"/>
    </format>
    <format dxfId="836">
      <pivotArea type="all" dataOnly="0" outline="0" fieldPosition="0"/>
    </format>
    <format dxfId="835">
      <pivotArea outline="0" collapsedLevelsAreSubtotals="1" fieldPosition="0"/>
    </format>
    <format dxfId="834">
      <pivotArea dataOnly="0" labelOnly="1" outline="0" axis="axisValues" fieldPosition="0"/>
    </format>
    <format dxfId="833">
      <pivotArea type="all" dataOnly="0" outline="0" fieldPosition="0"/>
    </format>
    <format dxfId="832">
      <pivotArea outline="0" collapsedLevelsAreSubtotals="1" fieldPosition="0"/>
    </format>
    <format dxfId="831">
      <pivotArea dataOnly="0" labelOnly="1" outline="0" axis="axisValues" fieldPosition="0"/>
    </format>
    <format dxfId="830">
      <pivotArea type="all" dataOnly="0" outline="0" fieldPosition="0"/>
    </format>
    <format dxfId="829">
      <pivotArea outline="0" collapsedLevelsAreSubtotals="1" fieldPosition="0"/>
    </format>
    <format dxfId="828">
      <pivotArea dataOnly="0" labelOnly="1" outline="0" axis="axisValues" fieldPosition="0"/>
    </format>
    <format dxfId="827">
      <pivotArea type="all" dataOnly="0" outline="0" fieldPosition="0"/>
    </format>
    <format dxfId="826">
      <pivotArea outline="0" collapsedLevelsAreSubtotals="1" fieldPosition="0"/>
    </format>
    <format dxfId="825">
      <pivotArea type="all" dataOnly="0" outline="0" fieldPosition="0"/>
    </format>
    <format dxfId="824">
      <pivotArea outline="0" collapsedLevelsAreSubtotals="1" fieldPosition="0"/>
    </format>
    <format dxfId="823">
      <pivotArea outline="0" collapsedLevelsAreSubtotals="1" fieldPosition="0"/>
    </format>
    <format dxfId="822">
      <pivotArea type="all" dataOnly="0" outline="0" fieldPosition="0"/>
    </format>
    <format dxfId="821">
      <pivotArea type="all" dataOnly="0" outline="0" fieldPosition="0"/>
    </format>
    <format dxfId="820">
      <pivotArea outline="0" collapsedLevelsAreSubtotals="1" fieldPosition="0"/>
    </format>
    <format dxfId="81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0AEABBA-C0A1-45C4-A4B3-8E32F5AAF25C}" name="PivotTable19" cacheId="2" applyNumberFormats="0" applyBorderFormats="0" applyFontFormats="0" applyPatternFormats="0" applyAlignmentFormats="0" applyWidthHeightFormats="1" dataCaption="Values" missingCaption="0" updatedVersion="8" minRefreshableVersion="3" itemPrintTitles="1" createdVersion="4" indent="0" outline="1" outlineData="1" multipleFieldFilters="0">
  <location ref="H456:I463" firstHeaderRow="1" firstDataRow="1" firstDataCol="1" rowPageCount="4"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6"/>
        <item h="1" x="3"/>
        <item h="1" x="4"/>
        <item h="1" x="5"/>
      </items>
    </pivotField>
    <pivotField multipleItemSelectionAllowed="1" showAll="0" defaultSubtotal="0"/>
    <pivotField axis="axisPage" multipleItemSelectionAllowed="1" showAll="0">
      <items count="13">
        <item x="4"/>
        <item x="10"/>
        <item h="1"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7">
    <i>
      <x/>
    </i>
    <i>
      <x v="1"/>
    </i>
    <i>
      <x v="2"/>
    </i>
    <i>
      <x v="3"/>
    </i>
    <i>
      <x v="4"/>
    </i>
    <i>
      <x v="5"/>
    </i>
    <i t="grand">
      <x/>
    </i>
  </rowItems>
  <colItems count="1">
    <i/>
  </colItems>
  <pageFields count="4">
    <pageField fld="11" hier="-1"/>
    <pageField fld="9" hier="-1"/>
    <pageField fld="2" hier="-1"/>
    <pageField fld="1" hier="-1"/>
  </pageFields>
  <dataFields count="1">
    <dataField name="Sum of Net Dwellings" fld="45" baseField="0" baseItem="0"/>
  </dataFields>
  <formats count="50">
    <format dxfId="93">
      <pivotArea type="all" dataOnly="0" outline="0" fieldPosition="0"/>
    </format>
    <format dxfId="92">
      <pivotArea type="all" dataOnly="0" outline="0" fieldPosition="0"/>
    </format>
    <format dxfId="91">
      <pivotArea type="all" dataOnly="0" outline="0" fieldPosition="0"/>
    </format>
    <format dxfId="90">
      <pivotArea type="all" dataOnly="0" outline="0" fieldPosition="0"/>
    </format>
    <format dxfId="89">
      <pivotArea type="all" dataOnly="0" outline="0" fieldPosition="0"/>
    </format>
    <format dxfId="88">
      <pivotArea type="all" dataOnly="0" outline="0" fieldPosition="0"/>
    </format>
    <format dxfId="87">
      <pivotArea type="all" dataOnly="0" outline="0" fieldPosition="0"/>
    </format>
    <format dxfId="86">
      <pivotArea dataOnly="0" labelOnly="1" outline="0" fieldPosition="0">
        <references count="1">
          <reference field="4294967294" count="1">
            <x v="0"/>
          </reference>
        </references>
      </pivotArea>
    </format>
    <format dxfId="85">
      <pivotArea dataOnly="0" labelOnly="1" outline="0" fieldPosition="0">
        <references count="1">
          <reference field="4294967294" count="1">
            <x v="0"/>
          </reference>
        </references>
      </pivotArea>
    </format>
    <format dxfId="84">
      <pivotArea dataOnly="0" labelOnly="1" outline="0" fieldPosition="0">
        <references count="1">
          <reference field="4294967294" count="1">
            <x v="0"/>
          </reference>
        </references>
      </pivotArea>
    </format>
    <format dxfId="83">
      <pivotArea type="all" dataOnly="0" outline="0" fieldPosition="0"/>
    </format>
    <format dxfId="82">
      <pivotArea type="all" dataOnly="0" outline="0" fieldPosition="0"/>
    </format>
    <format dxfId="81">
      <pivotArea type="all" dataOnly="0" outline="0" fieldPosition="0"/>
    </format>
    <format dxfId="80">
      <pivotArea type="all" dataOnly="0" outline="0" fieldPosition="0"/>
    </format>
    <format dxfId="79">
      <pivotArea outline="0" collapsedLevelsAreSubtotals="1" fieldPosition="0"/>
    </format>
    <format dxfId="78">
      <pivotArea dataOnly="0" labelOnly="1" grandRow="1" outline="0" fieldPosition="0"/>
    </format>
    <format dxfId="77">
      <pivotArea dataOnly="0" labelOnly="1" outline="0" axis="axisValues" fieldPosition="0"/>
    </format>
    <format dxfId="76">
      <pivotArea grandRow="1" outline="0" collapsedLevelsAreSubtotals="1" fieldPosition="0"/>
    </format>
    <format dxfId="75">
      <pivotArea type="all" dataOnly="0" outline="0" fieldPosition="0"/>
    </format>
    <format dxfId="74">
      <pivotArea outline="0" collapsedLevelsAreSubtotals="1" fieldPosition="0"/>
    </format>
    <format dxfId="73">
      <pivotArea dataOnly="0" labelOnly="1" grandRow="1" outline="0" fieldPosition="0"/>
    </format>
    <format dxfId="72">
      <pivotArea dataOnly="0" labelOnly="1" outline="0" axis="axisValues" fieldPosition="0"/>
    </format>
    <format dxfId="71">
      <pivotArea type="all" dataOnly="0" outline="0" fieldPosition="0"/>
    </format>
    <format dxfId="70">
      <pivotArea outline="0" collapsedLevelsAreSubtotals="1" fieldPosition="0"/>
    </format>
    <format dxfId="69">
      <pivotArea dataOnly="0" labelOnly="1" grandRow="1" outline="0" fieldPosition="0"/>
    </format>
    <format dxfId="68">
      <pivotArea dataOnly="0" labelOnly="1" outline="0" axis="axisValues" fieldPosition="0"/>
    </format>
    <format dxfId="67">
      <pivotArea type="all" dataOnly="0" outline="0" fieldPosition="0"/>
    </format>
    <format dxfId="66">
      <pivotArea outline="0" collapsedLevelsAreSubtotals="1" fieldPosition="0"/>
    </format>
    <format dxfId="65">
      <pivotArea field="71" type="button" dataOnly="0" labelOnly="1" outline="0"/>
    </format>
    <format dxfId="64">
      <pivotArea dataOnly="0" labelOnly="1" grandRow="1" outline="0" fieldPosition="0"/>
    </format>
    <format dxfId="63">
      <pivotArea dataOnly="0" labelOnly="1" outline="0" axis="axisValues" fieldPosition="0"/>
    </format>
    <format dxfId="62">
      <pivotArea type="all" dataOnly="0" outline="0" fieldPosition="0"/>
    </format>
    <format dxfId="61">
      <pivotArea outline="0" collapsedLevelsAreSubtotals="1" fieldPosition="0"/>
    </format>
    <format dxfId="60">
      <pivotArea field="71" type="button" dataOnly="0" labelOnly="1" outline="0"/>
    </format>
    <format dxfId="59">
      <pivotArea dataOnly="0" labelOnly="1" grandRow="1" outline="0" fieldPosition="0"/>
    </format>
    <format dxfId="58">
      <pivotArea dataOnly="0" labelOnly="1" outline="0" axis="axisValues" fieldPosition="0"/>
    </format>
    <format dxfId="57">
      <pivotArea type="all" dataOnly="0" outline="0" fieldPosition="0"/>
    </format>
    <format dxfId="56">
      <pivotArea outline="0" collapsedLevelsAreSubtotals="1" fieldPosition="0"/>
    </format>
    <format dxfId="55">
      <pivotArea field="71" type="button" dataOnly="0" labelOnly="1" outline="0"/>
    </format>
    <format dxfId="54">
      <pivotArea dataOnly="0" labelOnly="1" grandRow="1" outline="0" fieldPosition="0"/>
    </format>
    <format dxfId="53">
      <pivotArea dataOnly="0" labelOnly="1" outline="0" axis="axisValues" fieldPosition="0"/>
    </format>
    <format dxfId="52">
      <pivotArea dataOnly="0" labelOnly="1" outline="0" fieldPosition="0">
        <references count="1">
          <reference field="2" count="0"/>
        </references>
      </pivotArea>
    </format>
    <format dxfId="51">
      <pivotArea type="all" dataOnly="0" outline="0" fieldPosition="0"/>
    </format>
    <format dxfId="50">
      <pivotArea outline="0" collapsedLevelsAreSubtotals="1" fieldPosition="0"/>
    </format>
    <format dxfId="49">
      <pivotArea field="72" type="button" dataOnly="0" labelOnly="1" outline="0" axis="axisRow" fieldPosition="0"/>
    </format>
    <format dxfId="48">
      <pivotArea dataOnly="0" labelOnly="1" fieldPosition="0">
        <references count="1">
          <reference field="72" count="6">
            <x v="0"/>
            <x v="1"/>
            <x v="2"/>
            <x v="3"/>
            <x v="4"/>
            <x v="5"/>
          </reference>
        </references>
      </pivotArea>
    </format>
    <format dxfId="47">
      <pivotArea dataOnly="0" labelOnly="1" grandRow="1" outline="0" fieldPosition="0"/>
    </format>
    <format dxfId="46">
      <pivotArea dataOnly="0" labelOnly="1" outline="0" axis="axisValues" fieldPosition="0"/>
    </format>
    <format dxfId="45">
      <pivotArea outline="0" collapsedLevelsAreSubtotals="1" fieldPosition="0"/>
    </format>
    <format dxfId="4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3B227C4F-4BE3-4E0E-BD16-D8BD175185BE}" name="PivotTable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2:B33" firstHeaderRow="1" firstDataRow="1" firstDataCol="0" rowPageCount="4" colPageCount="1"/>
  <pivotFields count="85">
    <pivotField showAll="0"/>
    <pivotField axis="axisPage" multipleItemSelectionAllowed="1" showAll="0" defaultSubtotal="0">
      <items count="5">
        <item x="1"/>
        <item x="4"/>
        <item x="2"/>
        <item h="1" x="3"/>
        <item h="1" x="0"/>
      </items>
    </pivotField>
    <pivotField axis="axisPage" multipleItemSelectionAllowed="1" showAll="0">
      <items count="9">
        <item x="3"/>
        <item x="0"/>
        <item x="7"/>
        <item x="6"/>
        <item h="1" x="1"/>
        <item x="2"/>
        <item x="4"/>
        <item x="5"/>
        <item t="default"/>
      </items>
    </pivotField>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x="1"/>
        <item h="1" x="2"/>
        <item h="1" x="3"/>
        <item h="1" x="4"/>
        <item h="1" x="6"/>
        <item h="1" x="5"/>
        <item t="default"/>
      </items>
    </pivotField>
    <pivotField showAll="0"/>
    <pivotField axis="axisPage" multipleItemSelectionAllowed="1" showAll="0">
      <items count="13">
        <item h="1" x="1"/>
        <item x="0"/>
        <item x="2"/>
        <item x="6"/>
        <item x="5"/>
        <item x="4"/>
        <item x="10"/>
        <item x="11"/>
        <item x="3"/>
        <item x="7"/>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4">
    <pageField fld="1" hier="-1"/>
    <pageField fld="9" hier="-1"/>
    <pageField fld="11" hier="-1"/>
    <pageField fld="2" hier="-1"/>
  </pageFields>
  <dataFields count="1">
    <dataField name="Sum of Net Dwellings" fld="45" baseField="0" baseItem="0"/>
  </dataFields>
  <formats count="40">
    <format dxfId="898">
      <pivotArea type="all" dataOnly="0" outline="0" fieldPosition="0"/>
    </format>
    <format dxfId="897">
      <pivotArea type="all" dataOnly="0" outline="0" fieldPosition="0"/>
    </format>
    <format dxfId="896">
      <pivotArea type="all" dataOnly="0" outline="0" fieldPosition="0"/>
    </format>
    <format dxfId="895">
      <pivotArea type="all" dataOnly="0" outline="0" fieldPosition="0"/>
    </format>
    <format dxfId="894">
      <pivotArea type="all" dataOnly="0" outline="0" fieldPosition="0"/>
    </format>
    <format dxfId="893">
      <pivotArea type="all" dataOnly="0" outline="0" fieldPosition="0"/>
    </format>
    <format dxfId="892">
      <pivotArea type="all" dataOnly="0" outline="0" fieldPosition="0"/>
    </format>
    <format dxfId="891">
      <pivotArea type="all" dataOnly="0" outline="0" fieldPosition="0"/>
    </format>
    <format dxfId="890">
      <pivotArea type="all" dataOnly="0" outline="0" fieldPosition="0"/>
    </format>
    <format dxfId="889">
      <pivotArea type="all" dataOnly="0" outline="0" fieldPosition="0"/>
    </format>
    <format dxfId="888">
      <pivotArea type="all" dataOnly="0" outline="0" fieldPosition="0"/>
    </format>
    <format dxfId="887">
      <pivotArea outline="0" collapsedLevelsAreSubtotals="1" fieldPosition="0"/>
    </format>
    <format dxfId="886">
      <pivotArea dataOnly="0" labelOnly="1" outline="0" axis="axisValues" fieldPosition="0"/>
    </format>
    <format dxfId="885">
      <pivotArea type="all" dataOnly="0" outline="0" fieldPosition="0"/>
    </format>
    <format dxfId="884">
      <pivotArea outline="0" collapsedLevelsAreSubtotals="1" fieldPosition="0"/>
    </format>
    <format dxfId="883">
      <pivotArea dataOnly="0" labelOnly="1" outline="0" axis="axisValues" fieldPosition="0"/>
    </format>
    <format dxfId="882">
      <pivotArea type="all" dataOnly="0" outline="0" fieldPosition="0"/>
    </format>
    <format dxfId="881">
      <pivotArea outline="0" collapsedLevelsAreSubtotals="1" fieldPosition="0"/>
    </format>
    <format dxfId="880">
      <pivotArea dataOnly="0" labelOnly="1" outline="0" axis="axisValues" fieldPosition="0"/>
    </format>
    <format dxfId="879">
      <pivotArea type="all" dataOnly="0" outline="0" fieldPosition="0"/>
    </format>
    <format dxfId="878">
      <pivotArea outline="0" collapsedLevelsAreSubtotals="1" fieldPosition="0"/>
    </format>
    <format dxfId="877">
      <pivotArea dataOnly="0" labelOnly="1" outline="0" axis="axisValues" fieldPosition="0"/>
    </format>
    <format dxfId="876">
      <pivotArea type="all" dataOnly="0" outline="0" fieldPosition="0"/>
    </format>
    <format dxfId="875">
      <pivotArea outline="0" collapsedLevelsAreSubtotals="1" fieldPosition="0"/>
    </format>
    <format dxfId="874">
      <pivotArea dataOnly="0" labelOnly="1" outline="0" axis="axisValues" fieldPosition="0"/>
    </format>
    <format dxfId="873">
      <pivotArea type="all" dataOnly="0" outline="0" fieldPosition="0"/>
    </format>
    <format dxfId="872">
      <pivotArea outline="0" collapsedLevelsAreSubtotals="1" fieldPosition="0"/>
    </format>
    <format dxfId="871">
      <pivotArea dataOnly="0" labelOnly="1" outline="0" axis="axisValues" fieldPosition="0"/>
    </format>
    <format dxfId="870">
      <pivotArea type="all" dataOnly="0" outline="0" fieldPosition="0"/>
    </format>
    <format dxfId="869">
      <pivotArea outline="0" collapsedLevelsAreSubtotals="1" fieldPosition="0"/>
    </format>
    <format dxfId="868">
      <pivotArea dataOnly="0" labelOnly="1" outline="0" axis="axisValues" fieldPosition="0"/>
    </format>
    <format dxfId="867">
      <pivotArea type="all" dataOnly="0" outline="0" fieldPosition="0"/>
    </format>
    <format dxfId="866">
      <pivotArea outline="0" collapsedLevelsAreSubtotals="1" fieldPosition="0"/>
    </format>
    <format dxfId="865">
      <pivotArea type="all" dataOnly="0" outline="0" fieldPosition="0"/>
    </format>
    <format dxfId="864">
      <pivotArea outline="0" collapsedLevelsAreSubtotals="1" fieldPosition="0"/>
    </format>
    <format dxfId="863">
      <pivotArea outline="0" collapsedLevelsAreSubtotals="1" fieldPosition="0"/>
    </format>
    <format dxfId="862">
      <pivotArea type="all" dataOnly="0" outline="0" fieldPosition="0"/>
    </format>
    <format dxfId="861">
      <pivotArea type="all" dataOnly="0" outline="0" fieldPosition="0"/>
    </format>
    <format dxfId="860">
      <pivotArea outline="0" collapsedLevelsAreSubtotals="1" fieldPosition="0"/>
    </format>
    <format dxfId="85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74B255CB-DAA9-43FC-BD0B-A71B4EF06A10}" name="PivotTable8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23:I24" firstHeaderRow="0" firstDataRow="1" firstDataCol="0" rowPageCount="3" colPageCount="1"/>
  <pivotFields count="85">
    <pivotField showAll="0"/>
    <pivotField axis="axisPage" multipleItemSelectionAllowed="1" showAll="0" defaultSubtotal="0">
      <items count="5">
        <item h="1" x="1"/>
        <item h="1" x="4"/>
        <item h="1" x="2"/>
        <item x="3"/>
        <item x="0"/>
      </items>
    </pivotField>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x="2"/>
        <item h="1" x="3"/>
        <item h="1" x="4"/>
        <item h="1" x="6"/>
        <item h="1" x="5"/>
        <item t="default"/>
      </items>
    </pivotField>
    <pivotField showAll="0"/>
    <pivotField axis="axisPage" multipleItemSelectionAllowed="1" showAll="0">
      <items count="13">
        <item h="1" x="1"/>
        <item x="0"/>
        <item x="2"/>
        <item x="6"/>
        <item x="5"/>
        <item x="4"/>
        <item x="10"/>
        <item x="11"/>
        <item x="3"/>
        <item x="7"/>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Fields count="1">
    <field x="-2"/>
  </colFields>
  <colItems count="5">
    <i>
      <x/>
    </i>
    <i i="1">
      <x v="1"/>
    </i>
    <i i="2">
      <x v="2"/>
    </i>
    <i i="3">
      <x v="3"/>
    </i>
    <i i="4">
      <x v="4"/>
    </i>
  </colItems>
  <pageFields count="3">
    <pageField fld="1" hier="-1"/>
    <pageField fld="9" hier="-1"/>
    <pageField fld="11" hier="-1"/>
  </pageFields>
  <dataFields count="5">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s>
  <formats count="42">
    <format dxfId="940">
      <pivotArea type="all" dataOnly="0" outline="0" fieldPosition="0"/>
    </format>
    <format dxfId="939">
      <pivotArea type="all" dataOnly="0" outline="0" fieldPosition="0"/>
    </format>
    <format dxfId="938">
      <pivotArea type="all" dataOnly="0" outline="0" fieldPosition="0"/>
    </format>
    <format dxfId="937">
      <pivotArea type="all" dataOnly="0" outline="0" fieldPosition="0"/>
    </format>
    <format dxfId="936">
      <pivotArea type="all" dataOnly="0" outline="0" fieldPosition="0"/>
    </format>
    <format dxfId="935">
      <pivotArea type="all" dataOnly="0" outline="0" fieldPosition="0"/>
    </format>
    <format dxfId="934">
      <pivotArea type="all" dataOnly="0" outline="0" fieldPosition="0"/>
    </format>
    <format dxfId="933">
      <pivotArea type="all" dataOnly="0" outline="0" fieldPosition="0"/>
    </format>
    <format dxfId="932">
      <pivotArea type="all" dataOnly="0" outline="0" fieldPosition="0"/>
    </format>
    <format dxfId="931">
      <pivotArea type="all" dataOnly="0" outline="0" fieldPosition="0"/>
    </format>
    <format dxfId="930">
      <pivotArea type="all" dataOnly="0" outline="0" fieldPosition="0"/>
    </format>
    <format dxfId="929">
      <pivotArea outline="0" collapsedLevelsAreSubtotals="1" fieldPosition="0"/>
    </format>
    <format dxfId="928">
      <pivotArea dataOnly="0" labelOnly="1" outline="0" axis="axisValues" fieldPosition="0"/>
    </format>
    <format dxfId="927">
      <pivotArea type="all" dataOnly="0" outline="0" fieldPosition="0"/>
    </format>
    <format dxfId="926">
      <pivotArea outline="0" collapsedLevelsAreSubtotals="1" fieldPosition="0"/>
    </format>
    <format dxfId="925">
      <pivotArea dataOnly="0" labelOnly="1" outline="0" axis="axisValues" fieldPosition="0"/>
    </format>
    <format dxfId="924">
      <pivotArea type="all" dataOnly="0" outline="0" fieldPosition="0"/>
    </format>
    <format dxfId="923">
      <pivotArea outline="0" collapsedLevelsAreSubtotals="1" fieldPosition="0"/>
    </format>
    <format dxfId="922">
      <pivotArea dataOnly="0" labelOnly="1" outline="0" axis="axisValues" fieldPosition="0"/>
    </format>
    <format dxfId="921">
      <pivotArea type="all" dataOnly="0" outline="0" fieldPosition="0"/>
    </format>
    <format dxfId="920">
      <pivotArea outline="0" collapsedLevelsAreSubtotals="1" fieldPosition="0"/>
    </format>
    <format dxfId="919">
      <pivotArea dataOnly="0" labelOnly="1" outline="0" axis="axisValues" fieldPosition="0"/>
    </format>
    <format dxfId="918">
      <pivotArea outline="0" collapsedLevelsAreSubtotals="1" fieldPosition="0"/>
    </format>
    <format dxfId="917">
      <pivotArea outline="0" collapsedLevelsAreSubtotals="1" fieldPosition="0"/>
    </format>
    <format dxfId="916">
      <pivotArea type="all" dataOnly="0" outline="0" fieldPosition="0"/>
    </format>
    <format dxfId="915">
      <pivotArea outline="0" collapsedLevelsAreSubtotals="1" fieldPosition="0"/>
    </format>
    <format dxfId="914">
      <pivotArea dataOnly="0" labelOnly="1" outline="0" axis="axisValues" fieldPosition="0"/>
    </format>
    <format dxfId="913">
      <pivotArea type="all" dataOnly="0" outline="0" fieldPosition="0"/>
    </format>
    <format dxfId="912">
      <pivotArea outline="0" collapsedLevelsAreSubtotals="1" fieldPosition="0"/>
    </format>
    <format dxfId="911">
      <pivotArea dataOnly="0" labelOnly="1" outline="0" axis="axisValues" fieldPosition="0"/>
    </format>
    <format dxfId="910">
      <pivotArea type="all" dataOnly="0" outline="0" fieldPosition="0"/>
    </format>
    <format dxfId="909">
      <pivotArea outline="0" collapsedLevelsAreSubtotals="1" fieldPosition="0"/>
    </format>
    <format dxfId="908">
      <pivotArea dataOnly="0" labelOnly="1" outline="0" axis="axisValues" fieldPosition="0"/>
    </format>
    <format dxfId="907">
      <pivotArea type="all" dataOnly="0" outline="0" fieldPosition="0"/>
    </format>
    <format dxfId="906">
      <pivotArea outline="0" collapsedLevelsAreSubtotals="1" fieldPosition="0"/>
    </format>
    <format dxfId="905">
      <pivotArea dataOnly="0" labelOnly="1" outline="0" axis="axisValues" fieldPosition="0"/>
    </format>
    <format dxfId="904">
      <pivotArea type="all" dataOnly="0" outline="0" fieldPosition="0"/>
    </format>
    <format dxfId="903">
      <pivotArea outline="0" collapsedLevelsAreSubtotals="1" fieldPosition="0"/>
    </format>
    <format dxfId="902">
      <pivotArea dataOnly="0" labelOnly="1" outline="0" axis="axisValues" fieldPosition="0"/>
    </format>
    <format dxfId="901">
      <pivotArea outline="0" collapsedLevelsAreSubtotals="1" fieldPosition="0"/>
    </format>
    <format dxfId="900">
      <pivotArea type="all" dataOnly="0" outline="0" fieldPosition="0"/>
    </format>
    <format dxfId="89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FD1EC33F-F8FC-443F-8ACB-2178EE1150F7}" name="PivotTable1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5:I8" firstHeaderRow="1" firstDataRow="1" firstDataCol="1" rowPageCount="1" colPageCount="1"/>
  <pivotFields count="85">
    <pivotField showAll="0"/>
    <pivotField multipleItemSelectionAllowed="1" showAll="0" defaultSubtotal="0"/>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x="0"/>
        <item h="1" x="1"/>
        <item h="1" x="2"/>
        <item h="1" x="6"/>
        <item h="1" x="3"/>
        <item h="1" x="4"/>
        <item h="1" x="5"/>
        <item t="default"/>
      </items>
    </pivotField>
    <pivotField axis="axisRow" showAll="0">
      <items count="9">
        <item x="1"/>
        <item x="2"/>
        <item x="3"/>
        <item x="5"/>
        <item x="0"/>
        <item x="7"/>
        <item x="4"/>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0"/>
  </rowFields>
  <rowItems count="3">
    <i>
      <x/>
    </i>
    <i>
      <x v="4"/>
    </i>
    <i t="grand">
      <x/>
    </i>
  </rowItems>
  <colItems count="1">
    <i/>
  </colItems>
  <pageFields count="1">
    <pageField fld="9" hier="-1"/>
  </pageFields>
  <dataFields count="1">
    <dataField name="Sum of Units Proposed" fld="36" baseField="0" baseItem="0"/>
  </dataFields>
  <formats count="43">
    <format dxfId="983">
      <pivotArea type="all" dataOnly="0" outline="0" fieldPosition="0"/>
    </format>
    <format dxfId="982">
      <pivotArea type="all" dataOnly="0" outline="0" fieldPosition="0"/>
    </format>
    <format dxfId="981">
      <pivotArea type="all" dataOnly="0" outline="0" fieldPosition="0"/>
    </format>
    <format dxfId="980">
      <pivotArea type="all" dataOnly="0" outline="0" fieldPosition="0"/>
    </format>
    <format dxfId="979">
      <pivotArea type="all" dataOnly="0" outline="0" fieldPosition="0"/>
    </format>
    <format dxfId="978">
      <pivotArea type="all" dataOnly="0" outline="0" fieldPosition="0"/>
    </format>
    <format dxfId="977">
      <pivotArea type="all" dataOnly="0" outline="0" fieldPosition="0"/>
    </format>
    <format dxfId="976">
      <pivotArea type="all" dataOnly="0" outline="0" fieldPosition="0"/>
    </format>
    <format dxfId="975">
      <pivotArea type="all" dataOnly="0" outline="0" fieldPosition="0"/>
    </format>
    <format dxfId="974">
      <pivotArea type="all" dataOnly="0" outline="0" fieldPosition="0"/>
    </format>
    <format dxfId="973">
      <pivotArea type="all" dataOnly="0" outline="0" fieldPosition="0"/>
    </format>
    <format dxfId="972">
      <pivotArea outline="0" collapsedLevelsAreSubtotals="1" fieldPosition="0"/>
    </format>
    <format dxfId="971">
      <pivotArea dataOnly="0" labelOnly="1" outline="0" axis="axisValues" fieldPosition="0"/>
    </format>
    <format dxfId="970">
      <pivotArea type="all" dataOnly="0" outline="0" fieldPosition="0"/>
    </format>
    <format dxfId="969">
      <pivotArea outline="0" collapsedLevelsAreSubtotals="1" fieldPosition="0"/>
    </format>
    <format dxfId="968">
      <pivotArea dataOnly="0" labelOnly="1" outline="0" axis="axisValues" fieldPosition="0"/>
    </format>
    <format dxfId="967">
      <pivotArea type="all" dataOnly="0" outline="0" fieldPosition="0"/>
    </format>
    <format dxfId="966">
      <pivotArea outline="0" collapsedLevelsAreSubtotals="1" fieldPosition="0"/>
    </format>
    <format dxfId="965">
      <pivotArea dataOnly="0" labelOnly="1" outline="0" axis="axisValues" fieldPosition="0"/>
    </format>
    <format dxfId="964">
      <pivotArea type="all" dataOnly="0" outline="0" fieldPosition="0"/>
    </format>
    <format dxfId="963">
      <pivotArea outline="0" collapsedLevelsAreSubtotals="1" fieldPosition="0"/>
    </format>
    <format dxfId="962">
      <pivotArea dataOnly="0" labelOnly="1" outline="0" axis="axisValues" fieldPosition="0"/>
    </format>
    <format dxfId="961">
      <pivotArea type="all" dataOnly="0" outline="0" fieldPosition="0"/>
    </format>
    <format dxfId="960">
      <pivotArea outline="0" collapsedLevelsAreSubtotals="1" fieldPosition="0"/>
    </format>
    <format dxfId="959">
      <pivotArea dataOnly="0" labelOnly="1" outline="0" axis="axisValues" fieldPosition="0"/>
    </format>
    <format dxfId="958">
      <pivotArea type="all" dataOnly="0" outline="0" fieldPosition="0"/>
    </format>
    <format dxfId="957">
      <pivotArea outline="0" collapsedLevelsAreSubtotals="1" fieldPosition="0"/>
    </format>
    <format dxfId="956">
      <pivotArea dataOnly="0" labelOnly="1" outline="0" axis="axisValues" fieldPosition="0"/>
    </format>
    <format dxfId="955">
      <pivotArea type="all" dataOnly="0" outline="0" fieldPosition="0"/>
    </format>
    <format dxfId="954">
      <pivotArea outline="0" collapsedLevelsAreSubtotals="1" fieldPosition="0"/>
    </format>
    <format dxfId="953">
      <pivotArea outline="0" collapsedLevelsAreSubtotals="1" fieldPosition="0"/>
    </format>
    <format dxfId="952">
      <pivotArea type="all" dataOnly="0" outline="0" fieldPosition="0"/>
    </format>
    <format dxfId="951">
      <pivotArea outline="0" collapsedLevelsAreSubtotals="1" fieldPosition="0"/>
    </format>
    <format dxfId="950">
      <pivotArea dataOnly="0" labelOnly="1" outline="0" axis="axisValues" fieldPosition="0"/>
    </format>
    <format dxfId="949">
      <pivotArea type="all" dataOnly="0" outline="0" fieldPosition="0"/>
    </format>
    <format dxfId="948">
      <pivotArea outline="0" collapsedLevelsAreSubtotals="1" fieldPosition="0"/>
    </format>
    <format dxfId="947">
      <pivotArea type="all" dataOnly="0" outline="0" fieldPosition="0"/>
    </format>
    <format dxfId="946">
      <pivotArea outline="0" collapsedLevelsAreSubtotals="1" fieldPosition="0"/>
    </format>
    <format dxfId="945">
      <pivotArea outline="0" collapsedLevelsAreSubtotals="1" fieldPosition="0"/>
    </format>
    <format dxfId="944">
      <pivotArea type="all" dataOnly="0" outline="0" fieldPosition="0"/>
    </format>
    <format dxfId="943">
      <pivotArea type="all" dataOnly="0" outline="0" fieldPosition="0"/>
    </format>
    <format dxfId="942">
      <pivotArea outline="0" collapsedLevelsAreSubtotals="1" fieldPosition="0"/>
    </format>
    <format dxfId="94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5A7146FF-95C5-4110-99C3-2E0A30198267}" name="PivotTable5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98:B99"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1"/>
        <item x="2"/>
        <item h="1" x="6"/>
        <item h="1" x="4"/>
        <item h="1" x="3"/>
        <item h="1" x="5"/>
        <item h="1" x="0"/>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Net Dwellings" fld="45" baseField="0" baseItem="0"/>
  </dataFields>
  <formats count="40">
    <format dxfId="1023">
      <pivotArea type="all" dataOnly="0" outline="0" fieldPosition="0"/>
    </format>
    <format dxfId="1022">
      <pivotArea type="all" dataOnly="0" outline="0" fieldPosition="0"/>
    </format>
    <format dxfId="1021">
      <pivotArea type="all" dataOnly="0" outline="0" fieldPosition="0"/>
    </format>
    <format dxfId="1020">
      <pivotArea type="all" dataOnly="0" outline="0" fieldPosition="0"/>
    </format>
    <format dxfId="1019">
      <pivotArea type="all" dataOnly="0" outline="0" fieldPosition="0"/>
    </format>
    <format dxfId="1018">
      <pivotArea type="all" dataOnly="0" outline="0" fieldPosition="0"/>
    </format>
    <format dxfId="1017">
      <pivotArea type="all" dataOnly="0" outline="0" fieldPosition="0"/>
    </format>
    <format dxfId="1016">
      <pivotArea type="all" dataOnly="0" outline="0" fieldPosition="0"/>
    </format>
    <format dxfId="1015">
      <pivotArea type="all" dataOnly="0" outline="0" fieldPosition="0"/>
    </format>
    <format dxfId="1014">
      <pivotArea type="all" dataOnly="0" outline="0" fieldPosition="0"/>
    </format>
    <format dxfId="1013">
      <pivotArea type="all" dataOnly="0" outline="0" fieldPosition="0"/>
    </format>
    <format dxfId="1012">
      <pivotArea outline="0" collapsedLevelsAreSubtotals="1" fieldPosition="0"/>
    </format>
    <format dxfId="1011">
      <pivotArea dataOnly="0" labelOnly="1" outline="0" axis="axisValues" fieldPosition="0"/>
    </format>
    <format dxfId="1010">
      <pivotArea type="all" dataOnly="0" outline="0" fieldPosition="0"/>
    </format>
    <format dxfId="1009">
      <pivotArea outline="0" collapsedLevelsAreSubtotals="1" fieldPosition="0"/>
    </format>
    <format dxfId="1008">
      <pivotArea dataOnly="0" labelOnly="1" outline="0" axis="axisValues" fieldPosition="0"/>
    </format>
    <format dxfId="1007">
      <pivotArea type="all" dataOnly="0" outline="0" fieldPosition="0"/>
    </format>
    <format dxfId="1006">
      <pivotArea outline="0" collapsedLevelsAreSubtotals="1" fieldPosition="0"/>
    </format>
    <format dxfId="1005">
      <pivotArea dataOnly="0" labelOnly="1" outline="0" axis="axisValues" fieldPosition="0"/>
    </format>
    <format dxfId="1004">
      <pivotArea type="all" dataOnly="0" outline="0" fieldPosition="0"/>
    </format>
    <format dxfId="1003">
      <pivotArea outline="0" collapsedLevelsAreSubtotals="1" fieldPosition="0"/>
    </format>
    <format dxfId="1002">
      <pivotArea dataOnly="0" labelOnly="1" outline="0" axis="axisValues" fieldPosition="0"/>
    </format>
    <format dxfId="1001">
      <pivotArea type="all" dataOnly="0" outline="0" fieldPosition="0"/>
    </format>
    <format dxfId="1000">
      <pivotArea outline="0" collapsedLevelsAreSubtotals="1" fieldPosition="0"/>
    </format>
    <format dxfId="999">
      <pivotArea dataOnly="0" labelOnly="1" outline="0" axis="axisValues" fieldPosition="0"/>
    </format>
    <format dxfId="998">
      <pivotArea type="all" dataOnly="0" outline="0" fieldPosition="0"/>
    </format>
    <format dxfId="997">
      <pivotArea outline="0" collapsedLevelsAreSubtotals="1" fieldPosition="0"/>
    </format>
    <format dxfId="996">
      <pivotArea dataOnly="0" labelOnly="1" outline="0" axis="axisValues" fieldPosition="0"/>
    </format>
    <format dxfId="995">
      <pivotArea type="all" dataOnly="0" outline="0" fieldPosition="0"/>
    </format>
    <format dxfId="994">
      <pivotArea outline="0" collapsedLevelsAreSubtotals="1" fieldPosition="0"/>
    </format>
    <format dxfId="993">
      <pivotArea dataOnly="0" labelOnly="1" outline="0" axis="axisValues" fieldPosition="0"/>
    </format>
    <format dxfId="992">
      <pivotArea type="all" dataOnly="0" outline="0" fieldPosition="0"/>
    </format>
    <format dxfId="991">
      <pivotArea outline="0" collapsedLevelsAreSubtotals="1" fieldPosition="0"/>
    </format>
    <format dxfId="990">
      <pivotArea type="all" dataOnly="0" outline="0" fieldPosition="0"/>
    </format>
    <format dxfId="989">
      <pivotArea outline="0" collapsedLevelsAreSubtotals="1" fieldPosition="0"/>
    </format>
    <format dxfId="988">
      <pivotArea outline="0" collapsedLevelsAreSubtotals="1" fieldPosition="0"/>
    </format>
    <format dxfId="987">
      <pivotArea type="all" dataOnly="0" outline="0" fieldPosition="0"/>
    </format>
    <format dxfId="986">
      <pivotArea type="all" dataOnly="0" outline="0" fieldPosition="0"/>
    </format>
    <format dxfId="985">
      <pivotArea outline="0" collapsedLevelsAreSubtotals="1" fieldPosition="0"/>
    </format>
    <format dxfId="98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2B756EB9-863E-428C-ACB7-25AC8507A5A9}" name="PivotTable63" cacheId="1"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63:B164" firstHeaderRow="1" firstDataRow="1" firstDataCol="0" rowPageCount="3" colPageCount="1"/>
  <pivotFields count="72">
    <pivotField showAll="0" defaultSubtotal="0"/>
    <pivotField axis="axisPage" multipleItemSelectionAllowed="1" showAll="0" defaultSubtotal="0">
      <items count="5">
        <item h="1" x="1"/>
        <item h="1" x="4"/>
        <item h="1" x="2"/>
        <item x="3"/>
        <item x="0"/>
      </items>
    </pivotField>
    <pivotField showAll="0" defaultSubtotal="0"/>
    <pivotField showAll="0"/>
    <pivotField showAll="0"/>
    <pivotField showAll="0" defaultSubtotal="0"/>
    <pivotField showAll="0"/>
    <pivotField showAll="0"/>
    <pivotField showAll="0" defaultSubtotal="0"/>
    <pivotField axis="axisPage" multipleItemSelectionAllowed="1" showAll="0" defaultSubtotal="0">
      <items count="8">
        <item x="0"/>
        <item h="1" x="1"/>
        <item h="1" x="2"/>
        <item h="1" m="1" x="5"/>
        <item h="1" m="1" x="7"/>
        <item h="1" m="1" x="3"/>
        <item h="1" m="1" x="4"/>
        <item h="1" m="1" x="6"/>
      </items>
    </pivotField>
    <pivotField axis="axisPage" multipleItemSelectionAllowed="1" showAll="0" defaultSubtotal="0">
      <items count="11">
        <item x="0"/>
        <item h="1" x="1"/>
        <item h="1" x="2"/>
        <item h="1" x="6"/>
        <item h="1" x="4"/>
        <item h="1" x="3"/>
        <item h="1" x="5"/>
        <item h="1" m="1" x="8"/>
        <item h="1" m="1" x="9"/>
        <item h="1" m="1" x="10"/>
        <item h="1" m="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3">
    <pageField fld="9" hier="-1"/>
    <pageField fld="1" hier="-1"/>
    <pageField fld="10" hier="-1"/>
  </pageFields>
  <dataFields count="1">
    <dataField name="Sum of Units Proposed" fld="36" baseField="0" baseItem="0"/>
  </dataFields>
  <formats count="40">
    <format dxfId="1063">
      <pivotArea type="all" dataOnly="0" outline="0" fieldPosition="0"/>
    </format>
    <format dxfId="1062">
      <pivotArea type="all" dataOnly="0" outline="0" fieldPosition="0"/>
    </format>
    <format dxfId="1061">
      <pivotArea type="all" dataOnly="0" outline="0" fieldPosition="0"/>
    </format>
    <format dxfId="1060">
      <pivotArea type="all" dataOnly="0" outline="0" fieldPosition="0"/>
    </format>
    <format dxfId="1059">
      <pivotArea type="all" dataOnly="0" outline="0" fieldPosition="0"/>
    </format>
    <format dxfId="1058">
      <pivotArea type="all" dataOnly="0" outline="0" fieldPosition="0"/>
    </format>
    <format dxfId="1057">
      <pivotArea type="all" dataOnly="0" outline="0" fieldPosition="0"/>
    </format>
    <format dxfId="1056">
      <pivotArea type="all" dataOnly="0" outline="0" fieldPosition="0"/>
    </format>
    <format dxfId="1055">
      <pivotArea type="all" dataOnly="0" outline="0" fieldPosition="0"/>
    </format>
    <format dxfId="1054">
      <pivotArea type="all" dataOnly="0" outline="0" fieldPosition="0"/>
    </format>
    <format dxfId="1053">
      <pivotArea type="all" dataOnly="0" outline="0" fieldPosition="0"/>
    </format>
    <format dxfId="1052">
      <pivotArea outline="0" collapsedLevelsAreSubtotals="1" fieldPosition="0"/>
    </format>
    <format dxfId="1051">
      <pivotArea dataOnly="0" labelOnly="1" outline="0" axis="axisValues" fieldPosition="0"/>
    </format>
    <format dxfId="1050">
      <pivotArea type="all" dataOnly="0" outline="0" fieldPosition="0"/>
    </format>
    <format dxfId="1049">
      <pivotArea outline="0" collapsedLevelsAreSubtotals="1" fieldPosition="0"/>
    </format>
    <format dxfId="1048">
      <pivotArea dataOnly="0" labelOnly="1" outline="0" axis="axisValues" fieldPosition="0"/>
    </format>
    <format dxfId="1047">
      <pivotArea type="all" dataOnly="0" outline="0" fieldPosition="0"/>
    </format>
    <format dxfId="1046">
      <pivotArea outline="0" collapsedLevelsAreSubtotals="1" fieldPosition="0"/>
    </format>
    <format dxfId="1045">
      <pivotArea dataOnly="0" labelOnly="1" outline="0" axis="axisValues" fieldPosition="0"/>
    </format>
    <format dxfId="1044">
      <pivotArea type="all" dataOnly="0" outline="0" fieldPosition="0"/>
    </format>
    <format dxfId="1043">
      <pivotArea outline="0" collapsedLevelsAreSubtotals="1" fieldPosition="0"/>
    </format>
    <format dxfId="1042">
      <pivotArea dataOnly="0" labelOnly="1" outline="0" axis="axisValues" fieldPosition="0"/>
    </format>
    <format dxfId="1041">
      <pivotArea type="all" dataOnly="0" outline="0" fieldPosition="0"/>
    </format>
    <format dxfId="1040">
      <pivotArea outline="0" collapsedLevelsAreSubtotals="1" fieldPosition="0"/>
    </format>
    <format dxfId="1039">
      <pivotArea dataOnly="0" labelOnly="1" outline="0" axis="axisValues" fieldPosition="0"/>
    </format>
    <format dxfId="1038">
      <pivotArea type="all" dataOnly="0" outline="0" fieldPosition="0"/>
    </format>
    <format dxfId="1037">
      <pivotArea outline="0" collapsedLevelsAreSubtotals="1" fieldPosition="0"/>
    </format>
    <format dxfId="1036">
      <pivotArea dataOnly="0" labelOnly="1" outline="0" axis="axisValues" fieldPosition="0"/>
    </format>
    <format dxfId="1035">
      <pivotArea type="all" dataOnly="0" outline="0" fieldPosition="0"/>
    </format>
    <format dxfId="1034">
      <pivotArea outline="0" collapsedLevelsAreSubtotals="1" fieldPosition="0"/>
    </format>
    <format dxfId="1033">
      <pivotArea dataOnly="0" labelOnly="1" outline="0" axis="axisValues" fieldPosition="0"/>
    </format>
    <format dxfId="1032">
      <pivotArea type="all" dataOnly="0" outline="0" fieldPosition="0"/>
    </format>
    <format dxfId="1031">
      <pivotArea outline="0" collapsedLevelsAreSubtotals="1" fieldPosition="0"/>
    </format>
    <format dxfId="1030">
      <pivotArea type="all" dataOnly="0" outline="0" fieldPosition="0"/>
    </format>
    <format dxfId="1029">
      <pivotArea outline="0" collapsedLevelsAreSubtotals="1" fieldPosition="0"/>
    </format>
    <format dxfId="1028">
      <pivotArea outline="0" collapsedLevelsAreSubtotals="1" fieldPosition="0"/>
    </format>
    <format dxfId="1027">
      <pivotArea type="all" dataOnly="0" outline="0" fieldPosition="0"/>
    </format>
    <format dxfId="1026">
      <pivotArea type="all" dataOnly="0" outline="0" fieldPosition="0"/>
    </format>
    <format dxfId="1025">
      <pivotArea outline="0" collapsedLevelsAreSubtotals="1" fieldPosition="0"/>
    </format>
    <format dxfId="102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83030ACF-40CC-4509-A538-7B9AD8724303}" name="PivotTable40"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24:B125"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0"/>
        <item h="1" x="1"/>
        <item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Units Proposed" fld="36" baseField="0" baseItem="0"/>
  </dataFields>
  <formats count="40">
    <format dxfId="1103">
      <pivotArea type="all" dataOnly="0" outline="0" fieldPosition="0"/>
    </format>
    <format dxfId="1102">
      <pivotArea type="all" dataOnly="0" outline="0" fieldPosition="0"/>
    </format>
    <format dxfId="1101">
      <pivotArea type="all" dataOnly="0" outline="0" fieldPosition="0"/>
    </format>
    <format dxfId="1100">
      <pivotArea type="all" dataOnly="0" outline="0" fieldPosition="0"/>
    </format>
    <format dxfId="1099">
      <pivotArea type="all" dataOnly="0" outline="0" fieldPosition="0"/>
    </format>
    <format dxfId="1098">
      <pivotArea type="all" dataOnly="0" outline="0" fieldPosition="0"/>
    </format>
    <format dxfId="1097">
      <pivotArea type="all" dataOnly="0" outline="0" fieldPosition="0"/>
    </format>
    <format dxfId="1096">
      <pivotArea type="all" dataOnly="0" outline="0" fieldPosition="0"/>
    </format>
    <format dxfId="1095">
      <pivotArea type="all" dataOnly="0" outline="0" fieldPosition="0"/>
    </format>
    <format dxfId="1094">
      <pivotArea type="all" dataOnly="0" outline="0" fieldPosition="0"/>
    </format>
    <format dxfId="1093">
      <pivotArea type="all" dataOnly="0" outline="0" fieldPosition="0"/>
    </format>
    <format dxfId="1092">
      <pivotArea outline="0" collapsedLevelsAreSubtotals="1" fieldPosition="0"/>
    </format>
    <format dxfId="1091">
      <pivotArea dataOnly="0" labelOnly="1" outline="0" axis="axisValues" fieldPosition="0"/>
    </format>
    <format dxfId="1090">
      <pivotArea type="all" dataOnly="0" outline="0" fieldPosition="0"/>
    </format>
    <format dxfId="1089">
      <pivotArea outline="0" collapsedLevelsAreSubtotals="1" fieldPosition="0"/>
    </format>
    <format dxfId="1088">
      <pivotArea dataOnly="0" labelOnly="1" outline="0" axis="axisValues" fieldPosition="0"/>
    </format>
    <format dxfId="1087">
      <pivotArea type="all" dataOnly="0" outline="0" fieldPosition="0"/>
    </format>
    <format dxfId="1086">
      <pivotArea outline="0" collapsedLevelsAreSubtotals="1" fieldPosition="0"/>
    </format>
    <format dxfId="1085">
      <pivotArea dataOnly="0" labelOnly="1" outline="0" axis="axisValues" fieldPosition="0"/>
    </format>
    <format dxfId="1084">
      <pivotArea type="all" dataOnly="0" outline="0" fieldPosition="0"/>
    </format>
    <format dxfId="1083">
      <pivotArea outline="0" collapsedLevelsAreSubtotals="1" fieldPosition="0"/>
    </format>
    <format dxfId="1082">
      <pivotArea dataOnly="0" labelOnly="1" outline="0" axis="axisValues" fieldPosition="0"/>
    </format>
    <format dxfId="1081">
      <pivotArea type="all" dataOnly="0" outline="0" fieldPosition="0"/>
    </format>
    <format dxfId="1080">
      <pivotArea outline="0" collapsedLevelsAreSubtotals="1" fieldPosition="0"/>
    </format>
    <format dxfId="1079">
      <pivotArea dataOnly="0" labelOnly="1" outline="0" axis="axisValues" fieldPosition="0"/>
    </format>
    <format dxfId="1078">
      <pivotArea type="all" dataOnly="0" outline="0" fieldPosition="0"/>
    </format>
    <format dxfId="1077">
      <pivotArea outline="0" collapsedLevelsAreSubtotals="1" fieldPosition="0"/>
    </format>
    <format dxfId="1076">
      <pivotArea dataOnly="0" labelOnly="1" outline="0" axis="axisValues" fieldPosition="0"/>
    </format>
    <format dxfId="1075">
      <pivotArea type="all" dataOnly="0" outline="0" fieldPosition="0"/>
    </format>
    <format dxfId="1074">
      <pivotArea outline="0" collapsedLevelsAreSubtotals="1" fieldPosition="0"/>
    </format>
    <format dxfId="1073">
      <pivotArea dataOnly="0" labelOnly="1" outline="0" axis="axisValues" fieldPosition="0"/>
    </format>
    <format dxfId="1072">
      <pivotArea type="all" dataOnly="0" outline="0" fieldPosition="0"/>
    </format>
    <format dxfId="1071">
      <pivotArea outline="0" collapsedLevelsAreSubtotals="1" fieldPosition="0"/>
    </format>
    <format dxfId="1070">
      <pivotArea type="all" dataOnly="0" outline="0" fieldPosition="0"/>
    </format>
    <format dxfId="1069">
      <pivotArea outline="0" collapsedLevelsAreSubtotals="1" fieldPosition="0"/>
    </format>
    <format dxfId="1068">
      <pivotArea outline="0" collapsedLevelsAreSubtotals="1" fieldPosition="0"/>
    </format>
    <format dxfId="1067">
      <pivotArea type="all" dataOnly="0" outline="0" fieldPosition="0"/>
    </format>
    <format dxfId="1066">
      <pivotArea type="all" dataOnly="0" outline="0" fieldPosition="0"/>
    </format>
    <format dxfId="1065">
      <pivotArea outline="0" collapsedLevelsAreSubtotals="1" fieldPosition="0"/>
    </format>
    <format dxfId="106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37CD780D-447F-4653-BA9D-618A496CA46B}" name="PivotTable30" cacheId="4"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5:E6" firstHeaderRow="1" firstDataRow="1" firstDataCol="0" rowPageCount="1" colPageCount="1"/>
  <pivotFields count="30">
    <pivotField showAll="0"/>
    <pivotField multipleItemSelectionAllowed="1" showAll="0" defaultSubtotal="0"/>
    <pivotField showAll="0"/>
    <pivotField numFmtId="14" showAll="0"/>
    <pivotField numFmtId="14" showAll="0"/>
    <pivotField showAll="0" defaultSubtotal="0"/>
    <pivotField showAll="0" defaultSubtotal="0"/>
    <pivotField axis="axisPage" multipleItemSelectionAllowed="1" showAll="0">
      <items count="4">
        <item x="0"/>
        <item h="1"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Items count="1">
    <i/>
  </rowItems>
  <colItems count="1">
    <i/>
  </colItems>
  <pageFields count="1">
    <pageField fld="7" hier="-1"/>
  </pageFields>
  <dataFields count="1">
    <dataField name="Sum of 2024/25 (R)" fld="29" baseField="0" baseItem="0"/>
  </dataFields>
  <formats count="43">
    <format dxfId="1146">
      <pivotArea type="all" dataOnly="0" outline="0" fieldPosition="0"/>
    </format>
    <format dxfId="1145">
      <pivotArea type="all" dataOnly="0" outline="0" fieldPosition="0"/>
    </format>
    <format dxfId="1144">
      <pivotArea type="all" dataOnly="0" outline="0" fieldPosition="0"/>
    </format>
    <format dxfId="1143">
      <pivotArea type="all" dataOnly="0" outline="0" fieldPosition="0"/>
    </format>
    <format dxfId="1142">
      <pivotArea type="all" dataOnly="0" outline="0" fieldPosition="0"/>
    </format>
    <format dxfId="1141">
      <pivotArea type="all" dataOnly="0" outline="0" fieldPosition="0"/>
    </format>
    <format dxfId="1140">
      <pivotArea type="all" dataOnly="0" outline="0" fieldPosition="0"/>
    </format>
    <format dxfId="1139">
      <pivotArea type="all" dataOnly="0" outline="0" fieldPosition="0"/>
    </format>
    <format dxfId="1138">
      <pivotArea type="all" dataOnly="0" outline="0" fieldPosition="0"/>
    </format>
    <format dxfId="1137">
      <pivotArea type="all" dataOnly="0" outline="0" fieldPosition="0"/>
    </format>
    <format dxfId="1136">
      <pivotArea type="all" dataOnly="0" outline="0" fieldPosition="0"/>
    </format>
    <format dxfId="1135">
      <pivotArea outline="0" collapsedLevelsAreSubtotals="1" fieldPosition="0"/>
    </format>
    <format dxfId="1134">
      <pivotArea dataOnly="0" labelOnly="1" outline="0" axis="axisValues" fieldPosition="0"/>
    </format>
    <format dxfId="1133">
      <pivotArea type="all" dataOnly="0" outline="0" fieldPosition="0"/>
    </format>
    <format dxfId="1132">
      <pivotArea outline="0" collapsedLevelsAreSubtotals="1" fieldPosition="0"/>
    </format>
    <format dxfId="1131">
      <pivotArea dataOnly="0" labelOnly="1" outline="0" axis="axisValues" fieldPosition="0"/>
    </format>
    <format dxfId="1130">
      <pivotArea type="all" dataOnly="0" outline="0" fieldPosition="0"/>
    </format>
    <format dxfId="1129">
      <pivotArea outline="0" collapsedLevelsAreSubtotals="1" fieldPosition="0"/>
    </format>
    <format dxfId="1128">
      <pivotArea dataOnly="0" labelOnly="1" outline="0" axis="axisValues" fieldPosition="0"/>
    </format>
    <format dxfId="1127">
      <pivotArea type="all" dataOnly="0" outline="0" fieldPosition="0"/>
    </format>
    <format dxfId="1126">
      <pivotArea outline="0" collapsedLevelsAreSubtotals="1" fieldPosition="0"/>
    </format>
    <format dxfId="1125">
      <pivotArea dataOnly="0" labelOnly="1" outline="0" axis="axisValues" fieldPosition="0"/>
    </format>
    <format dxfId="1124">
      <pivotArea type="all" dataOnly="0" outline="0" fieldPosition="0"/>
    </format>
    <format dxfId="1123">
      <pivotArea outline="0" collapsedLevelsAreSubtotals="1" fieldPosition="0"/>
    </format>
    <format dxfId="1122">
      <pivotArea dataOnly="0" labelOnly="1" outline="0" axis="axisValues" fieldPosition="0"/>
    </format>
    <format dxfId="1121">
      <pivotArea type="all" dataOnly="0" outline="0" fieldPosition="0"/>
    </format>
    <format dxfId="1120">
      <pivotArea outline="0" collapsedLevelsAreSubtotals="1" fieldPosition="0"/>
    </format>
    <format dxfId="1119">
      <pivotArea dataOnly="0" labelOnly="1" outline="0" axis="axisValues" fieldPosition="0"/>
    </format>
    <format dxfId="1118">
      <pivotArea type="all" dataOnly="0" outline="0" fieldPosition="0"/>
    </format>
    <format dxfId="1117">
      <pivotArea outline="0" collapsedLevelsAreSubtotals="1" fieldPosition="0"/>
    </format>
    <format dxfId="1116">
      <pivotArea outline="0" collapsedLevelsAreSubtotals="1" fieldPosition="0"/>
    </format>
    <format dxfId="1115">
      <pivotArea type="all" dataOnly="0" outline="0" fieldPosition="0"/>
    </format>
    <format dxfId="1114">
      <pivotArea outline="0" collapsedLevelsAreSubtotals="1" fieldPosition="0"/>
    </format>
    <format dxfId="1113">
      <pivotArea dataOnly="0" labelOnly="1" outline="0" axis="axisValues" fieldPosition="0"/>
    </format>
    <format dxfId="1112">
      <pivotArea type="all" dataOnly="0" outline="0" fieldPosition="0"/>
    </format>
    <format dxfId="1111">
      <pivotArea outline="0" collapsedLevelsAreSubtotals="1" fieldPosition="0"/>
    </format>
    <format dxfId="1110">
      <pivotArea type="all" dataOnly="0" outline="0" fieldPosition="0"/>
    </format>
    <format dxfId="1109">
      <pivotArea outline="0" collapsedLevelsAreSubtotals="1" fieldPosition="0"/>
    </format>
    <format dxfId="1108">
      <pivotArea outline="0" collapsedLevelsAreSubtotals="1" fieldPosition="0"/>
    </format>
    <format dxfId="1107">
      <pivotArea type="all" dataOnly="0" outline="0" fieldPosition="0"/>
    </format>
    <format dxfId="1106">
      <pivotArea type="all" dataOnly="0" outline="0" fieldPosition="0"/>
    </format>
    <format dxfId="1105">
      <pivotArea outline="0" collapsedLevelsAreSubtotals="1" fieldPosition="0"/>
    </format>
    <format dxfId="110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7A5A91B0-2499-49B4-B74C-23BC3F70F408}" name="PivotTable8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388:F398" firstHeaderRow="1" firstDataRow="1" firstDataCol="1" rowPageCount="4" colPageCount="1"/>
  <pivotFields count="85">
    <pivotField showAll="0" defaultSubtotal="0"/>
    <pivotField axis="axisPage" multipleItemSelectionAllowed="1" showAll="0" defaultSubtotal="0">
      <items count="5">
        <item x="1"/>
        <item x="4"/>
        <item x="2"/>
        <item x="3"/>
        <item x="0"/>
      </items>
    </pivotField>
    <pivotField axis="axisPage" multipleItemSelectionAllowed="1" showAll="0" defaultSubtotal="0">
      <items count="8">
        <item x="1"/>
        <item h="1" x="5"/>
        <item h="1" x="0"/>
        <item h="1" x="2"/>
        <item h="1" x="3"/>
        <item h="1" x="4"/>
        <item h="1" x="6"/>
        <item h="1"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0">
        <item x="17"/>
        <item x="9"/>
        <item x="7"/>
        <item x="1"/>
        <item x="15"/>
        <item x="13"/>
        <item x="8"/>
        <item x="12"/>
        <item x="2"/>
        <item x="11"/>
        <item x="4"/>
        <item x="16"/>
        <item x="0"/>
        <item x="6"/>
        <item x="5"/>
        <item x="10"/>
        <item x="14"/>
        <item x="3"/>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0">
    <i>
      <x/>
    </i>
    <i>
      <x v="1"/>
    </i>
    <i>
      <x v="2"/>
    </i>
    <i>
      <x v="7"/>
    </i>
    <i>
      <x v="8"/>
    </i>
    <i>
      <x v="9"/>
    </i>
    <i>
      <x v="10"/>
    </i>
    <i>
      <x v="13"/>
    </i>
    <i>
      <x v="14"/>
    </i>
    <i t="grand">
      <x/>
    </i>
  </rowItems>
  <colItems count="1">
    <i/>
  </colItems>
  <pageFields count="4">
    <pageField fld="11" hier="-1"/>
    <pageField fld="9" hier="-1"/>
    <pageField fld="2" hier="-1"/>
    <pageField fld="1" hier="-1"/>
  </pageFields>
  <dataFields count="1">
    <dataField name="Sum of Net Dwellings" fld="45" baseField="0" baseItem="0"/>
  </dataFields>
  <formats count="51">
    <format dxfId="1197">
      <pivotArea type="all" dataOnly="0" outline="0" fieldPosition="0"/>
    </format>
    <format dxfId="1196">
      <pivotArea type="all" dataOnly="0" outline="0" fieldPosition="0"/>
    </format>
    <format dxfId="1195">
      <pivotArea type="all" dataOnly="0" outline="0" fieldPosition="0"/>
    </format>
    <format dxfId="1194">
      <pivotArea type="all" dataOnly="0" outline="0" fieldPosition="0"/>
    </format>
    <format dxfId="1193">
      <pivotArea type="all" dataOnly="0" outline="0" fieldPosition="0"/>
    </format>
    <format dxfId="1192">
      <pivotArea type="all" dataOnly="0" outline="0" fieldPosition="0"/>
    </format>
    <format dxfId="1191">
      <pivotArea type="all" dataOnly="0" outline="0" fieldPosition="0"/>
    </format>
    <format dxfId="1190">
      <pivotArea dataOnly="0" labelOnly="1" outline="0" fieldPosition="0">
        <references count="1">
          <reference field="4294967294" count="1">
            <x v="0"/>
          </reference>
        </references>
      </pivotArea>
    </format>
    <format dxfId="1189">
      <pivotArea dataOnly="0" labelOnly="1" outline="0" fieldPosition="0">
        <references count="1">
          <reference field="4294967294" count="1">
            <x v="0"/>
          </reference>
        </references>
      </pivotArea>
    </format>
    <format dxfId="1188">
      <pivotArea dataOnly="0" labelOnly="1" outline="0" fieldPosition="0">
        <references count="1">
          <reference field="4294967294" count="1">
            <x v="0"/>
          </reference>
        </references>
      </pivotArea>
    </format>
    <format dxfId="1187">
      <pivotArea type="all" dataOnly="0" outline="0" fieldPosition="0"/>
    </format>
    <format dxfId="1186">
      <pivotArea type="all" dataOnly="0" outline="0" fieldPosition="0"/>
    </format>
    <format dxfId="1185">
      <pivotArea type="all" dataOnly="0" outline="0" fieldPosition="0"/>
    </format>
    <format dxfId="1184">
      <pivotArea type="all" dataOnly="0" outline="0" fieldPosition="0"/>
    </format>
    <format dxfId="1183">
      <pivotArea outline="0" collapsedLevelsAreSubtotals="1" fieldPosition="0"/>
    </format>
    <format dxfId="1182">
      <pivotArea dataOnly="0" labelOnly="1" grandRow="1" outline="0" fieldPosition="0"/>
    </format>
    <format dxfId="1181">
      <pivotArea dataOnly="0" labelOnly="1" outline="0" axis="axisValues" fieldPosition="0"/>
    </format>
    <format dxfId="1180">
      <pivotArea type="all" dataOnly="0" outline="0" fieldPosition="0"/>
    </format>
    <format dxfId="1179">
      <pivotArea outline="0" collapsedLevelsAreSubtotals="1" fieldPosition="0"/>
    </format>
    <format dxfId="1178">
      <pivotArea dataOnly="0" labelOnly="1" grandRow="1" outline="0" fieldPosition="0"/>
    </format>
    <format dxfId="1177">
      <pivotArea dataOnly="0" labelOnly="1" outline="0" axis="axisValues" fieldPosition="0"/>
    </format>
    <format dxfId="1176">
      <pivotArea type="all" dataOnly="0" outline="0" fieldPosition="0"/>
    </format>
    <format dxfId="1175">
      <pivotArea outline="0" collapsedLevelsAreSubtotals="1" fieldPosition="0"/>
    </format>
    <format dxfId="1174">
      <pivotArea dataOnly="0" labelOnly="1" grandRow="1" outline="0" fieldPosition="0"/>
    </format>
    <format dxfId="1173">
      <pivotArea dataOnly="0" labelOnly="1" outline="0" axis="axisValues" fieldPosition="0"/>
    </format>
    <format dxfId="1172">
      <pivotArea type="all" dataOnly="0" outline="0" fieldPosition="0"/>
    </format>
    <format dxfId="1171">
      <pivotArea outline="0" collapsedLevelsAreSubtotals="1" fieldPosition="0"/>
    </format>
    <format dxfId="1170">
      <pivotArea field="71" type="button" dataOnly="0" labelOnly="1" outline="0" axis="axisRow" fieldPosition="0"/>
    </format>
    <format dxfId="1169">
      <pivotArea dataOnly="0" labelOnly="1" grandRow="1" outline="0" fieldPosition="0"/>
    </format>
    <format dxfId="1168">
      <pivotArea dataOnly="0" labelOnly="1" outline="0" axis="axisValues" fieldPosition="0"/>
    </format>
    <format dxfId="1167">
      <pivotArea type="all" dataOnly="0" outline="0" fieldPosition="0"/>
    </format>
    <format dxfId="1166">
      <pivotArea outline="0" collapsedLevelsAreSubtotals="1" fieldPosition="0"/>
    </format>
    <format dxfId="1165">
      <pivotArea field="71" type="button" dataOnly="0" labelOnly="1" outline="0" axis="axisRow" fieldPosition="0"/>
    </format>
    <format dxfId="1164">
      <pivotArea dataOnly="0" labelOnly="1" grandRow="1" outline="0" fieldPosition="0"/>
    </format>
    <format dxfId="1163">
      <pivotArea dataOnly="0" labelOnly="1" outline="0" axis="axisValues" fieldPosition="0"/>
    </format>
    <format dxfId="1162">
      <pivotArea type="all" dataOnly="0" outline="0" fieldPosition="0"/>
    </format>
    <format dxfId="1161">
      <pivotArea outline="0" collapsedLevelsAreSubtotals="1" fieldPosition="0"/>
    </format>
    <format dxfId="1160">
      <pivotArea field="71" type="button" dataOnly="0" labelOnly="1" outline="0" axis="axisRow" fieldPosition="0"/>
    </format>
    <format dxfId="1159">
      <pivotArea dataOnly="0" labelOnly="1" grandRow="1" outline="0" fieldPosition="0"/>
    </format>
    <format dxfId="1158">
      <pivotArea dataOnly="0" labelOnly="1" outline="0" axis="axisValues" fieldPosition="0"/>
    </format>
    <format dxfId="1157">
      <pivotArea type="all" dataOnly="0" outline="0" fieldPosition="0"/>
    </format>
    <format dxfId="1156">
      <pivotArea outline="0" collapsedLevelsAreSubtotals="1" fieldPosition="0"/>
    </format>
    <format dxfId="1155">
      <pivotArea field="71" type="button" dataOnly="0" labelOnly="1" outline="0" axis="axisRow" fieldPosition="0"/>
    </format>
    <format dxfId="1154">
      <pivotArea dataOnly="0" labelOnly="1" grandRow="1" outline="0" fieldPosition="0"/>
    </format>
    <format dxfId="1153">
      <pivotArea dataOnly="0" labelOnly="1" outline="0" axis="axisValues" fieldPosition="0"/>
    </format>
    <format dxfId="1152">
      <pivotArea type="all" dataOnly="0" outline="0" fieldPosition="0"/>
    </format>
    <format dxfId="1151">
      <pivotArea outline="0" collapsedLevelsAreSubtotals="1" fieldPosition="0"/>
    </format>
    <format dxfId="1150">
      <pivotArea field="71" type="button" dataOnly="0" labelOnly="1" outline="0" axis="axisRow" fieldPosition="0"/>
    </format>
    <format dxfId="1149">
      <pivotArea dataOnly="0" labelOnly="1" fieldPosition="0">
        <references count="1">
          <reference field="71" count="7">
            <x v="1"/>
            <x v="5"/>
            <x v="7"/>
            <x v="9"/>
            <x v="10"/>
            <x v="13"/>
            <x v="14"/>
          </reference>
        </references>
      </pivotArea>
    </format>
    <format dxfId="1148">
      <pivotArea dataOnly="0" labelOnly="1" grandRow="1" outline="0" fieldPosition="0"/>
    </format>
    <format dxfId="114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240FE3E6-CD0C-4BE4-92C2-2A4CD569E25C}" name="PivotTable41" cacheId="2" applyNumberFormats="0" applyBorderFormats="0" applyFontFormats="0" applyPatternFormats="0" applyAlignmentFormats="0" applyWidthHeightFormats="1" dataCaption="Values" missingCaption="0" updatedVersion="8" minRefreshableVersion="3" itemPrintTitles="1" createdVersion="4" indent="0" outline="1" outlineData="1" multipleFieldFilters="0">
  <location ref="H500:I509" firstHeaderRow="1" firstDataRow="1" firstDataCol="1" rowPageCount="4"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6"/>
        <item h="1" x="3"/>
        <item h="1" x="4"/>
        <item h="1" x="5"/>
      </items>
    </pivotField>
    <pivotField multipleItemSelectionAllowed="1" showAll="0" defaultSubtotal="0"/>
    <pivotField axis="axisPage" multipleItemSelectionAllowed="1" showAll="0">
      <items count="13">
        <item x="4"/>
        <item x="10"/>
        <item h="1"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9">
    <i>
      <x v="1"/>
    </i>
    <i>
      <x v="2"/>
    </i>
    <i>
      <x v="3"/>
    </i>
    <i>
      <x v="4"/>
    </i>
    <i>
      <x v="5"/>
    </i>
    <i>
      <x v="6"/>
    </i>
    <i>
      <x v="7"/>
    </i>
    <i>
      <x v="8"/>
    </i>
    <i t="grand">
      <x/>
    </i>
  </rowItems>
  <colItems count="1">
    <i/>
  </colItems>
  <pageFields count="4">
    <pageField fld="11" hier="-1"/>
    <pageField fld="9" hier="-1"/>
    <pageField fld="2" hier="-1"/>
    <pageField fld="1" hier="-1"/>
  </pageFields>
  <dataFields count="1">
    <dataField name="Sum of Net Dwellings" fld="45" baseField="0" baseItem="0"/>
  </dataFields>
  <formats count="49">
    <format dxfId="1246">
      <pivotArea type="all" dataOnly="0" outline="0" fieldPosition="0"/>
    </format>
    <format dxfId="1245">
      <pivotArea type="all" dataOnly="0" outline="0" fieldPosition="0"/>
    </format>
    <format dxfId="1244">
      <pivotArea type="all" dataOnly="0" outline="0" fieldPosition="0"/>
    </format>
    <format dxfId="1243">
      <pivotArea type="all" dataOnly="0" outline="0" fieldPosition="0"/>
    </format>
    <format dxfId="1242">
      <pivotArea type="all" dataOnly="0" outline="0" fieldPosition="0"/>
    </format>
    <format dxfId="1241">
      <pivotArea type="all" dataOnly="0" outline="0" fieldPosition="0"/>
    </format>
    <format dxfId="1240">
      <pivotArea type="all" dataOnly="0" outline="0" fieldPosition="0"/>
    </format>
    <format dxfId="1239">
      <pivotArea dataOnly="0" labelOnly="1" outline="0" fieldPosition="0">
        <references count="1">
          <reference field="4294967294" count="1">
            <x v="0"/>
          </reference>
        </references>
      </pivotArea>
    </format>
    <format dxfId="1238">
      <pivotArea dataOnly="0" labelOnly="1" outline="0" fieldPosition="0">
        <references count="1">
          <reference field="4294967294" count="1">
            <x v="0"/>
          </reference>
        </references>
      </pivotArea>
    </format>
    <format dxfId="1237">
      <pivotArea dataOnly="0" labelOnly="1" outline="0" fieldPosition="0">
        <references count="1">
          <reference field="4294967294" count="1">
            <x v="0"/>
          </reference>
        </references>
      </pivotArea>
    </format>
    <format dxfId="1236">
      <pivotArea type="all" dataOnly="0" outline="0" fieldPosition="0"/>
    </format>
    <format dxfId="1235">
      <pivotArea type="all" dataOnly="0" outline="0" fieldPosition="0"/>
    </format>
    <format dxfId="1234">
      <pivotArea type="all" dataOnly="0" outline="0" fieldPosition="0"/>
    </format>
    <format dxfId="1233">
      <pivotArea type="all" dataOnly="0" outline="0" fieldPosition="0"/>
    </format>
    <format dxfId="1232">
      <pivotArea outline="0" collapsedLevelsAreSubtotals="1" fieldPosition="0"/>
    </format>
    <format dxfId="1231">
      <pivotArea dataOnly="0" labelOnly="1" grandRow="1" outline="0" fieldPosition="0"/>
    </format>
    <format dxfId="1230">
      <pivotArea dataOnly="0" labelOnly="1" outline="0" axis="axisValues" fieldPosition="0"/>
    </format>
    <format dxfId="1229">
      <pivotArea grandRow="1" outline="0" collapsedLevelsAreSubtotals="1" fieldPosition="0"/>
    </format>
    <format dxfId="1228">
      <pivotArea type="all" dataOnly="0" outline="0" fieldPosition="0"/>
    </format>
    <format dxfId="1227">
      <pivotArea outline="0" collapsedLevelsAreSubtotals="1" fieldPosition="0"/>
    </format>
    <format dxfId="1226">
      <pivotArea dataOnly="0" labelOnly="1" grandRow="1" outline="0" fieldPosition="0"/>
    </format>
    <format dxfId="1225">
      <pivotArea dataOnly="0" labelOnly="1" outline="0" axis="axisValues" fieldPosition="0"/>
    </format>
    <format dxfId="1224">
      <pivotArea type="all" dataOnly="0" outline="0" fieldPosition="0"/>
    </format>
    <format dxfId="1223">
      <pivotArea outline="0" collapsedLevelsAreSubtotals="1" fieldPosition="0"/>
    </format>
    <format dxfId="1222">
      <pivotArea dataOnly="0" labelOnly="1" grandRow="1" outline="0" fieldPosition="0"/>
    </format>
    <format dxfId="1221">
      <pivotArea dataOnly="0" labelOnly="1" outline="0" axis="axisValues" fieldPosition="0"/>
    </format>
    <format dxfId="1220">
      <pivotArea type="all" dataOnly="0" outline="0" fieldPosition="0"/>
    </format>
    <format dxfId="1219">
      <pivotArea outline="0" collapsedLevelsAreSubtotals="1" fieldPosition="0"/>
    </format>
    <format dxfId="1218">
      <pivotArea field="71" type="button" dataOnly="0" labelOnly="1" outline="0"/>
    </format>
    <format dxfId="1217">
      <pivotArea dataOnly="0" labelOnly="1" grandRow="1" outline="0" fieldPosition="0"/>
    </format>
    <format dxfId="1216">
      <pivotArea dataOnly="0" labelOnly="1" outline="0" axis="axisValues" fieldPosition="0"/>
    </format>
    <format dxfId="1215">
      <pivotArea type="all" dataOnly="0" outline="0" fieldPosition="0"/>
    </format>
    <format dxfId="1214">
      <pivotArea outline="0" collapsedLevelsAreSubtotals="1" fieldPosition="0"/>
    </format>
    <format dxfId="1213">
      <pivotArea field="71" type="button" dataOnly="0" labelOnly="1" outline="0"/>
    </format>
    <format dxfId="1212">
      <pivotArea dataOnly="0" labelOnly="1" grandRow="1" outline="0" fieldPosition="0"/>
    </format>
    <format dxfId="1211">
      <pivotArea dataOnly="0" labelOnly="1" outline="0" axis="axisValues" fieldPosition="0"/>
    </format>
    <format dxfId="1210">
      <pivotArea type="all" dataOnly="0" outline="0" fieldPosition="0"/>
    </format>
    <format dxfId="1209">
      <pivotArea outline="0" collapsedLevelsAreSubtotals="1" fieldPosition="0"/>
    </format>
    <format dxfId="1208">
      <pivotArea field="71" type="button" dataOnly="0" labelOnly="1" outline="0"/>
    </format>
    <format dxfId="1207">
      <pivotArea dataOnly="0" labelOnly="1" grandRow="1" outline="0" fieldPosition="0"/>
    </format>
    <format dxfId="1206">
      <pivotArea dataOnly="0" labelOnly="1" outline="0" axis="axisValues" fieldPosition="0"/>
    </format>
    <format dxfId="1205">
      <pivotArea dataOnly="0" labelOnly="1" outline="0" fieldPosition="0">
        <references count="1">
          <reference field="2" count="0"/>
        </references>
      </pivotArea>
    </format>
    <format dxfId="1204">
      <pivotArea type="all" dataOnly="0" outline="0" fieldPosition="0"/>
    </format>
    <format dxfId="1203">
      <pivotArea outline="0" collapsedLevelsAreSubtotals="1" fieldPosition="0"/>
    </format>
    <format dxfId="1202">
      <pivotArea field="72" type="button" dataOnly="0" labelOnly="1" outline="0"/>
    </format>
    <format dxfId="1201">
      <pivotArea dataOnly="0" labelOnly="1" grandRow="1" outline="0" fieldPosition="0"/>
    </format>
    <format dxfId="1200">
      <pivotArea dataOnly="0" labelOnly="1" outline="0" axis="axisValues" fieldPosition="0"/>
    </format>
    <format dxfId="1199">
      <pivotArea outline="0" collapsedLevelsAreSubtotals="1" fieldPosition="0"/>
    </format>
    <format dxfId="119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3EF10A0B-979B-4D82-A3EA-52728C1BCA70}" name="PivotTable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3:B24" firstHeaderRow="1" firstDataRow="1" firstDataCol="0" rowPageCount="3" colPageCount="1"/>
  <pivotFields count="85">
    <pivotField showAll="0"/>
    <pivotField axis="axisPage" multipleItemSelectionAllowed="1" showAll="0" defaultSubtotal="0">
      <items count="5">
        <item h="1" x="1"/>
        <item h="1" x="4"/>
        <item h="1" x="2"/>
        <item x="3"/>
        <item x="0"/>
      </items>
    </pivotField>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x="2"/>
        <item h="1" x="6"/>
        <item h="1" x="3"/>
        <item h="1" x="4"/>
        <item h="1" x="5"/>
        <item t="default"/>
      </items>
    </pivotField>
    <pivotField showAll="0"/>
    <pivotField axis="axisPage" multipleItemSelectionAllowed="1" showAll="0">
      <items count="13">
        <item h="1" x="1"/>
        <item x="0"/>
        <item h="1" x="10"/>
        <item h="1" x="11"/>
        <item h="1" x="2"/>
        <item h="1" x="3"/>
        <item h="1" x="5"/>
        <item h="1" x="4"/>
        <item h="1" x="6"/>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1" hier="-1"/>
    <pageField fld="9" hier="-1"/>
    <pageField fld="11" hier="-1"/>
  </pageFields>
  <dataFields count="1">
    <dataField name="Sum of Net Dwellings" fld="45" baseField="0" baseItem="0" numFmtId="1"/>
  </dataFields>
  <formats count="44">
    <format dxfId="1290">
      <pivotArea type="all" dataOnly="0" outline="0" fieldPosition="0"/>
    </format>
    <format dxfId="1289">
      <pivotArea type="all" dataOnly="0" outline="0" fieldPosition="0"/>
    </format>
    <format dxfId="1288">
      <pivotArea type="all" dataOnly="0" outline="0" fieldPosition="0"/>
    </format>
    <format dxfId="1287">
      <pivotArea type="all" dataOnly="0" outline="0" fieldPosition="0"/>
    </format>
    <format dxfId="1286">
      <pivotArea type="all" dataOnly="0" outline="0" fieldPosition="0"/>
    </format>
    <format dxfId="1285">
      <pivotArea type="all" dataOnly="0" outline="0" fieldPosition="0"/>
    </format>
    <format dxfId="1284">
      <pivotArea type="all" dataOnly="0" outline="0" fieldPosition="0"/>
    </format>
    <format dxfId="1283">
      <pivotArea type="all" dataOnly="0" outline="0" fieldPosition="0"/>
    </format>
    <format dxfId="1282">
      <pivotArea type="all" dataOnly="0" outline="0" fieldPosition="0"/>
    </format>
    <format dxfId="1281">
      <pivotArea type="all" dataOnly="0" outline="0" fieldPosition="0"/>
    </format>
    <format dxfId="1280">
      <pivotArea type="all" dataOnly="0" outline="0" fieldPosition="0"/>
    </format>
    <format dxfId="1279">
      <pivotArea outline="0" collapsedLevelsAreSubtotals="1" fieldPosition="0"/>
    </format>
    <format dxfId="1278">
      <pivotArea dataOnly="0" labelOnly="1" outline="0" axis="axisValues" fieldPosition="0"/>
    </format>
    <format dxfId="1277">
      <pivotArea type="all" dataOnly="0" outline="0" fieldPosition="0"/>
    </format>
    <format dxfId="1276">
      <pivotArea outline="0" collapsedLevelsAreSubtotals="1" fieldPosition="0"/>
    </format>
    <format dxfId="1275">
      <pivotArea dataOnly="0" labelOnly="1" outline="0" axis="axisValues" fieldPosition="0"/>
    </format>
    <format dxfId="1274">
      <pivotArea type="all" dataOnly="0" outline="0" fieldPosition="0"/>
    </format>
    <format dxfId="1273">
      <pivotArea outline="0" collapsedLevelsAreSubtotals="1" fieldPosition="0"/>
    </format>
    <format dxfId="1272">
      <pivotArea dataOnly="0" labelOnly="1" outline="0" axis="axisValues" fieldPosition="0"/>
    </format>
    <format dxfId="1271">
      <pivotArea type="all" dataOnly="0" outline="0" fieldPosition="0"/>
    </format>
    <format dxfId="1270">
      <pivotArea outline="0" collapsedLevelsAreSubtotals="1" fieldPosition="0"/>
    </format>
    <format dxfId="1269">
      <pivotArea dataOnly="0" labelOnly="1" outline="0" axis="axisValues" fieldPosition="0"/>
    </format>
    <format dxfId="1268">
      <pivotArea outline="0" collapsedLevelsAreSubtotals="1" fieldPosition="0"/>
    </format>
    <format dxfId="1267">
      <pivotArea outline="0" collapsedLevelsAreSubtotals="1" fieldPosition="0"/>
    </format>
    <format dxfId="1266">
      <pivotArea type="all" dataOnly="0" outline="0" fieldPosition="0"/>
    </format>
    <format dxfId="1265">
      <pivotArea outline="0" collapsedLevelsAreSubtotals="1" fieldPosition="0"/>
    </format>
    <format dxfId="1264">
      <pivotArea dataOnly="0" labelOnly="1" outline="0" axis="axisValues" fieldPosition="0"/>
    </format>
    <format dxfId="1263">
      <pivotArea type="all" dataOnly="0" outline="0" fieldPosition="0"/>
    </format>
    <format dxfId="1262">
      <pivotArea outline="0" collapsedLevelsAreSubtotals="1" fieldPosition="0"/>
    </format>
    <format dxfId="1261">
      <pivotArea dataOnly="0" labelOnly="1" outline="0" axis="axisValues" fieldPosition="0"/>
    </format>
    <format dxfId="1260">
      <pivotArea type="all" dataOnly="0" outline="0" fieldPosition="0"/>
    </format>
    <format dxfId="1259">
      <pivotArea outline="0" collapsedLevelsAreSubtotals="1" fieldPosition="0"/>
    </format>
    <format dxfId="1258">
      <pivotArea dataOnly="0" labelOnly="1" outline="0" axis="axisValues" fieldPosition="0"/>
    </format>
    <format dxfId="1257">
      <pivotArea type="all" dataOnly="0" outline="0" fieldPosition="0"/>
    </format>
    <format dxfId="1256">
      <pivotArea outline="0" collapsedLevelsAreSubtotals="1" fieldPosition="0"/>
    </format>
    <format dxfId="1255">
      <pivotArea type="all" dataOnly="0" outline="0" fieldPosition="0"/>
    </format>
    <format dxfId="1254">
      <pivotArea outline="0" collapsedLevelsAreSubtotals="1" fieldPosition="0"/>
    </format>
    <format dxfId="1253">
      <pivotArea outline="0" collapsedLevelsAreSubtotals="1" fieldPosition="0"/>
    </format>
    <format dxfId="1252">
      <pivotArea outline="0" collapsedLevelsAreSubtotals="1" fieldPosition="0"/>
    </format>
    <format dxfId="1251">
      <pivotArea outline="0" collapsedLevelsAreSubtotals="1" fieldPosition="0"/>
    </format>
    <format dxfId="1250">
      <pivotArea type="all" dataOnly="0" outline="0" fieldPosition="0"/>
    </format>
    <format dxfId="1249">
      <pivotArea type="all" dataOnly="0" outline="0" fieldPosition="0"/>
    </format>
    <format dxfId="1248">
      <pivotArea outline="0" collapsedLevelsAreSubtotals="1" fieldPosition="0"/>
    </format>
    <format dxfId="124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3AE67C7-83DC-4276-8A76-9E1CFD0A222A}" name="PivotTable6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00:B201" firstHeaderRow="1" firstDataRow="1" firstDataCol="0" rowPageCount="3"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0"/>
        <item x="1"/>
        <item h="1"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0" hier="-1"/>
  </pageFields>
  <dataFields count="1">
    <dataField name="Sum of Units Proposed" fld="36" baseField="0" baseItem="0"/>
  </dataFields>
  <formats count="40">
    <format dxfId="133">
      <pivotArea type="all" dataOnly="0" outline="0" fieldPosition="0"/>
    </format>
    <format dxfId="132">
      <pivotArea type="all" dataOnly="0" outline="0" fieldPosition="0"/>
    </format>
    <format dxfId="131">
      <pivotArea type="all" dataOnly="0" outline="0" fieldPosition="0"/>
    </format>
    <format dxfId="130">
      <pivotArea type="all" dataOnly="0" outline="0" fieldPosition="0"/>
    </format>
    <format dxfId="129">
      <pivotArea type="all" dataOnly="0" outline="0" fieldPosition="0"/>
    </format>
    <format dxfId="128">
      <pivotArea type="all" dataOnly="0" outline="0" fieldPosition="0"/>
    </format>
    <format dxfId="127">
      <pivotArea type="all" dataOnly="0" outline="0" fieldPosition="0"/>
    </format>
    <format dxfId="126">
      <pivotArea type="all" dataOnly="0" outline="0" fieldPosition="0"/>
    </format>
    <format dxfId="125">
      <pivotArea type="all" dataOnly="0" outline="0" fieldPosition="0"/>
    </format>
    <format dxfId="124">
      <pivotArea type="all" dataOnly="0" outline="0" fieldPosition="0"/>
    </format>
    <format dxfId="123">
      <pivotArea type="all" dataOnly="0" outline="0" fieldPosition="0"/>
    </format>
    <format dxfId="122">
      <pivotArea outline="0" collapsedLevelsAreSubtotals="1" fieldPosition="0"/>
    </format>
    <format dxfId="121">
      <pivotArea dataOnly="0" labelOnly="1" outline="0" axis="axisValues" fieldPosition="0"/>
    </format>
    <format dxfId="120">
      <pivotArea type="all" dataOnly="0" outline="0" fieldPosition="0"/>
    </format>
    <format dxfId="119">
      <pivotArea outline="0" collapsedLevelsAreSubtotals="1" fieldPosition="0"/>
    </format>
    <format dxfId="118">
      <pivotArea dataOnly="0" labelOnly="1" outline="0" axis="axisValues" fieldPosition="0"/>
    </format>
    <format dxfId="117">
      <pivotArea type="all" dataOnly="0" outline="0" fieldPosition="0"/>
    </format>
    <format dxfId="116">
      <pivotArea outline="0" collapsedLevelsAreSubtotals="1" fieldPosition="0"/>
    </format>
    <format dxfId="115">
      <pivotArea dataOnly="0" labelOnly="1" outline="0" axis="axisValues" fieldPosition="0"/>
    </format>
    <format dxfId="114">
      <pivotArea type="all" dataOnly="0" outline="0" fieldPosition="0"/>
    </format>
    <format dxfId="113">
      <pivotArea outline="0" collapsedLevelsAreSubtotals="1" fieldPosition="0"/>
    </format>
    <format dxfId="112">
      <pivotArea dataOnly="0" labelOnly="1" outline="0" axis="axisValues" fieldPosition="0"/>
    </format>
    <format dxfId="111">
      <pivotArea type="all" dataOnly="0" outline="0" fieldPosition="0"/>
    </format>
    <format dxfId="110">
      <pivotArea outline="0" collapsedLevelsAreSubtotals="1" fieldPosition="0"/>
    </format>
    <format dxfId="109">
      <pivotArea dataOnly="0" labelOnly="1" outline="0" axis="axisValues" fieldPosition="0"/>
    </format>
    <format dxfId="108">
      <pivotArea type="all" dataOnly="0" outline="0" fieldPosition="0"/>
    </format>
    <format dxfId="107">
      <pivotArea outline="0" collapsedLevelsAreSubtotals="1" fieldPosition="0"/>
    </format>
    <format dxfId="106">
      <pivotArea dataOnly="0" labelOnly="1" outline="0" axis="axisValues" fieldPosition="0"/>
    </format>
    <format dxfId="105">
      <pivotArea type="all" dataOnly="0" outline="0" fieldPosition="0"/>
    </format>
    <format dxfId="104">
      <pivotArea outline="0" collapsedLevelsAreSubtotals="1" fieldPosition="0"/>
    </format>
    <format dxfId="103">
      <pivotArea dataOnly="0" labelOnly="1" outline="0" axis="axisValues" fieldPosition="0"/>
    </format>
    <format dxfId="102">
      <pivotArea type="all" dataOnly="0" outline="0" fieldPosition="0"/>
    </format>
    <format dxfId="101">
      <pivotArea outline="0" collapsedLevelsAreSubtotals="1" fieldPosition="0"/>
    </format>
    <format dxfId="100">
      <pivotArea type="all" dataOnly="0" outline="0" fieldPosition="0"/>
    </format>
    <format dxfId="99">
      <pivotArea outline="0" collapsedLevelsAreSubtotals="1" fieldPosition="0"/>
    </format>
    <format dxfId="98">
      <pivotArea outline="0" collapsedLevelsAreSubtotals="1" fieldPosition="0"/>
    </format>
    <format dxfId="97">
      <pivotArea type="all" dataOnly="0" outline="0" fieldPosition="0"/>
    </format>
    <format dxfId="96">
      <pivotArea type="all" dataOnly="0" outline="0" fieldPosition="0"/>
    </format>
    <format dxfId="95">
      <pivotArea outline="0" collapsedLevelsAreSubtotals="1" fieldPosition="0"/>
    </format>
    <format dxfId="9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C6929487-3511-4F96-ABAD-0A5ED18A11F5}" name="PivotTable8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rowHeaderCaption="SELECT SITES">
  <location ref="E50:F59" firstHeaderRow="1" firstDataRow="1" firstDataCol="1" rowPageCount="1" colPageCount="1"/>
  <pivotFields count="85">
    <pivotField showAll="0"/>
    <pivotField multipleItemSelectionAllowed="1" showAll="0" defaultSubtotal="0"/>
    <pivotField multipleItemSelectionAllowed="1" showAll="0"/>
    <pivotField numFmtId="14"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h="1" x="2"/>
        <item x="6"/>
        <item h="1" x="3"/>
        <item x="4"/>
        <item x="5"/>
        <item t="default"/>
      </items>
    </pivotField>
    <pivotField showAll="0"/>
    <pivotField axis="axisRow" showAll="0" sortType="ascending">
      <items count="13">
        <item x="4"/>
        <item x="10"/>
        <item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1"/>
  </rowFields>
  <rowItems count="9">
    <i>
      <x/>
    </i>
    <i>
      <x v="1"/>
    </i>
    <i>
      <x v="4"/>
    </i>
    <i>
      <x v="5"/>
    </i>
    <i>
      <x v="6"/>
    </i>
    <i>
      <x v="7"/>
    </i>
    <i>
      <x v="9"/>
    </i>
    <i>
      <x v="10"/>
    </i>
    <i t="grand">
      <x/>
    </i>
  </rowItems>
  <colItems count="1">
    <i/>
  </colItems>
  <pageFields count="1">
    <pageField fld="9" hier="-1"/>
  </pageFields>
  <dataFields count="1">
    <dataField name="Sum of 2025–2035 Total" fld="65" baseField="0" baseItem="0"/>
  </dataFields>
  <formats count="81">
    <format dxfId="1371">
      <pivotArea type="all" dataOnly="0" outline="0" fieldPosition="0"/>
    </format>
    <format dxfId="1370">
      <pivotArea type="all" dataOnly="0" outline="0" fieldPosition="0"/>
    </format>
    <format dxfId="1369">
      <pivotArea type="all" dataOnly="0" outline="0" fieldPosition="0"/>
    </format>
    <format dxfId="1368">
      <pivotArea type="all" dataOnly="0" outline="0" fieldPosition="0"/>
    </format>
    <format dxfId="1367">
      <pivotArea type="all" dataOnly="0" outline="0" fieldPosition="0"/>
    </format>
    <format dxfId="1366">
      <pivotArea type="all" dataOnly="0" outline="0" fieldPosition="0"/>
    </format>
    <format dxfId="1365">
      <pivotArea type="all" dataOnly="0" outline="0" fieldPosition="0"/>
    </format>
    <format dxfId="1364">
      <pivotArea type="all" dataOnly="0" outline="0" fieldPosition="0"/>
    </format>
    <format dxfId="1363">
      <pivotArea type="all" dataOnly="0" outline="0" fieldPosition="0"/>
    </format>
    <format dxfId="1362">
      <pivotArea type="all" dataOnly="0" outline="0" fieldPosition="0"/>
    </format>
    <format dxfId="1361">
      <pivotArea type="all" dataOnly="0" outline="0" fieldPosition="0"/>
    </format>
    <format dxfId="1360">
      <pivotArea outline="0" collapsedLevelsAreSubtotals="1" fieldPosition="0"/>
    </format>
    <format dxfId="1359">
      <pivotArea dataOnly="0" labelOnly="1" outline="0" axis="axisValues" fieldPosition="0"/>
    </format>
    <format dxfId="1358">
      <pivotArea type="all" dataOnly="0" outline="0" fieldPosition="0"/>
    </format>
    <format dxfId="1357">
      <pivotArea outline="0" collapsedLevelsAreSubtotals="1" fieldPosition="0"/>
    </format>
    <format dxfId="1356">
      <pivotArea dataOnly="0" labelOnly="1" grandRow="1" outline="0" fieldPosition="0"/>
    </format>
    <format dxfId="1355">
      <pivotArea dataOnly="0" labelOnly="1" outline="0" axis="axisValues" fieldPosition="0"/>
    </format>
    <format dxfId="1354">
      <pivotArea type="all" dataOnly="0" outline="0" fieldPosition="0"/>
    </format>
    <format dxfId="1353">
      <pivotArea outline="0" collapsedLevelsAreSubtotals="1" fieldPosition="0"/>
    </format>
    <format dxfId="1352">
      <pivotArea dataOnly="0" labelOnly="1" grandRow="1" outline="0" fieldPosition="0"/>
    </format>
    <format dxfId="1351">
      <pivotArea dataOnly="0" labelOnly="1" outline="0" axis="axisValues" fieldPosition="0"/>
    </format>
    <format dxfId="1350">
      <pivotArea type="all" dataOnly="0" outline="0" fieldPosition="0"/>
    </format>
    <format dxfId="1349">
      <pivotArea type="all" dataOnly="0" outline="0" fieldPosition="0"/>
    </format>
    <format dxfId="1348">
      <pivotArea outline="0" collapsedLevelsAreSubtotals="1" fieldPosition="0"/>
    </format>
    <format dxfId="1347">
      <pivotArea dataOnly="0" labelOnly="1" grandRow="1" outline="0" fieldPosition="0"/>
    </format>
    <format dxfId="1346">
      <pivotArea dataOnly="0" labelOnly="1" outline="0" axis="axisValues" fieldPosition="0"/>
    </format>
    <format dxfId="1345">
      <pivotArea type="all" dataOnly="0" outline="0" fieldPosition="0"/>
    </format>
    <format dxfId="1344">
      <pivotArea outline="0" collapsedLevelsAreSubtotals="1" fieldPosition="0"/>
    </format>
    <format dxfId="1343">
      <pivotArea dataOnly="0" labelOnly="1" grandRow="1" outline="0" fieldPosition="0"/>
    </format>
    <format dxfId="1342">
      <pivotArea dataOnly="0" labelOnly="1" outline="0" axis="axisValues" fieldPosition="0"/>
    </format>
    <format dxfId="1341">
      <pivotArea type="all" dataOnly="0" outline="0" fieldPosition="0"/>
    </format>
    <format dxfId="1340">
      <pivotArea outline="0" collapsedLevelsAreSubtotals="1" fieldPosition="0"/>
    </format>
    <format dxfId="1339">
      <pivotArea dataOnly="0" labelOnly="1" grandRow="1" outline="0" fieldPosition="0"/>
    </format>
    <format dxfId="1338">
      <pivotArea dataOnly="0" labelOnly="1" outline="0" axis="axisValues" fieldPosition="0"/>
    </format>
    <format dxfId="1337">
      <pivotArea type="all" dataOnly="0" outline="0" fieldPosition="0"/>
    </format>
    <format dxfId="1336">
      <pivotArea outline="0" collapsedLevelsAreSubtotals="1" fieldPosition="0"/>
    </format>
    <format dxfId="1335">
      <pivotArea dataOnly="0" labelOnly="1" grandRow="1" outline="0" fieldPosition="0"/>
    </format>
    <format dxfId="1334">
      <pivotArea dataOnly="0" labelOnly="1" outline="0" axis="axisValues" fieldPosition="0"/>
    </format>
    <format dxfId="1333">
      <pivotArea type="all" dataOnly="0" outline="0" fieldPosition="0"/>
    </format>
    <format dxfId="1332">
      <pivotArea outline="0" collapsedLevelsAreSubtotals="1" fieldPosition="0"/>
    </format>
    <format dxfId="1331">
      <pivotArea dataOnly="0" labelOnly="1" grandRow="1" outline="0" fieldPosition="0"/>
    </format>
    <format dxfId="1330">
      <pivotArea dataOnly="0" labelOnly="1" outline="0" axis="axisValues" fieldPosition="0"/>
    </format>
    <format dxfId="1329">
      <pivotArea type="all" dataOnly="0" outline="0" fieldPosition="0"/>
    </format>
    <format dxfId="1328">
      <pivotArea outline="0" collapsedLevelsAreSubtotals="1" fieldPosition="0"/>
    </format>
    <format dxfId="1327">
      <pivotArea dataOnly="0" labelOnly="1" grandRow="1" outline="0" fieldPosition="0"/>
    </format>
    <format dxfId="1326">
      <pivotArea dataOnly="0" labelOnly="1" outline="0" axis="axisValues" fieldPosition="0"/>
    </format>
    <format dxfId="1325">
      <pivotArea type="all" dataOnly="0" outline="0" fieldPosition="0"/>
    </format>
    <format dxfId="1324">
      <pivotArea outline="0" collapsedLevelsAreSubtotals="1" fieldPosition="0"/>
    </format>
    <format dxfId="1323">
      <pivotArea dataOnly="0" labelOnly="1" grandRow="1" outline="0" fieldPosition="0"/>
    </format>
    <format dxfId="1322">
      <pivotArea dataOnly="0" labelOnly="1" outline="0" axis="axisValues" fieldPosition="0"/>
    </format>
    <format dxfId="1321">
      <pivotArea type="all" dataOnly="0" outline="0" fieldPosition="0"/>
    </format>
    <format dxfId="1320">
      <pivotArea outline="0" collapsedLevelsAreSubtotals="1" fieldPosition="0"/>
    </format>
    <format dxfId="1319">
      <pivotArea dataOnly="0" labelOnly="1" grandRow="1" outline="0" fieldPosition="0"/>
    </format>
    <format dxfId="1318">
      <pivotArea dataOnly="0" labelOnly="1" outline="0" axis="axisValues" fieldPosition="0"/>
    </format>
    <format dxfId="1317">
      <pivotArea type="all" dataOnly="0" outline="0" fieldPosition="0"/>
    </format>
    <format dxfId="1316">
      <pivotArea type="all" dataOnly="0" outline="0" fieldPosition="0"/>
    </format>
    <format dxfId="1315">
      <pivotArea dataOnly="0" labelOnly="1" grandRow="1" outline="0" fieldPosition="0"/>
    </format>
    <format dxfId="1314">
      <pivotArea dataOnly="0" labelOnly="1" grandRow="1" outline="0" fieldPosition="0"/>
    </format>
    <format dxfId="1313">
      <pivotArea type="all" dataOnly="0" outline="0" fieldPosition="0"/>
    </format>
    <format dxfId="1312">
      <pivotArea outline="0" collapsedLevelsAreSubtotals="1" fieldPosition="0"/>
    </format>
    <format dxfId="1311">
      <pivotArea field="11" type="button" dataOnly="0" labelOnly="1" outline="0" axis="axisRow" fieldPosition="0"/>
    </format>
    <format dxfId="1310">
      <pivotArea dataOnly="0" labelOnly="1" fieldPosition="0">
        <references count="1">
          <reference field="11" count="5">
            <x v="4"/>
            <x v="6"/>
            <x v="7"/>
            <x v="9"/>
            <x v="10"/>
          </reference>
        </references>
      </pivotArea>
    </format>
    <format dxfId="1309">
      <pivotArea dataOnly="0" labelOnly="1" grandRow="1" outline="0" fieldPosition="0"/>
    </format>
    <format dxfId="1308">
      <pivotArea dataOnly="0" labelOnly="1" outline="0" axis="axisValues" fieldPosition="0"/>
    </format>
    <format dxfId="1307">
      <pivotArea type="all" dataOnly="0" outline="0" fieldPosition="0"/>
    </format>
    <format dxfId="1306">
      <pivotArea type="all" dataOnly="0" outline="0" fieldPosition="0"/>
    </format>
    <format dxfId="1305">
      <pivotArea collapsedLevelsAreSubtotals="1" fieldPosition="0">
        <references count="1">
          <reference field="11" count="5">
            <x v="4"/>
            <x v="6"/>
            <x v="7"/>
            <x v="9"/>
            <x v="10"/>
          </reference>
        </references>
      </pivotArea>
    </format>
    <format dxfId="1304">
      <pivotArea grandRow="1" outline="0" collapsedLevelsAreSubtotals="1" fieldPosition="0"/>
    </format>
    <format dxfId="1303">
      <pivotArea type="all" dataOnly="0" outline="0" fieldPosition="0"/>
    </format>
    <format dxfId="1302">
      <pivotArea outline="0" collapsedLevelsAreSubtotals="1" fieldPosition="0"/>
    </format>
    <format dxfId="1301">
      <pivotArea field="11" type="button" dataOnly="0" labelOnly="1" outline="0" axis="axisRow" fieldPosition="0"/>
    </format>
    <format dxfId="1300">
      <pivotArea dataOnly="0" labelOnly="1" fieldPosition="0">
        <references count="1">
          <reference field="11" count="6">
            <x v="1"/>
            <x v="4"/>
            <x v="6"/>
            <x v="7"/>
            <x v="9"/>
            <x v="10"/>
          </reference>
        </references>
      </pivotArea>
    </format>
    <format dxfId="1299">
      <pivotArea dataOnly="0" labelOnly="1" grandRow="1" outline="0" fieldPosition="0"/>
    </format>
    <format dxfId="1298">
      <pivotArea type="all" dataOnly="0" outline="0" fieldPosition="0"/>
    </format>
    <format dxfId="1297">
      <pivotArea outline="0" collapsedLevelsAreSubtotals="1" fieldPosition="0"/>
    </format>
    <format dxfId="1296">
      <pivotArea field="11" type="button" dataOnly="0" labelOnly="1" outline="0" axis="axisRow" fieldPosition="0"/>
    </format>
    <format dxfId="1295">
      <pivotArea dataOnly="0" labelOnly="1" fieldPosition="0">
        <references count="1">
          <reference field="11" count="6">
            <x v="1"/>
            <x v="4"/>
            <x v="6"/>
            <x v="7"/>
            <x v="9"/>
            <x v="10"/>
          </reference>
        </references>
      </pivotArea>
    </format>
    <format dxfId="1294">
      <pivotArea dataOnly="0" labelOnly="1" grandRow="1" outline="0" fieldPosition="0"/>
    </format>
    <format dxfId="1293">
      <pivotArea dataOnly="0" labelOnly="1" outline="0" axis="axisValues" fieldPosition="0"/>
    </format>
    <format dxfId="1292">
      <pivotArea dataOnly="0" labelOnly="1" fieldPosition="0">
        <references count="1">
          <reference field="11" count="8">
            <x v="0"/>
            <x v="1"/>
            <x v="4"/>
            <x v="5"/>
            <x v="6"/>
            <x v="7"/>
            <x v="9"/>
            <x v="10"/>
          </reference>
        </references>
      </pivotArea>
    </format>
    <format dxfId="1291">
      <pivotArea collapsedLevelsAreSubtotals="1" fieldPosition="0">
        <references count="1">
          <reference field="11" count="1">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118EC8BF-B19C-4649-901C-C607FB922F0E}" name="PivotTable31" cacheId="3"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22:K423" firstHeaderRow="0" firstDataRow="1" firstDataCol="0" rowPageCount="1" colPageCount="1"/>
  <pivotFields count="40">
    <pivotField showAll="0" defaultSubtotal="0"/>
    <pivotField multipleItemSelectionAllowed="1" showAll="0" defaultSubtotal="0"/>
    <pivotField showAll="0" defaultSubtotal="0"/>
    <pivotField showAll="0"/>
    <pivotField showAll="0"/>
    <pivotField showAll="0" defaultSubtotal="0"/>
    <pivotField showAll="0" defaultSubtotal="0"/>
    <pivotField axis="axisPage" multipleItemSelectionAllowed="1" showAll="0" defaultSubtotal="0">
      <items count="3">
        <item h="1" x="0"/>
        <item x="1"/>
        <item x="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Items count="1">
    <i/>
  </rowItems>
  <colFields count="1">
    <field x="-2"/>
  </colFields>
  <colItems count="10">
    <i>
      <x/>
    </i>
    <i i="1">
      <x v="1"/>
    </i>
    <i i="2">
      <x v="2"/>
    </i>
    <i i="3">
      <x v="3"/>
    </i>
    <i i="4">
      <x v="4"/>
    </i>
    <i i="5">
      <x v="5"/>
    </i>
    <i i="6">
      <x v="6"/>
    </i>
    <i i="7">
      <x v="7"/>
    </i>
    <i i="8">
      <x v="8"/>
    </i>
    <i i="9">
      <x v="9"/>
    </i>
  </colItems>
  <pageFields count="1">
    <pageField fld="7" hier="-1"/>
  </pageFields>
  <dataFields count="10">
    <dataField name="Sum of 2025/26 (1)" fld="30" baseField="0" baseItem="0"/>
    <dataField name="Sum of 2026/27 (2)" fld="31" baseField="0" baseItem="1"/>
    <dataField name="Sum of 2027/28 (3)" fld="32" baseField="0" baseItem="0"/>
    <dataField name="Sum of 2028/29 (4)" fld="33" baseField="0" baseItem="0"/>
    <dataField name="Sum of 2029/30 (5)" fld="34" baseField="0" baseItem="1"/>
    <dataField name="Sum of 2030/31 (6)" fld="35" baseField="0" baseItem="1"/>
    <dataField name="Sum of 2031/32 (7)" fld="36" baseField="0" baseItem="1"/>
    <dataField name="Sum of 2032/33 (8)" fld="37" baseField="0" baseItem="1"/>
    <dataField name="Sum of 2033/34 (9)" fld="38" baseField="0" baseItem="1"/>
    <dataField name="Sum of 2034/35 (10)" fld="39" baseField="0" baseItem="1"/>
  </dataFields>
  <formats count="26">
    <format dxfId="1397">
      <pivotArea type="all" dataOnly="0" outline="0" fieldPosition="0"/>
    </format>
    <format dxfId="1396">
      <pivotArea type="all" dataOnly="0" outline="0" fieldPosition="0"/>
    </format>
    <format dxfId="1395">
      <pivotArea type="all" dataOnly="0" outline="0" fieldPosition="0"/>
    </format>
    <format dxfId="1394">
      <pivotArea type="all" dataOnly="0" outline="0" fieldPosition="0"/>
    </format>
    <format dxfId="1393">
      <pivotArea type="all" dataOnly="0" outline="0" fieldPosition="0"/>
    </format>
    <format dxfId="1392">
      <pivotArea type="all" dataOnly="0" outline="0" fieldPosition="0"/>
    </format>
    <format dxfId="1391">
      <pivotArea type="all" dataOnly="0" outline="0" fieldPosition="0"/>
    </format>
    <format dxfId="1390">
      <pivotArea outline="0" collapsedLevelsAreSubtotals="1" fieldPosition="0"/>
    </format>
    <format dxfId="1389">
      <pivotArea type="all" dataOnly="0" outline="0" fieldPosition="0"/>
    </format>
    <format dxfId="1388">
      <pivotArea type="all" dataOnly="0" outline="0" fieldPosition="0"/>
    </format>
    <format dxfId="1387">
      <pivotArea type="all" dataOnly="0" outline="0" fieldPosition="0"/>
    </format>
    <format dxfId="1386">
      <pivotArea type="all" dataOnly="0" outline="0" fieldPosition="0"/>
    </format>
    <format dxfId="1385">
      <pivotArea outline="0" collapsedLevelsAreSubtotals="1" fieldPosition="0"/>
    </format>
    <format dxfId="1384">
      <pivotArea type="all" dataOnly="0" outline="0" fieldPosition="0"/>
    </format>
    <format dxfId="1383">
      <pivotArea outline="0" collapsedLevelsAreSubtotals="1" fieldPosition="0"/>
    </format>
    <format dxfId="1382">
      <pivotArea type="all" dataOnly="0" outline="0" fieldPosition="0"/>
    </format>
    <format dxfId="1381">
      <pivotArea outline="0" collapsedLevelsAreSubtotals="1" fieldPosition="0"/>
    </format>
    <format dxfId="1380">
      <pivotArea type="all" dataOnly="0" outline="0" fieldPosition="0"/>
    </format>
    <format dxfId="1379">
      <pivotArea outline="0" collapsedLevelsAreSubtotals="1" fieldPosition="0"/>
    </format>
    <format dxfId="1378">
      <pivotArea type="all" dataOnly="0" outline="0" fieldPosition="0"/>
    </format>
    <format dxfId="1377">
      <pivotArea outline="0" collapsedLevelsAreSubtotals="1" fieldPosition="0"/>
    </format>
    <format dxfId="1376">
      <pivotArea type="all" dataOnly="0" outline="0" fieldPosition="0"/>
    </format>
    <format dxfId="1375">
      <pivotArea outline="0" collapsedLevelsAreSubtotals="1" fieldPosition="0"/>
    </format>
    <format dxfId="1374">
      <pivotArea outline="0" collapsedLevelsAreSubtotals="1" fieldPosition="0"/>
    </format>
    <format dxfId="1373">
      <pivotArea type="all" dataOnly="0" outline="0" fieldPosition="0"/>
    </format>
    <format dxfId="137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23EEF2E7-68A9-43BF-A16C-99728C2C7B2F}" name="PivotTable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4:B15" firstHeaderRow="1" firstDataRow="1" firstDataCol="0" rowPageCount="3" colPageCount="1"/>
  <pivotFields count="85">
    <pivotField showAll="0"/>
    <pivotField axis="axisPage" multipleItemSelectionAllowed="1" showAll="0" defaultSubtotal="0">
      <items count="5">
        <item h="1" x="1"/>
        <item h="1" x="4"/>
        <item h="1" x="2"/>
        <item x="3"/>
        <item x="0"/>
      </items>
    </pivotField>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x="1"/>
        <item h="1" x="2"/>
        <item h="1" x="6"/>
        <item h="1" x="3"/>
        <item h="1" x="4"/>
        <item h="1" x="5"/>
        <item t="default"/>
      </items>
    </pivotField>
    <pivotField showAll="0"/>
    <pivotField axis="axisPage" multipleItemSelectionAllowed="1" showAll="0">
      <items count="13">
        <item x="0"/>
        <item h="1" x="1"/>
        <item h="1" x="10"/>
        <item h="1" x="11"/>
        <item h="1" x="2"/>
        <item h="1" x="3"/>
        <item h="1" x="5"/>
        <item h="1" x="4"/>
        <item h="1" x="6"/>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1" hier="-1"/>
  </pageFields>
  <dataFields count="1">
    <dataField name="Sum of Net Dwellings" fld="45" baseField="0" baseItem="0"/>
  </dataFields>
  <formats count="41">
    <format dxfId="1438">
      <pivotArea type="all" dataOnly="0" outline="0" fieldPosition="0"/>
    </format>
    <format dxfId="1437">
      <pivotArea type="all" dataOnly="0" outline="0" fieldPosition="0"/>
    </format>
    <format dxfId="1436">
      <pivotArea type="all" dataOnly="0" outline="0" fieldPosition="0"/>
    </format>
    <format dxfId="1435">
      <pivotArea type="all" dataOnly="0" outline="0" fieldPosition="0"/>
    </format>
    <format dxfId="1434">
      <pivotArea type="all" dataOnly="0" outline="0" fieldPosition="0"/>
    </format>
    <format dxfId="1433">
      <pivotArea type="all" dataOnly="0" outline="0" fieldPosition="0"/>
    </format>
    <format dxfId="1432">
      <pivotArea type="all" dataOnly="0" outline="0" fieldPosition="0"/>
    </format>
    <format dxfId="1431">
      <pivotArea type="all" dataOnly="0" outline="0" fieldPosition="0"/>
    </format>
    <format dxfId="1430">
      <pivotArea type="all" dataOnly="0" outline="0" fieldPosition="0"/>
    </format>
    <format dxfId="1429">
      <pivotArea type="all" dataOnly="0" outline="0" fieldPosition="0"/>
    </format>
    <format dxfId="1428">
      <pivotArea type="all" dataOnly="0" outline="0" fieldPosition="0"/>
    </format>
    <format dxfId="1427">
      <pivotArea outline="0" collapsedLevelsAreSubtotals="1" fieldPosition="0"/>
    </format>
    <format dxfId="1426">
      <pivotArea dataOnly="0" labelOnly="1" outline="0" axis="axisValues" fieldPosition="0"/>
    </format>
    <format dxfId="1425">
      <pivotArea type="all" dataOnly="0" outline="0" fieldPosition="0"/>
    </format>
    <format dxfId="1424">
      <pivotArea outline="0" collapsedLevelsAreSubtotals="1" fieldPosition="0"/>
    </format>
    <format dxfId="1423">
      <pivotArea dataOnly="0" labelOnly="1" outline="0" axis="axisValues" fieldPosition="0"/>
    </format>
    <format dxfId="1422">
      <pivotArea type="all" dataOnly="0" outline="0" fieldPosition="0"/>
    </format>
    <format dxfId="1421">
      <pivotArea outline="0" collapsedLevelsAreSubtotals="1" fieldPosition="0"/>
    </format>
    <format dxfId="1420">
      <pivotArea dataOnly="0" labelOnly="1" outline="0" axis="axisValues" fieldPosition="0"/>
    </format>
    <format dxfId="1419">
      <pivotArea type="all" dataOnly="0" outline="0" fieldPosition="0"/>
    </format>
    <format dxfId="1418">
      <pivotArea outline="0" collapsedLevelsAreSubtotals="1" fieldPosition="0"/>
    </format>
    <format dxfId="1417">
      <pivotArea dataOnly="0" labelOnly="1" outline="0" axis="axisValues" fieldPosition="0"/>
    </format>
    <format dxfId="1416">
      <pivotArea outline="0" collapsedLevelsAreSubtotals="1" fieldPosition="0"/>
    </format>
    <format dxfId="1415">
      <pivotArea type="all" dataOnly="0" outline="0" fieldPosition="0"/>
    </format>
    <format dxfId="1414">
      <pivotArea outline="0" collapsedLevelsAreSubtotals="1" fieldPosition="0"/>
    </format>
    <format dxfId="1413">
      <pivotArea dataOnly="0" labelOnly="1" outline="0" axis="axisValues" fieldPosition="0"/>
    </format>
    <format dxfId="1412">
      <pivotArea type="all" dataOnly="0" outline="0" fieldPosition="0"/>
    </format>
    <format dxfId="1411">
      <pivotArea outline="0" collapsedLevelsAreSubtotals="1" fieldPosition="0"/>
    </format>
    <format dxfId="1410">
      <pivotArea dataOnly="0" labelOnly="1" outline="0" axis="axisValues" fieldPosition="0"/>
    </format>
    <format dxfId="1409">
      <pivotArea type="all" dataOnly="0" outline="0" fieldPosition="0"/>
    </format>
    <format dxfId="1408">
      <pivotArea outline="0" collapsedLevelsAreSubtotals="1" fieldPosition="0"/>
    </format>
    <format dxfId="1407">
      <pivotArea dataOnly="0" labelOnly="1" outline="0" axis="axisValues" fieldPosition="0"/>
    </format>
    <format dxfId="1406">
      <pivotArea type="all" dataOnly="0" outline="0" fieldPosition="0"/>
    </format>
    <format dxfId="1405">
      <pivotArea outline="0" collapsedLevelsAreSubtotals="1" fieldPosition="0"/>
    </format>
    <format dxfId="1404">
      <pivotArea type="all" dataOnly="0" outline="0" fieldPosition="0"/>
    </format>
    <format dxfId="1403">
      <pivotArea outline="0" collapsedLevelsAreSubtotals="1" fieldPosition="0"/>
    </format>
    <format dxfId="1402">
      <pivotArea outline="0" collapsedLevelsAreSubtotals="1" fieldPosition="0"/>
    </format>
    <format dxfId="1401">
      <pivotArea type="all" dataOnly="0" outline="0" fieldPosition="0"/>
    </format>
    <format dxfId="1400">
      <pivotArea type="all" dataOnly="0" outline="0" fieldPosition="0"/>
    </format>
    <format dxfId="1399">
      <pivotArea outline="0" collapsedLevelsAreSubtotals="1" fieldPosition="0"/>
    </format>
    <format dxfId="139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2BF0DBB1-0CA5-45D5-A328-4F47F23FFF3F}" name="PivotTable4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40:B141"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x="0"/>
        <item h="1" x="1"/>
        <item h="1"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Units Proposed" fld="36" baseField="0" baseItem="0"/>
  </dataFields>
  <formats count="40">
    <format dxfId="1478">
      <pivotArea type="all" dataOnly="0" outline="0" fieldPosition="0"/>
    </format>
    <format dxfId="1477">
      <pivotArea type="all" dataOnly="0" outline="0" fieldPosition="0"/>
    </format>
    <format dxfId="1476">
      <pivotArea type="all" dataOnly="0" outline="0" fieldPosition="0"/>
    </format>
    <format dxfId="1475">
      <pivotArea type="all" dataOnly="0" outline="0" fieldPosition="0"/>
    </format>
    <format dxfId="1474">
      <pivotArea type="all" dataOnly="0" outline="0" fieldPosition="0"/>
    </format>
    <format dxfId="1473">
      <pivotArea type="all" dataOnly="0" outline="0" fieldPosition="0"/>
    </format>
    <format dxfId="1472">
      <pivotArea type="all" dataOnly="0" outline="0" fieldPosition="0"/>
    </format>
    <format dxfId="1471">
      <pivotArea type="all" dataOnly="0" outline="0" fieldPosition="0"/>
    </format>
    <format dxfId="1470">
      <pivotArea type="all" dataOnly="0" outline="0" fieldPosition="0"/>
    </format>
    <format dxfId="1469">
      <pivotArea type="all" dataOnly="0" outline="0" fieldPosition="0"/>
    </format>
    <format dxfId="1468">
      <pivotArea type="all" dataOnly="0" outline="0" fieldPosition="0"/>
    </format>
    <format dxfId="1467">
      <pivotArea outline="0" collapsedLevelsAreSubtotals="1" fieldPosition="0"/>
    </format>
    <format dxfId="1466">
      <pivotArea dataOnly="0" labelOnly="1" outline="0" axis="axisValues" fieldPosition="0"/>
    </format>
    <format dxfId="1465">
      <pivotArea type="all" dataOnly="0" outline="0" fieldPosition="0"/>
    </format>
    <format dxfId="1464">
      <pivotArea outline="0" collapsedLevelsAreSubtotals="1" fieldPosition="0"/>
    </format>
    <format dxfId="1463">
      <pivotArea dataOnly="0" labelOnly="1" outline="0" axis="axisValues" fieldPosition="0"/>
    </format>
    <format dxfId="1462">
      <pivotArea type="all" dataOnly="0" outline="0" fieldPosition="0"/>
    </format>
    <format dxfId="1461">
      <pivotArea outline="0" collapsedLevelsAreSubtotals="1" fieldPosition="0"/>
    </format>
    <format dxfId="1460">
      <pivotArea dataOnly="0" labelOnly="1" outline="0" axis="axisValues" fieldPosition="0"/>
    </format>
    <format dxfId="1459">
      <pivotArea type="all" dataOnly="0" outline="0" fieldPosition="0"/>
    </format>
    <format dxfId="1458">
      <pivotArea outline="0" collapsedLevelsAreSubtotals="1" fieldPosition="0"/>
    </format>
    <format dxfId="1457">
      <pivotArea dataOnly="0" labelOnly="1" outline="0" axis="axisValues" fieldPosition="0"/>
    </format>
    <format dxfId="1456">
      <pivotArea type="all" dataOnly="0" outline="0" fieldPosition="0"/>
    </format>
    <format dxfId="1455">
      <pivotArea outline="0" collapsedLevelsAreSubtotals="1" fieldPosition="0"/>
    </format>
    <format dxfId="1454">
      <pivotArea dataOnly="0" labelOnly="1" outline="0" axis="axisValues" fieldPosition="0"/>
    </format>
    <format dxfId="1453">
      <pivotArea type="all" dataOnly="0" outline="0" fieldPosition="0"/>
    </format>
    <format dxfId="1452">
      <pivotArea outline="0" collapsedLevelsAreSubtotals="1" fieldPosition="0"/>
    </format>
    <format dxfId="1451">
      <pivotArea dataOnly="0" labelOnly="1" outline="0" axis="axisValues" fieldPosition="0"/>
    </format>
    <format dxfId="1450">
      <pivotArea type="all" dataOnly="0" outline="0" fieldPosition="0"/>
    </format>
    <format dxfId="1449">
      <pivotArea outline="0" collapsedLevelsAreSubtotals="1" fieldPosition="0"/>
    </format>
    <format dxfId="1448">
      <pivotArea dataOnly="0" labelOnly="1" outline="0" axis="axisValues" fieldPosition="0"/>
    </format>
    <format dxfId="1447">
      <pivotArea type="all" dataOnly="0" outline="0" fieldPosition="0"/>
    </format>
    <format dxfId="1446">
      <pivotArea outline="0" collapsedLevelsAreSubtotals="1" fieldPosition="0"/>
    </format>
    <format dxfId="1445">
      <pivotArea type="all" dataOnly="0" outline="0" fieldPosition="0"/>
    </format>
    <format dxfId="1444">
      <pivotArea outline="0" collapsedLevelsAreSubtotals="1" fieldPosition="0"/>
    </format>
    <format dxfId="1443">
      <pivotArea outline="0" collapsedLevelsAreSubtotals="1" fieldPosition="0"/>
    </format>
    <format dxfId="1442">
      <pivotArea type="all" dataOnly="0" outline="0" fieldPosition="0"/>
    </format>
    <format dxfId="1441">
      <pivotArea type="all" dataOnly="0" outline="0" fieldPosition="0"/>
    </format>
    <format dxfId="1440">
      <pivotArea outline="0" collapsedLevelsAreSubtotals="1" fieldPosition="0"/>
    </format>
    <format dxfId="143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C6F87CE0-6412-457C-A057-E64C67E3DC2C}" name="PivotTable26"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G279:J286" firstHeaderRow="0"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46"/>
        <item x="47"/>
        <item x="51"/>
        <item x="50"/>
        <item x="52"/>
        <item x="45"/>
        <item x="55"/>
        <item x="14"/>
        <item x="57"/>
        <item x="58"/>
        <item x="56"/>
        <item x="59"/>
        <item x="60"/>
        <item x="43"/>
        <item x="49"/>
        <item x="48"/>
        <item x="3"/>
        <item x="53"/>
        <item x="89"/>
        <item x="145"/>
        <item x="151"/>
        <item x="150"/>
        <item x="149"/>
        <item x="148"/>
        <item x="140"/>
        <item x="152"/>
        <item x="144"/>
        <item x="146"/>
        <item x="147"/>
        <item x="62"/>
        <item x="126"/>
        <item x="244"/>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45"/>
        <item x="231"/>
        <item x="204"/>
        <item x="26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6"/>
        <item h="1" x="4"/>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7">
    <i>
      <x/>
    </i>
    <i>
      <x v="1"/>
    </i>
    <i>
      <x v="2"/>
    </i>
    <i>
      <x v="3"/>
    </i>
    <i>
      <x v="4"/>
    </i>
    <i>
      <x v="5"/>
    </i>
    <i t="grand">
      <x/>
    </i>
  </rowItems>
  <colFields count="1">
    <field x="-2"/>
  </colFields>
  <colItems count="3">
    <i>
      <x/>
    </i>
    <i i="1">
      <x v="1"/>
    </i>
    <i i="2">
      <x v="2"/>
    </i>
  </colItems>
  <pageFields count="1">
    <pageField fld="9" hier="-1"/>
  </pageFields>
  <dataFields count="3">
    <dataField name="Sum of Units Proposed" fld="36" baseField="0" baseItem="0"/>
    <dataField name="Sum of Units Existing" fld="26" baseField="0" baseItem="0"/>
    <dataField name="Sum of Net Dwellings" fld="45" baseField="0" baseItem="0"/>
  </dataFields>
  <formats count="40">
    <format dxfId="1518">
      <pivotArea type="all" dataOnly="0" outline="0" fieldPosition="0"/>
    </format>
    <format dxfId="1517">
      <pivotArea type="all" dataOnly="0" outline="0" fieldPosition="0"/>
    </format>
    <format dxfId="1516">
      <pivotArea type="all" dataOnly="0" outline="0" fieldPosition="0"/>
    </format>
    <format dxfId="1515">
      <pivotArea type="all" dataOnly="0" outline="0" fieldPosition="0"/>
    </format>
    <format dxfId="1514">
      <pivotArea type="all" dataOnly="0" outline="0" fieldPosition="0"/>
    </format>
    <format dxfId="1513">
      <pivotArea type="all" dataOnly="0" outline="0" fieldPosition="0"/>
    </format>
    <format dxfId="1512">
      <pivotArea type="all" dataOnly="0" outline="0" fieldPosition="0"/>
    </format>
    <format dxfId="1511">
      <pivotArea dataOnly="0" labelOnly="1" outline="0" fieldPosition="0">
        <references count="1">
          <reference field="4294967294" count="2">
            <x v="0"/>
            <x v="2"/>
          </reference>
        </references>
      </pivotArea>
    </format>
    <format dxfId="1510">
      <pivotArea dataOnly="0" labelOnly="1" outline="0" fieldPosition="0">
        <references count="1">
          <reference field="4294967294" count="2">
            <x v="0"/>
            <x v="2"/>
          </reference>
        </references>
      </pivotArea>
    </format>
    <format dxfId="1509">
      <pivotArea dataOnly="0" labelOnly="1" outline="0" fieldPosition="0">
        <references count="1">
          <reference field="4294967294" count="2">
            <x v="0"/>
            <x v="2"/>
          </reference>
        </references>
      </pivotArea>
    </format>
    <format dxfId="1508">
      <pivotArea type="all" dataOnly="0" outline="0" fieldPosition="0"/>
    </format>
    <format dxfId="1507">
      <pivotArea type="all" dataOnly="0" outline="0" fieldPosition="0"/>
    </format>
    <format dxfId="1506">
      <pivotArea type="all" dataOnly="0" outline="0" fieldPosition="0"/>
    </format>
    <format dxfId="1505">
      <pivotArea type="all" dataOnly="0" outline="0" fieldPosition="0"/>
    </format>
    <format dxfId="1504">
      <pivotArea outline="0" collapsedLevelsAreSubtotals="1" fieldPosition="0"/>
    </format>
    <format dxfId="1503">
      <pivotArea dataOnly="0" labelOnly="1" grandRow="1" outline="0" fieldPosition="0"/>
    </format>
    <format dxfId="1502">
      <pivotArea dataOnly="0" labelOnly="1" outline="0" fieldPosition="0">
        <references count="1">
          <reference field="4294967294" count="2">
            <x v="0"/>
            <x v="2"/>
          </reference>
        </references>
      </pivotArea>
    </format>
    <format dxfId="1501">
      <pivotArea type="all" dataOnly="0" outline="0" fieldPosition="0"/>
    </format>
    <format dxfId="1500">
      <pivotArea outline="0" collapsedLevelsAreSubtotals="1" fieldPosition="0"/>
    </format>
    <format dxfId="1499">
      <pivotArea dataOnly="0" labelOnly="1" grandRow="1" outline="0" fieldPosition="0"/>
    </format>
    <format dxfId="1498">
      <pivotArea dataOnly="0" labelOnly="1" outline="0" fieldPosition="0">
        <references count="1">
          <reference field="4294967294" count="2">
            <x v="0"/>
            <x v="2"/>
          </reference>
        </references>
      </pivotArea>
    </format>
    <format dxfId="1497">
      <pivotArea type="all" dataOnly="0" outline="0" fieldPosition="0"/>
    </format>
    <format dxfId="1496">
      <pivotArea outline="0" collapsedLevelsAreSubtotals="1" fieldPosition="0"/>
    </format>
    <format dxfId="1495">
      <pivotArea dataOnly="0" labelOnly="1" grandRow="1" outline="0" fieldPosition="0"/>
    </format>
    <format dxfId="1494">
      <pivotArea dataOnly="0" labelOnly="1" outline="0" fieldPosition="0">
        <references count="1">
          <reference field="4294967294" count="2">
            <x v="0"/>
            <x v="2"/>
          </reference>
        </references>
      </pivotArea>
    </format>
    <format dxfId="1493">
      <pivotArea type="all" dataOnly="0" outline="0" fieldPosition="0"/>
    </format>
    <format dxfId="1492">
      <pivotArea outline="0" collapsedLevelsAreSubtotals="1" fieldPosition="0"/>
    </format>
    <format dxfId="1491">
      <pivotArea field="71" type="button" dataOnly="0" labelOnly="1" outline="0"/>
    </format>
    <format dxfId="1490">
      <pivotArea dataOnly="0" labelOnly="1" grandRow="1" outline="0" fieldPosition="0"/>
    </format>
    <format dxfId="1489">
      <pivotArea dataOnly="0" labelOnly="1" outline="0" fieldPosition="0">
        <references count="1">
          <reference field="4294967294" count="3">
            <x v="0"/>
            <x v="1"/>
            <x v="2"/>
          </reference>
        </references>
      </pivotArea>
    </format>
    <format dxfId="1488">
      <pivotArea type="all" dataOnly="0" outline="0" fieldPosition="0"/>
    </format>
    <format dxfId="1487">
      <pivotArea outline="0" collapsedLevelsAreSubtotals="1" fieldPosition="0"/>
    </format>
    <format dxfId="1486">
      <pivotArea field="71" type="button" dataOnly="0" labelOnly="1" outline="0"/>
    </format>
    <format dxfId="1485">
      <pivotArea dataOnly="0" labelOnly="1" grandRow="1" outline="0" fieldPosition="0"/>
    </format>
    <format dxfId="1484">
      <pivotArea dataOnly="0" labelOnly="1" outline="0" fieldPosition="0">
        <references count="1">
          <reference field="4294967294" count="3">
            <x v="0"/>
            <x v="1"/>
            <x v="2"/>
          </reference>
        </references>
      </pivotArea>
    </format>
    <format dxfId="1483">
      <pivotArea type="all" dataOnly="0" outline="0" fieldPosition="0"/>
    </format>
    <format dxfId="1482">
      <pivotArea outline="0" collapsedLevelsAreSubtotals="1" fieldPosition="0"/>
    </format>
    <format dxfId="1481">
      <pivotArea field="71" type="button" dataOnly="0" labelOnly="1" outline="0"/>
    </format>
    <format dxfId="1480">
      <pivotArea dataOnly="0" labelOnly="1" grandRow="1" outline="0" fieldPosition="0"/>
    </format>
    <format dxfId="1479">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793AD3AB-71E9-413C-8A64-2DF287701DE4}" name="PivotTable3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18:C526" firstHeaderRow="1" firstDataRow="1" firstDataCol="1" rowPageCount="3"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6"/>
        <item h="1" x="4"/>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8">
    <i>
      <x/>
    </i>
    <i>
      <x v="2"/>
    </i>
    <i>
      <x v="4"/>
    </i>
    <i>
      <x v="5"/>
    </i>
    <i>
      <x v="6"/>
    </i>
    <i>
      <x v="7"/>
    </i>
    <i>
      <x v="8"/>
    </i>
    <i t="grand">
      <x/>
    </i>
  </rowItems>
  <colItems count="1">
    <i/>
  </colItems>
  <pageFields count="3">
    <pageField fld="9" hier="-1"/>
    <pageField fld="2" hier="-1"/>
    <pageField fld="1" hier="-1"/>
  </pageFields>
  <dataFields count="1">
    <dataField name="Sum of Net Dwellings" fld="45" baseField="0" baseItem="0"/>
  </dataFields>
  <formats count="45">
    <format dxfId="1563">
      <pivotArea type="all" dataOnly="0" outline="0" fieldPosition="0"/>
    </format>
    <format dxfId="1562">
      <pivotArea type="all" dataOnly="0" outline="0" fieldPosition="0"/>
    </format>
    <format dxfId="1561">
      <pivotArea type="all" dataOnly="0" outline="0" fieldPosition="0"/>
    </format>
    <format dxfId="1560">
      <pivotArea type="all" dataOnly="0" outline="0" fieldPosition="0"/>
    </format>
    <format dxfId="1559">
      <pivotArea type="all" dataOnly="0" outline="0" fieldPosition="0"/>
    </format>
    <format dxfId="1558">
      <pivotArea type="all" dataOnly="0" outline="0" fieldPosition="0"/>
    </format>
    <format dxfId="1557">
      <pivotArea type="all" dataOnly="0" outline="0" fieldPosition="0"/>
    </format>
    <format dxfId="1556">
      <pivotArea dataOnly="0" labelOnly="1" outline="0" fieldPosition="0">
        <references count="1">
          <reference field="4294967294" count="1">
            <x v="0"/>
          </reference>
        </references>
      </pivotArea>
    </format>
    <format dxfId="1555">
      <pivotArea dataOnly="0" labelOnly="1" outline="0" fieldPosition="0">
        <references count="1">
          <reference field="4294967294" count="1">
            <x v="0"/>
          </reference>
        </references>
      </pivotArea>
    </format>
    <format dxfId="1554">
      <pivotArea dataOnly="0" labelOnly="1" outline="0" fieldPosition="0">
        <references count="1">
          <reference field="4294967294" count="1">
            <x v="0"/>
          </reference>
        </references>
      </pivotArea>
    </format>
    <format dxfId="1553">
      <pivotArea type="all" dataOnly="0" outline="0" fieldPosition="0"/>
    </format>
    <format dxfId="1552">
      <pivotArea type="all" dataOnly="0" outline="0" fieldPosition="0"/>
    </format>
    <format dxfId="1551">
      <pivotArea type="all" dataOnly="0" outline="0" fieldPosition="0"/>
    </format>
    <format dxfId="1550">
      <pivotArea type="all" dataOnly="0" outline="0" fieldPosition="0"/>
    </format>
    <format dxfId="1549">
      <pivotArea outline="0" collapsedLevelsAreSubtotals="1" fieldPosition="0"/>
    </format>
    <format dxfId="1548">
      <pivotArea dataOnly="0" labelOnly="1" grandRow="1" outline="0" fieldPosition="0"/>
    </format>
    <format dxfId="1547">
      <pivotArea dataOnly="0" labelOnly="1" outline="0" axis="axisValues" fieldPosition="0"/>
    </format>
    <format dxfId="1546">
      <pivotArea type="all" dataOnly="0" outline="0" fieldPosition="0"/>
    </format>
    <format dxfId="1545">
      <pivotArea outline="0" collapsedLevelsAreSubtotals="1" fieldPosition="0"/>
    </format>
    <format dxfId="1544">
      <pivotArea dataOnly="0" labelOnly="1" grandRow="1" outline="0" fieldPosition="0"/>
    </format>
    <format dxfId="1543">
      <pivotArea dataOnly="0" labelOnly="1" outline="0" axis="axisValues" fieldPosition="0"/>
    </format>
    <format dxfId="1542">
      <pivotArea type="all" dataOnly="0" outline="0" fieldPosition="0"/>
    </format>
    <format dxfId="1541">
      <pivotArea outline="0" collapsedLevelsAreSubtotals="1" fieldPosition="0"/>
    </format>
    <format dxfId="1540">
      <pivotArea dataOnly="0" labelOnly="1" grandRow="1" outline="0" fieldPosition="0"/>
    </format>
    <format dxfId="1539">
      <pivotArea dataOnly="0" labelOnly="1" outline="0" axis="axisValues" fieldPosition="0"/>
    </format>
    <format dxfId="1538">
      <pivotArea type="all" dataOnly="0" outline="0" fieldPosition="0"/>
    </format>
    <format dxfId="1537">
      <pivotArea outline="0" collapsedLevelsAreSubtotals="1" fieldPosition="0"/>
    </format>
    <format dxfId="1536">
      <pivotArea field="71" type="button" dataOnly="0" labelOnly="1" outline="0"/>
    </format>
    <format dxfId="1535">
      <pivotArea dataOnly="0" labelOnly="1" grandRow="1" outline="0" fieldPosition="0"/>
    </format>
    <format dxfId="1534">
      <pivotArea dataOnly="0" labelOnly="1" outline="0" axis="axisValues" fieldPosition="0"/>
    </format>
    <format dxfId="1533">
      <pivotArea type="all" dataOnly="0" outline="0" fieldPosition="0"/>
    </format>
    <format dxfId="1532">
      <pivotArea outline="0" collapsedLevelsAreSubtotals="1" fieldPosition="0"/>
    </format>
    <format dxfId="1531">
      <pivotArea field="71" type="button" dataOnly="0" labelOnly="1" outline="0"/>
    </format>
    <format dxfId="1530">
      <pivotArea dataOnly="0" labelOnly="1" grandRow="1" outline="0" fieldPosition="0"/>
    </format>
    <format dxfId="1529">
      <pivotArea dataOnly="0" labelOnly="1" outline="0" axis="axisValues" fieldPosition="0"/>
    </format>
    <format dxfId="1528">
      <pivotArea type="all" dataOnly="0" outline="0" fieldPosition="0"/>
    </format>
    <format dxfId="1527">
      <pivotArea outline="0" collapsedLevelsAreSubtotals="1" fieldPosition="0"/>
    </format>
    <format dxfId="1526">
      <pivotArea field="71" type="button" dataOnly="0" labelOnly="1" outline="0"/>
    </format>
    <format dxfId="1525">
      <pivotArea dataOnly="0" labelOnly="1" grandRow="1" outline="0" fieldPosition="0"/>
    </format>
    <format dxfId="1524">
      <pivotArea dataOnly="0" labelOnly="1" outline="0" axis="axisValues" fieldPosition="0"/>
    </format>
    <format dxfId="1523">
      <pivotArea type="all" dataOnly="0" outline="0" fieldPosition="0"/>
    </format>
    <format dxfId="1522">
      <pivotArea outline="0" collapsedLevelsAreSubtotals="1" fieldPosition="0"/>
    </format>
    <format dxfId="1521">
      <pivotArea field="72" type="button" dataOnly="0" labelOnly="1" outline="0"/>
    </format>
    <format dxfId="1520">
      <pivotArea dataOnly="0" labelOnly="1" grandRow="1" outline="0" fieldPosition="0"/>
    </format>
    <format dxfId="151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27DAD204-2566-44B3-BF8F-924ED5EF8F99}" name="PivotTable50"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226:F229"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0"/>
        <item x="1"/>
        <item t="default"/>
      </items>
    </pivotField>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9"/>
  </rowFields>
  <rowItems count="3">
    <i>
      <x/>
    </i>
    <i>
      <x v="1"/>
    </i>
    <i t="grand">
      <x/>
    </i>
  </rowItems>
  <colItems count="1">
    <i/>
  </colItems>
  <pageFields count="1">
    <pageField fld="9" hier="-1"/>
  </pageFields>
  <dataFields count="1">
    <dataField name="Sum of Net Dwellings" fld="45" baseField="0" baseItem="0"/>
  </dataFields>
  <formats count="39">
    <format dxfId="1602">
      <pivotArea type="all" dataOnly="0" outline="0" fieldPosition="0"/>
    </format>
    <format dxfId="1601">
      <pivotArea type="all" dataOnly="0" outline="0" fieldPosition="0"/>
    </format>
    <format dxfId="1600">
      <pivotArea type="all" dataOnly="0" outline="0" fieldPosition="0"/>
    </format>
    <format dxfId="1599">
      <pivotArea type="all" dataOnly="0" outline="0" fieldPosition="0"/>
    </format>
    <format dxfId="1598">
      <pivotArea type="all" dataOnly="0" outline="0" fieldPosition="0"/>
    </format>
    <format dxfId="1597">
      <pivotArea type="all" dataOnly="0" outline="0" fieldPosition="0"/>
    </format>
    <format dxfId="1596">
      <pivotArea type="all" dataOnly="0" outline="0" fieldPosition="0"/>
    </format>
    <format dxfId="1595">
      <pivotArea type="all" dataOnly="0" outline="0" fieldPosition="0"/>
    </format>
    <format dxfId="1594">
      <pivotArea type="all" dataOnly="0" outline="0" fieldPosition="0"/>
    </format>
    <format dxfId="1593">
      <pivotArea type="all" dataOnly="0" outline="0" fieldPosition="0"/>
    </format>
    <format dxfId="1592">
      <pivotArea type="all" dataOnly="0" outline="0" fieldPosition="0"/>
    </format>
    <format dxfId="1591">
      <pivotArea outline="0" collapsedLevelsAreSubtotals="1" fieldPosition="0"/>
    </format>
    <format dxfId="1590">
      <pivotArea dataOnly="0" labelOnly="1" grandRow="1" outline="0" fieldPosition="0"/>
    </format>
    <format dxfId="1589">
      <pivotArea dataOnly="0" labelOnly="1" outline="0" axis="axisValues" fieldPosition="0"/>
    </format>
    <format dxfId="1588">
      <pivotArea type="all" dataOnly="0" outline="0" fieldPosition="0"/>
    </format>
    <format dxfId="1587">
      <pivotArea outline="0" collapsedLevelsAreSubtotals="1" fieldPosition="0"/>
    </format>
    <format dxfId="1586">
      <pivotArea dataOnly="0" labelOnly="1" grandRow="1" outline="0" fieldPosition="0"/>
    </format>
    <format dxfId="1585">
      <pivotArea dataOnly="0" labelOnly="1" outline="0" axis="axisValues" fieldPosition="0"/>
    </format>
    <format dxfId="1584">
      <pivotArea type="all" dataOnly="0" outline="0" fieldPosition="0"/>
    </format>
    <format dxfId="1583">
      <pivotArea outline="0" collapsedLevelsAreSubtotals="1" fieldPosition="0"/>
    </format>
    <format dxfId="1582">
      <pivotArea dataOnly="0" labelOnly="1" grandRow="1" outline="0" fieldPosition="0"/>
    </format>
    <format dxfId="1581">
      <pivotArea dataOnly="0" labelOnly="1" outline="0" axis="axisValues" fieldPosition="0"/>
    </format>
    <format dxfId="1580">
      <pivotArea type="all" dataOnly="0" outline="0" fieldPosition="0"/>
    </format>
    <format dxfId="1579">
      <pivotArea outline="0" collapsedLevelsAreSubtotals="1" fieldPosition="0"/>
    </format>
    <format dxfId="1578">
      <pivotArea dataOnly="0" labelOnly="1" grandRow="1" outline="0" fieldPosition="0"/>
    </format>
    <format dxfId="1577">
      <pivotArea dataOnly="0" labelOnly="1" outline="0" axis="axisValues" fieldPosition="0"/>
    </format>
    <format dxfId="1576">
      <pivotArea type="all" dataOnly="0" outline="0" fieldPosition="0"/>
    </format>
    <format dxfId="1575">
      <pivotArea outline="0" collapsedLevelsAreSubtotals="1" fieldPosition="0"/>
    </format>
    <format dxfId="1574">
      <pivotArea type="all" dataOnly="0" outline="0" fieldPosition="0"/>
    </format>
    <format dxfId="1573">
      <pivotArea outline="0" collapsedLevelsAreSubtotals="1" fieldPosition="0"/>
    </format>
    <format dxfId="1572">
      <pivotArea outline="0" collapsedLevelsAreSubtotals="1" fieldPosition="0"/>
    </format>
    <format dxfId="1571">
      <pivotArea type="all" dataOnly="0" outline="0" fieldPosition="0"/>
    </format>
    <format dxfId="1570">
      <pivotArea outline="0" collapsedLevelsAreSubtotals="1" fieldPosition="0"/>
    </format>
    <format dxfId="1569">
      <pivotArea field="79" type="button" dataOnly="0" labelOnly="1" outline="0" axis="axisRow" fieldPosition="0"/>
    </format>
    <format dxfId="1568">
      <pivotArea dataOnly="0" labelOnly="1" fieldPosition="0">
        <references count="1">
          <reference field="79" count="0"/>
        </references>
      </pivotArea>
    </format>
    <format dxfId="1567">
      <pivotArea dataOnly="0" labelOnly="1" grandRow="1" outline="0" fieldPosition="0"/>
    </format>
    <format dxfId="1566">
      <pivotArea dataOnly="0" labelOnly="1" outline="0" axis="axisValues" fieldPosition="0"/>
    </format>
    <format dxfId="1565">
      <pivotArea type="all" dataOnly="0" outline="0" fieldPosition="0"/>
    </format>
    <format dxfId="156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D169AA64-6477-4A20-B4F6-A53263F98C20}" name="PivotTable2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L279:O289" firstHeaderRow="0"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46"/>
        <item x="47"/>
        <item x="51"/>
        <item x="50"/>
        <item x="52"/>
        <item x="45"/>
        <item x="55"/>
        <item x="14"/>
        <item x="57"/>
        <item x="58"/>
        <item x="56"/>
        <item x="59"/>
        <item x="60"/>
        <item x="43"/>
        <item x="49"/>
        <item x="48"/>
        <item x="3"/>
        <item x="53"/>
        <item x="89"/>
        <item x="145"/>
        <item x="151"/>
        <item x="150"/>
        <item x="149"/>
        <item x="148"/>
        <item x="140"/>
        <item x="152"/>
        <item x="144"/>
        <item x="146"/>
        <item x="147"/>
        <item x="62"/>
        <item x="126"/>
        <item x="244"/>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45"/>
        <item x="231"/>
        <item x="204"/>
        <item x="26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6"/>
        <item h="1" x="4"/>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10">
    <i>
      <x/>
    </i>
    <i>
      <x v="1"/>
    </i>
    <i>
      <x v="2"/>
    </i>
    <i>
      <x v="3"/>
    </i>
    <i>
      <x v="4"/>
    </i>
    <i>
      <x v="5"/>
    </i>
    <i>
      <x v="6"/>
    </i>
    <i>
      <x v="7"/>
    </i>
    <i>
      <x v="8"/>
    </i>
    <i t="grand">
      <x/>
    </i>
  </rowItems>
  <colFields count="1">
    <field x="-2"/>
  </colFields>
  <colItems count="3">
    <i>
      <x/>
    </i>
    <i i="1">
      <x v="1"/>
    </i>
    <i i="2">
      <x v="2"/>
    </i>
  </colItems>
  <pageFields count="1">
    <pageField fld="9" hier="-1"/>
  </pageFields>
  <dataFields count="3">
    <dataField name="Sum of Units Proposed" fld="36" baseField="0" baseItem="0"/>
    <dataField name="Sum of Units Existing" fld="26" baseField="0" baseItem="0"/>
    <dataField name="Sum of Net Dwellings" fld="45" baseField="0" baseItem="0"/>
  </dataFields>
  <formats count="40">
    <format dxfId="1642">
      <pivotArea type="all" dataOnly="0" outline="0" fieldPosition="0"/>
    </format>
    <format dxfId="1641">
      <pivotArea type="all" dataOnly="0" outline="0" fieldPosition="0"/>
    </format>
    <format dxfId="1640">
      <pivotArea type="all" dataOnly="0" outline="0" fieldPosition="0"/>
    </format>
    <format dxfId="1639">
      <pivotArea type="all" dataOnly="0" outline="0" fieldPosition="0"/>
    </format>
    <format dxfId="1638">
      <pivotArea type="all" dataOnly="0" outline="0" fieldPosition="0"/>
    </format>
    <format dxfId="1637">
      <pivotArea type="all" dataOnly="0" outline="0" fieldPosition="0"/>
    </format>
    <format dxfId="1636">
      <pivotArea type="all" dataOnly="0" outline="0" fieldPosition="0"/>
    </format>
    <format dxfId="1635">
      <pivotArea dataOnly="0" labelOnly="1" outline="0" fieldPosition="0">
        <references count="1">
          <reference field="4294967294" count="2">
            <x v="0"/>
            <x v="2"/>
          </reference>
        </references>
      </pivotArea>
    </format>
    <format dxfId="1634">
      <pivotArea dataOnly="0" labelOnly="1" outline="0" fieldPosition="0">
        <references count="1">
          <reference field="4294967294" count="2">
            <x v="0"/>
            <x v="2"/>
          </reference>
        </references>
      </pivotArea>
    </format>
    <format dxfId="1633">
      <pivotArea dataOnly="0" labelOnly="1" outline="0" fieldPosition="0">
        <references count="1">
          <reference field="4294967294" count="2">
            <x v="0"/>
            <x v="2"/>
          </reference>
        </references>
      </pivotArea>
    </format>
    <format dxfId="1632">
      <pivotArea type="all" dataOnly="0" outline="0" fieldPosition="0"/>
    </format>
    <format dxfId="1631">
      <pivotArea type="all" dataOnly="0" outline="0" fieldPosition="0"/>
    </format>
    <format dxfId="1630">
      <pivotArea type="all" dataOnly="0" outline="0" fieldPosition="0"/>
    </format>
    <format dxfId="1629">
      <pivotArea type="all" dataOnly="0" outline="0" fieldPosition="0"/>
    </format>
    <format dxfId="1628">
      <pivotArea outline="0" collapsedLevelsAreSubtotals="1" fieldPosition="0"/>
    </format>
    <format dxfId="1627">
      <pivotArea dataOnly="0" labelOnly="1" grandRow="1" outline="0" fieldPosition="0"/>
    </format>
    <format dxfId="1626">
      <pivotArea dataOnly="0" labelOnly="1" outline="0" fieldPosition="0">
        <references count="1">
          <reference field="4294967294" count="2">
            <x v="0"/>
            <x v="2"/>
          </reference>
        </references>
      </pivotArea>
    </format>
    <format dxfId="1625">
      <pivotArea type="all" dataOnly="0" outline="0" fieldPosition="0"/>
    </format>
    <format dxfId="1624">
      <pivotArea outline="0" collapsedLevelsAreSubtotals="1" fieldPosition="0"/>
    </format>
    <format dxfId="1623">
      <pivotArea dataOnly="0" labelOnly="1" grandRow="1" outline="0" fieldPosition="0"/>
    </format>
    <format dxfId="1622">
      <pivotArea dataOnly="0" labelOnly="1" outline="0" fieldPosition="0">
        <references count="1">
          <reference field="4294967294" count="2">
            <x v="0"/>
            <x v="2"/>
          </reference>
        </references>
      </pivotArea>
    </format>
    <format dxfId="1621">
      <pivotArea type="all" dataOnly="0" outline="0" fieldPosition="0"/>
    </format>
    <format dxfId="1620">
      <pivotArea outline="0" collapsedLevelsAreSubtotals="1" fieldPosition="0"/>
    </format>
    <format dxfId="1619">
      <pivotArea dataOnly="0" labelOnly="1" grandRow="1" outline="0" fieldPosition="0"/>
    </format>
    <format dxfId="1618">
      <pivotArea dataOnly="0" labelOnly="1" outline="0" fieldPosition="0">
        <references count="1">
          <reference field="4294967294" count="2">
            <x v="0"/>
            <x v="2"/>
          </reference>
        </references>
      </pivotArea>
    </format>
    <format dxfId="1617">
      <pivotArea type="all" dataOnly="0" outline="0" fieldPosition="0"/>
    </format>
    <format dxfId="1616">
      <pivotArea outline="0" collapsedLevelsAreSubtotals="1" fieldPosition="0"/>
    </format>
    <format dxfId="1615">
      <pivotArea field="71" type="button" dataOnly="0" labelOnly="1" outline="0"/>
    </format>
    <format dxfId="1614">
      <pivotArea dataOnly="0" labelOnly="1" grandRow="1" outline="0" fieldPosition="0"/>
    </format>
    <format dxfId="1613">
      <pivotArea dataOnly="0" labelOnly="1" outline="0" fieldPosition="0">
        <references count="1">
          <reference field="4294967294" count="3">
            <x v="0"/>
            <x v="1"/>
            <x v="2"/>
          </reference>
        </references>
      </pivotArea>
    </format>
    <format dxfId="1612">
      <pivotArea type="all" dataOnly="0" outline="0" fieldPosition="0"/>
    </format>
    <format dxfId="1611">
      <pivotArea outline="0" collapsedLevelsAreSubtotals="1" fieldPosition="0"/>
    </format>
    <format dxfId="1610">
      <pivotArea field="71" type="button" dataOnly="0" labelOnly="1" outline="0"/>
    </format>
    <format dxfId="1609">
      <pivotArea dataOnly="0" labelOnly="1" grandRow="1" outline="0" fieldPosition="0"/>
    </format>
    <format dxfId="1608">
      <pivotArea dataOnly="0" labelOnly="1" outline="0" fieldPosition="0">
        <references count="1">
          <reference field="4294967294" count="3">
            <x v="0"/>
            <x v="1"/>
            <x v="2"/>
          </reference>
        </references>
      </pivotArea>
    </format>
    <format dxfId="1607">
      <pivotArea type="all" dataOnly="0" outline="0" fieldPosition="0"/>
    </format>
    <format dxfId="1606">
      <pivotArea outline="0" collapsedLevelsAreSubtotals="1" fieldPosition="0"/>
    </format>
    <format dxfId="1605">
      <pivotArea field="71" type="button" dataOnly="0" labelOnly="1" outline="0"/>
    </format>
    <format dxfId="1604">
      <pivotArea dataOnly="0" labelOnly="1" grandRow="1" outline="0" fieldPosition="0"/>
    </format>
    <format dxfId="1603">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1E80BCB8-4C2B-40B3-B996-935A04861C75}" name="PivotTable4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06:B107"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x="1"/>
        <item x="2"/>
        <item x="6"/>
        <item x="4"/>
        <item x="3"/>
        <item x="5"/>
        <item h="1" x="0"/>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Net Dwellings" fld="45" baseField="0" baseItem="0"/>
  </dataFields>
  <formats count="41">
    <format dxfId="1683">
      <pivotArea type="all" dataOnly="0" outline="0" fieldPosition="0"/>
    </format>
    <format dxfId="1682">
      <pivotArea type="all" dataOnly="0" outline="0" fieldPosition="0"/>
    </format>
    <format dxfId="1681">
      <pivotArea type="all" dataOnly="0" outline="0" fieldPosition="0"/>
    </format>
    <format dxfId="1680">
      <pivotArea type="all" dataOnly="0" outline="0" fieldPosition="0"/>
    </format>
    <format dxfId="1679">
      <pivotArea type="all" dataOnly="0" outline="0" fieldPosition="0"/>
    </format>
    <format dxfId="1678">
      <pivotArea type="all" dataOnly="0" outline="0" fieldPosition="0"/>
    </format>
    <format dxfId="1677">
      <pivotArea type="all" dataOnly="0" outline="0" fieldPosition="0"/>
    </format>
    <format dxfId="1676">
      <pivotArea type="all" dataOnly="0" outline="0" fieldPosition="0"/>
    </format>
    <format dxfId="1675">
      <pivotArea type="all" dataOnly="0" outline="0" fieldPosition="0"/>
    </format>
    <format dxfId="1674">
      <pivotArea type="all" dataOnly="0" outline="0" fieldPosition="0"/>
    </format>
    <format dxfId="1673">
      <pivotArea type="all" dataOnly="0" outline="0" fieldPosition="0"/>
    </format>
    <format dxfId="1672">
      <pivotArea outline="0" collapsedLevelsAreSubtotals="1" fieldPosition="0"/>
    </format>
    <format dxfId="1671">
      <pivotArea dataOnly="0" labelOnly="1" outline="0" axis="axisValues" fieldPosition="0"/>
    </format>
    <format dxfId="1670">
      <pivotArea type="all" dataOnly="0" outline="0" fieldPosition="0"/>
    </format>
    <format dxfId="1669">
      <pivotArea outline="0" collapsedLevelsAreSubtotals="1" fieldPosition="0"/>
    </format>
    <format dxfId="1668">
      <pivotArea dataOnly="0" labelOnly="1" outline="0" axis="axisValues" fieldPosition="0"/>
    </format>
    <format dxfId="1667">
      <pivotArea type="all" dataOnly="0" outline="0" fieldPosition="0"/>
    </format>
    <format dxfId="1666">
      <pivotArea outline="0" collapsedLevelsAreSubtotals="1" fieldPosition="0"/>
    </format>
    <format dxfId="1665">
      <pivotArea dataOnly="0" labelOnly="1" outline="0" axis="axisValues" fieldPosition="0"/>
    </format>
    <format dxfId="1664">
      <pivotArea type="all" dataOnly="0" outline="0" fieldPosition="0"/>
    </format>
    <format dxfId="1663">
      <pivotArea outline="0" collapsedLevelsAreSubtotals="1" fieldPosition="0"/>
    </format>
    <format dxfId="1662">
      <pivotArea dataOnly="0" labelOnly="1" outline="0" axis="axisValues" fieldPosition="0"/>
    </format>
    <format dxfId="1661">
      <pivotArea type="all" dataOnly="0" outline="0" fieldPosition="0"/>
    </format>
    <format dxfId="1660">
      <pivotArea outline="0" collapsedLevelsAreSubtotals="1" fieldPosition="0"/>
    </format>
    <format dxfId="1659">
      <pivotArea dataOnly="0" labelOnly="1" outline="0" axis="axisValues" fieldPosition="0"/>
    </format>
    <format dxfId="1658">
      <pivotArea type="all" dataOnly="0" outline="0" fieldPosition="0"/>
    </format>
    <format dxfId="1657">
      <pivotArea outline="0" collapsedLevelsAreSubtotals="1" fieldPosition="0"/>
    </format>
    <format dxfId="1656">
      <pivotArea dataOnly="0" labelOnly="1" outline="0" axis="axisValues" fieldPosition="0"/>
    </format>
    <format dxfId="1655">
      <pivotArea type="all" dataOnly="0" outline="0" fieldPosition="0"/>
    </format>
    <format dxfId="1654">
      <pivotArea outline="0" collapsedLevelsAreSubtotals="1" fieldPosition="0"/>
    </format>
    <format dxfId="1653">
      <pivotArea dataOnly="0" labelOnly="1" outline="0" axis="axisValues" fieldPosition="0"/>
    </format>
    <format dxfId="1652">
      <pivotArea type="all" dataOnly="0" outline="0" fieldPosition="0"/>
    </format>
    <format dxfId="1651">
      <pivotArea outline="0" collapsedLevelsAreSubtotals="1" fieldPosition="0"/>
    </format>
    <format dxfId="1650">
      <pivotArea type="all" dataOnly="0" outline="0" fieldPosition="0"/>
    </format>
    <format dxfId="1649">
      <pivotArea outline="0" collapsedLevelsAreSubtotals="1" fieldPosition="0"/>
    </format>
    <format dxfId="1648">
      <pivotArea outline="0" collapsedLevelsAreSubtotals="1" fieldPosition="0"/>
    </format>
    <format dxfId="1647">
      <pivotArea type="all" dataOnly="0" outline="0" fieldPosition="0"/>
    </format>
    <format dxfId="1646">
      <pivotArea type="all" dataOnly="0" outline="0" fieldPosition="0"/>
    </format>
    <format dxfId="1645">
      <pivotArea outline="0" collapsedLevelsAreSubtotals="1" fieldPosition="0"/>
    </format>
    <format dxfId="1644">
      <pivotArea dataOnly="0" labelOnly="1" outline="0" axis="axisValues" fieldPosition="0"/>
    </format>
    <format dxfId="164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9D546A5E-771E-46AF-B0D8-B03963EA26F6}" name="PivotTable4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14:B115"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1"/>
        <item h="1" x="2"/>
        <item h="1" x="6"/>
        <item h="1" x="4"/>
        <item h="1" x="3"/>
        <item h="1" x="5"/>
        <item x="0"/>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Net Dwellings" fld="45" baseField="0" baseItem="0"/>
  </dataFields>
  <formats count="40">
    <format dxfId="1723">
      <pivotArea type="all" dataOnly="0" outline="0" fieldPosition="0"/>
    </format>
    <format dxfId="1722">
      <pivotArea type="all" dataOnly="0" outline="0" fieldPosition="0"/>
    </format>
    <format dxfId="1721">
      <pivotArea type="all" dataOnly="0" outline="0" fieldPosition="0"/>
    </format>
    <format dxfId="1720">
      <pivotArea type="all" dataOnly="0" outline="0" fieldPosition="0"/>
    </format>
    <format dxfId="1719">
      <pivotArea type="all" dataOnly="0" outline="0" fieldPosition="0"/>
    </format>
    <format dxfId="1718">
      <pivotArea type="all" dataOnly="0" outline="0" fieldPosition="0"/>
    </format>
    <format dxfId="1717">
      <pivotArea type="all" dataOnly="0" outline="0" fieldPosition="0"/>
    </format>
    <format dxfId="1716">
      <pivotArea type="all" dataOnly="0" outline="0" fieldPosition="0"/>
    </format>
    <format dxfId="1715">
      <pivotArea type="all" dataOnly="0" outline="0" fieldPosition="0"/>
    </format>
    <format dxfId="1714">
      <pivotArea type="all" dataOnly="0" outline="0" fieldPosition="0"/>
    </format>
    <format dxfId="1713">
      <pivotArea type="all" dataOnly="0" outline="0" fieldPosition="0"/>
    </format>
    <format dxfId="1712">
      <pivotArea outline="0" collapsedLevelsAreSubtotals="1" fieldPosition="0"/>
    </format>
    <format dxfId="1711">
      <pivotArea dataOnly="0" labelOnly="1" outline="0" axis="axisValues" fieldPosition="0"/>
    </format>
    <format dxfId="1710">
      <pivotArea type="all" dataOnly="0" outline="0" fieldPosition="0"/>
    </format>
    <format dxfId="1709">
      <pivotArea outline="0" collapsedLevelsAreSubtotals="1" fieldPosition="0"/>
    </format>
    <format dxfId="1708">
      <pivotArea dataOnly="0" labelOnly="1" outline="0" axis="axisValues" fieldPosition="0"/>
    </format>
    <format dxfId="1707">
      <pivotArea type="all" dataOnly="0" outline="0" fieldPosition="0"/>
    </format>
    <format dxfId="1706">
      <pivotArea outline="0" collapsedLevelsAreSubtotals="1" fieldPosition="0"/>
    </format>
    <format dxfId="1705">
      <pivotArea dataOnly="0" labelOnly="1" outline="0" axis="axisValues" fieldPosition="0"/>
    </format>
    <format dxfId="1704">
      <pivotArea type="all" dataOnly="0" outline="0" fieldPosition="0"/>
    </format>
    <format dxfId="1703">
      <pivotArea outline="0" collapsedLevelsAreSubtotals="1" fieldPosition="0"/>
    </format>
    <format dxfId="1702">
      <pivotArea dataOnly="0" labelOnly="1" outline="0" axis="axisValues" fieldPosition="0"/>
    </format>
    <format dxfId="1701">
      <pivotArea type="all" dataOnly="0" outline="0" fieldPosition="0"/>
    </format>
    <format dxfId="1700">
      <pivotArea outline="0" collapsedLevelsAreSubtotals="1" fieldPosition="0"/>
    </format>
    <format dxfId="1699">
      <pivotArea dataOnly="0" labelOnly="1" outline="0" axis="axisValues" fieldPosition="0"/>
    </format>
    <format dxfId="1698">
      <pivotArea type="all" dataOnly="0" outline="0" fieldPosition="0"/>
    </format>
    <format dxfId="1697">
      <pivotArea outline="0" collapsedLevelsAreSubtotals="1" fieldPosition="0"/>
    </format>
    <format dxfId="1696">
      <pivotArea dataOnly="0" labelOnly="1" outline="0" axis="axisValues" fieldPosition="0"/>
    </format>
    <format dxfId="1695">
      <pivotArea type="all" dataOnly="0" outline="0" fieldPosition="0"/>
    </format>
    <format dxfId="1694">
      <pivotArea outline="0" collapsedLevelsAreSubtotals="1" fieldPosition="0"/>
    </format>
    <format dxfId="1693">
      <pivotArea dataOnly="0" labelOnly="1" outline="0" axis="axisValues" fieldPosition="0"/>
    </format>
    <format dxfId="1692">
      <pivotArea type="all" dataOnly="0" outline="0" fieldPosition="0"/>
    </format>
    <format dxfId="1691">
      <pivotArea outline="0" collapsedLevelsAreSubtotals="1" fieldPosition="0"/>
    </format>
    <format dxfId="1690">
      <pivotArea type="all" dataOnly="0" outline="0" fieldPosition="0"/>
    </format>
    <format dxfId="1689">
      <pivotArea outline="0" collapsedLevelsAreSubtotals="1" fieldPosition="0"/>
    </format>
    <format dxfId="1688">
      <pivotArea outline="0" collapsedLevelsAreSubtotals="1" fieldPosition="0"/>
    </format>
    <format dxfId="1687">
      <pivotArea type="all" dataOnly="0" outline="0" fieldPosition="0"/>
    </format>
    <format dxfId="1686">
      <pivotArea type="all" dataOnly="0" outline="0" fieldPosition="0"/>
    </format>
    <format dxfId="1685">
      <pivotArea outline="0" collapsedLevelsAreSubtotals="1" fieldPosition="0"/>
    </format>
    <format dxfId="168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BB6BB2F-20CB-49D5-ADE3-F9CDDE57A793}" name="PivotTable86" cacheId="2" applyNumberFormats="0" applyBorderFormats="0" applyFontFormats="0" applyPatternFormats="0" applyAlignmentFormats="0" applyWidthHeightFormats="1" dataCaption="Values" updatedVersion="8" minRefreshableVersion="3" itemPrintTitles="1" createdVersion="4" indent="0" outline="1" outlineData="1" multipleFieldFilters="0" rowHeaderCaption="SELECT SITES">
  <location ref="E33:F41" firstHeaderRow="1" firstDataRow="1" firstDataCol="1" rowPageCount="1" colPageCount="1"/>
  <pivotFields count="85">
    <pivotField showAll="0"/>
    <pivotField multipleItemSelectionAllowed="1" showAll="0" defaultSubtotal="0"/>
    <pivotField multipleItemSelectionAllowed="1" showAll="0"/>
    <pivotField numFmtId="14"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60"/>
        <item x="51"/>
        <item x="57"/>
        <item x="145"/>
        <item x="151"/>
        <item x="206"/>
        <item x="226"/>
        <item x="149"/>
        <item x="260"/>
        <item x="50"/>
        <item x="58"/>
        <item x="150"/>
        <item x="214"/>
        <item x="208"/>
        <item x="230"/>
        <item x="247"/>
        <item x="235"/>
        <item x="254"/>
        <item x="233"/>
        <item x="221"/>
        <item x="257"/>
        <item x="258"/>
        <item x="239"/>
        <item x="259"/>
        <item x="232"/>
        <item x="240"/>
        <item x="216"/>
        <item x="159"/>
        <item x="245"/>
        <item x="255"/>
        <item x="55"/>
        <item x="126"/>
        <item x="62"/>
        <item x="231"/>
        <item x="43"/>
        <item x="207"/>
        <item x="253"/>
        <item x="248"/>
        <item x="204"/>
        <item x="56"/>
        <item x="242"/>
        <item x="157"/>
        <item x="173"/>
        <item x="45"/>
        <item x="244"/>
        <item x="252"/>
        <item x="148"/>
        <item x="227"/>
        <item x="14"/>
        <item x="49"/>
        <item x="220"/>
        <item x="185"/>
        <item x="234"/>
        <item x="192"/>
        <item x="48"/>
        <item x="140"/>
        <item x="152"/>
        <item x="224"/>
        <item x="211"/>
        <item x="223"/>
        <item x="219"/>
        <item x="236"/>
        <item x="256"/>
        <item x="229"/>
        <item x="198"/>
        <item x="237"/>
        <item x="196"/>
        <item x="3"/>
        <item x="144"/>
        <item x="222"/>
        <item x="250"/>
        <item x="53"/>
        <item x="238"/>
        <item x="217"/>
        <item x="261"/>
        <item x="46"/>
        <item x="47"/>
        <item x="146"/>
        <item x="147"/>
        <item x="241"/>
        <item x="246"/>
        <item x="243"/>
        <item x="249"/>
        <item x="262"/>
        <item x="59"/>
        <item x="89"/>
        <item x="251"/>
        <item x="52"/>
        <item x="180"/>
        <item x="225"/>
        <item x="264"/>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h="1" x="2"/>
        <item h="1" x="3"/>
        <item x="6"/>
        <item x="4"/>
        <item x="5"/>
        <item t="default"/>
      </items>
    </pivotField>
    <pivotField showAll="0"/>
    <pivotField axis="axisRow" showAll="0" sortType="ascending">
      <items count="13">
        <item x="4"/>
        <item h="1" x="10"/>
        <item h="1"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1"/>
  </rowFields>
  <rowItems count="8">
    <i>
      <x/>
    </i>
    <i>
      <x v="4"/>
    </i>
    <i>
      <x v="5"/>
    </i>
    <i>
      <x v="6"/>
    </i>
    <i>
      <x v="7"/>
    </i>
    <i>
      <x v="9"/>
    </i>
    <i>
      <x v="10"/>
    </i>
    <i t="grand">
      <x/>
    </i>
  </rowItems>
  <colItems count="1">
    <i/>
  </colItems>
  <pageFields count="1">
    <pageField fld="9" hier="-1"/>
  </pageFields>
  <dataFields count="1">
    <dataField name="Sum of 2025–2029 Total" fld="64" baseField="0" baseItem="0"/>
  </dataFields>
  <formats count="76">
    <format dxfId="209">
      <pivotArea type="all" dataOnly="0" outline="0" fieldPosition="0"/>
    </format>
    <format dxfId="208">
      <pivotArea type="all" dataOnly="0" outline="0" fieldPosition="0"/>
    </format>
    <format dxfId="207">
      <pivotArea type="all" dataOnly="0" outline="0" fieldPosition="0"/>
    </format>
    <format dxfId="206">
      <pivotArea type="all" dataOnly="0" outline="0" fieldPosition="0"/>
    </format>
    <format dxfId="205">
      <pivotArea type="all" dataOnly="0" outline="0" fieldPosition="0"/>
    </format>
    <format dxfId="204">
      <pivotArea type="all" dataOnly="0" outline="0" fieldPosition="0"/>
    </format>
    <format dxfId="203">
      <pivotArea type="all" dataOnly="0" outline="0" fieldPosition="0"/>
    </format>
    <format dxfId="202">
      <pivotArea type="all" dataOnly="0" outline="0" fieldPosition="0"/>
    </format>
    <format dxfId="201">
      <pivotArea type="all" dataOnly="0" outline="0" fieldPosition="0"/>
    </format>
    <format dxfId="200">
      <pivotArea type="all" dataOnly="0" outline="0" fieldPosition="0"/>
    </format>
    <format dxfId="199">
      <pivotArea type="all" dataOnly="0" outline="0" fieldPosition="0"/>
    </format>
    <format dxfId="198">
      <pivotArea outline="0" collapsedLevelsAreSubtotals="1" fieldPosition="0"/>
    </format>
    <format dxfId="197">
      <pivotArea dataOnly="0" labelOnly="1" outline="0" axis="axisValues" fieldPosition="0"/>
    </format>
    <format dxfId="196">
      <pivotArea type="all" dataOnly="0" outline="0" fieldPosition="0"/>
    </format>
    <format dxfId="195">
      <pivotArea outline="0" collapsedLevelsAreSubtotals="1" fieldPosition="0"/>
    </format>
    <format dxfId="194">
      <pivotArea dataOnly="0" labelOnly="1" grandRow="1" outline="0" fieldPosition="0"/>
    </format>
    <format dxfId="193">
      <pivotArea dataOnly="0" labelOnly="1" outline="0" axis="axisValues" fieldPosition="0"/>
    </format>
    <format dxfId="192">
      <pivotArea type="all" dataOnly="0" outline="0" fieldPosition="0"/>
    </format>
    <format dxfId="191">
      <pivotArea outline="0" collapsedLevelsAreSubtotals="1" fieldPosition="0"/>
    </format>
    <format dxfId="190">
      <pivotArea dataOnly="0" labelOnly="1" grandRow="1" outline="0" fieldPosition="0"/>
    </format>
    <format dxfId="189">
      <pivotArea dataOnly="0" labelOnly="1" outline="0" axis="axisValues" fieldPosition="0"/>
    </format>
    <format dxfId="188">
      <pivotArea type="all" dataOnly="0" outline="0" fieldPosition="0"/>
    </format>
    <format dxfId="187">
      <pivotArea type="all" dataOnly="0" outline="0" fieldPosition="0"/>
    </format>
    <format dxfId="186">
      <pivotArea outline="0" collapsedLevelsAreSubtotals="1" fieldPosition="0"/>
    </format>
    <format dxfId="185">
      <pivotArea dataOnly="0" labelOnly="1" grandRow="1" outline="0" fieldPosition="0"/>
    </format>
    <format dxfId="184">
      <pivotArea dataOnly="0" labelOnly="1" outline="0" axis="axisValues" fieldPosition="0"/>
    </format>
    <format dxfId="183">
      <pivotArea type="all" dataOnly="0" outline="0" fieldPosition="0"/>
    </format>
    <format dxfId="182">
      <pivotArea outline="0" collapsedLevelsAreSubtotals="1" fieldPosition="0"/>
    </format>
    <format dxfId="181">
      <pivotArea dataOnly="0" labelOnly="1" grandRow="1" outline="0" fieldPosition="0"/>
    </format>
    <format dxfId="180">
      <pivotArea dataOnly="0" labelOnly="1" outline="0" axis="axisValues" fieldPosition="0"/>
    </format>
    <format dxfId="179">
      <pivotArea type="all" dataOnly="0" outline="0" fieldPosition="0"/>
    </format>
    <format dxfId="178">
      <pivotArea outline="0" collapsedLevelsAreSubtotals="1" fieldPosition="0"/>
    </format>
    <format dxfId="177">
      <pivotArea dataOnly="0" labelOnly="1" grandRow="1" outline="0" fieldPosition="0"/>
    </format>
    <format dxfId="176">
      <pivotArea dataOnly="0" labelOnly="1" outline="0" axis="axisValues" fieldPosition="0"/>
    </format>
    <format dxfId="175">
      <pivotArea type="all" dataOnly="0" outline="0" fieldPosition="0"/>
    </format>
    <format dxfId="174">
      <pivotArea outline="0" collapsedLevelsAreSubtotals="1" fieldPosition="0"/>
    </format>
    <format dxfId="173">
      <pivotArea dataOnly="0" labelOnly="1" grandRow="1" outline="0" fieldPosition="0"/>
    </format>
    <format dxfId="172">
      <pivotArea dataOnly="0" labelOnly="1" outline="0" axis="axisValues" fieldPosition="0"/>
    </format>
    <format dxfId="171">
      <pivotArea type="all" dataOnly="0" outline="0" fieldPosition="0"/>
    </format>
    <format dxfId="170">
      <pivotArea outline="0" collapsedLevelsAreSubtotals="1" fieldPosition="0"/>
    </format>
    <format dxfId="169">
      <pivotArea dataOnly="0" labelOnly="1" grandRow="1" outline="0" fieldPosition="0"/>
    </format>
    <format dxfId="168">
      <pivotArea dataOnly="0" labelOnly="1" outline="0" axis="axisValues" fieldPosition="0"/>
    </format>
    <format dxfId="167">
      <pivotArea type="all" dataOnly="0" outline="0" fieldPosition="0"/>
    </format>
    <format dxfId="166">
      <pivotArea outline="0" collapsedLevelsAreSubtotals="1" fieldPosition="0"/>
    </format>
    <format dxfId="165">
      <pivotArea dataOnly="0" labelOnly="1" grandRow="1" outline="0" fieldPosition="0"/>
    </format>
    <format dxfId="164">
      <pivotArea dataOnly="0" labelOnly="1" outline="0" axis="axisValues" fieldPosition="0"/>
    </format>
    <format dxfId="163">
      <pivotArea type="all" dataOnly="0" outline="0" fieldPosition="0"/>
    </format>
    <format dxfId="162">
      <pivotArea outline="0" collapsedLevelsAreSubtotals="1" fieldPosition="0"/>
    </format>
    <format dxfId="161">
      <pivotArea dataOnly="0" labelOnly="1" grandRow="1" outline="0" fieldPosition="0"/>
    </format>
    <format dxfId="160">
      <pivotArea dataOnly="0" labelOnly="1" outline="0" axis="axisValues" fieldPosition="0"/>
    </format>
    <format dxfId="159">
      <pivotArea type="all" dataOnly="0" outline="0" fieldPosition="0"/>
    </format>
    <format dxfId="158">
      <pivotArea outline="0" collapsedLevelsAreSubtotals="1" fieldPosition="0"/>
    </format>
    <format dxfId="157">
      <pivotArea dataOnly="0" labelOnly="1" grandRow="1" outline="0" fieldPosition="0"/>
    </format>
    <format dxfId="156">
      <pivotArea dataOnly="0" labelOnly="1" outline="0" axis="axisValues" fieldPosition="0"/>
    </format>
    <format dxfId="155">
      <pivotArea type="all" dataOnly="0" outline="0" fieldPosition="0"/>
    </format>
    <format dxfId="154">
      <pivotArea type="all" dataOnly="0" outline="0" fieldPosition="0"/>
    </format>
    <format dxfId="153">
      <pivotArea dataOnly="0" labelOnly="1" grandRow="1" outline="0" fieldPosition="0"/>
    </format>
    <format dxfId="152">
      <pivotArea dataOnly="0" labelOnly="1" grandRow="1" outline="0" fieldPosition="0"/>
    </format>
    <format dxfId="151">
      <pivotArea dataOnly="0" labelOnly="1" outline="0" fieldPosition="0">
        <references count="1">
          <reference field="9" count="0"/>
        </references>
      </pivotArea>
    </format>
    <format dxfId="150">
      <pivotArea type="all" dataOnly="0" outline="0" fieldPosition="0"/>
    </format>
    <format dxfId="149">
      <pivotArea outline="0" collapsedLevelsAreSubtotals="1" fieldPosition="0"/>
    </format>
    <format dxfId="148">
      <pivotArea field="11" type="button" dataOnly="0" labelOnly="1" outline="0" axis="axisRow" fieldPosition="0"/>
    </format>
    <format dxfId="147">
      <pivotArea dataOnly="0" labelOnly="1" grandRow="1" outline="0" fieldPosition="0"/>
    </format>
    <format dxfId="146">
      <pivotArea dataOnly="0" labelOnly="1" outline="0" axis="axisValues" fieldPosition="0"/>
    </format>
    <format dxfId="145">
      <pivotArea type="all" dataOnly="0" outline="0" fieldPosition="0"/>
    </format>
    <format dxfId="144">
      <pivotArea type="all" dataOnly="0" outline="0" fieldPosition="0"/>
    </format>
    <format dxfId="143">
      <pivotArea collapsedLevelsAreSubtotals="1" fieldPosition="0">
        <references count="1">
          <reference field="11" count="1">
            <x v="11"/>
          </reference>
        </references>
      </pivotArea>
    </format>
    <format dxfId="142">
      <pivotArea type="all" dataOnly="0" outline="0" fieldPosition="0"/>
    </format>
    <format dxfId="141">
      <pivotArea outline="0" collapsedLevelsAreSubtotals="1" fieldPosition="0"/>
    </format>
    <format dxfId="140">
      <pivotArea field="11" type="button" dataOnly="0" labelOnly="1" outline="0" axis="axisRow" fieldPosition="0"/>
    </format>
    <format dxfId="139">
      <pivotArea type="all" dataOnly="0" outline="0" fieldPosition="0"/>
    </format>
    <format dxfId="138">
      <pivotArea outline="0" collapsedLevelsAreSubtotals="1" fieldPosition="0"/>
    </format>
    <format dxfId="137">
      <pivotArea field="11" type="button" dataOnly="0" labelOnly="1" outline="0" axis="axisRow" fieldPosition="0"/>
    </format>
    <format dxfId="136">
      <pivotArea dataOnly="0" labelOnly="1" grandRow="1" outline="0" fieldPosition="0"/>
    </format>
    <format dxfId="135">
      <pivotArea dataOnly="0" labelOnly="1" outline="0" axis="axisValues" fieldPosition="0"/>
    </format>
    <format dxfId="134">
      <pivotArea dataOnly="0" labelOnly="1" fieldPosition="0">
        <references count="1">
          <reference field="11" count="6">
            <x v="0"/>
            <x v="5"/>
            <x v="6"/>
            <x v="7"/>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8AEADCCD-7FE6-400D-B01A-344995A5F570}" name="PivotTable4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239:F242"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0"/>
        <item x="1"/>
        <item t="default"/>
      </items>
    </pivotField>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6"/>
  </rowFields>
  <rowItems count="3">
    <i>
      <x/>
    </i>
    <i>
      <x v="1"/>
    </i>
    <i t="grand">
      <x/>
    </i>
  </rowItems>
  <colItems count="1">
    <i/>
  </colItems>
  <pageFields count="1">
    <pageField fld="9" hier="-1"/>
  </pageFields>
  <dataFields count="1">
    <dataField name="Sum of Net Dwellings" fld="45" baseField="0" baseItem="0"/>
  </dataFields>
  <formats count="34">
    <format dxfId="1757">
      <pivotArea type="all" dataOnly="0" outline="0" fieldPosition="0"/>
    </format>
    <format dxfId="1756">
      <pivotArea type="all" dataOnly="0" outline="0" fieldPosition="0"/>
    </format>
    <format dxfId="1755">
      <pivotArea type="all" dataOnly="0" outline="0" fieldPosition="0"/>
    </format>
    <format dxfId="1754">
      <pivotArea type="all" dataOnly="0" outline="0" fieldPosition="0"/>
    </format>
    <format dxfId="1753">
      <pivotArea type="all" dataOnly="0" outline="0" fieldPosition="0"/>
    </format>
    <format dxfId="1752">
      <pivotArea type="all" dataOnly="0" outline="0" fieldPosition="0"/>
    </format>
    <format dxfId="1751">
      <pivotArea type="all" dataOnly="0" outline="0" fieldPosition="0"/>
    </format>
    <format dxfId="1750">
      <pivotArea type="all" dataOnly="0" outline="0" fieldPosition="0"/>
    </format>
    <format dxfId="1749">
      <pivotArea type="all" dataOnly="0" outline="0" fieldPosition="0"/>
    </format>
    <format dxfId="1748">
      <pivotArea type="all" dataOnly="0" outline="0" fieldPosition="0"/>
    </format>
    <format dxfId="1747">
      <pivotArea type="all" dataOnly="0" outline="0" fieldPosition="0"/>
    </format>
    <format dxfId="1746">
      <pivotArea outline="0" collapsedLevelsAreSubtotals="1" fieldPosition="0"/>
    </format>
    <format dxfId="1745">
      <pivotArea dataOnly="0" labelOnly="1" grandRow="1" outline="0" fieldPosition="0"/>
    </format>
    <format dxfId="1744">
      <pivotArea dataOnly="0" labelOnly="1" outline="0" axis="axisValues" fieldPosition="0"/>
    </format>
    <format dxfId="1743">
      <pivotArea type="all" dataOnly="0" outline="0" fieldPosition="0"/>
    </format>
    <format dxfId="1742">
      <pivotArea outline="0" collapsedLevelsAreSubtotals="1" fieldPosition="0"/>
    </format>
    <format dxfId="1741">
      <pivotArea dataOnly="0" labelOnly="1" grandRow="1" outline="0" fieldPosition="0"/>
    </format>
    <format dxfId="1740">
      <pivotArea dataOnly="0" labelOnly="1" outline="0" axis="axisValues" fieldPosition="0"/>
    </format>
    <format dxfId="1739">
      <pivotArea type="all" dataOnly="0" outline="0" fieldPosition="0"/>
    </format>
    <format dxfId="1738">
      <pivotArea outline="0" collapsedLevelsAreSubtotals="1" fieldPosition="0"/>
    </format>
    <format dxfId="1737">
      <pivotArea dataOnly="0" labelOnly="1" grandRow="1" outline="0" fieldPosition="0"/>
    </format>
    <format dxfId="1736">
      <pivotArea dataOnly="0" labelOnly="1" outline="0" axis="axisValues" fieldPosition="0"/>
    </format>
    <format dxfId="1735">
      <pivotArea type="all" dataOnly="0" outline="0" fieldPosition="0"/>
    </format>
    <format dxfId="1734">
      <pivotArea outline="0" collapsedLevelsAreSubtotals="1" fieldPosition="0"/>
    </format>
    <format dxfId="1733">
      <pivotArea dataOnly="0" labelOnly="1" grandRow="1" outline="0" fieldPosition="0"/>
    </format>
    <format dxfId="1732">
      <pivotArea dataOnly="0" labelOnly="1" outline="0" axis="axisValues" fieldPosition="0"/>
    </format>
    <format dxfId="1731">
      <pivotArea type="all" dataOnly="0" outline="0" fieldPosition="0"/>
    </format>
    <format dxfId="1730">
      <pivotArea outline="0" collapsedLevelsAreSubtotals="1" fieldPosition="0"/>
    </format>
    <format dxfId="1729">
      <pivotArea dataOnly="0" labelOnly="1" grandRow="1" outline="0" fieldPosition="0"/>
    </format>
    <format dxfId="1728">
      <pivotArea dataOnly="0" labelOnly="1" outline="0" axis="axisValues" fieldPosition="0"/>
    </format>
    <format dxfId="1727">
      <pivotArea type="all" dataOnly="0" outline="0" fieldPosition="0"/>
    </format>
    <format dxfId="1726">
      <pivotArea outline="0" collapsedLevelsAreSubtotals="1" fieldPosition="0"/>
    </format>
    <format dxfId="1725">
      <pivotArea dataOnly="0" labelOnly="1" grandRow="1" outline="0" fieldPosition="0"/>
    </format>
    <format dxfId="172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CBFCB662-8DDA-426D-8D6A-8C7695248C7F}" name="PivotTable2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37:M544" firstHeaderRow="0" firstDataRow="1" firstDataCol="1" rowPageCount="1" colPageCount="1"/>
  <pivotFields count="85">
    <pivotField showAll="0" defaultSubtotal="0"/>
    <pivotField multipleItemSelectionAllowed="1" showAll="0" defaultSubtotal="0"/>
    <pivotField multipleItemSelectionAllowed="1"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h="1" x="2"/>
        <item x="3"/>
        <item x="6"/>
        <item x="4"/>
        <item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items count="20">
        <item x="17"/>
        <item x="9"/>
        <item x="6"/>
        <item x="10"/>
        <item x="7"/>
        <item x="1"/>
        <item x="14"/>
        <item x="15"/>
        <item x="13"/>
        <item x="5"/>
        <item x="8"/>
        <item x="12"/>
        <item x="2"/>
        <item x="3"/>
        <item x="11"/>
        <item x="4"/>
        <item x="16"/>
        <item x="0"/>
        <item x="18"/>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7">
    <i>
      <x/>
    </i>
    <i>
      <x v="2"/>
    </i>
    <i>
      <x v="3"/>
    </i>
    <i>
      <x v="4"/>
    </i>
    <i>
      <x v="5"/>
    </i>
    <i>
      <x v="6"/>
    </i>
    <i t="grand">
      <x/>
    </i>
  </rowItems>
  <colFields count="1">
    <field x="-2"/>
  </colFields>
  <colItems count="11">
    <i>
      <x/>
    </i>
    <i i="1">
      <x v="1"/>
    </i>
    <i i="2">
      <x v="2"/>
    </i>
    <i i="3">
      <x v="3"/>
    </i>
    <i i="4">
      <x v="4"/>
    </i>
    <i i="5">
      <x v="5"/>
    </i>
    <i i="6">
      <x v="6"/>
    </i>
    <i i="7">
      <x v="7"/>
    </i>
    <i i="8">
      <x v="8"/>
    </i>
    <i i="9">
      <x v="9"/>
    </i>
    <i i="10">
      <x v="10"/>
    </i>
  </colItems>
  <pageFields count="1">
    <pageField fld="9" hier="-1"/>
  </pageFields>
  <dataFields count="11">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 name="Sum of 2030/31 (6)" fld="53" baseField="0" baseItem="0"/>
    <dataField name="Sum of 2031/32 (7)" fld="54" baseField="0" baseItem="0"/>
    <dataField name="Sum of 2032/33 (8)" fld="55" baseField="0" baseItem="0"/>
    <dataField name="Sum of 2033/34 (9)" fld="56" baseField="0" baseItem="0"/>
    <dataField name="Sum of 2034/35 (10)" fld="57" baseField="0" baseItem="0"/>
    <dataField name="Sum of 2025–2035 Total" fld="65" baseField="0" baseItem="0"/>
  </dataFields>
  <formats count="35">
    <format dxfId="1792">
      <pivotArea type="all" dataOnly="0" outline="0" fieldPosition="0"/>
    </format>
    <format dxfId="1791">
      <pivotArea type="all" dataOnly="0" outline="0" fieldPosition="0"/>
    </format>
    <format dxfId="1790">
      <pivotArea type="all" dataOnly="0" outline="0" fieldPosition="0"/>
    </format>
    <format dxfId="1789">
      <pivotArea type="all" dataOnly="0" outline="0" fieldPosition="0"/>
    </format>
    <format dxfId="1788">
      <pivotArea type="all" dataOnly="0" outline="0" fieldPosition="0"/>
    </format>
    <format dxfId="1787">
      <pivotArea type="all" dataOnly="0" outline="0" fieldPosition="0"/>
    </format>
    <format dxfId="1786">
      <pivotArea type="all" dataOnly="0" outline="0" fieldPosition="0"/>
    </format>
    <format dxfId="1785">
      <pivotArea type="all" dataOnly="0" outline="0" fieldPosition="0"/>
    </format>
    <format dxfId="1784">
      <pivotArea type="all" dataOnly="0" outline="0" fieldPosition="0"/>
    </format>
    <format dxfId="1783">
      <pivotArea type="all" dataOnly="0" outline="0" fieldPosition="0"/>
    </format>
    <format dxfId="1782">
      <pivotArea type="all" dataOnly="0" outline="0" fieldPosition="0"/>
    </format>
    <format dxfId="1781">
      <pivotArea outline="0" collapsedLevelsAreSubtotals="1" fieldPosition="0"/>
    </format>
    <format dxfId="1780">
      <pivotArea dataOnly="0" labelOnly="1" grandRow="1" outline="0" fieldPosition="0"/>
    </format>
    <format dxfId="1779">
      <pivotArea outline="0" collapsedLevelsAreSubtotals="1" fieldPosition="0"/>
    </format>
    <format dxfId="1778">
      <pivotArea type="all" dataOnly="0" outline="0" fieldPosition="0"/>
    </format>
    <format dxfId="1777">
      <pivotArea outline="0" collapsedLevelsAreSubtotals="1" fieldPosition="0"/>
    </format>
    <format dxfId="1776">
      <pivotArea dataOnly="0" labelOnly="1" grandRow="1" outline="0" fieldPosition="0"/>
    </format>
    <format dxfId="1775">
      <pivotArea type="all" dataOnly="0" outline="0" fieldPosition="0"/>
    </format>
    <format dxfId="1774">
      <pivotArea outline="0" collapsedLevelsAreSubtotals="1" fieldPosition="0"/>
    </format>
    <format dxfId="1773">
      <pivotArea dataOnly="0" labelOnly="1" grandRow="1" outline="0" fieldPosition="0"/>
    </format>
    <format dxfId="1772">
      <pivotArea type="all" dataOnly="0" outline="0" fieldPosition="0"/>
    </format>
    <format dxfId="1771">
      <pivotArea outline="0" collapsedLevelsAreSubtotals="1" fieldPosition="0"/>
    </format>
    <format dxfId="1770">
      <pivotArea outline="0" collapsedLevelsAreSubtotals="1" fieldPosition="0"/>
    </format>
    <format dxfId="1769">
      <pivotArea type="all" dataOnly="0" outline="0" fieldPosition="0"/>
    </format>
    <format dxfId="1768">
      <pivotArea outline="0" collapsedLevelsAreSubtotals="1" fieldPosition="0"/>
    </format>
    <format dxfId="1767">
      <pivotArea field="71" type="button" dataOnly="0" labelOnly="1" outline="0"/>
    </format>
    <format dxfId="1766">
      <pivotArea dataOnly="0" labelOnly="1" grandRow="1" outline="0" fieldPosition="0"/>
    </format>
    <format dxfId="1765">
      <pivotArea type="all" dataOnly="0" outline="0" fieldPosition="0"/>
    </format>
    <format dxfId="1764">
      <pivotArea outline="0" collapsedLevelsAreSubtotals="1" fieldPosition="0"/>
    </format>
    <format dxfId="1763">
      <pivotArea field="71" type="button" dataOnly="0" labelOnly="1" outline="0"/>
    </format>
    <format dxfId="1762">
      <pivotArea dataOnly="0" labelOnly="1" grandRow="1" outline="0" fieldPosition="0"/>
    </format>
    <format dxfId="1761">
      <pivotArea type="all" dataOnly="0" outline="0" fieldPosition="0"/>
    </format>
    <format dxfId="1760">
      <pivotArea outline="0" collapsedLevelsAreSubtotals="1" fieldPosition="0"/>
    </format>
    <format dxfId="1759">
      <pivotArea field="71" type="button" dataOnly="0" labelOnly="1" outline="0"/>
    </format>
    <format dxfId="175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D3983AE5-82E4-4FB0-9C0F-5AE9B619FFBA}" name="PivotTable5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K388:L405" firstHeaderRow="1" firstDataRow="1" firstDataCol="1" rowPageCount="4" colPageCount="1"/>
  <pivotFields count="85">
    <pivotField showAll="0" defaultSubtotal="0"/>
    <pivotField axis="axisPage" multipleItemSelectionAllowed="1" showAll="0" defaultSubtotal="0">
      <items count="5">
        <item x="1"/>
        <item x="4"/>
        <item x="2"/>
        <item x="3"/>
        <item x="0"/>
      </items>
    </pivotField>
    <pivotField axis="axisPage" multipleItemSelectionAllowed="1" showAll="0" defaultSubtotal="0">
      <items count="8">
        <item x="1"/>
        <item h="1" x="5"/>
        <item h="1" x="0"/>
        <item h="1" x="2"/>
        <item h="1" x="3"/>
        <item h="1" x="4"/>
        <item h="1" x="6"/>
        <item h="1"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0">
        <item x="17"/>
        <item x="9"/>
        <item x="7"/>
        <item x="1"/>
        <item x="15"/>
        <item x="13"/>
        <item x="8"/>
        <item x="12"/>
        <item x="2"/>
        <item x="11"/>
        <item x="4"/>
        <item x="16"/>
        <item x="0"/>
        <item x="6"/>
        <item x="5"/>
        <item x="10"/>
        <item x="14"/>
        <item x="3"/>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7">
    <i>
      <x/>
    </i>
    <i>
      <x v="1"/>
    </i>
    <i>
      <x v="2"/>
    </i>
    <i>
      <x v="4"/>
    </i>
    <i>
      <x v="5"/>
    </i>
    <i>
      <x v="6"/>
    </i>
    <i>
      <x v="7"/>
    </i>
    <i>
      <x v="8"/>
    </i>
    <i>
      <x v="9"/>
    </i>
    <i>
      <x v="10"/>
    </i>
    <i>
      <x v="11"/>
    </i>
    <i>
      <x v="12"/>
    </i>
    <i>
      <x v="13"/>
    </i>
    <i>
      <x v="14"/>
    </i>
    <i>
      <x v="16"/>
    </i>
    <i>
      <x v="17"/>
    </i>
    <i t="grand">
      <x/>
    </i>
  </rowItems>
  <colItems count="1">
    <i/>
  </colItems>
  <pageFields count="4">
    <pageField fld="11" hier="-1"/>
    <pageField fld="9" hier="-1"/>
    <pageField fld="2" hier="-1"/>
    <pageField fld="1" hier="-1"/>
  </pageFields>
  <dataFields count="1">
    <dataField name="Sum of Net Dwellings" fld="45" baseField="0" baseItem="0"/>
  </dataFields>
  <formats count="41">
    <format dxfId="1833">
      <pivotArea type="all" dataOnly="0" outline="0" fieldPosition="0"/>
    </format>
    <format dxfId="1832">
      <pivotArea type="all" dataOnly="0" outline="0" fieldPosition="0"/>
    </format>
    <format dxfId="1831">
      <pivotArea type="all" dataOnly="0" outline="0" fieldPosition="0"/>
    </format>
    <format dxfId="1830">
      <pivotArea type="all" dataOnly="0" outline="0" fieldPosition="0"/>
    </format>
    <format dxfId="1829">
      <pivotArea type="all" dataOnly="0" outline="0" fieldPosition="0"/>
    </format>
    <format dxfId="1828">
      <pivotArea type="all" dataOnly="0" outline="0" fieldPosition="0"/>
    </format>
    <format dxfId="1827">
      <pivotArea type="all" dataOnly="0" outline="0" fieldPosition="0"/>
    </format>
    <format dxfId="1826">
      <pivotArea dataOnly="0" labelOnly="1" outline="0" fieldPosition="0">
        <references count="1">
          <reference field="4294967294" count="1">
            <x v="0"/>
          </reference>
        </references>
      </pivotArea>
    </format>
    <format dxfId="1825">
      <pivotArea dataOnly="0" labelOnly="1" outline="0" fieldPosition="0">
        <references count="1">
          <reference field="4294967294" count="1">
            <x v="0"/>
          </reference>
        </references>
      </pivotArea>
    </format>
    <format dxfId="1824">
      <pivotArea dataOnly="0" labelOnly="1" outline="0" fieldPosition="0">
        <references count="1">
          <reference field="4294967294" count="1">
            <x v="0"/>
          </reference>
        </references>
      </pivotArea>
    </format>
    <format dxfId="1823">
      <pivotArea type="all" dataOnly="0" outline="0" fieldPosition="0"/>
    </format>
    <format dxfId="1822">
      <pivotArea type="all" dataOnly="0" outline="0" fieldPosition="0"/>
    </format>
    <format dxfId="1821">
      <pivotArea type="all" dataOnly="0" outline="0" fieldPosition="0"/>
    </format>
    <format dxfId="1820">
      <pivotArea type="all" dataOnly="0" outline="0" fieldPosition="0"/>
    </format>
    <format dxfId="1819">
      <pivotArea outline="0" collapsedLevelsAreSubtotals="1" fieldPosition="0"/>
    </format>
    <format dxfId="1818">
      <pivotArea dataOnly="0" labelOnly="1" grandRow="1" outline="0" fieldPosition="0"/>
    </format>
    <format dxfId="1817">
      <pivotArea dataOnly="0" labelOnly="1" outline="0" axis="axisValues" fieldPosition="0"/>
    </format>
    <format dxfId="1816">
      <pivotArea type="all" dataOnly="0" outline="0" fieldPosition="0"/>
    </format>
    <format dxfId="1815">
      <pivotArea outline="0" collapsedLevelsAreSubtotals="1" fieldPosition="0"/>
    </format>
    <format dxfId="1814">
      <pivotArea dataOnly="0" labelOnly="1" grandRow="1" outline="0" fieldPosition="0"/>
    </format>
    <format dxfId="1813">
      <pivotArea dataOnly="0" labelOnly="1" outline="0" axis="axisValues" fieldPosition="0"/>
    </format>
    <format dxfId="1812">
      <pivotArea type="all" dataOnly="0" outline="0" fieldPosition="0"/>
    </format>
    <format dxfId="1811">
      <pivotArea outline="0" collapsedLevelsAreSubtotals="1" fieldPosition="0"/>
    </format>
    <format dxfId="1810">
      <pivotArea dataOnly="0" labelOnly="1" grandRow="1" outline="0" fieldPosition="0"/>
    </format>
    <format dxfId="1809">
      <pivotArea dataOnly="0" labelOnly="1" outline="0" axis="axisValues" fieldPosition="0"/>
    </format>
    <format dxfId="1808">
      <pivotArea type="all" dataOnly="0" outline="0" fieldPosition="0"/>
    </format>
    <format dxfId="1807">
      <pivotArea outline="0" collapsedLevelsAreSubtotals="1" fieldPosition="0"/>
    </format>
    <format dxfId="1806">
      <pivotArea field="71" type="button" dataOnly="0" labelOnly="1" outline="0" axis="axisRow" fieldPosition="0"/>
    </format>
    <format dxfId="1805">
      <pivotArea dataOnly="0" labelOnly="1" grandRow="1" outline="0" fieldPosition="0"/>
    </format>
    <format dxfId="1804">
      <pivotArea dataOnly="0" labelOnly="1" outline="0" axis="axisValues" fieldPosition="0"/>
    </format>
    <format dxfId="1803">
      <pivotArea type="all" dataOnly="0" outline="0" fieldPosition="0"/>
    </format>
    <format dxfId="1802">
      <pivotArea outline="0" collapsedLevelsAreSubtotals="1" fieldPosition="0"/>
    </format>
    <format dxfId="1801">
      <pivotArea field="71" type="button" dataOnly="0" labelOnly="1" outline="0" axis="axisRow" fieldPosition="0"/>
    </format>
    <format dxfId="1800">
      <pivotArea dataOnly="0" labelOnly="1" grandRow="1" outline="0" fieldPosition="0"/>
    </format>
    <format dxfId="1799">
      <pivotArea dataOnly="0" labelOnly="1" outline="0" axis="axisValues" fieldPosition="0"/>
    </format>
    <format dxfId="1798">
      <pivotArea type="all" dataOnly="0" outline="0" fieldPosition="0"/>
    </format>
    <format dxfId="1797">
      <pivotArea outline="0" collapsedLevelsAreSubtotals="1" fieldPosition="0"/>
    </format>
    <format dxfId="1796">
      <pivotArea field="71" type="button" dataOnly="0" labelOnly="1" outline="0" axis="axisRow" fieldPosition="0"/>
    </format>
    <format dxfId="1795">
      <pivotArea dataOnly="0" labelOnly="1" fieldPosition="0">
        <references count="1">
          <reference field="71" count="10">
            <x v="1"/>
            <x v="2"/>
            <x v="3"/>
            <x v="5"/>
            <x v="6"/>
            <x v="7"/>
            <x v="8"/>
            <x v="9"/>
            <x v="10"/>
            <x v="13"/>
          </reference>
        </references>
      </pivotArea>
    </format>
    <format dxfId="1794">
      <pivotArea dataOnly="0" labelOnly="1" grandRow="1" outline="0" fieldPosition="0"/>
    </format>
    <format dxfId="179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F5B09C99-3188-4AAA-869E-65D3BE1A7BF5}" name="PivotTable39"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37:I345" firstHeaderRow="0" firstDataRow="1" firstDataCol="1" rowPageCount="2"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4"/>
        <item h="1" x="6"/>
        <item h="1" x="5"/>
      </items>
    </pivotField>
    <pivotField axis="axisRow" multipleItemSelectionAllowed="1" showAll="0" defaultSubtotal="0">
      <items count="8">
        <item x="0"/>
        <item x="1"/>
        <item x="2"/>
        <item x="6"/>
        <item x="4"/>
        <item x="3"/>
        <item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0"/>
  </rowFields>
  <rowItems count="8">
    <i>
      <x/>
    </i>
    <i>
      <x v="1"/>
    </i>
    <i>
      <x v="2"/>
    </i>
    <i>
      <x v="3"/>
    </i>
    <i>
      <x v="4"/>
    </i>
    <i>
      <x v="5"/>
    </i>
    <i>
      <x v="6"/>
    </i>
    <i t="grand">
      <x/>
    </i>
  </rowItems>
  <colFields count="1">
    <field x="-2"/>
  </colFields>
  <colItems count="7">
    <i>
      <x/>
    </i>
    <i i="1">
      <x v="1"/>
    </i>
    <i i="2">
      <x v="2"/>
    </i>
    <i i="3">
      <x v="3"/>
    </i>
    <i i="4">
      <x v="4"/>
    </i>
    <i i="5">
      <x v="5"/>
    </i>
    <i i="6">
      <x v="6"/>
    </i>
  </colItems>
  <pageFields count="2">
    <pageField fld="9" hier="-1"/>
    <pageField fld="1" hier="-1"/>
  </pageFields>
  <dataFields count="7">
    <dataField name="Sum of 1 bed net" fld="37" baseField="0" baseItem="0"/>
    <dataField name="Sum of 2 bed net" fld="38" baseField="0" baseItem="0"/>
    <dataField name="Sum of 3 bed net" fld="39" baseField="0" baseItem="0"/>
    <dataField name="Sum of 4 bed net" fld="40" baseField="0" baseItem="0"/>
    <dataField name="Sum of 5 bed net" fld="41" baseField="0" baseItem="0"/>
    <dataField name="Sum of 6 bed net" fld="42" baseField="0" baseItem="0"/>
    <dataField name="Sum of 7 bed net" fld="43" baseField="0" baseItem="0"/>
  </dataFields>
  <formats count="48">
    <format dxfId="1881">
      <pivotArea type="all" dataOnly="0" outline="0" fieldPosition="0"/>
    </format>
    <format dxfId="1880">
      <pivotArea type="all" dataOnly="0" outline="0" fieldPosition="0"/>
    </format>
    <format dxfId="1879">
      <pivotArea type="all" dataOnly="0" outline="0" fieldPosition="0"/>
    </format>
    <format dxfId="1878">
      <pivotArea type="all" dataOnly="0" outline="0" fieldPosition="0"/>
    </format>
    <format dxfId="1877">
      <pivotArea type="all" dataOnly="0" outline="0" fieldPosition="0"/>
    </format>
    <format dxfId="1876">
      <pivotArea type="all" dataOnly="0" outline="0" fieldPosition="0"/>
    </format>
    <format dxfId="1875">
      <pivotArea type="all" dataOnly="0" outline="0" fieldPosition="0"/>
    </format>
    <format dxfId="1874">
      <pivotArea type="all" dataOnly="0" outline="0" fieldPosition="0"/>
    </format>
    <format dxfId="1873">
      <pivotArea type="all" dataOnly="0" outline="0" fieldPosition="0"/>
    </format>
    <format dxfId="1872">
      <pivotArea type="all" dataOnly="0" outline="0" fieldPosition="0"/>
    </format>
    <format dxfId="1871">
      <pivotArea type="all" dataOnly="0" outline="0" fieldPosition="0"/>
    </format>
    <format dxfId="1870">
      <pivotArea outline="0" collapsedLevelsAreSubtotals="1" fieldPosition="0"/>
    </format>
    <format dxfId="1869">
      <pivotArea field="10" type="button" dataOnly="0" labelOnly="1" outline="0" axis="axisRow" fieldPosition="0"/>
    </format>
    <format dxfId="1868">
      <pivotArea dataOnly="0" labelOnly="1" fieldPosition="0">
        <references count="1">
          <reference field="10" count="1">
            <x v="0"/>
          </reference>
        </references>
      </pivotArea>
    </format>
    <format dxfId="1867">
      <pivotArea dataOnly="0" labelOnly="1" grandRow="1" outline="0" fieldPosition="0"/>
    </format>
    <format dxfId="1866">
      <pivotArea dataOnly="0" labelOnly="1" outline="0" fieldPosition="0">
        <references count="1">
          <reference field="4294967294" count="7">
            <x v="0"/>
            <x v="1"/>
            <x v="2"/>
            <x v="3"/>
            <x v="4"/>
            <x v="5"/>
            <x v="6"/>
          </reference>
        </references>
      </pivotArea>
    </format>
    <format dxfId="1865">
      <pivotArea type="all" dataOnly="0" outline="0" fieldPosition="0"/>
    </format>
    <format dxfId="1864">
      <pivotArea outline="0" collapsedLevelsAreSubtotals="1" fieldPosition="0"/>
    </format>
    <format dxfId="1863">
      <pivotArea field="10" type="button" dataOnly="0" labelOnly="1" outline="0" axis="axisRow" fieldPosition="0"/>
    </format>
    <format dxfId="1862">
      <pivotArea dataOnly="0" labelOnly="1" fieldPosition="0">
        <references count="1">
          <reference field="10" count="1">
            <x v="0"/>
          </reference>
        </references>
      </pivotArea>
    </format>
    <format dxfId="1861">
      <pivotArea dataOnly="0" labelOnly="1" grandRow="1" outline="0" fieldPosition="0"/>
    </format>
    <format dxfId="1860">
      <pivotArea dataOnly="0" labelOnly="1" outline="0" fieldPosition="0">
        <references count="1">
          <reference field="4294967294" count="7">
            <x v="0"/>
            <x v="1"/>
            <x v="2"/>
            <x v="3"/>
            <x v="4"/>
            <x v="5"/>
            <x v="6"/>
          </reference>
        </references>
      </pivotArea>
    </format>
    <format dxfId="1859">
      <pivotArea type="all" dataOnly="0" outline="0" fieldPosition="0"/>
    </format>
    <format dxfId="1858">
      <pivotArea outline="0" collapsedLevelsAreSubtotals="1" fieldPosition="0"/>
    </format>
    <format dxfId="1857">
      <pivotArea field="10" type="button" dataOnly="0" labelOnly="1" outline="0" axis="axisRow" fieldPosition="0"/>
    </format>
    <format dxfId="1856">
      <pivotArea dataOnly="0" labelOnly="1" fieldPosition="0">
        <references count="1">
          <reference field="10" count="1">
            <x v="0"/>
          </reference>
        </references>
      </pivotArea>
    </format>
    <format dxfId="1855">
      <pivotArea dataOnly="0" labelOnly="1" grandRow="1" outline="0" fieldPosition="0"/>
    </format>
    <format dxfId="1854">
      <pivotArea dataOnly="0" labelOnly="1" outline="0" fieldPosition="0">
        <references count="1">
          <reference field="4294967294" count="7">
            <x v="0"/>
            <x v="1"/>
            <x v="2"/>
            <x v="3"/>
            <x v="4"/>
            <x v="5"/>
            <x v="6"/>
          </reference>
        </references>
      </pivotArea>
    </format>
    <format dxfId="1853">
      <pivotArea type="all" dataOnly="0" outline="0" fieldPosition="0"/>
    </format>
    <format dxfId="1852">
      <pivotArea outline="0" collapsedLevelsAreSubtotals="1" fieldPosition="0"/>
    </format>
    <format dxfId="1851">
      <pivotArea field="10" type="button" dataOnly="0" labelOnly="1" outline="0" axis="axisRow" fieldPosition="0"/>
    </format>
    <format dxfId="1850">
      <pivotArea dataOnly="0" labelOnly="1" fieldPosition="0">
        <references count="1">
          <reference field="10" count="4">
            <x v="0"/>
            <x v="1"/>
            <x v="2"/>
            <x v="4"/>
          </reference>
        </references>
      </pivotArea>
    </format>
    <format dxfId="1849">
      <pivotArea dataOnly="0" labelOnly="1" grandRow="1" outline="0" fieldPosition="0"/>
    </format>
    <format dxfId="1848">
      <pivotArea dataOnly="0" labelOnly="1" outline="0" fieldPosition="0">
        <references count="1">
          <reference field="4294967294" count="7">
            <x v="0"/>
            <x v="1"/>
            <x v="2"/>
            <x v="3"/>
            <x v="4"/>
            <x v="5"/>
            <x v="6"/>
          </reference>
        </references>
      </pivotArea>
    </format>
    <format dxfId="1847">
      <pivotArea type="all" dataOnly="0" outline="0" fieldPosition="0"/>
    </format>
    <format dxfId="1846">
      <pivotArea type="all" dataOnly="0" outline="0" fieldPosition="0"/>
    </format>
    <format dxfId="1845">
      <pivotArea collapsedLevelsAreSubtotals="1" fieldPosition="0">
        <references count="1">
          <reference field="10" count="7">
            <x v="0"/>
            <x v="1"/>
            <x v="2"/>
            <x v="3"/>
            <x v="4"/>
            <x v="5"/>
            <x v="6"/>
          </reference>
        </references>
      </pivotArea>
    </format>
    <format dxfId="1844">
      <pivotArea type="all" dataOnly="0" outline="0" fieldPosition="0"/>
    </format>
    <format dxfId="1843">
      <pivotArea outline="0" collapsedLevelsAreSubtotals="1" fieldPosition="0"/>
    </format>
    <format dxfId="1842">
      <pivotArea field="10" type="button" dataOnly="0" labelOnly="1" outline="0" axis="axisRow" fieldPosition="0"/>
    </format>
    <format dxfId="1841">
      <pivotArea dataOnly="0" labelOnly="1" fieldPosition="0">
        <references count="1">
          <reference field="10" count="7">
            <x v="0"/>
            <x v="1"/>
            <x v="2"/>
            <x v="3"/>
            <x v="4"/>
            <x v="5"/>
            <x v="6"/>
          </reference>
        </references>
      </pivotArea>
    </format>
    <format dxfId="1840">
      <pivotArea dataOnly="0" labelOnly="1" grandRow="1" outline="0" fieldPosition="0"/>
    </format>
    <format dxfId="1839">
      <pivotArea type="all" dataOnly="0" outline="0" fieldPosition="0"/>
    </format>
    <format dxfId="1838">
      <pivotArea outline="0" collapsedLevelsAreSubtotals="1" fieldPosition="0"/>
    </format>
    <format dxfId="1837">
      <pivotArea field="10" type="button" dataOnly="0" labelOnly="1" outline="0" axis="axisRow" fieldPosition="0"/>
    </format>
    <format dxfId="1836">
      <pivotArea dataOnly="0" labelOnly="1" fieldPosition="0">
        <references count="1">
          <reference field="10" count="7">
            <x v="0"/>
            <x v="1"/>
            <x v="2"/>
            <x v="3"/>
            <x v="4"/>
            <x v="5"/>
            <x v="6"/>
          </reference>
        </references>
      </pivotArea>
    </format>
    <format dxfId="1835">
      <pivotArea dataOnly="0" labelOnly="1" grandRow="1" outline="0" fieldPosition="0"/>
    </format>
    <format dxfId="1834">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E9D3E10B-4C1D-46F0-BBD5-D4537396F177}" name="PivotTable7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91:B192" firstHeaderRow="1" firstDataRow="1" firstDataCol="0" rowPageCount="3"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6"/>
        <item h="1" x="4"/>
        <item h="1" x="5"/>
      </items>
    </pivotField>
    <pivotField axis="axisPage" multipleItemSelectionAllowed="1" showAll="0" defaultSubtotal="0">
      <items count="8">
        <item h="1" x="0"/>
        <item x="1"/>
        <item h="1"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0" hier="-1"/>
  </pageFields>
  <dataFields count="1">
    <dataField name="Sum of Net Dwellings" fld="45" baseField="0" baseItem="0"/>
  </dataFields>
  <formats count="40">
    <format dxfId="1921">
      <pivotArea type="all" dataOnly="0" outline="0" fieldPosition="0"/>
    </format>
    <format dxfId="1920">
      <pivotArea type="all" dataOnly="0" outline="0" fieldPosition="0"/>
    </format>
    <format dxfId="1919">
      <pivotArea type="all" dataOnly="0" outline="0" fieldPosition="0"/>
    </format>
    <format dxfId="1918">
      <pivotArea type="all" dataOnly="0" outline="0" fieldPosition="0"/>
    </format>
    <format dxfId="1917">
      <pivotArea type="all" dataOnly="0" outline="0" fieldPosition="0"/>
    </format>
    <format dxfId="1916">
      <pivotArea type="all" dataOnly="0" outline="0" fieldPosition="0"/>
    </format>
    <format dxfId="1915">
      <pivotArea type="all" dataOnly="0" outline="0" fieldPosition="0"/>
    </format>
    <format dxfId="1914">
      <pivotArea type="all" dataOnly="0" outline="0" fieldPosition="0"/>
    </format>
    <format dxfId="1913">
      <pivotArea type="all" dataOnly="0" outline="0" fieldPosition="0"/>
    </format>
    <format dxfId="1912">
      <pivotArea type="all" dataOnly="0" outline="0" fieldPosition="0"/>
    </format>
    <format dxfId="1911">
      <pivotArea type="all" dataOnly="0" outline="0" fieldPosition="0"/>
    </format>
    <format dxfId="1910">
      <pivotArea outline="0" collapsedLevelsAreSubtotals="1" fieldPosition="0"/>
    </format>
    <format dxfId="1909">
      <pivotArea dataOnly="0" labelOnly="1" outline="0" axis="axisValues" fieldPosition="0"/>
    </format>
    <format dxfId="1908">
      <pivotArea type="all" dataOnly="0" outline="0" fieldPosition="0"/>
    </format>
    <format dxfId="1907">
      <pivotArea outline="0" collapsedLevelsAreSubtotals="1" fieldPosition="0"/>
    </format>
    <format dxfId="1906">
      <pivotArea dataOnly="0" labelOnly="1" outline="0" axis="axisValues" fieldPosition="0"/>
    </format>
    <format dxfId="1905">
      <pivotArea type="all" dataOnly="0" outline="0" fieldPosition="0"/>
    </format>
    <format dxfId="1904">
      <pivotArea outline="0" collapsedLevelsAreSubtotals="1" fieldPosition="0"/>
    </format>
    <format dxfId="1903">
      <pivotArea dataOnly="0" labelOnly="1" outline="0" axis="axisValues" fieldPosition="0"/>
    </format>
    <format dxfId="1902">
      <pivotArea type="all" dataOnly="0" outline="0" fieldPosition="0"/>
    </format>
    <format dxfId="1901">
      <pivotArea outline="0" collapsedLevelsAreSubtotals="1" fieldPosition="0"/>
    </format>
    <format dxfId="1900">
      <pivotArea dataOnly="0" labelOnly="1" outline="0" axis="axisValues" fieldPosition="0"/>
    </format>
    <format dxfId="1899">
      <pivotArea type="all" dataOnly="0" outline="0" fieldPosition="0"/>
    </format>
    <format dxfId="1898">
      <pivotArea outline="0" collapsedLevelsAreSubtotals="1" fieldPosition="0"/>
    </format>
    <format dxfId="1897">
      <pivotArea dataOnly="0" labelOnly="1" outline="0" axis="axisValues" fieldPosition="0"/>
    </format>
    <format dxfId="1896">
      <pivotArea type="all" dataOnly="0" outline="0" fieldPosition="0"/>
    </format>
    <format dxfId="1895">
      <pivotArea outline="0" collapsedLevelsAreSubtotals="1" fieldPosition="0"/>
    </format>
    <format dxfId="1894">
      <pivotArea dataOnly="0" labelOnly="1" outline="0" axis="axisValues" fieldPosition="0"/>
    </format>
    <format dxfId="1893">
      <pivotArea type="all" dataOnly="0" outline="0" fieldPosition="0"/>
    </format>
    <format dxfId="1892">
      <pivotArea outline="0" collapsedLevelsAreSubtotals="1" fieldPosition="0"/>
    </format>
    <format dxfId="1891">
      <pivotArea dataOnly="0" labelOnly="1" outline="0" axis="axisValues" fieldPosition="0"/>
    </format>
    <format dxfId="1890">
      <pivotArea type="all" dataOnly="0" outline="0" fieldPosition="0"/>
    </format>
    <format dxfId="1889">
      <pivotArea outline="0" collapsedLevelsAreSubtotals="1" fieldPosition="0"/>
    </format>
    <format dxfId="1888">
      <pivotArea type="all" dataOnly="0" outline="0" fieldPosition="0"/>
    </format>
    <format dxfId="1887">
      <pivotArea outline="0" collapsedLevelsAreSubtotals="1" fieldPosition="0"/>
    </format>
    <format dxfId="1886">
      <pivotArea outline="0" collapsedLevelsAreSubtotals="1" fieldPosition="0"/>
    </format>
    <format dxfId="1885">
      <pivotArea type="all" dataOnly="0" outline="0" fieldPosition="0"/>
    </format>
    <format dxfId="1884">
      <pivotArea type="all" dataOnly="0" outline="0" fieldPosition="0"/>
    </format>
    <format dxfId="1883">
      <pivotArea outline="0" collapsedLevelsAreSubtotals="1" fieldPosition="0"/>
    </format>
    <format dxfId="188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689822CC-EC66-4294-BA81-01F7117E0192}" name="PivotTable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2:B53" firstHeaderRow="1" firstDataRow="1" firstDataCol="0" rowPageCount="4" colPageCount="1"/>
  <pivotFields count="85">
    <pivotField showAll="0"/>
    <pivotField axis="axisPage" multipleItemSelectionAllowed="1" showAll="0" defaultSubtotal="0">
      <items count="5">
        <item x="1"/>
        <item x="4"/>
        <item x="2"/>
        <item h="1" x="3"/>
        <item h="1" x="0"/>
      </items>
    </pivotField>
    <pivotField axis="axisPage" multipleItemSelectionAllowed="1" showAll="0">
      <items count="9">
        <item x="1"/>
        <item h="1" x="5"/>
        <item h="1" x="0"/>
        <item h="1" x="2"/>
        <item h="1" x="3"/>
        <item h="1" x="4"/>
        <item h="1" x="6"/>
        <item h="1" x="7"/>
        <item t="default"/>
      </items>
    </pivotField>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x="1"/>
        <item x="2"/>
        <item h="1" x="3"/>
        <item h="1" x="4"/>
        <item h="1" x="6"/>
        <item h="1" x="5"/>
        <item t="default"/>
      </items>
    </pivotField>
    <pivotField showAll="0"/>
    <pivotField axis="axisPage" multipleItemSelectionAllowed="1" showAll="0">
      <items count="13">
        <item x="0"/>
        <item h="1" x="1"/>
        <item x="2"/>
        <item x="6"/>
        <item x="5"/>
        <item x="4"/>
        <item x="10"/>
        <item x="11"/>
        <item x="3"/>
        <item x="7"/>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4">
    <pageField fld="1" hier="-1"/>
    <pageField fld="2" hier="-1"/>
    <pageField fld="9" hier="-1"/>
    <pageField fld="11" hier="-1"/>
  </pageFields>
  <dataFields count="1">
    <dataField name="Sum of Net Dwellings" fld="45" baseField="0" baseItem="0"/>
  </dataFields>
  <formats count="40">
    <format dxfId="1961">
      <pivotArea type="all" dataOnly="0" outline="0" fieldPosition="0"/>
    </format>
    <format dxfId="1960">
      <pivotArea type="all" dataOnly="0" outline="0" fieldPosition="0"/>
    </format>
    <format dxfId="1959">
      <pivotArea type="all" dataOnly="0" outline="0" fieldPosition="0"/>
    </format>
    <format dxfId="1958">
      <pivotArea type="all" dataOnly="0" outline="0" fieldPosition="0"/>
    </format>
    <format dxfId="1957">
      <pivotArea type="all" dataOnly="0" outline="0" fieldPosition="0"/>
    </format>
    <format dxfId="1956">
      <pivotArea type="all" dataOnly="0" outline="0" fieldPosition="0"/>
    </format>
    <format dxfId="1955">
      <pivotArea type="all" dataOnly="0" outline="0" fieldPosition="0"/>
    </format>
    <format dxfId="1954">
      <pivotArea type="all" dataOnly="0" outline="0" fieldPosition="0"/>
    </format>
    <format dxfId="1953">
      <pivotArea type="all" dataOnly="0" outline="0" fieldPosition="0"/>
    </format>
    <format dxfId="1952">
      <pivotArea type="all" dataOnly="0" outline="0" fieldPosition="0"/>
    </format>
    <format dxfId="1951">
      <pivotArea type="all" dataOnly="0" outline="0" fieldPosition="0"/>
    </format>
    <format dxfId="1950">
      <pivotArea outline="0" collapsedLevelsAreSubtotals="1" fieldPosition="0"/>
    </format>
    <format dxfId="1949">
      <pivotArea dataOnly="0" labelOnly="1" outline="0" axis="axisValues" fieldPosition="0"/>
    </format>
    <format dxfId="1948">
      <pivotArea type="all" dataOnly="0" outline="0" fieldPosition="0"/>
    </format>
    <format dxfId="1947">
      <pivotArea outline="0" collapsedLevelsAreSubtotals="1" fieldPosition="0"/>
    </format>
    <format dxfId="1946">
      <pivotArea dataOnly="0" labelOnly="1" outline="0" axis="axisValues" fieldPosition="0"/>
    </format>
    <format dxfId="1945">
      <pivotArea type="all" dataOnly="0" outline="0" fieldPosition="0"/>
    </format>
    <format dxfId="1944">
      <pivotArea outline="0" collapsedLevelsAreSubtotals="1" fieldPosition="0"/>
    </format>
    <format dxfId="1943">
      <pivotArea dataOnly="0" labelOnly="1" outline="0" axis="axisValues" fieldPosition="0"/>
    </format>
    <format dxfId="1942">
      <pivotArea type="all" dataOnly="0" outline="0" fieldPosition="0"/>
    </format>
    <format dxfId="1941">
      <pivotArea outline="0" collapsedLevelsAreSubtotals="1" fieldPosition="0"/>
    </format>
    <format dxfId="1940">
      <pivotArea dataOnly="0" labelOnly="1" outline="0" axis="axisValues" fieldPosition="0"/>
    </format>
    <format dxfId="1939">
      <pivotArea type="all" dataOnly="0" outline="0" fieldPosition="0"/>
    </format>
    <format dxfId="1938">
      <pivotArea outline="0" collapsedLevelsAreSubtotals="1" fieldPosition="0"/>
    </format>
    <format dxfId="1937">
      <pivotArea dataOnly="0" labelOnly="1" outline="0" axis="axisValues" fieldPosition="0"/>
    </format>
    <format dxfId="1936">
      <pivotArea type="all" dataOnly="0" outline="0" fieldPosition="0"/>
    </format>
    <format dxfId="1935">
      <pivotArea outline="0" collapsedLevelsAreSubtotals="1" fieldPosition="0"/>
    </format>
    <format dxfId="1934">
      <pivotArea dataOnly="0" labelOnly="1" outline="0" axis="axisValues" fieldPosition="0"/>
    </format>
    <format dxfId="1933">
      <pivotArea type="all" dataOnly="0" outline="0" fieldPosition="0"/>
    </format>
    <format dxfId="1932">
      <pivotArea outline="0" collapsedLevelsAreSubtotals="1" fieldPosition="0"/>
    </format>
    <format dxfId="1931">
      <pivotArea dataOnly="0" labelOnly="1" outline="0" axis="axisValues" fieldPosition="0"/>
    </format>
    <format dxfId="1930">
      <pivotArea type="all" dataOnly="0" outline="0" fieldPosition="0"/>
    </format>
    <format dxfId="1929">
      <pivotArea outline="0" collapsedLevelsAreSubtotals="1" fieldPosition="0"/>
    </format>
    <format dxfId="1928">
      <pivotArea type="all" dataOnly="0" outline="0" fieldPosition="0"/>
    </format>
    <format dxfId="1927">
      <pivotArea outline="0" collapsedLevelsAreSubtotals="1" fieldPosition="0"/>
    </format>
    <format dxfId="1926">
      <pivotArea outline="0" collapsedLevelsAreSubtotals="1" fieldPosition="0"/>
    </format>
    <format dxfId="1925">
      <pivotArea type="all" dataOnly="0" outline="0" fieldPosition="0"/>
    </format>
    <format dxfId="1924">
      <pivotArea type="all" dataOnly="0" outline="0" fieldPosition="0"/>
    </format>
    <format dxfId="1923">
      <pivotArea outline="0" collapsedLevelsAreSubtotals="1" fieldPosition="0"/>
    </format>
    <format dxfId="192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C026C1FC-472F-4B28-B28E-23915195BADA}" name="PivotTable5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32:B133" firstHeaderRow="1" firstDataRow="1" firstDataCol="0" rowPageCount="2" colPageCount="1"/>
  <pivotFields count="85">
    <pivotField showAll="0" defaultSubtotal="0"/>
    <pivotField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0"/>
        <item x="1"/>
        <item x="2"/>
        <item x="6"/>
        <item x="4"/>
        <item x="3"/>
        <item x="5"/>
        <item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0" hier="-1"/>
  </pageFields>
  <dataFields count="1">
    <dataField name="Sum of Units Proposed" fld="36" baseField="0" baseItem="0"/>
  </dataFields>
  <formats count="42">
    <format dxfId="2003">
      <pivotArea type="all" dataOnly="0" outline="0" fieldPosition="0"/>
    </format>
    <format dxfId="2002">
      <pivotArea type="all" dataOnly="0" outline="0" fieldPosition="0"/>
    </format>
    <format dxfId="2001">
      <pivotArea type="all" dataOnly="0" outline="0" fieldPosition="0"/>
    </format>
    <format dxfId="2000">
      <pivotArea type="all" dataOnly="0" outline="0" fieldPosition="0"/>
    </format>
    <format dxfId="1999">
      <pivotArea type="all" dataOnly="0" outline="0" fieldPosition="0"/>
    </format>
    <format dxfId="1998">
      <pivotArea type="all" dataOnly="0" outline="0" fieldPosition="0"/>
    </format>
    <format dxfId="1997">
      <pivotArea type="all" dataOnly="0" outline="0" fieldPosition="0"/>
    </format>
    <format dxfId="1996">
      <pivotArea type="all" dataOnly="0" outline="0" fieldPosition="0"/>
    </format>
    <format dxfId="1995">
      <pivotArea type="all" dataOnly="0" outline="0" fieldPosition="0"/>
    </format>
    <format dxfId="1994">
      <pivotArea type="all" dataOnly="0" outline="0" fieldPosition="0"/>
    </format>
    <format dxfId="1993">
      <pivotArea type="all" dataOnly="0" outline="0" fieldPosition="0"/>
    </format>
    <format dxfId="1992">
      <pivotArea outline="0" collapsedLevelsAreSubtotals="1" fieldPosition="0"/>
    </format>
    <format dxfId="1991">
      <pivotArea dataOnly="0" labelOnly="1" outline="0" axis="axisValues" fieldPosition="0"/>
    </format>
    <format dxfId="1990">
      <pivotArea type="all" dataOnly="0" outline="0" fieldPosition="0"/>
    </format>
    <format dxfId="1989">
      <pivotArea outline="0" collapsedLevelsAreSubtotals="1" fieldPosition="0"/>
    </format>
    <format dxfId="1988">
      <pivotArea dataOnly="0" labelOnly="1" outline="0" axis="axisValues" fieldPosition="0"/>
    </format>
    <format dxfId="1987">
      <pivotArea type="all" dataOnly="0" outline="0" fieldPosition="0"/>
    </format>
    <format dxfId="1986">
      <pivotArea outline="0" collapsedLevelsAreSubtotals="1" fieldPosition="0"/>
    </format>
    <format dxfId="1985">
      <pivotArea dataOnly="0" labelOnly="1" outline="0" axis="axisValues" fieldPosition="0"/>
    </format>
    <format dxfId="1984">
      <pivotArea type="all" dataOnly="0" outline="0" fieldPosition="0"/>
    </format>
    <format dxfId="1983">
      <pivotArea outline="0" collapsedLevelsAreSubtotals="1" fieldPosition="0"/>
    </format>
    <format dxfId="1982">
      <pivotArea dataOnly="0" labelOnly="1" outline="0" axis="axisValues" fieldPosition="0"/>
    </format>
    <format dxfId="1981">
      <pivotArea type="all" dataOnly="0" outline="0" fieldPosition="0"/>
    </format>
    <format dxfId="1980">
      <pivotArea outline="0" collapsedLevelsAreSubtotals="1" fieldPosition="0"/>
    </format>
    <format dxfId="1979">
      <pivotArea dataOnly="0" labelOnly="1" outline="0" axis="axisValues" fieldPosition="0"/>
    </format>
    <format dxfId="1978">
      <pivotArea type="all" dataOnly="0" outline="0" fieldPosition="0"/>
    </format>
    <format dxfId="1977">
      <pivotArea outline="0" collapsedLevelsAreSubtotals="1" fieldPosition="0"/>
    </format>
    <format dxfId="1976">
      <pivotArea dataOnly="0" labelOnly="1" outline="0" axis="axisValues" fieldPosition="0"/>
    </format>
    <format dxfId="1975">
      <pivotArea type="all" dataOnly="0" outline="0" fieldPosition="0"/>
    </format>
    <format dxfId="1974">
      <pivotArea outline="0" collapsedLevelsAreSubtotals="1" fieldPosition="0"/>
    </format>
    <format dxfId="1973">
      <pivotArea dataOnly="0" labelOnly="1" outline="0" axis="axisValues" fieldPosition="0"/>
    </format>
    <format dxfId="1972">
      <pivotArea type="all" dataOnly="0" outline="0" fieldPosition="0"/>
    </format>
    <format dxfId="1971">
      <pivotArea outline="0" collapsedLevelsAreSubtotals="1" fieldPosition="0"/>
    </format>
    <format dxfId="1970">
      <pivotArea type="all" dataOnly="0" outline="0" fieldPosition="0"/>
    </format>
    <format dxfId="1969">
      <pivotArea outline="0" collapsedLevelsAreSubtotals="1" fieldPosition="0"/>
    </format>
    <format dxfId="1968">
      <pivotArea outline="0" collapsedLevelsAreSubtotals="1" fieldPosition="0"/>
    </format>
    <format dxfId="1967">
      <pivotArea type="all" dataOnly="0" outline="0" fieldPosition="0"/>
    </format>
    <format dxfId="1966">
      <pivotArea type="all" dataOnly="0" outline="0" fieldPosition="0"/>
    </format>
    <format dxfId="1965">
      <pivotArea outline="0" collapsedLevelsAreSubtotals="1" fieldPosition="0"/>
    </format>
    <format dxfId="1964">
      <pivotArea dataOnly="0" labelOnly="1" outline="0" axis="axisValues" fieldPosition="0"/>
    </format>
    <format dxfId="1963">
      <pivotArea outline="0" collapsedLevelsAreSubtotals="1" fieldPosition="0"/>
    </format>
    <format dxfId="196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7FDE09AA-E69B-48F4-A37C-C9F029B7B2CD}" name="PivotTable3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56:C375"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Items count="1">
    <i/>
  </colItems>
  <pageFields count="4">
    <pageField fld="11" hier="-1"/>
    <pageField fld="9" hier="-1"/>
    <pageField fld="2" hier="-1"/>
    <pageField fld="1" hier="-1"/>
  </pageFields>
  <dataFields count="1">
    <dataField name="Sum of Net Dwellings" fld="45" baseField="0" baseItem="0"/>
  </dataFields>
  <formats count="37">
    <format dxfId="2040">
      <pivotArea type="all" dataOnly="0" outline="0" fieldPosition="0"/>
    </format>
    <format dxfId="2039">
      <pivotArea type="all" dataOnly="0" outline="0" fieldPosition="0"/>
    </format>
    <format dxfId="2038">
      <pivotArea type="all" dataOnly="0" outline="0" fieldPosition="0"/>
    </format>
    <format dxfId="2037">
      <pivotArea type="all" dataOnly="0" outline="0" fieldPosition="0"/>
    </format>
    <format dxfId="2036">
      <pivotArea type="all" dataOnly="0" outline="0" fieldPosition="0"/>
    </format>
    <format dxfId="2035">
      <pivotArea type="all" dataOnly="0" outline="0" fieldPosition="0"/>
    </format>
    <format dxfId="2034">
      <pivotArea type="all" dataOnly="0" outline="0" fieldPosition="0"/>
    </format>
    <format dxfId="2033">
      <pivotArea dataOnly="0" labelOnly="1" outline="0" fieldPosition="0">
        <references count="1">
          <reference field="4294967294" count="1">
            <x v="0"/>
          </reference>
        </references>
      </pivotArea>
    </format>
    <format dxfId="2032">
      <pivotArea dataOnly="0" labelOnly="1" outline="0" fieldPosition="0">
        <references count="1">
          <reference field="4294967294" count="1">
            <x v="0"/>
          </reference>
        </references>
      </pivotArea>
    </format>
    <format dxfId="2031">
      <pivotArea dataOnly="0" labelOnly="1" outline="0" fieldPosition="0">
        <references count="1">
          <reference field="4294967294" count="1">
            <x v="0"/>
          </reference>
        </references>
      </pivotArea>
    </format>
    <format dxfId="2030">
      <pivotArea type="all" dataOnly="0" outline="0" fieldPosition="0"/>
    </format>
    <format dxfId="2029">
      <pivotArea type="all" dataOnly="0" outline="0" fieldPosition="0"/>
    </format>
    <format dxfId="2028">
      <pivotArea type="all" dataOnly="0" outline="0" fieldPosition="0"/>
    </format>
    <format dxfId="2027">
      <pivotArea type="all" dataOnly="0" outline="0" fieldPosition="0"/>
    </format>
    <format dxfId="2026">
      <pivotArea outline="0" collapsedLevelsAreSubtotals="1" fieldPosition="0"/>
    </format>
    <format dxfId="2025">
      <pivotArea dataOnly="0" labelOnly="1" grandRow="1" outline="0" fieldPosition="0"/>
    </format>
    <format dxfId="2024">
      <pivotArea dataOnly="0" labelOnly="1" outline="0" axis="axisValues" fieldPosition="0"/>
    </format>
    <format dxfId="2023">
      <pivotArea type="all" dataOnly="0" outline="0" fieldPosition="0"/>
    </format>
    <format dxfId="2022">
      <pivotArea outline="0" collapsedLevelsAreSubtotals="1" fieldPosition="0"/>
    </format>
    <format dxfId="2021">
      <pivotArea dataOnly="0" labelOnly="1" grandRow="1" outline="0" fieldPosition="0"/>
    </format>
    <format dxfId="2020">
      <pivotArea dataOnly="0" labelOnly="1" outline="0" axis="axisValues" fieldPosition="0"/>
    </format>
    <format dxfId="2019">
      <pivotArea type="all" dataOnly="0" outline="0" fieldPosition="0"/>
    </format>
    <format dxfId="2018">
      <pivotArea outline="0" collapsedLevelsAreSubtotals="1" fieldPosition="0"/>
    </format>
    <format dxfId="2017">
      <pivotArea dataOnly="0" labelOnly="1" grandRow="1" outline="0" fieldPosition="0"/>
    </format>
    <format dxfId="2016">
      <pivotArea dataOnly="0" labelOnly="1" outline="0" axis="axisValues" fieldPosition="0"/>
    </format>
    <format dxfId="2015">
      <pivotArea type="all" dataOnly="0" outline="0" fieldPosition="0"/>
    </format>
    <format dxfId="2014">
      <pivotArea outline="0" collapsedLevelsAreSubtotals="1" fieldPosition="0"/>
    </format>
    <format dxfId="2013">
      <pivotArea dataOnly="0" labelOnly="1" grandRow="1" outline="0" fieldPosition="0"/>
    </format>
    <format dxfId="2012">
      <pivotArea dataOnly="0" labelOnly="1" outline="0" axis="axisValues" fieldPosition="0"/>
    </format>
    <format dxfId="2011">
      <pivotArea type="all" dataOnly="0" outline="0" fieldPosition="0"/>
    </format>
    <format dxfId="2010">
      <pivotArea outline="0" collapsedLevelsAreSubtotals="1" fieldPosition="0"/>
    </format>
    <format dxfId="2009">
      <pivotArea dataOnly="0" labelOnly="1" grandRow="1" outline="0" fieldPosition="0"/>
    </format>
    <format dxfId="2008">
      <pivotArea dataOnly="0" labelOnly="1" outline="0" axis="axisValues" fieldPosition="0"/>
    </format>
    <format dxfId="2007">
      <pivotArea type="all" dataOnly="0" outline="0" fieldPosition="0"/>
    </format>
    <format dxfId="2006">
      <pivotArea outline="0" collapsedLevelsAreSubtotals="1" fieldPosition="0"/>
    </format>
    <format dxfId="2005">
      <pivotArea dataOnly="0" labelOnly="1" grandRow="1" outline="0" fieldPosition="0"/>
    </format>
    <format dxfId="200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E2575E69-31BF-46CA-B57E-3CB79B208A74}" name="PivotTable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B6" firstHeaderRow="1" firstDataRow="1" firstDataCol="0" rowPageCount="1" colPageCount="1"/>
  <pivotFields count="85">
    <pivotField showAll="0"/>
    <pivotField multipleItemSelectionAllowed="1" showAll="0" defaultSubtotal="0"/>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x="0"/>
        <item h="1" x="1"/>
        <item h="1" x="2"/>
        <item h="1" x="6"/>
        <item h="1" x="3"/>
        <item h="1" x="4"/>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1">
    <pageField fld="9" hier="-1"/>
  </pageFields>
  <dataFields count="1">
    <dataField name="Sum of Net Dwellings" fld="45" baseField="0" baseItem="0"/>
  </dataFields>
  <formats count="43">
    <format dxfId="2083">
      <pivotArea type="all" dataOnly="0" outline="0" fieldPosition="0"/>
    </format>
    <format dxfId="2082">
      <pivotArea type="all" dataOnly="0" outline="0" fieldPosition="0"/>
    </format>
    <format dxfId="2081">
      <pivotArea type="all" dataOnly="0" outline="0" fieldPosition="0"/>
    </format>
    <format dxfId="2080">
      <pivotArea type="all" dataOnly="0" outline="0" fieldPosition="0"/>
    </format>
    <format dxfId="2079">
      <pivotArea type="all" dataOnly="0" outline="0" fieldPosition="0"/>
    </format>
    <format dxfId="2078">
      <pivotArea type="all" dataOnly="0" outline="0" fieldPosition="0"/>
    </format>
    <format dxfId="2077">
      <pivotArea type="all" dataOnly="0" outline="0" fieldPosition="0"/>
    </format>
    <format dxfId="2076">
      <pivotArea type="all" dataOnly="0" outline="0" fieldPosition="0"/>
    </format>
    <format dxfId="2075">
      <pivotArea type="all" dataOnly="0" outline="0" fieldPosition="0"/>
    </format>
    <format dxfId="2074">
      <pivotArea type="all" dataOnly="0" outline="0" fieldPosition="0"/>
    </format>
    <format dxfId="2073">
      <pivotArea type="all" dataOnly="0" outline="0" fieldPosition="0"/>
    </format>
    <format dxfId="2072">
      <pivotArea outline="0" collapsedLevelsAreSubtotals="1" fieldPosition="0"/>
    </format>
    <format dxfId="2071">
      <pivotArea dataOnly="0" labelOnly="1" outline="0" axis="axisValues" fieldPosition="0"/>
    </format>
    <format dxfId="2070">
      <pivotArea type="all" dataOnly="0" outline="0" fieldPosition="0"/>
    </format>
    <format dxfId="2069">
      <pivotArea outline="0" collapsedLevelsAreSubtotals="1" fieldPosition="0"/>
    </format>
    <format dxfId="2068">
      <pivotArea dataOnly="0" labelOnly="1" outline="0" axis="axisValues" fieldPosition="0"/>
    </format>
    <format dxfId="2067">
      <pivotArea type="all" dataOnly="0" outline="0" fieldPosition="0"/>
    </format>
    <format dxfId="2066">
      <pivotArea outline="0" collapsedLevelsAreSubtotals="1" fieldPosition="0"/>
    </format>
    <format dxfId="2065">
      <pivotArea dataOnly="0" labelOnly="1" outline="0" axis="axisValues" fieldPosition="0"/>
    </format>
    <format dxfId="2064">
      <pivotArea type="all" dataOnly="0" outline="0" fieldPosition="0"/>
    </format>
    <format dxfId="2063">
      <pivotArea outline="0" collapsedLevelsAreSubtotals="1" fieldPosition="0"/>
    </format>
    <format dxfId="2062">
      <pivotArea dataOnly="0" labelOnly="1" outline="0" axis="axisValues" fieldPosition="0"/>
    </format>
    <format dxfId="2061">
      <pivotArea type="all" dataOnly="0" outline="0" fieldPosition="0"/>
    </format>
    <format dxfId="2060">
      <pivotArea outline="0" collapsedLevelsAreSubtotals="1" fieldPosition="0"/>
    </format>
    <format dxfId="2059">
      <pivotArea dataOnly="0" labelOnly="1" outline="0" axis="axisValues" fieldPosition="0"/>
    </format>
    <format dxfId="2058">
      <pivotArea type="all" dataOnly="0" outline="0" fieldPosition="0"/>
    </format>
    <format dxfId="2057">
      <pivotArea outline="0" collapsedLevelsAreSubtotals="1" fieldPosition="0"/>
    </format>
    <format dxfId="2056">
      <pivotArea dataOnly="0" labelOnly="1" outline="0" axis="axisValues" fieldPosition="0"/>
    </format>
    <format dxfId="2055">
      <pivotArea type="all" dataOnly="0" outline="0" fieldPosition="0"/>
    </format>
    <format dxfId="2054">
      <pivotArea outline="0" collapsedLevelsAreSubtotals="1" fieldPosition="0"/>
    </format>
    <format dxfId="2053">
      <pivotArea outline="0" collapsedLevelsAreSubtotals="1" fieldPosition="0"/>
    </format>
    <format dxfId="2052">
      <pivotArea type="all" dataOnly="0" outline="0" fieldPosition="0"/>
    </format>
    <format dxfId="2051">
      <pivotArea outline="0" collapsedLevelsAreSubtotals="1" fieldPosition="0"/>
    </format>
    <format dxfId="2050">
      <pivotArea dataOnly="0" labelOnly="1" outline="0" axis="axisValues" fieldPosition="0"/>
    </format>
    <format dxfId="2049">
      <pivotArea type="all" dataOnly="0" outline="0" fieldPosition="0"/>
    </format>
    <format dxfId="2048">
      <pivotArea outline="0" collapsedLevelsAreSubtotals="1" fieldPosition="0"/>
    </format>
    <format dxfId="2047">
      <pivotArea type="all" dataOnly="0" outline="0" fieldPosition="0"/>
    </format>
    <format dxfId="2046">
      <pivotArea outline="0" collapsedLevelsAreSubtotals="1" fieldPosition="0"/>
    </format>
    <format dxfId="2045">
      <pivotArea outline="0" collapsedLevelsAreSubtotals="1" fieldPosition="0"/>
    </format>
    <format dxfId="2044">
      <pivotArea type="all" dataOnly="0" outline="0" fieldPosition="0"/>
    </format>
    <format dxfId="2043">
      <pivotArea type="all" dataOnly="0" outline="0" fieldPosition="0"/>
    </format>
    <format dxfId="2042">
      <pivotArea outline="0" collapsedLevelsAreSubtotals="1" fieldPosition="0"/>
    </format>
    <format dxfId="204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92B84F23-7F58-40FF-BF27-D727A5386AD0}" name="PivotTable2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79:B80" firstHeaderRow="1" firstDataRow="1" firstDataCol="0" rowPageCount="2" colPageCount="1"/>
  <pivotFields count="85">
    <pivotField showAll="0" defaultSubtotal="0"/>
    <pivotField axis="axisPage" multipleItemSelectionAllowed="1" showAll="0" defaultSubtotal="0">
      <items count="5">
        <item x="1"/>
        <item x="4"/>
        <item x="2"/>
        <item h="1" x="3"/>
        <item h="1"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 hier="-1"/>
  </pageFields>
  <dataFields count="1">
    <dataField name="Sum of Net Dwellings" fld="45" baseField="0" baseItem="0"/>
  </dataFields>
  <formats count="40">
    <format dxfId="2123">
      <pivotArea type="all" dataOnly="0" outline="0" fieldPosition="0"/>
    </format>
    <format dxfId="2122">
      <pivotArea type="all" dataOnly="0" outline="0" fieldPosition="0"/>
    </format>
    <format dxfId="2121">
      <pivotArea type="all" dataOnly="0" outline="0" fieldPosition="0"/>
    </format>
    <format dxfId="2120">
      <pivotArea type="all" dataOnly="0" outline="0" fieldPosition="0"/>
    </format>
    <format dxfId="2119">
      <pivotArea type="all" dataOnly="0" outline="0" fieldPosition="0"/>
    </format>
    <format dxfId="2118">
      <pivotArea type="all" dataOnly="0" outline="0" fieldPosition="0"/>
    </format>
    <format dxfId="2117">
      <pivotArea type="all" dataOnly="0" outline="0" fieldPosition="0"/>
    </format>
    <format dxfId="2116">
      <pivotArea type="all" dataOnly="0" outline="0" fieldPosition="0"/>
    </format>
    <format dxfId="2115">
      <pivotArea type="all" dataOnly="0" outline="0" fieldPosition="0"/>
    </format>
    <format dxfId="2114">
      <pivotArea type="all" dataOnly="0" outline="0" fieldPosition="0"/>
    </format>
    <format dxfId="2113">
      <pivotArea type="all" dataOnly="0" outline="0" fieldPosition="0"/>
    </format>
    <format dxfId="2112">
      <pivotArea outline="0" collapsedLevelsAreSubtotals="1" fieldPosition="0"/>
    </format>
    <format dxfId="2111">
      <pivotArea dataOnly="0" labelOnly="1" outline="0" axis="axisValues" fieldPosition="0"/>
    </format>
    <format dxfId="2110">
      <pivotArea type="all" dataOnly="0" outline="0" fieldPosition="0"/>
    </format>
    <format dxfId="2109">
      <pivotArea outline="0" collapsedLevelsAreSubtotals="1" fieldPosition="0"/>
    </format>
    <format dxfId="2108">
      <pivotArea dataOnly="0" labelOnly="1" outline="0" axis="axisValues" fieldPosition="0"/>
    </format>
    <format dxfId="2107">
      <pivotArea type="all" dataOnly="0" outline="0" fieldPosition="0"/>
    </format>
    <format dxfId="2106">
      <pivotArea outline="0" collapsedLevelsAreSubtotals="1" fieldPosition="0"/>
    </format>
    <format dxfId="2105">
      <pivotArea dataOnly="0" labelOnly="1" outline="0" axis="axisValues" fieldPosition="0"/>
    </format>
    <format dxfId="2104">
      <pivotArea type="all" dataOnly="0" outline="0" fieldPosition="0"/>
    </format>
    <format dxfId="2103">
      <pivotArea outline="0" collapsedLevelsAreSubtotals="1" fieldPosition="0"/>
    </format>
    <format dxfId="2102">
      <pivotArea dataOnly="0" labelOnly="1" outline="0" axis="axisValues" fieldPosition="0"/>
    </format>
    <format dxfId="2101">
      <pivotArea type="all" dataOnly="0" outline="0" fieldPosition="0"/>
    </format>
    <format dxfId="2100">
      <pivotArea outline="0" collapsedLevelsAreSubtotals="1" fieldPosition="0"/>
    </format>
    <format dxfId="2099">
      <pivotArea dataOnly="0" labelOnly="1" outline="0" axis="axisValues" fieldPosition="0"/>
    </format>
    <format dxfId="2098">
      <pivotArea type="all" dataOnly="0" outline="0" fieldPosition="0"/>
    </format>
    <format dxfId="2097">
      <pivotArea outline="0" collapsedLevelsAreSubtotals="1" fieldPosition="0"/>
    </format>
    <format dxfId="2096">
      <pivotArea dataOnly="0" labelOnly="1" outline="0" axis="axisValues" fieldPosition="0"/>
    </format>
    <format dxfId="2095">
      <pivotArea type="all" dataOnly="0" outline="0" fieldPosition="0"/>
    </format>
    <format dxfId="2094">
      <pivotArea outline="0" collapsedLevelsAreSubtotals="1" fieldPosition="0"/>
    </format>
    <format dxfId="2093">
      <pivotArea dataOnly="0" labelOnly="1" outline="0" axis="axisValues" fieldPosition="0"/>
    </format>
    <format dxfId="2092">
      <pivotArea type="all" dataOnly="0" outline="0" fieldPosition="0"/>
    </format>
    <format dxfId="2091">
      <pivotArea outline="0" collapsedLevelsAreSubtotals="1" fieldPosition="0"/>
    </format>
    <format dxfId="2090">
      <pivotArea type="all" dataOnly="0" outline="0" fieldPosition="0"/>
    </format>
    <format dxfId="2089">
      <pivotArea outline="0" collapsedLevelsAreSubtotals="1" fieldPosition="0"/>
    </format>
    <format dxfId="2088">
      <pivotArea outline="0" collapsedLevelsAreSubtotals="1" fieldPosition="0"/>
    </format>
    <format dxfId="2087">
      <pivotArea type="all" dataOnly="0" outline="0" fieldPosition="0"/>
    </format>
    <format dxfId="2086">
      <pivotArea type="all" dataOnly="0" outline="0" fieldPosition="0"/>
    </format>
    <format dxfId="2085">
      <pivotArea outline="0" collapsedLevelsAreSubtotals="1" fieldPosition="0"/>
    </format>
    <format dxfId="208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AE4756C-0FE8-43DD-B5CD-9225DED0EE60}" name="PivotTable79" cacheId="2" applyNumberFormats="0" applyBorderFormats="0" applyFontFormats="0" applyPatternFormats="0" applyAlignmentFormats="0" applyWidthHeightFormats="1" dataCaption="Values" missingCaption="0" updatedVersion="8" minRefreshableVersion="3" itemPrintTitles="1" createdVersion="4" indent="0" outline="1" outlineData="1" multipleFieldFilters="0">
  <location ref="H356:I369" firstHeaderRow="1" firstDataRow="1" firstDataCol="1" rowPageCount="4"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h="1"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4"/>
        <item h="1" x="6"/>
        <item h="1" x="5"/>
      </items>
    </pivotField>
    <pivotField multipleItemSelectionAllowed="1" showAll="0" defaultSubtota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3">
    <i>
      <x v="1"/>
    </i>
    <i>
      <x v="2"/>
    </i>
    <i>
      <x v="3"/>
    </i>
    <i>
      <x v="4"/>
    </i>
    <i>
      <x v="6"/>
    </i>
    <i>
      <x v="7"/>
    </i>
    <i>
      <x v="8"/>
    </i>
    <i>
      <x v="11"/>
    </i>
    <i>
      <x v="12"/>
    </i>
    <i>
      <x v="14"/>
    </i>
    <i>
      <x v="15"/>
    </i>
    <i>
      <x v="16"/>
    </i>
    <i t="grand">
      <x/>
    </i>
  </rowItems>
  <colItems count="1">
    <i/>
  </colItems>
  <pageFields count="4">
    <pageField fld="11" hier="-1"/>
    <pageField fld="9" hier="-1"/>
    <pageField fld="2" hier="-1"/>
    <pageField fld="1" hier="-1"/>
  </pageFields>
  <dataFields count="1">
    <dataField name="Sum of Net Dwellings" fld="45" baseField="0" baseItem="0"/>
  </dataFields>
  <formats count="44">
    <format dxfId="253">
      <pivotArea type="all" dataOnly="0" outline="0" fieldPosition="0"/>
    </format>
    <format dxfId="252">
      <pivotArea type="all" dataOnly="0" outline="0" fieldPosition="0"/>
    </format>
    <format dxfId="251">
      <pivotArea type="all" dataOnly="0" outline="0" fieldPosition="0"/>
    </format>
    <format dxfId="250">
      <pivotArea type="all" dataOnly="0" outline="0" fieldPosition="0"/>
    </format>
    <format dxfId="249">
      <pivotArea type="all" dataOnly="0" outline="0" fieldPosition="0"/>
    </format>
    <format dxfId="248">
      <pivotArea type="all" dataOnly="0" outline="0" fieldPosition="0"/>
    </format>
    <format dxfId="247">
      <pivotArea type="all" dataOnly="0" outline="0" fieldPosition="0"/>
    </format>
    <format dxfId="246">
      <pivotArea dataOnly="0" labelOnly="1" outline="0" fieldPosition="0">
        <references count="1">
          <reference field="4294967294" count="1">
            <x v="0"/>
          </reference>
        </references>
      </pivotArea>
    </format>
    <format dxfId="245">
      <pivotArea dataOnly="0" labelOnly="1" outline="0" fieldPosition="0">
        <references count="1">
          <reference field="4294967294" count="1">
            <x v="0"/>
          </reference>
        </references>
      </pivotArea>
    </format>
    <format dxfId="244">
      <pivotArea dataOnly="0" labelOnly="1" outline="0" fieldPosition="0">
        <references count="1">
          <reference field="4294967294" count="1">
            <x v="0"/>
          </reference>
        </references>
      </pivotArea>
    </format>
    <format dxfId="243">
      <pivotArea type="all" dataOnly="0" outline="0" fieldPosition="0"/>
    </format>
    <format dxfId="242">
      <pivotArea type="all" dataOnly="0" outline="0" fieldPosition="0"/>
    </format>
    <format dxfId="241">
      <pivotArea type="all" dataOnly="0" outline="0" fieldPosition="0"/>
    </format>
    <format dxfId="240">
      <pivotArea type="all" dataOnly="0" outline="0" fieldPosition="0"/>
    </format>
    <format dxfId="239">
      <pivotArea outline="0" collapsedLevelsAreSubtotals="1" fieldPosition="0"/>
    </format>
    <format dxfId="238">
      <pivotArea dataOnly="0" labelOnly="1" grandRow="1" outline="0" fieldPosition="0"/>
    </format>
    <format dxfId="237">
      <pivotArea dataOnly="0" labelOnly="1" outline="0" axis="axisValues" fieldPosition="0"/>
    </format>
    <format dxfId="236">
      <pivotArea grandRow="1" outline="0" collapsedLevelsAreSubtotals="1" fieldPosition="0"/>
    </format>
    <format dxfId="235">
      <pivotArea type="all" dataOnly="0" outline="0" fieldPosition="0"/>
    </format>
    <format dxfId="234">
      <pivotArea outline="0" collapsedLevelsAreSubtotals="1" fieldPosition="0"/>
    </format>
    <format dxfId="233">
      <pivotArea dataOnly="0" labelOnly="1" grandRow="1" outline="0" fieldPosition="0"/>
    </format>
    <format dxfId="232">
      <pivotArea dataOnly="0" labelOnly="1" outline="0" axis="axisValues" fieldPosition="0"/>
    </format>
    <format dxfId="231">
      <pivotArea type="all" dataOnly="0" outline="0" fieldPosition="0"/>
    </format>
    <format dxfId="230">
      <pivotArea outline="0" collapsedLevelsAreSubtotals="1" fieldPosition="0"/>
    </format>
    <format dxfId="229">
      <pivotArea dataOnly="0" labelOnly="1" grandRow="1" outline="0" fieldPosition="0"/>
    </format>
    <format dxfId="228">
      <pivotArea dataOnly="0" labelOnly="1" outline="0" axis="axisValues" fieldPosition="0"/>
    </format>
    <format dxfId="227">
      <pivotArea type="all" dataOnly="0" outline="0" fieldPosition="0"/>
    </format>
    <format dxfId="226">
      <pivotArea outline="0" collapsedLevelsAreSubtotals="1" fieldPosition="0"/>
    </format>
    <format dxfId="225">
      <pivotArea field="71" type="button" dataOnly="0" labelOnly="1" outline="0" axis="axisRow" fieldPosition="0"/>
    </format>
    <format dxfId="224">
      <pivotArea dataOnly="0" labelOnly="1" grandRow="1" outline="0" fieldPosition="0"/>
    </format>
    <format dxfId="223">
      <pivotArea dataOnly="0" labelOnly="1" outline="0" axis="axisValues" fieldPosition="0"/>
    </format>
    <format dxfId="222">
      <pivotArea type="all" dataOnly="0" outline="0" fieldPosition="0"/>
    </format>
    <format dxfId="221">
      <pivotArea outline="0" collapsedLevelsAreSubtotals="1" fieldPosition="0"/>
    </format>
    <format dxfId="220">
      <pivotArea field="71" type="button" dataOnly="0" labelOnly="1" outline="0" axis="axisRow" fieldPosition="0"/>
    </format>
    <format dxfId="219">
      <pivotArea dataOnly="0" labelOnly="1" grandRow="1" outline="0" fieldPosition="0"/>
    </format>
    <format dxfId="218">
      <pivotArea dataOnly="0" labelOnly="1" outline="0" axis="axisValues" fieldPosition="0"/>
    </format>
    <format dxfId="217">
      <pivotArea type="all" dataOnly="0" outline="0" fieldPosition="0"/>
    </format>
    <format dxfId="216">
      <pivotArea outline="0" collapsedLevelsAreSubtotals="1" fieldPosition="0"/>
    </format>
    <format dxfId="215">
      <pivotArea field="71" type="button" dataOnly="0" labelOnly="1" outline="0" axis="axisRow" fieldPosition="0"/>
    </format>
    <format dxfId="214">
      <pivotArea dataOnly="0" labelOnly="1" fieldPosition="0">
        <references count="1">
          <reference field="71" count="13">
            <x v="0"/>
            <x v="1"/>
            <x v="2"/>
            <x v="4"/>
            <x v="8"/>
            <x v="9"/>
            <x v="11"/>
            <x v="12"/>
            <x v="13"/>
            <x v="15"/>
            <x v="16"/>
            <x v="17"/>
            <x v="18"/>
          </reference>
        </references>
      </pivotArea>
    </format>
    <format dxfId="213">
      <pivotArea dataOnly="0" labelOnly="1" grandRow="1" outline="0" fieldPosition="0"/>
    </format>
    <format dxfId="212">
      <pivotArea dataOnly="0" labelOnly="1" outline="0" axis="axisValues" fieldPosition="0"/>
    </format>
    <format dxfId="211">
      <pivotArea dataOnly="0" labelOnly="1" outline="0" fieldPosition="0">
        <references count="1">
          <reference field="2" count="0"/>
        </references>
      </pivotArea>
    </format>
    <format dxfId="210">
      <pivotArea dataOnly="0" labelOnly="1" outline="0"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470477AE-8BE2-4C87-928B-781A85496256}" name="PivotTable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12:J217" firstHeaderRow="0" firstDataRow="1" firstDataCol="1" rowPageCount="1" colPageCount="1"/>
  <pivotFields count="85">
    <pivotField showAll="0" defaultSubtotal="0"/>
    <pivotField multipleItemSelectionAllowed="1" showAll="0" defaultSubtotal="0"/>
    <pivotField axis="axisRow" showAll="0" defaultSubtotal="0">
      <items count="8">
        <item x="1"/>
        <item x="5"/>
        <item x="0"/>
        <item x="2"/>
        <item x="3"/>
        <item x="4"/>
        <item x="6"/>
        <item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2"/>
  </rowFields>
  <rowItems count="5">
    <i>
      <x/>
    </i>
    <i>
      <x v="2"/>
    </i>
    <i>
      <x v="3"/>
    </i>
    <i>
      <x v="4"/>
    </i>
    <i t="grand">
      <x/>
    </i>
  </rowItems>
  <colFields count="1">
    <field x="-2"/>
  </colFields>
  <colItems count="8">
    <i>
      <x/>
    </i>
    <i i="1">
      <x v="1"/>
    </i>
    <i i="2">
      <x v="2"/>
    </i>
    <i i="3">
      <x v="3"/>
    </i>
    <i i="4">
      <x v="4"/>
    </i>
    <i i="5">
      <x v="5"/>
    </i>
    <i i="6">
      <x v="6"/>
    </i>
    <i i="7">
      <x v="7"/>
    </i>
  </colItems>
  <pageFields count="1">
    <pageField fld="9" hier="-1"/>
  </pageFields>
  <dataFields count="8">
    <dataField name="Sum of 1 bed net" fld="37" baseField="0" baseItem="0"/>
    <dataField name="Sum of 2 bed net" fld="38" baseField="0" baseItem="0"/>
    <dataField name="Sum of 3 bed net" fld="39" baseField="0" baseItem="0"/>
    <dataField name="Sum of 4 bed net" fld="40" baseField="0" baseItem="0"/>
    <dataField name="Sum of 5 bed net" fld="41" baseField="0" baseItem="0"/>
    <dataField name="Sum of 6 bed net" fld="42" baseField="0" baseItem="0"/>
    <dataField name="Sum of 7 bed net" fld="43" baseField="0" baseItem="0"/>
    <dataField name="Sum of 8 bed net" fld="44" baseField="0" baseItem="0"/>
  </dataFields>
  <formats count="42">
    <format dxfId="2165">
      <pivotArea type="all" dataOnly="0" outline="0" fieldPosition="0"/>
    </format>
    <format dxfId="2164">
      <pivotArea type="all" dataOnly="0" outline="0" fieldPosition="0"/>
    </format>
    <format dxfId="2163">
      <pivotArea type="all" dataOnly="0" outline="0" fieldPosition="0"/>
    </format>
    <format dxfId="2162">
      <pivotArea type="all" dataOnly="0" outline="0" fieldPosition="0"/>
    </format>
    <format dxfId="2161">
      <pivotArea type="all" dataOnly="0" outline="0" fieldPosition="0"/>
    </format>
    <format dxfId="2160">
      <pivotArea type="all" dataOnly="0" outline="0" fieldPosition="0"/>
    </format>
    <format dxfId="2159">
      <pivotArea type="all" dataOnly="0" outline="0" fieldPosition="0"/>
    </format>
    <format dxfId="2158">
      <pivotArea type="all" dataOnly="0" outline="0" fieldPosition="0"/>
    </format>
    <format dxfId="2157">
      <pivotArea type="all" dataOnly="0" outline="0" fieldPosition="0"/>
    </format>
    <format dxfId="2156">
      <pivotArea type="all" dataOnly="0" outline="0" fieldPosition="0"/>
    </format>
    <format dxfId="2155">
      <pivotArea type="all" dataOnly="0" outline="0" fieldPosition="0"/>
    </format>
    <format dxfId="2154">
      <pivotArea outline="0" collapsedLevelsAreSubtotals="1" fieldPosition="0"/>
    </format>
    <format dxfId="2153">
      <pivotArea field="2" type="button" dataOnly="0" labelOnly="1" outline="0" axis="axisRow" fieldPosition="0"/>
    </format>
    <format dxfId="2152">
      <pivotArea dataOnly="0" labelOnly="1" grandRow="1" outline="0" fieldPosition="0"/>
    </format>
    <format dxfId="2151">
      <pivotArea type="all" dataOnly="0" outline="0" fieldPosition="0"/>
    </format>
    <format dxfId="2150">
      <pivotArea outline="0" collapsedLevelsAreSubtotals="1" fieldPosition="0"/>
    </format>
    <format dxfId="2149">
      <pivotArea field="2" type="button" dataOnly="0" labelOnly="1" outline="0" axis="axisRow" fieldPosition="0"/>
    </format>
    <format dxfId="2148">
      <pivotArea dataOnly="0" labelOnly="1" fieldPosition="0">
        <references count="1">
          <reference field="2" count="0"/>
        </references>
      </pivotArea>
    </format>
    <format dxfId="2147">
      <pivotArea dataOnly="0" labelOnly="1" grandRow="1" outline="0" fieldPosition="0"/>
    </format>
    <format dxfId="2146">
      <pivotArea type="all" dataOnly="0" outline="0" fieldPosition="0"/>
    </format>
    <format dxfId="2145">
      <pivotArea outline="0" collapsedLevelsAreSubtotals="1" fieldPosition="0"/>
    </format>
    <format dxfId="2144">
      <pivotArea field="2" type="button" dataOnly="0" labelOnly="1" outline="0" axis="axisRow" fieldPosition="0"/>
    </format>
    <format dxfId="2143">
      <pivotArea dataOnly="0" labelOnly="1" fieldPosition="0">
        <references count="1">
          <reference field="2" count="0"/>
        </references>
      </pivotArea>
    </format>
    <format dxfId="2142">
      <pivotArea dataOnly="0" labelOnly="1" grandRow="1" outline="0" fieldPosition="0"/>
    </format>
    <format dxfId="2141">
      <pivotArea type="all" dataOnly="0" outline="0" fieldPosition="0"/>
    </format>
    <format dxfId="2140">
      <pivotArea outline="0" collapsedLevelsAreSubtotals="1" fieldPosition="0"/>
    </format>
    <format dxfId="2139">
      <pivotArea field="2" type="button" dataOnly="0" labelOnly="1" outline="0" axis="axisRow" fieldPosition="0"/>
    </format>
    <format dxfId="2138">
      <pivotArea dataOnly="0" labelOnly="1" fieldPosition="0">
        <references count="1">
          <reference field="2" count="0"/>
        </references>
      </pivotArea>
    </format>
    <format dxfId="2137">
      <pivotArea dataOnly="0" labelOnly="1" grandRow="1" outline="0" fieldPosition="0"/>
    </format>
    <format dxfId="2136">
      <pivotArea type="all" dataOnly="0" outline="0" fieldPosition="0"/>
    </format>
    <format dxfId="2135">
      <pivotArea type="all" dataOnly="0" outline="0" fieldPosition="0"/>
    </format>
    <format dxfId="2134">
      <pivotArea collapsedLevelsAreSubtotals="1" fieldPosition="0">
        <references count="1">
          <reference field="2" count="0"/>
        </references>
      </pivotArea>
    </format>
    <format dxfId="2133">
      <pivotArea type="all" dataOnly="0" outline="0" fieldPosition="0"/>
    </format>
    <format dxfId="2132">
      <pivotArea outline="0" collapsedLevelsAreSubtotals="1" fieldPosition="0"/>
    </format>
    <format dxfId="2131">
      <pivotArea field="2" type="button" dataOnly="0" labelOnly="1" outline="0" axis="axisRow" fieldPosition="0"/>
    </format>
    <format dxfId="2130">
      <pivotArea dataOnly="0" labelOnly="1" fieldPosition="0">
        <references count="1">
          <reference field="2" count="0"/>
        </references>
      </pivotArea>
    </format>
    <format dxfId="2129">
      <pivotArea dataOnly="0" labelOnly="1" grandRow="1" outline="0" fieldPosition="0"/>
    </format>
    <format dxfId="2128">
      <pivotArea type="all" dataOnly="0" outline="0" fieldPosition="0"/>
    </format>
    <format dxfId="2127">
      <pivotArea outline="0" collapsedLevelsAreSubtotals="1" fieldPosition="0"/>
    </format>
    <format dxfId="2126">
      <pivotArea field="2" type="button" dataOnly="0" labelOnly="1" outline="0" axis="axisRow" fieldPosition="0"/>
    </format>
    <format dxfId="2125">
      <pivotArea dataOnly="0" labelOnly="1" fieldPosition="0">
        <references count="1">
          <reference field="2" count="0"/>
        </references>
      </pivotArea>
    </format>
    <format dxfId="212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F144E310-DBE3-4855-BF66-09BE4E0DB2F4}" name="PivotTable16"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14:I15" firstHeaderRow="0" firstDataRow="1" firstDataCol="0" rowPageCount="3" colPageCount="1"/>
  <pivotFields count="85">
    <pivotField showAll="0"/>
    <pivotField axis="axisPage" multipleItemSelectionAllowed="1" showAll="0" defaultSubtotal="0">
      <items count="5">
        <item h="1" x="1"/>
        <item h="1" x="4"/>
        <item h="1" x="2"/>
        <item x="3"/>
        <item x="0"/>
      </items>
    </pivotField>
    <pivotField showAll="0"/>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x="1"/>
        <item h="1" x="2"/>
        <item h="1" x="3"/>
        <item h="1" x="4"/>
        <item h="1" x="6"/>
        <item h="1" x="5"/>
        <item t="default"/>
      </items>
    </pivotField>
    <pivotField showAll="0"/>
    <pivotField axis="axisPage" multipleItemSelectionAllowed="1" showAll="0">
      <items count="13">
        <item h="1" x="1"/>
        <item x="0"/>
        <item x="2"/>
        <item x="6"/>
        <item x="5"/>
        <item x="4"/>
        <item x="10"/>
        <item x="11"/>
        <item x="3"/>
        <item x="7"/>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Fields count="1">
    <field x="-2"/>
  </colFields>
  <colItems count="5">
    <i>
      <x/>
    </i>
    <i i="1">
      <x v="1"/>
    </i>
    <i i="2">
      <x v="2"/>
    </i>
    <i i="3">
      <x v="3"/>
    </i>
    <i i="4">
      <x v="4"/>
    </i>
  </colItems>
  <pageFields count="3">
    <pageField fld="1" hier="-1"/>
    <pageField fld="9" hier="-1"/>
    <pageField fld="11" hier="-1"/>
  </pageFields>
  <dataFields count="5">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s>
  <formats count="42">
    <format dxfId="2207">
      <pivotArea type="all" dataOnly="0" outline="0" fieldPosition="0"/>
    </format>
    <format dxfId="2206">
      <pivotArea type="all" dataOnly="0" outline="0" fieldPosition="0"/>
    </format>
    <format dxfId="2205">
      <pivotArea type="all" dataOnly="0" outline="0" fieldPosition="0"/>
    </format>
    <format dxfId="2204">
      <pivotArea type="all" dataOnly="0" outline="0" fieldPosition="0"/>
    </format>
    <format dxfId="2203">
      <pivotArea type="all" dataOnly="0" outline="0" fieldPosition="0"/>
    </format>
    <format dxfId="2202">
      <pivotArea type="all" dataOnly="0" outline="0" fieldPosition="0"/>
    </format>
    <format dxfId="2201">
      <pivotArea type="all" dataOnly="0" outline="0" fieldPosition="0"/>
    </format>
    <format dxfId="2200">
      <pivotArea type="all" dataOnly="0" outline="0" fieldPosition="0"/>
    </format>
    <format dxfId="2199">
      <pivotArea type="all" dataOnly="0" outline="0" fieldPosition="0"/>
    </format>
    <format dxfId="2198">
      <pivotArea type="all" dataOnly="0" outline="0" fieldPosition="0"/>
    </format>
    <format dxfId="2197">
      <pivotArea type="all" dataOnly="0" outline="0" fieldPosition="0"/>
    </format>
    <format dxfId="2196">
      <pivotArea outline="0" collapsedLevelsAreSubtotals="1" fieldPosition="0"/>
    </format>
    <format dxfId="2195">
      <pivotArea dataOnly="0" labelOnly="1" outline="0" axis="axisValues" fieldPosition="0"/>
    </format>
    <format dxfId="2194">
      <pivotArea type="all" dataOnly="0" outline="0" fieldPosition="0"/>
    </format>
    <format dxfId="2193">
      <pivotArea outline="0" collapsedLevelsAreSubtotals="1" fieldPosition="0"/>
    </format>
    <format dxfId="2192">
      <pivotArea dataOnly="0" labelOnly="1" outline="0" axis="axisValues" fieldPosition="0"/>
    </format>
    <format dxfId="2191">
      <pivotArea type="all" dataOnly="0" outline="0" fieldPosition="0"/>
    </format>
    <format dxfId="2190">
      <pivotArea outline="0" collapsedLevelsAreSubtotals="1" fieldPosition="0"/>
    </format>
    <format dxfId="2189">
      <pivotArea dataOnly="0" labelOnly="1" outline="0" axis="axisValues" fieldPosition="0"/>
    </format>
    <format dxfId="2188">
      <pivotArea type="all" dataOnly="0" outline="0" fieldPosition="0"/>
    </format>
    <format dxfId="2187">
      <pivotArea outline="0" collapsedLevelsAreSubtotals="1" fieldPosition="0"/>
    </format>
    <format dxfId="2186">
      <pivotArea dataOnly="0" labelOnly="1" outline="0" axis="axisValues" fieldPosition="0"/>
    </format>
    <format dxfId="2185">
      <pivotArea outline="0" collapsedLevelsAreSubtotals="1" fieldPosition="0"/>
    </format>
    <format dxfId="2184">
      <pivotArea outline="0" collapsedLevelsAreSubtotals="1" fieldPosition="0"/>
    </format>
    <format dxfId="2183">
      <pivotArea type="all" dataOnly="0" outline="0" fieldPosition="0"/>
    </format>
    <format dxfId="2182">
      <pivotArea outline="0" collapsedLevelsAreSubtotals="1" fieldPosition="0"/>
    </format>
    <format dxfId="2181">
      <pivotArea dataOnly="0" labelOnly="1" outline="0" axis="axisValues" fieldPosition="0"/>
    </format>
    <format dxfId="2180">
      <pivotArea type="all" dataOnly="0" outline="0" fieldPosition="0"/>
    </format>
    <format dxfId="2179">
      <pivotArea outline="0" collapsedLevelsAreSubtotals="1" fieldPosition="0"/>
    </format>
    <format dxfId="2178">
      <pivotArea dataOnly="0" labelOnly="1" outline="0" axis="axisValues" fieldPosition="0"/>
    </format>
    <format dxfId="2177">
      <pivotArea type="all" dataOnly="0" outline="0" fieldPosition="0"/>
    </format>
    <format dxfId="2176">
      <pivotArea outline="0" collapsedLevelsAreSubtotals="1" fieldPosition="0"/>
    </format>
    <format dxfId="2175">
      <pivotArea dataOnly="0" labelOnly="1" outline="0" axis="axisValues" fieldPosition="0"/>
    </format>
    <format dxfId="2174">
      <pivotArea type="all" dataOnly="0" outline="0" fieldPosition="0"/>
    </format>
    <format dxfId="2173">
      <pivotArea outline="0" collapsedLevelsAreSubtotals="1" fieldPosition="0"/>
    </format>
    <format dxfId="2172">
      <pivotArea dataOnly="0" labelOnly="1" outline="0" axis="axisValues" fieldPosition="0"/>
    </format>
    <format dxfId="2171">
      <pivotArea type="all" dataOnly="0" outline="0" fieldPosition="0"/>
    </format>
    <format dxfId="2170">
      <pivotArea outline="0" collapsedLevelsAreSubtotals="1" fieldPosition="0"/>
    </format>
    <format dxfId="2169">
      <pivotArea dataOnly="0" labelOnly="1" outline="0" axis="axisValues" fieldPosition="0"/>
    </format>
    <format dxfId="2168">
      <pivotArea outline="0" collapsedLevelsAreSubtotals="1" fieldPosition="0"/>
    </format>
    <format dxfId="2167">
      <pivotArea type="all" dataOnly="0" outline="0" fieldPosition="0"/>
    </format>
    <format dxfId="216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2.xml><?xml version="1.0" encoding="utf-8"?>
<pivotTableDefinition xmlns="http://schemas.openxmlformats.org/spreadsheetml/2006/main" xmlns:mc="http://schemas.openxmlformats.org/markup-compatibility/2006" xmlns:xr="http://schemas.microsoft.com/office/spreadsheetml/2014/revision" mc:Ignorable="xr" xr:uid="{2E4FE252-B81C-490C-AB19-461B2DC69C9F}" name="PivotTable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39:C241"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axis="axisRow"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46"/>
  </rowFields>
  <rowItems count="2">
    <i>
      <x v="1"/>
    </i>
    <i t="grand">
      <x/>
    </i>
  </rowItems>
  <colItems count="1">
    <i/>
  </colItems>
  <pageFields count="1">
    <pageField fld="9" hier="-1"/>
  </pageFields>
  <dataFields count="1">
    <dataField name="Sum of Net Dwellings" fld="45" baseField="0" baseItem="0"/>
  </dataFields>
  <formats count="35">
    <format dxfId="2242">
      <pivotArea type="all" dataOnly="0" outline="0" fieldPosition="0"/>
    </format>
    <format dxfId="2241">
      <pivotArea type="all" dataOnly="0" outline="0" fieldPosition="0"/>
    </format>
    <format dxfId="2240">
      <pivotArea type="all" dataOnly="0" outline="0" fieldPosition="0"/>
    </format>
    <format dxfId="2239">
      <pivotArea type="all" dataOnly="0" outline="0" fieldPosition="0"/>
    </format>
    <format dxfId="2238">
      <pivotArea type="all" dataOnly="0" outline="0" fieldPosition="0"/>
    </format>
    <format dxfId="2237">
      <pivotArea type="all" dataOnly="0" outline="0" fieldPosition="0"/>
    </format>
    <format dxfId="2236">
      <pivotArea type="all" dataOnly="0" outline="0" fieldPosition="0"/>
    </format>
    <format dxfId="2235">
      <pivotArea type="all" dataOnly="0" outline="0" fieldPosition="0"/>
    </format>
    <format dxfId="2234">
      <pivotArea type="all" dataOnly="0" outline="0" fieldPosition="0"/>
    </format>
    <format dxfId="2233">
      <pivotArea type="all" dataOnly="0" outline="0" fieldPosition="0"/>
    </format>
    <format dxfId="2232">
      <pivotArea type="all" dataOnly="0" outline="0" fieldPosition="0"/>
    </format>
    <format dxfId="2231">
      <pivotArea outline="0" collapsedLevelsAreSubtotals="1" fieldPosition="0"/>
    </format>
    <format dxfId="2230">
      <pivotArea dataOnly="0" labelOnly="1" grandRow="1" outline="0" fieldPosition="0"/>
    </format>
    <format dxfId="2229">
      <pivotArea dataOnly="0" labelOnly="1" outline="0" axis="axisValues" fieldPosition="0"/>
    </format>
    <format dxfId="2228">
      <pivotArea type="all" dataOnly="0" outline="0" fieldPosition="0"/>
    </format>
    <format dxfId="2227">
      <pivotArea outline="0" collapsedLevelsAreSubtotals="1" fieldPosition="0"/>
    </format>
    <format dxfId="2226">
      <pivotArea dataOnly="0" labelOnly="1" grandRow="1" outline="0" fieldPosition="0"/>
    </format>
    <format dxfId="2225">
      <pivotArea dataOnly="0" labelOnly="1" outline="0" axis="axisValues" fieldPosition="0"/>
    </format>
    <format dxfId="2224">
      <pivotArea type="all" dataOnly="0" outline="0" fieldPosition="0"/>
    </format>
    <format dxfId="2223">
      <pivotArea outline="0" collapsedLevelsAreSubtotals="1" fieldPosition="0"/>
    </format>
    <format dxfId="2222">
      <pivotArea dataOnly="0" labelOnly="1" grandRow="1" outline="0" fieldPosition="0"/>
    </format>
    <format dxfId="2221">
      <pivotArea dataOnly="0" labelOnly="1" outline="0" axis="axisValues" fieldPosition="0"/>
    </format>
    <format dxfId="2220">
      <pivotArea type="all" dataOnly="0" outline="0" fieldPosition="0"/>
    </format>
    <format dxfId="2219">
      <pivotArea outline="0" collapsedLevelsAreSubtotals="1" fieldPosition="0"/>
    </format>
    <format dxfId="2218">
      <pivotArea dataOnly="0" labelOnly="1" grandRow="1" outline="0" fieldPosition="0"/>
    </format>
    <format dxfId="2217">
      <pivotArea dataOnly="0" labelOnly="1" outline="0" axis="axisValues" fieldPosition="0"/>
    </format>
    <format dxfId="2216">
      <pivotArea type="all" dataOnly="0" outline="0" fieldPosition="0"/>
    </format>
    <format dxfId="2215">
      <pivotArea type="all" dataOnly="0" outline="0" fieldPosition="0"/>
    </format>
    <format dxfId="2214">
      <pivotArea type="all" dataOnly="0" outline="0" fieldPosition="0"/>
    </format>
    <format dxfId="2213">
      <pivotArea outline="0" collapsedLevelsAreSubtotals="1" fieldPosition="0"/>
    </format>
    <format dxfId="2212">
      <pivotArea dataOnly="0" labelOnly="1" grandRow="1" outline="0" fieldPosition="0"/>
    </format>
    <format dxfId="2211">
      <pivotArea type="all" dataOnly="0" outline="0" fieldPosition="0"/>
    </format>
    <format dxfId="2210">
      <pivotArea outline="0" collapsedLevelsAreSubtotals="1" fieldPosition="0"/>
    </format>
    <format dxfId="2209">
      <pivotArea dataOnly="0" labelOnly="1" grandRow="1" outline="0" fieldPosition="0"/>
    </format>
    <format dxfId="220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3.xml><?xml version="1.0" encoding="utf-8"?>
<pivotTableDefinition xmlns="http://schemas.openxmlformats.org/spreadsheetml/2006/main" xmlns:mc="http://schemas.openxmlformats.org/markup-compatibility/2006" xmlns:xr="http://schemas.microsoft.com/office/spreadsheetml/2014/revision" mc:Ignorable="xr" xr:uid="{53F2BE23-DA5D-461D-BFAC-4EF90646D874}" name="PivotTable36"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99:C509"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6"/>
        <item h="1" x="4"/>
        <item h="1" x="5"/>
      </items>
    </pivotField>
    <pivotField multipleItemSelectionAllowed="1" showAll="0" defaultSubtotal="0"/>
    <pivotField axis="axisPage" multipleItemSelectionAllowed="1" showAll="0">
      <items count="13">
        <item x="10"/>
        <item h="1" x="1"/>
        <item x="2"/>
        <item x="11"/>
        <item x="5"/>
        <item x="7"/>
        <item x="3"/>
        <item x="8"/>
        <item x="9"/>
        <item x="0"/>
        <item h="1" x="4"/>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10">
    <i>
      <x/>
    </i>
    <i>
      <x v="1"/>
    </i>
    <i>
      <x v="2"/>
    </i>
    <i>
      <x v="3"/>
    </i>
    <i>
      <x v="4"/>
    </i>
    <i>
      <x v="5"/>
    </i>
    <i>
      <x v="6"/>
    </i>
    <i>
      <x v="7"/>
    </i>
    <i>
      <x v="8"/>
    </i>
    <i t="grand">
      <x/>
    </i>
  </rowItems>
  <colItems count="1">
    <i/>
  </colItems>
  <pageFields count="4">
    <pageField fld="11" hier="-1"/>
    <pageField fld="9" hier="-1"/>
    <pageField fld="2" hier="-1"/>
    <pageField fld="1" hier="-1"/>
  </pageFields>
  <dataFields count="1">
    <dataField name="Sum of Net Dwellings" fld="45" baseField="0" baseItem="0"/>
  </dataFields>
  <formats count="42">
    <format dxfId="2284">
      <pivotArea type="all" dataOnly="0" outline="0" fieldPosition="0"/>
    </format>
    <format dxfId="2283">
      <pivotArea type="all" dataOnly="0" outline="0" fieldPosition="0"/>
    </format>
    <format dxfId="2282">
      <pivotArea type="all" dataOnly="0" outline="0" fieldPosition="0"/>
    </format>
    <format dxfId="2281">
      <pivotArea type="all" dataOnly="0" outline="0" fieldPosition="0"/>
    </format>
    <format dxfId="2280">
      <pivotArea type="all" dataOnly="0" outline="0" fieldPosition="0"/>
    </format>
    <format dxfId="2279">
      <pivotArea type="all" dataOnly="0" outline="0" fieldPosition="0"/>
    </format>
    <format dxfId="2278">
      <pivotArea type="all" dataOnly="0" outline="0" fieldPosition="0"/>
    </format>
    <format dxfId="2277">
      <pivotArea dataOnly="0" labelOnly="1" outline="0" fieldPosition="0">
        <references count="1">
          <reference field="4294967294" count="1">
            <x v="0"/>
          </reference>
        </references>
      </pivotArea>
    </format>
    <format dxfId="2276">
      <pivotArea dataOnly="0" labelOnly="1" outline="0" fieldPosition="0">
        <references count="1">
          <reference field="4294967294" count="1">
            <x v="0"/>
          </reference>
        </references>
      </pivotArea>
    </format>
    <format dxfId="2275">
      <pivotArea dataOnly="0" labelOnly="1" outline="0" fieldPosition="0">
        <references count="1">
          <reference field="4294967294" count="1">
            <x v="0"/>
          </reference>
        </references>
      </pivotArea>
    </format>
    <format dxfId="2274">
      <pivotArea type="all" dataOnly="0" outline="0" fieldPosition="0"/>
    </format>
    <format dxfId="2273">
      <pivotArea type="all" dataOnly="0" outline="0" fieldPosition="0"/>
    </format>
    <format dxfId="2272">
      <pivotArea type="all" dataOnly="0" outline="0" fieldPosition="0"/>
    </format>
    <format dxfId="2271">
      <pivotArea type="all" dataOnly="0" outline="0" fieldPosition="0"/>
    </format>
    <format dxfId="2270">
      <pivotArea outline="0" collapsedLevelsAreSubtotals="1" fieldPosition="0"/>
    </format>
    <format dxfId="2269">
      <pivotArea dataOnly="0" labelOnly="1" grandRow="1" outline="0" fieldPosition="0"/>
    </format>
    <format dxfId="2268">
      <pivotArea dataOnly="0" labelOnly="1" outline="0" axis="axisValues" fieldPosition="0"/>
    </format>
    <format dxfId="2267">
      <pivotArea type="all" dataOnly="0" outline="0" fieldPosition="0"/>
    </format>
    <format dxfId="2266">
      <pivotArea outline="0" collapsedLevelsAreSubtotals="1" fieldPosition="0"/>
    </format>
    <format dxfId="2265">
      <pivotArea dataOnly="0" labelOnly="1" grandRow="1" outline="0" fieldPosition="0"/>
    </format>
    <format dxfId="2264">
      <pivotArea dataOnly="0" labelOnly="1" outline="0" axis="axisValues" fieldPosition="0"/>
    </format>
    <format dxfId="2263">
      <pivotArea type="all" dataOnly="0" outline="0" fieldPosition="0"/>
    </format>
    <format dxfId="2262">
      <pivotArea outline="0" collapsedLevelsAreSubtotals="1" fieldPosition="0"/>
    </format>
    <format dxfId="2261">
      <pivotArea dataOnly="0" labelOnly="1" grandRow="1" outline="0" fieldPosition="0"/>
    </format>
    <format dxfId="2260">
      <pivotArea dataOnly="0" labelOnly="1" outline="0" axis="axisValues" fieldPosition="0"/>
    </format>
    <format dxfId="2259">
      <pivotArea type="all" dataOnly="0" outline="0" fieldPosition="0"/>
    </format>
    <format dxfId="2258">
      <pivotArea outline="0" collapsedLevelsAreSubtotals="1" fieldPosition="0"/>
    </format>
    <format dxfId="2257">
      <pivotArea dataOnly="0" labelOnly="1" grandRow="1" outline="0" fieldPosition="0"/>
    </format>
    <format dxfId="2256">
      <pivotArea dataOnly="0" labelOnly="1" outline="0" axis="axisValues" fieldPosition="0"/>
    </format>
    <format dxfId="2255">
      <pivotArea type="all" dataOnly="0" outline="0" fieldPosition="0"/>
    </format>
    <format dxfId="2254">
      <pivotArea outline="0" collapsedLevelsAreSubtotals="1" fieldPosition="0"/>
    </format>
    <format dxfId="2253">
      <pivotArea dataOnly="0" labelOnly="1" grandRow="1" outline="0" fieldPosition="0"/>
    </format>
    <format dxfId="2252">
      <pivotArea dataOnly="0" labelOnly="1" outline="0" axis="axisValues" fieldPosition="0"/>
    </format>
    <format dxfId="2251">
      <pivotArea type="all" dataOnly="0" outline="0" fieldPosition="0"/>
    </format>
    <format dxfId="2250">
      <pivotArea outline="0" collapsedLevelsAreSubtotals="1" fieldPosition="0"/>
    </format>
    <format dxfId="2249">
      <pivotArea dataOnly="0" labelOnly="1" grandRow="1" outline="0" fieldPosition="0"/>
    </format>
    <format dxfId="2248">
      <pivotArea dataOnly="0" labelOnly="1" outline="0" axis="axisValues" fieldPosition="0"/>
    </format>
    <format dxfId="2247">
      <pivotArea type="all" dataOnly="0" outline="0" fieldPosition="0"/>
    </format>
    <format dxfId="2246">
      <pivotArea outline="0" collapsedLevelsAreSubtotals="1" fieldPosition="0"/>
    </format>
    <format dxfId="2245">
      <pivotArea field="72" type="button" dataOnly="0" labelOnly="1" outline="0"/>
    </format>
    <format dxfId="2244">
      <pivotArea dataOnly="0" labelOnly="1" grandRow="1" outline="0" fieldPosition="0"/>
    </format>
    <format dxfId="22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4.xml><?xml version="1.0" encoding="utf-8"?>
<pivotTableDefinition xmlns="http://schemas.openxmlformats.org/spreadsheetml/2006/main" xmlns:mc="http://schemas.openxmlformats.org/markup-compatibility/2006" xmlns:xr="http://schemas.microsoft.com/office/spreadsheetml/2014/revision" mc:Ignorable="xr" xr:uid="{37D3E04E-B6B6-4D2B-9C75-876E0A9CAB13}" name="PivotTable5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K226:L229"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
        <item x="1"/>
        <item x="0"/>
        <item t="default"/>
      </items>
    </pivotField>
    <pivotField showAll="0"/>
    <pivotField showAll="0"/>
    <pivotField axis="axisRow" showAll="0">
      <items count="9">
        <item x="0"/>
        <item x="1"/>
        <item x="5"/>
        <item x="3"/>
        <item x="6"/>
        <item x="7"/>
        <item x="2"/>
        <item x="4"/>
        <item t="default"/>
      </items>
    </pivotField>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7"/>
  </rowFields>
  <rowItems count="3">
    <i>
      <x/>
    </i>
    <i>
      <x v="1"/>
    </i>
    <i t="grand">
      <x/>
    </i>
  </rowItems>
  <colItems count="1">
    <i/>
  </colItems>
  <pageFields count="1">
    <pageField fld="9" hier="-1"/>
  </pageFields>
  <dataFields count="1">
    <dataField name="Sum of Net Dwellings" fld="45" baseField="0" baseItem="0"/>
  </dataFields>
  <formats count="38">
    <format dxfId="2322">
      <pivotArea type="all" dataOnly="0" outline="0" fieldPosition="0"/>
    </format>
    <format dxfId="2321">
      <pivotArea type="all" dataOnly="0" outline="0" fieldPosition="0"/>
    </format>
    <format dxfId="2320">
      <pivotArea type="all" dataOnly="0" outline="0" fieldPosition="0"/>
    </format>
    <format dxfId="2319">
      <pivotArea type="all" dataOnly="0" outline="0" fieldPosition="0"/>
    </format>
    <format dxfId="2318">
      <pivotArea type="all" dataOnly="0" outline="0" fieldPosition="0"/>
    </format>
    <format dxfId="2317">
      <pivotArea type="all" dataOnly="0" outline="0" fieldPosition="0"/>
    </format>
    <format dxfId="2316">
      <pivotArea type="all" dataOnly="0" outline="0" fieldPosition="0"/>
    </format>
    <format dxfId="2315">
      <pivotArea type="all" dataOnly="0" outline="0" fieldPosition="0"/>
    </format>
    <format dxfId="2314">
      <pivotArea type="all" dataOnly="0" outline="0" fieldPosition="0"/>
    </format>
    <format dxfId="2313">
      <pivotArea type="all" dataOnly="0" outline="0" fieldPosition="0"/>
    </format>
    <format dxfId="2312">
      <pivotArea type="all" dataOnly="0" outline="0" fieldPosition="0"/>
    </format>
    <format dxfId="2311">
      <pivotArea outline="0" collapsedLevelsAreSubtotals="1" fieldPosition="0"/>
    </format>
    <format dxfId="2310">
      <pivotArea dataOnly="0" labelOnly="1" grandRow="1" outline="0" fieldPosition="0"/>
    </format>
    <format dxfId="2309">
      <pivotArea dataOnly="0" labelOnly="1" outline="0" axis="axisValues" fieldPosition="0"/>
    </format>
    <format dxfId="2308">
      <pivotArea type="all" dataOnly="0" outline="0" fieldPosition="0"/>
    </format>
    <format dxfId="2307">
      <pivotArea outline="0" collapsedLevelsAreSubtotals="1" fieldPosition="0"/>
    </format>
    <format dxfId="2306">
      <pivotArea dataOnly="0" labelOnly="1" grandRow="1" outline="0" fieldPosition="0"/>
    </format>
    <format dxfId="2305">
      <pivotArea dataOnly="0" labelOnly="1" outline="0" axis="axisValues" fieldPosition="0"/>
    </format>
    <format dxfId="2304">
      <pivotArea type="all" dataOnly="0" outline="0" fieldPosition="0"/>
    </format>
    <format dxfId="2303">
      <pivotArea outline="0" collapsedLevelsAreSubtotals="1" fieldPosition="0"/>
    </format>
    <format dxfId="2302">
      <pivotArea dataOnly="0" labelOnly="1" grandRow="1" outline="0" fieldPosition="0"/>
    </format>
    <format dxfId="2301">
      <pivotArea dataOnly="0" labelOnly="1" outline="0" axis="axisValues" fieldPosition="0"/>
    </format>
    <format dxfId="2300">
      <pivotArea type="all" dataOnly="0" outline="0" fieldPosition="0"/>
    </format>
    <format dxfId="2299">
      <pivotArea outline="0" collapsedLevelsAreSubtotals="1" fieldPosition="0"/>
    </format>
    <format dxfId="2298">
      <pivotArea dataOnly="0" labelOnly="1" grandRow="1" outline="0" fieldPosition="0"/>
    </format>
    <format dxfId="2297">
      <pivotArea dataOnly="0" labelOnly="1" outline="0" axis="axisValues" fieldPosition="0"/>
    </format>
    <format dxfId="2296">
      <pivotArea type="all" dataOnly="0" outline="0" fieldPosition="0"/>
    </format>
    <format dxfId="2295">
      <pivotArea outline="0" collapsedLevelsAreSubtotals="1" fieldPosition="0"/>
    </format>
    <format dxfId="2294">
      <pivotArea type="all" dataOnly="0" outline="0" fieldPosition="0"/>
    </format>
    <format dxfId="2293">
      <pivotArea outline="0" collapsedLevelsAreSubtotals="1" fieldPosition="0"/>
    </format>
    <format dxfId="2292">
      <pivotArea outline="0" collapsedLevelsAreSubtotals="1" fieldPosition="0"/>
    </format>
    <format dxfId="2291">
      <pivotArea type="all" dataOnly="0" outline="0" fieldPosition="0"/>
    </format>
    <format dxfId="2290">
      <pivotArea outline="0" collapsedLevelsAreSubtotals="1" fieldPosition="0"/>
    </format>
    <format dxfId="2289">
      <pivotArea field="74" type="button" dataOnly="0" labelOnly="1" outline="0"/>
    </format>
    <format dxfId="2288">
      <pivotArea dataOnly="0" labelOnly="1" grandRow="1" outline="0" fieldPosition="0"/>
    </format>
    <format dxfId="2287">
      <pivotArea dataOnly="0" labelOnly="1" outline="0" axis="axisValues" fieldPosition="0"/>
    </format>
    <format dxfId="2286">
      <pivotArea type="all" dataOnly="0" outline="0" fieldPosition="0"/>
    </format>
    <format dxfId="228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5.xml><?xml version="1.0" encoding="utf-8"?>
<pivotTableDefinition xmlns="http://schemas.openxmlformats.org/spreadsheetml/2006/main" xmlns:mc="http://schemas.openxmlformats.org/markup-compatibility/2006" xmlns:xr="http://schemas.microsoft.com/office/spreadsheetml/2014/revision" mc:Ignorable="xr" xr:uid="{80F1057E-639F-4E54-B0A9-661D1912F429}" name="PivotTable80"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87:C402" firstHeaderRow="1" firstDataRow="1" firstDataCol="1" rowPageCount="3"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h="1" x="7"/>
      </items>
    </pivotField>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5">
    <i>
      <x/>
    </i>
    <i>
      <x v="1"/>
    </i>
    <i>
      <x v="4"/>
    </i>
    <i>
      <x v="5"/>
    </i>
    <i>
      <x v="6"/>
    </i>
    <i>
      <x v="7"/>
    </i>
    <i>
      <x v="9"/>
    </i>
    <i>
      <x v="11"/>
    </i>
    <i>
      <x v="12"/>
    </i>
    <i>
      <x v="13"/>
    </i>
    <i>
      <x v="14"/>
    </i>
    <i>
      <x v="15"/>
    </i>
    <i>
      <x v="16"/>
    </i>
    <i>
      <x v="17"/>
    </i>
    <i t="grand">
      <x/>
    </i>
  </rowItems>
  <colItems count="1">
    <i/>
  </colItems>
  <pageFields count="3">
    <pageField fld="9" hier="-1"/>
    <pageField fld="2" hier="-1"/>
    <pageField fld="1" hier="-1"/>
  </pageFields>
  <dataFields count="1">
    <dataField name="Sum of Net Dwellings" fld="45" baseField="0" baseItem="0"/>
  </dataFields>
  <formats count="41">
    <format dxfId="2363">
      <pivotArea type="all" dataOnly="0" outline="0" fieldPosition="0"/>
    </format>
    <format dxfId="2362">
      <pivotArea type="all" dataOnly="0" outline="0" fieldPosition="0"/>
    </format>
    <format dxfId="2361">
      <pivotArea type="all" dataOnly="0" outline="0" fieldPosition="0"/>
    </format>
    <format dxfId="2360">
      <pivotArea type="all" dataOnly="0" outline="0" fieldPosition="0"/>
    </format>
    <format dxfId="2359">
      <pivotArea type="all" dataOnly="0" outline="0" fieldPosition="0"/>
    </format>
    <format dxfId="2358">
      <pivotArea type="all" dataOnly="0" outline="0" fieldPosition="0"/>
    </format>
    <format dxfId="2357">
      <pivotArea type="all" dataOnly="0" outline="0" fieldPosition="0"/>
    </format>
    <format dxfId="2356">
      <pivotArea dataOnly="0" labelOnly="1" outline="0" fieldPosition="0">
        <references count="1">
          <reference field="4294967294" count="1">
            <x v="0"/>
          </reference>
        </references>
      </pivotArea>
    </format>
    <format dxfId="2355">
      <pivotArea dataOnly="0" labelOnly="1" outline="0" fieldPosition="0">
        <references count="1">
          <reference field="4294967294" count="1">
            <x v="0"/>
          </reference>
        </references>
      </pivotArea>
    </format>
    <format dxfId="2354">
      <pivotArea dataOnly="0" labelOnly="1" outline="0" fieldPosition="0">
        <references count="1">
          <reference field="4294967294" count="1">
            <x v="0"/>
          </reference>
        </references>
      </pivotArea>
    </format>
    <format dxfId="2353">
      <pivotArea type="all" dataOnly="0" outline="0" fieldPosition="0"/>
    </format>
    <format dxfId="2352">
      <pivotArea type="all" dataOnly="0" outline="0" fieldPosition="0"/>
    </format>
    <format dxfId="2351">
      <pivotArea type="all" dataOnly="0" outline="0" fieldPosition="0"/>
    </format>
    <format dxfId="2350">
      <pivotArea type="all" dataOnly="0" outline="0" fieldPosition="0"/>
    </format>
    <format dxfId="2349">
      <pivotArea outline="0" collapsedLevelsAreSubtotals="1" fieldPosition="0"/>
    </format>
    <format dxfId="2348">
      <pivotArea dataOnly="0" labelOnly="1" grandRow="1" outline="0" fieldPosition="0"/>
    </format>
    <format dxfId="2347">
      <pivotArea dataOnly="0" labelOnly="1" outline="0" axis="axisValues" fieldPosition="0"/>
    </format>
    <format dxfId="2346">
      <pivotArea type="all" dataOnly="0" outline="0" fieldPosition="0"/>
    </format>
    <format dxfId="2345">
      <pivotArea outline="0" collapsedLevelsAreSubtotals="1" fieldPosition="0"/>
    </format>
    <format dxfId="2344">
      <pivotArea dataOnly="0" labelOnly="1" grandRow="1" outline="0" fieldPosition="0"/>
    </format>
    <format dxfId="2343">
      <pivotArea dataOnly="0" labelOnly="1" outline="0" axis="axisValues" fieldPosition="0"/>
    </format>
    <format dxfId="2342">
      <pivotArea type="all" dataOnly="0" outline="0" fieldPosition="0"/>
    </format>
    <format dxfId="2341">
      <pivotArea outline="0" collapsedLevelsAreSubtotals="1" fieldPosition="0"/>
    </format>
    <format dxfId="2340">
      <pivotArea dataOnly="0" labelOnly="1" grandRow="1" outline="0" fieldPosition="0"/>
    </format>
    <format dxfId="2339">
      <pivotArea dataOnly="0" labelOnly="1" outline="0" axis="axisValues" fieldPosition="0"/>
    </format>
    <format dxfId="2338">
      <pivotArea type="all" dataOnly="0" outline="0" fieldPosition="0"/>
    </format>
    <format dxfId="2337">
      <pivotArea outline="0" collapsedLevelsAreSubtotals="1" fieldPosition="0"/>
    </format>
    <format dxfId="2336">
      <pivotArea field="71" type="button" dataOnly="0" labelOnly="1" outline="0" axis="axisRow" fieldPosition="0"/>
    </format>
    <format dxfId="2335">
      <pivotArea dataOnly="0" labelOnly="1" grandRow="1" outline="0" fieldPosition="0"/>
    </format>
    <format dxfId="2334">
      <pivotArea dataOnly="0" labelOnly="1" outline="0" axis="axisValues" fieldPosition="0"/>
    </format>
    <format dxfId="2333">
      <pivotArea type="all" dataOnly="0" outline="0" fieldPosition="0"/>
    </format>
    <format dxfId="2332">
      <pivotArea outline="0" collapsedLevelsAreSubtotals="1" fieldPosition="0"/>
    </format>
    <format dxfId="2331">
      <pivotArea field="71" type="button" dataOnly="0" labelOnly="1" outline="0" axis="axisRow" fieldPosition="0"/>
    </format>
    <format dxfId="2330">
      <pivotArea dataOnly="0" labelOnly="1" grandRow="1" outline="0" fieldPosition="0"/>
    </format>
    <format dxfId="2329">
      <pivotArea dataOnly="0" labelOnly="1" outline="0" axis="axisValues" fieldPosition="0"/>
    </format>
    <format dxfId="2328">
      <pivotArea type="all" dataOnly="0" outline="0" fieldPosition="0"/>
    </format>
    <format dxfId="2327">
      <pivotArea outline="0" collapsedLevelsAreSubtotals="1" fieldPosition="0"/>
    </format>
    <format dxfId="2326">
      <pivotArea field="71" type="button" dataOnly="0" labelOnly="1" outline="0" axis="axisRow" fieldPosition="0"/>
    </format>
    <format dxfId="2325">
      <pivotArea dataOnly="0" labelOnly="1" fieldPosition="0">
        <references count="1">
          <reference field="71" count="12">
            <x v="0"/>
            <x v="1"/>
            <x v="2"/>
            <x v="4"/>
            <x v="7"/>
            <x v="9"/>
            <x v="11"/>
            <x v="12"/>
            <x v="13"/>
            <x v="15"/>
            <x v="16"/>
            <x v="17"/>
          </reference>
        </references>
      </pivotArea>
    </format>
    <format dxfId="2324">
      <pivotArea dataOnly="0" labelOnly="1" grandRow="1" outline="0" fieldPosition="0"/>
    </format>
    <format dxfId="232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6.xml><?xml version="1.0" encoding="utf-8"?>
<pivotTableDefinition xmlns="http://schemas.openxmlformats.org/spreadsheetml/2006/main" xmlns:mc="http://schemas.openxmlformats.org/markup-compatibility/2006" xmlns:xr="http://schemas.microsoft.com/office/spreadsheetml/2014/revision" mc:Ignorable="xr" xr:uid="{D66549E4-D8AD-4580-9CDE-B7BCDC12BE0E}" name="PivotTable5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06:J309" firstHeaderRow="0" firstDataRow="1" firstDataCol="1" rowPageCount="2"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Row" multipleItemSelectionAllowed="1" showAll="0" defaultSubtotal="0">
      <items count="8">
        <item x="0"/>
        <item x="1"/>
        <item x="2"/>
        <item x="6"/>
        <item x="3"/>
        <item x="4"/>
        <item x="5"/>
        <item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0"/>
  </rowFields>
  <rowItems count="3">
    <i>
      <x/>
    </i>
    <i>
      <x v="1"/>
    </i>
    <i t="grand">
      <x/>
    </i>
  </rowItems>
  <colFields count="1">
    <field x="-2"/>
  </colFields>
  <colItems count="8">
    <i>
      <x/>
    </i>
    <i i="1">
      <x v="1"/>
    </i>
    <i i="2">
      <x v="2"/>
    </i>
    <i i="3">
      <x v="3"/>
    </i>
    <i i="4">
      <x v="4"/>
    </i>
    <i i="5">
      <x v="5"/>
    </i>
    <i i="6">
      <x v="6"/>
    </i>
    <i i="7">
      <x v="7"/>
    </i>
  </colItems>
  <pageFields count="2">
    <pageField fld="9" hier="-1"/>
    <pageField fld="1" hier="-1"/>
  </pageFields>
  <dataFields count="8">
    <dataField name="Sum of 1 bed net" fld="37" baseField="0" baseItem="0"/>
    <dataField name="Sum of 2 bed net" fld="38" baseField="0" baseItem="0"/>
    <dataField name="Sum of 3 bed net" fld="39" baseField="0" baseItem="0"/>
    <dataField name="Sum of 4 bed net" fld="40" baseField="0" baseItem="0"/>
    <dataField name="Sum of 5 bed net" fld="41" baseField="0" baseItem="0"/>
    <dataField name="Sum of 6 bed net" fld="42" baseField="0" baseItem="0"/>
    <dataField name="Sum of 7 bed net" fld="43" baseField="0" baseItem="0"/>
    <dataField name="Sum of 8 bed net" fld="44" baseField="0" baseItem="0"/>
  </dataFields>
  <formats count="48">
    <format dxfId="2411">
      <pivotArea type="all" dataOnly="0" outline="0" fieldPosition="0"/>
    </format>
    <format dxfId="2410">
      <pivotArea type="all" dataOnly="0" outline="0" fieldPosition="0"/>
    </format>
    <format dxfId="2409">
      <pivotArea type="all" dataOnly="0" outline="0" fieldPosition="0"/>
    </format>
    <format dxfId="2408">
      <pivotArea type="all" dataOnly="0" outline="0" fieldPosition="0"/>
    </format>
    <format dxfId="2407">
      <pivotArea type="all" dataOnly="0" outline="0" fieldPosition="0"/>
    </format>
    <format dxfId="2406">
      <pivotArea type="all" dataOnly="0" outline="0" fieldPosition="0"/>
    </format>
    <format dxfId="2405">
      <pivotArea type="all" dataOnly="0" outline="0" fieldPosition="0"/>
    </format>
    <format dxfId="2404">
      <pivotArea type="all" dataOnly="0" outline="0" fieldPosition="0"/>
    </format>
    <format dxfId="2403">
      <pivotArea type="all" dataOnly="0" outline="0" fieldPosition="0"/>
    </format>
    <format dxfId="2402">
      <pivotArea type="all" dataOnly="0" outline="0" fieldPosition="0"/>
    </format>
    <format dxfId="2401">
      <pivotArea type="all" dataOnly="0" outline="0" fieldPosition="0"/>
    </format>
    <format dxfId="2400">
      <pivotArea outline="0" collapsedLevelsAreSubtotals="1" fieldPosition="0"/>
    </format>
    <format dxfId="2399">
      <pivotArea field="10" type="button" dataOnly="0" labelOnly="1" outline="0" axis="axisRow" fieldPosition="0"/>
    </format>
    <format dxfId="2398">
      <pivotArea dataOnly="0" labelOnly="1" fieldPosition="0">
        <references count="1">
          <reference field="10" count="1">
            <x v="0"/>
          </reference>
        </references>
      </pivotArea>
    </format>
    <format dxfId="2397">
      <pivotArea dataOnly="0" labelOnly="1" grandRow="1" outline="0" fieldPosition="0"/>
    </format>
    <format dxfId="2396">
      <pivotArea dataOnly="0" labelOnly="1" outline="0" fieldPosition="0">
        <references count="1">
          <reference field="4294967294" count="7">
            <x v="0"/>
            <x v="1"/>
            <x v="2"/>
            <x v="3"/>
            <x v="4"/>
            <x v="5"/>
            <x v="6"/>
          </reference>
        </references>
      </pivotArea>
    </format>
    <format dxfId="2395">
      <pivotArea type="all" dataOnly="0" outline="0" fieldPosition="0"/>
    </format>
    <format dxfId="2394">
      <pivotArea outline="0" collapsedLevelsAreSubtotals="1" fieldPosition="0"/>
    </format>
    <format dxfId="2393">
      <pivotArea field="10" type="button" dataOnly="0" labelOnly="1" outline="0" axis="axisRow" fieldPosition="0"/>
    </format>
    <format dxfId="2392">
      <pivotArea dataOnly="0" labelOnly="1" grandRow="1" outline="0" fieldPosition="0"/>
    </format>
    <format dxfId="2391">
      <pivotArea dataOnly="0" labelOnly="1" outline="0" fieldPosition="0">
        <references count="1">
          <reference field="4294967294" count="7">
            <x v="0"/>
            <x v="1"/>
            <x v="2"/>
            <x v="3"/>
            <x v="4"/>
            <x v="5"/>
            <x v="6"/>
          </reference>
        </references>
      </pivotArea>
    </format>
    <format dxfId="2390">
      <pivotArea type="all" dataOnly="0" outline="0" fieldPosition="0"/>
    </format>
    <format dxfId="2389">
      <pivotArea outline="0" collapsedLevelsAreSubtotals="1" fieldPosition="0"/>
    </format>
    <format dxfId="2388">
      <pivotArea field="10" type="button" dataOnly="0" labelOnly="1" outline="0" axis="axisRow" fieldPosition="0"/>
    </format>
    <format dxfId="2387">
      <pivotArea dataOnly="0" labelOnly="1" grandRow="1" outline="0" fieldPosition="0"/>
    </format>
    <format dxfId="2386">
      <pivotArea dataOnly="0" labelOnly="1" outline="0" fieldPosition="0">
        <references count="1">
          <reference field="4294967294" count="7">
            <x v="0"/>
            <x v="1"/>
            <x v="2"/>
            <x v="3"/>
            <x v="4"/>
            <x v="5"/>
            <x v="6"/>
          </reference>
        </references>
      </pivotArea>
    </format>
    <format dxfId="2385">
      <pivotArea type="all" dataOnly="0" outline="0" fieldPosition="0"/>
    </format>
    <format dxfId="2384">
      <pivotArea outline="0" collapsedLevelsAreSubtotals="1" fieldPosition="0"/>
    </format>
    <format dxfId="2383">
      <pivotArea field="10" type="button" dataOnly="0" labelOnly="1" outline="0" axis="axisRow" fieldPosition="0"/>
    </format>
    <format dxfId="2382">
      <pivotArea dataOnly="0" labelOnly="1" fieldPosition="0">
        <references count="1">
          <reference field="10" count="2">
            <x v="0"/>
            <x v="5"/>
          </reference>
        </references>
      </pivotArea>
    </format>
    <format dxfId="2381">
      <pivotArea dataOnly="0" labelOnly="1" grandRow="1" outline="0" fieldPosition="0"/>
    </format>
    <format dxfId="2380">
      <pivotArea dataOnly="0" labelOnly="1" outline="0" fieldPosition="0">
        <references count="1">
          <reference field="4294967294" count="8">
            <x v="0"/>
            <x v="1"/>
            <x v="2"/>
            <x v="3"/>
            <x v="4"/>
            <x v="5"/>
            <x v="6"/>
            <x v="7"/>
          </reference>
        </references>
      </pivotArea>
    </format>
    <format dxfId="2379">
      <pivotArea type="all" dataOnly="0" outline="0" fieldPosition="0"/>
    </format>
    <format dxfId="2378">
      <pivotArea dataOnly="0" labelOnly="1" fieldPosition="0">
        <references count="1">
          <reference field="10" count="2">
            <x v="0"/>
            <x v="5"/>
          </reference>
        </references>
      </pivotArea>
    </format>
    <format dxfId="2377">
      <pivotArea type="all" dataOnly="0" outline="0" fieldPosition="0"/>
    </format>
    <format dxfId="2376">
      <pivotArea dataOnly="0" labelOnly="1" fieldPosition="0">
        <references count="1">
          <reference field="10" count="2">
            <x v="0"/>
            <x v="5"/>
          </reference>
        </references>
      </pivotArea>
    </format>
    <format dxfId="2375">
      <pivotArea collapsedLevelsAreSubtotals="1" fieldPosition="0">
        <references count="1">
          <reference field="10" count="2">
            <x v="0"/>
            <x v="4"/>
          </reference>
        </references>
      </pivotArea>
    </format>
    <format dxfId="2374">
      <pivotArea type="all" dataOnly="0" outline="0" fieldPosition="0"/>
    </format>
    <format dxfId="2373">
      <pivotArea outline="0" collapsedLevelsAreSubtotals="1" fieldPosition="0"/>
    </format>
    <format dxfId="2372">
      <pivotArea field="10" type="button" dataOnly="0" labelOnly="1" outline="0" axis="axisRow" fieldPosition="0"/>
    </format>
    <format dxfId="2371">
      <pivotArea dataOnly="0" labelOnly="1" fieldPosition="0">
        <references count="1">
          <reference field="10" count="2">
            <x v="0"/>
            <x v="4"/>
          </reference>
        </references>
      </pivotArea>
    </format>
    <format dxfId="2370">
      <pivotArea dataOnly="0" labelOnly="1" grandRow="1" outline="0" fieldPosition="0"/>
    </format>
    <format dxfId="2369">
      <pivotArea type="all" dataOnly="0" outline="0" fieldPosition="0"/>
    </format>
    <format dxfId="2368">
      <pivotArea outline="0" collapsedLevelsAreSubtotals="1" fieldPosition="0"/>
    </format>
    <format dxfId="2367">
      <pivotArea field="10" type="button" dataOnly="0" labelOnly="1" outline="0" axis="axisRow" fieldPosition="0"/>
    </format>
    <format dxfId="2366">
      <pivotArea dataOnly="0" labelOnly="1" fieldPosition="0">
        <references count="1">
          <reference field="10" count="2">
            <x v="0"/>
            <x v="4"/>
          </reference>
        </references>
      </pivotArea>
    </format>
    <format dxfId="2365">
      <pivotArea dataOnly="0" labelOnly="1" grandRow="1" outline="0" fieldPosition="0"/>
    </format>
    <format dxfId="2364">
      <pivotArea dataOnly="0" labelOnly="1" outline="0" fieldPosition="0">
        <references count="1">
          <reference field="4294967294" count="8">
            <x v="0"/>
            <x v="1"/>
            <x v="2"/>
            <x v="3"/>
            <x v="4"/>
            <x v="5"/>
            <x v="6"/>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7.xml><?xml version="1.0" encoding="utf-8"?>
<pivotTableDefinition xmlns="http://schemas.openxmlformats.org/spreadsheetml/2006/main" xmlns:mc="http://schemas.openxmlformats.org/markup-compatibility/2006" xmlns:xr="http://schemas.microsoft.com/office/spreadsheetml/2014/revision" mc:Ignorable="xr" xr:uid="{5F560346-D6F1-40C0-8306-1D3F3904E5F6}" name="PivotTable7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320:I328" firstHeaderRow="0" firstDataRow="1" firstDataCol="1" rowPageCount="2"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4"/>
        <item h="1" x="6"/>
        <item h="1" x="5"/>
      </items>
    </pivotField>
    <pivotField axis="axisRow" multipleItemSelectionAllowed="1" showAll="0" defaultSubtotal="0">
      <items count="8">
        <item x="0"/>
        <item x="1"/>
        <item x="2"/>
        <item x="6"/>
        <item x="4"/>
        <item x="3"/>
        <item x="5"/>
        <item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0"/>
  </rowFields>
  <rowItems count="8">
    <i>
      <x/>
    </i>
    <i>
      <x v="1"/>
    </i>
    <i>
      <x v="2"/>
    </i>
    <i>
      <x v="3"/>
    </i>
    <i>
      <x v="4"/>
    </i>
    <i>
      <x v="5"/>
    </i>
    <i>
      <x v="6"/>
    </i>
    <i t="grand">
      <x/>
    </i>
  </rowItems>
  <colFields count="1">
    <field x="-2"/>
  </colFields>
  <colItems count="7">
    <i>
      <x/>
    </i>
    <i i="1">
      <x v="1"/>
    </i>
    <i i="2">
      <x v="2"/>
    </i>
    <i i="3">
      <x v="3"/>
    </i>
    <i i="4">
      <x v="4"/>
    </i>
    <i i="5">
      <x v="5"/>
    </i>
    <i i="6">
      <x v="6"/>
    </i>
  </colItems>
  <pageFields count="2">
    <pageField fld="9" hier="-1"/>
    <pageField fld="1" hier="-1"/>
  </pageFields>
  <dataFields count="7">
    <dataField name="Sum of 1 bed net" fld="37" baseField="0" baseItem="0"/>
    <dataField name="Sum of 2 bed net" fld="38" baseField="0" baseItem="0"/>
    <dataField name="Sum of 3 bed net" fld="39" baseField="0" baseItem="0"/>
    <dataField name="Sum of 4 bed net" fld="40" baseField="0" baseItem="0"/>
    <dataField name="Sum of 5 bed net" fld="41" baseField="0" baseItem="0"/>
    <dataField name="Sum of 6 bed net" fld="42" baseField="0" baseItem="0"/>
    <dataField name="Sum of 7 bed net" fld="43" baseField="0" baseItem="0"/>
  </dataFields>
  <formats count="48">
    <format dxfId="2459">
      <pivotArea type="all" dataOnly="0" outline="0" fieldPosition="0"/>
    </format>
    <format dxfId="2458">
      <pivotArea type="all" dataOnly="0" outline="0" fieldPosition="0"/>
    </format>
    <format dxfId="2457">
      <pivotArea type="all" dataOnly="0" outline="0" fieldPosition="0"/>
    </format>
    <format dxfId="2456">
      <pivotArea type="all" dataOnly="0" outline="0" fieldPosition="0"/>
    </format>
    <format dxfId="2455">
      <pivotArea type="all" dataOnly="0" outline="0" fieldPosition="0"/>
    </format>
    <format dxfId="2454">
      <pivotArea type="all" dataOnly="0" outline="0" fieldPosition="0"/>
    </format>
    <format dxfId="2453">
      <pivotArea type="all" dataOnly="0" outline="0" fieldPosition="0"/>
    </format>
    <format dxfId="2452">
      <pivotArea type="all" dataOnly="0" outline="0" fieldPosition="0"/>
    </format>
    <format dxfId="2451">
      <pivotArea type="all" dataOnly="0" outline="0" fieldPosition="0"/>
    </format>
    <format dxfId="2450">
      <pivotArea type="all" dataOnly="0" outline="0" fieldPosition="0"/>
    </format>
    <format dxfId="2449">
      <pivotArea type="all" dataOnly="0" outline="0" fieldPosition="0"/>
    </format>
    <format dxfId="2448">
      <pivotArea outline="0" collapsedLevelsAreSubtotals="1" fieldPosition="0"/>
    </format>
    <format dxfId="2447">
      <pivotArea field="10" type="button" dataOnly="0" labelOnly="1" outline="0" axis="axisRow" fieldPosition="0"/>
    </format>
    <format dxfId="2446">
      <pivotArea dataOnly="0" labelOnly="1" fieldPosition="0">
        <references count="1">
          <reference field="10" count="1">
            <x v="0"/>
          </reference>
        </references>
      </pivotArea>
    </format>
    <format dxfId="2445">
      <pivotArea dataOnly="0" labelOnly="1" grandRow="1" outline="0" fieldPosition="0"/>
    </format>
    <format dxfId="2444">
      <pivotArea dataOnly="0" labelOnly="1" outline="0" fieldPosition="0">
        <references count="1">
          <reference field="4294967294" count="7">
            <x v="0"/>
            <x v="1"/>
            <x v="2"/>
            <x v="3"/>
            <x v="4"/>
            <x v="5"/>
            <x v="6"/>
          </reference>
        </references>
      </pivotArea>
    </format>
    <format dxfId="2443">
      <pivotArea type="all" dataOnly="0" outline="0" fieldPosition="0"/>
    </format>
    <format dxfId="2442">
      <pivotArea outline="0" collapsedLevelsAreSubtotals="1" fieldPosition="0"/>
    </format>
    <format dxfId="2441">
      <pivotArea field="10" type="button" dataOnly="0" labelOnly="1" outline="0" axis="axisRow" fieldPosition="0"/>
    </format>
    <format dxfId="2440">
      <pivotArea dataOnly="0" labelOnly="1" fieldPosition="0">
        <references count="1">
          <reference field="10" count="1">
            <x v="0"/>
          </reference>
        </references>
      </pivotArea>
    </format>
    <format dxfId="2439">
      <pivotArea dataOnly="0" labelOnly="1" grandRow="1" outline="0" fieldPosition="0"/>
    </format>
    <format dxfId="2438">
      <pivotArea dataOnly="0" labelOnly="1" outline="0" fieldPosition="0">
        <references count="1">
          <reference field="4294967294" count="7">
            <x v="0"/>
            <x v="1"/>
            <x v="2"/>
            <x v="3"/>
            <x v="4"/>
            <x v="5"/>
            <x v="6"/>
          </reference>
        </references>
      </pivotArea>
    </format>
    <format dxfId="2437">
      <pivotArea type="all" dataOnly="0" outline="0" fieldPosition="0"/>
    </format>
    <format dxfId="2436">
      <pivotArea outline="0" collapsedLevelsAreSubtotals="1" fieldPosition="0"/>
    </format>
    <format dxfId="2435">
      <pivotArea field="10" type="button" dataOnly="0" labelOnly="1" outline="0" axis="axisRow" fieldPosition="0"/>
    </format>
    <format dxfId="2434">
      <pivotArea dataOnly="0" labelOnly="1" fieldPosition="0">
        <references count="1">
          <reference field="10" count="1">
            <x v="0"/>
          </reference>
        </references>
      </pivotArea>
    </format>
    <format dxfId="2433">
      <pivotArea dataOnly="0" labelOnly="1" grandRow="1" outline="0" fieldPosition="0"/>
    </format>
    <format dxfId="2432">
      <pivotArea dataOnly="0" labelOnly="1" outline="0" fieldPosition="0">
        <references count="1">
          <reference field="4294967294" count="7">
            <x v="0"/>
            <x v="1"/>
            <x v="2"/>
            <x v="3"/>
            <x v="4"/>
            <x v="5"/>
            <x v="6"/>
          </reference>
        </references>
      </pivotArea>
    </format>
    <format dxfId="2431">
      <pivotArea type="all" dataOnly="0" outline="0" fieldPosition="0"/>
    </format>
    <format dxfId="2430">
      <pivotArea outline="0" collapsedLevelsAreSubtotals="1" fieldPosition="0"/>
    </format>
    <format dxfId="2429">
      <pivotArea field="10" type="button" dataOnly="0" labelOnly="1" outline="0" axis="axisRow" fieldPosition="0"/>
    </format>
    <format dxfId="2428">
      <pivotArea dataOnly="0" labelOnly="1" fieldPosition="0">
        <references count="1">
          <reference field="10" count="6">
            <x v="0"/>
            <x v="1"/>
            <x v="2"/>
            <x v="3"/>
            <x v="4"/>
            <x v="5"/>
          </reference>
        </references>
      </pivotArea>
    </format>
    <format dxfId="2427">
      <pivotArea dataOnly="0" labelOnly="1" grandRow="1" outline="0" fieldPosition="0"/>
    </format>
    <format dxfId="2426">
      <pivotArea dataOnly="0" labelOnly="1" outline="0" fieldPosition="0">
        <references count="1">
          <reference field="4294967294" count="7">
            <x v="0"/>
            <x v="1"/>
            <x v="2"/>
            <x v="3"/>
            <x v="4"/>
            <x v="5"/>
            <x v="6"/>
          </reference>
        </references>
      </pivotArea>
    </format>
    <format dxfId="2425">
      <pivotArea type="all" dataOnly="0" outline="0" fieldPosition="0"/>
    </format>
    <format dxfId="2424">
      <pivotArea type="all" dataOnly="0" outline="0" fieldPosition="0"/>
    </format>
    <format dxfId="2423">
      <pivotArea collapsedLevelsAreSubtotals="1" fieldPosition="0">
        <references count="1">
          <reference field="10" count="7">
            <x v="0"/>
            <x v="1"/>
            <x v="2"/>
            <x v="3"/>
            <x v="4"/>
            <x v="5"/>
            <x v="6"/>
          </reference>
        </references>
      </pivotArea>
    </format>
    <format dxfId="2422">
      <pivotArea type="all" dataOnly="0" outline="0" fieldPosition="0"/>
    </format>
    <format dxfId="2421">
      <pivotArea outline="0" collapsedLevelsAreSubtotals="1" fieldPosition="0"/>
    </format>
    <format dxfId="2420">
      <pivotArea field="10" type="button" dataOnly="0" labelOnly="1" outline="0" axis="axisRow" fieldPosition="0"/>
    </format>
    <format dxfId="2419">
      <pivotArea dataOnly="0" labelOnly="1" fieldPosition="0">
        <references count="1">
          <reference field="10" count="7">
            <x v="0"/>
            <x v="1"/>
            <x v="2"/>
            <x v="3"/>
            <x v="4"/>
            <x v="5"/>
            <x v="6"/>
          </reference>
        </references>
      </pivotArea>
    </format>
    <format dxfId="2418">
      <pivotArea dataOnly="0" labelOnly="1" grandRow="1" outline="0" fieldPosition="0"/>
    </format>
    <format dxfId="2417">
      <pivotArea type="all" dataOnly="0" outline="0" fieldPosition="0"/>
    </format>
    <format dxfId="2416">
      <pivotArea outline="0" collapsedLevelsAreSubtotals="1" fieldPosition="0"/>
    </format>
    <format dxfId="2415">
      <pivotArea field="10" type="button" dataOnly="0" labelOnly="1" outline="0" axis="axisRow" fieldPosition="0"/>
    </format>
    <format dxfId="2414">
      <pivotArea dataOnly="0" labelOnly="1" fieldPosition="0">
        <references count="1">
          <reference field="10" count="7">
            <x v="0"/>
            <x v="1"/>
            <x v="2"/>
            <x v="3"/>
            <x v="4"/>
            <x v="5"/>
            <x v="6"/>
          </reference>
        </references>
      </pivotArea>
    </format>
    <format dxfId="2413">
      <pivotArea dataOnly="0" labelOnly="1" grandRow="1" outline="0" fieldPosition="0"/>
    </format>
    <format dxfId="2412">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8.xml><?xml version="1.0" encoding="utf-8"?>
<pivotTableDefinition xmlns="http://schemas.openxmlformats.org/spreadsheetml/2006/main" xmlns:mc="http://schemas.openxmlformats.org/markup-compatibility/2006" xmlns:xr="http://schemas.microsoft.com/office/spreadsheetml/2014/revision" mc:Ignorable="xr" xr:uid="{CC9FF3D8-CBD5-4C0C-9DB9-327316DC1D84}" name="PivotTable6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54:B155" firstHeaderRow="1" firstDataRow="1" firstDataCol="0" rowPageCount="3"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x="0"/>
        <item h="1" x="1"/>
        <item h="1"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0" hier="-1"/>
  </pageFields>
  <dataFields count="1">
    <dataField name="Sum of Net Dwellings" fld="45" baseField="0" baseItem="0"/>
  </dataFields>
  <formats count="40">
    <format dxfId="2499">
      <pivotArea type="all" dataOnly="0" outline="0" fieldPosition="0"/>
    </format>
    <format dxfId="2498">
      <pivotArea type="all" dataOnly="0" outline="0" fieldPosition="0"/>
    </format>
    <format dxfId="2497">
      <pivotArea type="all" dataOnly="0" outline="0" fieldPosition="0"/>
    </format>
    <format dxfId="2496">
      <pivotArea type="all" dataOnly="0" outline="0" fieldPosition="0"/>
    </format>
    <format dxfId="2495">
      <pivotArea type="all" dataOnly="0" outline="0" fieldPosition="0"/>
    </format>
    <format dxfId="2494">
      <pivotArea type="all" dataOnly="0" outline="0" fieldPosition="0"/>
    </format>
    <format dxfId="2493">
      <pivotArea type="all" dataOnly="0" outline="0" fieldPosition="0"/>
    </format>
    <format dxfId="2492">
      <pivotArea type="all" dataOnly="0" outline="0" fieldPosition="0"/>
    </format>
    <format dxfId="2491">
      <pivotArea type="all" dataOnly="0" outline="0" fieldPosition="0"/>
    </format>
    <format dxfId="2490">
      <pivotArea type="all" dataOnly="0" outline="0" fieldPosition="0"/>
    </format>
    <format dxfId="2489">
      <pivotArea type="all" dataOnly="0" outline="0" fieldPosition="0"/>
    </format>
    <format dxfId="2488">
      <pivotArea outline="0" collapsedLevelsAreSubtotals="1" fieldPosition="0"/>
    </format>
    <format dxfId="2487">
      <pivotArea dataOnly="0" labelOnly="1" outline="0" axis="axisValues" fieldPosition="0"/>
    </format>
    <format dxfId="2486">
      <pivotArea type="all" dataOnly="0" outline="0" fieldPosition="0"/>
    </format>
    <format dxfId="2485">
      <pivotArea outline="0" collapsedLevelsAreSubtotals="1" fieldPosition="0"/>
    </format>
    <format dxfId="2484">
      <pivotArea dataOnly="0" labelOnly="1" outline="0" axis="axisValues" fieldPosition="0"/>
    </format>
    <format dxfId="2483">
      <pivotArea type="all" dataOnly="0" outline="0" fieldPosition="0"/>
    </format>
    <format dxfId="2482">
      <pivotArea outline="0" collapsedLevelsAreSubtotals="1" fieldPosition="0"/>
    </format>
    <format dxfId="2481">
      <pivotArea dataOnly="0" labelOnly="1" outline="0" axis="axisValues" fieldPosition="0"/>
    </format>
    <format dxfId="2480">
      <pivotArea type="all" dataOnly="0" outline="0" fieldPosition="0"/>
    </format>
    <format dxfId="2479">
      <pivotArea outline="0" collapsedLevelsAreSubtotals="1" fieldPosition="0"/>
    </format>
    <format dxfId="2478">
      <pivotArea dataOnly="0" labelOnly="1" outline="0" axis="axisValues" fieldPosition="0"/>
    </format>
    <format dxfId="2477">
      <pivotArea type="all" dataOnly="0" outline="0" fieldPosition="0"/>
    </format>
    <format dxfId="2476">
      <pivotArea outline="0" collapsedLevelsAreSubtotals="1" fieldPosition="0"/>
    </format>
    <format dxfId="2475">
      <pivotArea dataOnly="0" labelOnly="1" outline="0" axis="axisValues" fieldPosition="0"/>
    </format>
    <format dxfId="2474">
      <pivotArea type="all" dataOnly="0" outline="0" fieldPosition="0"/>
    </format>
    <format dxfId="2473">
      <pivotArea outline="0" collapsedLevelsAreSubtotals="1" fieldPosition="0"/>
    </format>
    <format dxfId="2472">
      <pivotArea dataOnly="0" labelOnly="1" outline="0" axis="axisValues" fieldPosition="0"/>
    </format>
    <format dxfId="2471">
      <pivotArea type="all" dataOnly="0" outline="0" fieldPosition="0"/>
    </format>
    <format dxfId="2470">
      <pivotArea outline="0" collapsedLevelsAreSubtotals="1" fieldPosition="0"/>
    </format>
    <format dxfId="2469">
      <pivotArea dataOnly="0" labelOnly="1" outline="0" axis="axisValues" fieldPosition="0"/>
    </format>
    <format dxfId="2468">
      <pivotArea type="all" dataOnly="0" outline="0" fieldPosition="0"/>
    </format>
    <format dxfId="2467">
      <pivotArea outline="0" collapsedLevelsAreSubtotals="1" fieldPosition="0"/>
    </format>
    <format dxfId="2466">
      <pivotArea type="all" dataOnly="0" outline="0" fieldPosition="0"/>
    </format>
    <format dxfId="2465">
      <pivotArea outline="0" collapsedLevelsAreSubtotals="1" fieldPosition="0"/>
    </format>
    <format dxfId="2464">
      <pivotArea outline="0" collapsedLevelsAreSubtotals="1" fieldPosition="0"/>
    </format>
    <format dxfId="2463">
      <pivotArea type="all" dataOnly="0" outline="0" fieldPosition="0"/>
    </format>
    <format dxfId="2462">
      <pivotArea type="all" dataOnly="0" outline="0" fieldPosition="0"/>
    </format>
    <format dxfId="2461">
      <pivotArea outline="0" collapsedLevelsAreSubtotals="1" fieldPosition="0"/>
    </format>
    <format dxfId="246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9.xml><?xml version="1.0" encoding="utf-8"?>
<pivotTableDefinition xmlns="http://schemas.openxmlformats.org/spreadsheetml/2006/main" xmlns:mc="http://schemas.openxmlformats.org/markup-compatibility/2006" xmlns:xr="http://schemas.microsoft.com/office/spreadsheetml/2014/revision" mc:Ignorable="xr" xr:uid="{63F2C403-3E16-4003-967C-053C920B6B28}" name="PivotTable10"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61:B62" firstHeaderRow="1" firstDataRow="1" firstDataCol="0" rowPageCount="2"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 hier="-1"/>
  </pageFields>
  <dataFields count="1">
    <dataField name="Sum of Net Dwellings" fld="45" baseField="0" baseItem="0"/>
  </dataFields>
  <formats count="40">
    <format dxfId="2539">
      <pivotArea type="all" dataOnly="0" outline="0" fieldPosition="0"/>
    </format>
    <format dxfId="2538">
      <pivotArea type="all" dataOnly="0" outline="0" fieldPosition="0"/>
    </format>
    <format dxfId="2537">
      <pivotArea type="all" dataOnly="0" outline="0" fieldPosition="0"/>
    </format>
    <format dxfId="2536">
      <pivotArea type="all" dataOnly="0" outline="0" fieldPosition="0"/>
    </format>
    <format dxfId="2535">
      <pivotArea type="all" dataOnly="0" outline="0" fieldPosition="0"/>
    </format>
    <format dxfId="2534">
      <pivotArea type="all" dataOnly="0" outline="0" fieldPosition="0"/>
    </format>
    <format dxfId="2533">
      <pivotArea type="all" dataOnly="0" outline="0" fieldPosition="0"/>
    </format>
    <format dxfId="2532">
      <pivotArea type="all" dataOnly="0" outline="0" fieldPosition="0"/>
    </format>
    <format dxfId="2531">
      <pivotArea type="all" dataOnly="0" outline="0" fieldPosition="0"/>
    </format>
    <format dxfId="2530">
      <pivotArea type="all" dataOnly="0" outline="0" fieldPosition="0"/>
    </format>
    <format dxfId="2529">
      <pivotArea type="all" dataOnly="0" outline="0" fieldPosition="0"/>
    </format>
    <format dxfId="2528">
      <pivotArea outline="0" collapsedLevelsAreSubtotals="1" fieldPosition="0"/>
    </format>
    <format dxfId="2527">
      <pivotArea dataOnly="0" labelOnly="1" outline="0" axis="axisValues" fieldPosition="0"/>
    </format>
    <format dxfId="2526">
      <pivotArea type="all" dataOnly="0" outline="0" fieldPosition="0"/>
    </format>
    <format dxfId="2525">
      <pivotArea outline="0" collapsedLevelsAreSubtotals="1" fieldPosition="0"/>
    </format>
    <format dxfId="2524">
      <pivotArea dataOnly="0" labelOnly="1" outline="0" axis="axisValues" fieldPosition="0"/>
    </format>
    <format dxfId="2523">
      <pivotArea type="all" dataOnly="0" outline="0" fieldPosition="0"/>
    </format>
    <format dxfId="2522">
      <pivotArea outline="0" collapsedLevelsAreSubtotals="1" fieldPosition="0"/>
    </format>
    <format dxfId="2521">
      <pivotArea dataOnly="0" labelOnly="1" outline="0" axis="axisValues" fieldPosition="0"/>
    </format>
    <format dxfId="2520">
      <pivotArea type="all" dataOnly="0" outline="0" fieldPosition="0"/>
    </format>
    <format dxfId="2519">
      <pivotArea outline="0" collapsedLevelsAreSubtotals="1" fieldPosition="0"/>
    </format>
    <format dxfId="2518">
      <pivotArea dataOnly="0" labelOnly="1" outline="0" axis="axisValues" fieldPosition="0"/>
    </format>
    <format dxfId="2517">
      <pivotArea type="all" dataOnly="0" outline="0" fieldPosition="0"/>
    </format>
    <format dxfId="2516">
      <pivotArea outline="0" collapsedLevelsAreSubtotals="1" fieldPosition="0"/>
    </format>
    <format dxfId="2515">
      <pivotArea dataOnly="0" labelOnly="1" outline="0" axis="axisValues" fieldPosition="0"/>
    </format>
    <format dxfId="2514">
      <pivotArea type="all" dataOnly="0" outline="0" fieldPosition="0"/>
    </format>
    <format dxfId="2513">
      <pivotArea outline="0" collapsedLevelsAreSubtotals="1" fieldPosition="0"/>
    </format>
    <format dxfId="2512">
      <pivotArea dataOnly="0" labelOnly="1" outline="0" axis="axisValues" fieldPosition="0"/>
    </format>
    <format dxfId="2511">
      <pivotArea type="all" dataOnly="0" outline="0" fieldPosition="0"/>
    </format>
    <format dxfId="2510">
      <pivotArea outline="0" collapsedLevelsAreSubtotals="1" fieldPosition="0"/>
    </format>
    <format dxfId="2509">
      <pivotArea dataOnly="0" labelOnly="1" outline="0" axis="axisValues" fieldPosition="0"/>
    </format>
    <format dxfId="2508">
      <pivotArea type="all" dataOnly="0" outline="0" fieldPosition="0"/>
    </format>
    <format dxfId="2507">
      <pivotArea outline="0" collapsedLevelsAreSubtotals="1" fieldPosition="0"/>
    </format>
    <format dxfId="2506">
      <pivotArea type="all" dataOnly="0" outline="0" fieldPosition="0"/>
    </format>
    <format dxfId="2505">
      <pivotArea outline="0" collapsedLevelsAreSubtotals="1" fieldPosition="0"/>
    </format>
    <format dxfId="2504">
      <pivotArea outline="0" collapsedLevelsAreSubtotals="1" fieldPosition="0"/>
    </format>
    <format dxfId="2503">
      <pivotArea type="all" dataOnly="0" outline="0" fieldPosition="0"/>
    </format>
    <format dxfId="2502">
      <pivotArea type="all" dataOnly="0" outline="0" fieldPosition="0"/>
    </format>
    <format dxfId="2501">
      <pivotArea outline="0" collapsedLevelsAreSubtotals="1" fieldPosition="0"/>
    </format>
    <format dxfId="250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7203D04-7E8F-46FA-ABDA-76DDEC86C10C}" name="PivotTable9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rowHeaderCaption="SELECT SITES">
  <location ref="E72:F75" firstHeaderRow="1" firstDataRow="1" firstDataCol="1" rowPageCount="1" colPageCount="1"/>
  <pivotFields count="85">
    <pivotField showAll="0"/>
    <pivotField multipleItemSelectionAllowed="1" showAll="0" defaultSubtotal="0"/>
    <pivotField multipleItemSelectionAllowed="1" showAll="0"/>
    <pivotField numFmtId="14"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h="1" x="2"/>
        <item h="1" x="6"/>
        <item x="3"/>
        <item h="1" x="4"/>
        <item h="1" x="5"/>
        <item t="default"/>
      </items>
    </pivotField>
    <pivotField showAll="0"/>
    <pivotField axis="axisRow" showAll="0" sortType="ascending">
      <items count="13">
        <item x="4"/>
        <item x="10"/>
        <item x="1"/>
        <item x="2"/>
        <item x="11"/>
        <item x="6"/>
        <item x="5"/>
        <item x="7"/>
        <item x="3"/>
        <item x="8"/>
        <item x="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11"/>
  </rowFields>
  <rowItems count="3">
    <i>
      <x v="3"/>
    </i>
    <i>
      <x v="8"/>
    </i>
    <i t="grand">
      <x/>
    </i>
  </rowItems>
  <colItems count="1">
    <i/>
  </colItems>
  <pageFields count="1">
    <pageField fld="9" hier="-1"/>
  </pageFields>
  <dataFields count="1">
    <dataField name="Sum of 2025–2035 Total" fld="65" baseField="0" baseItem="0"/>
  </dataFields>
  <formats count="80">
    <format dxfId="333">
      <pivotArea type="all" dataOnly="0" outline="0" fieldPosition="0"/>
    </format>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type="all" dataOnly="0" outline="0" fieldPosition="0"/>
    </format>
    <format dxfId="327">
      <pivotArea type="all" dataOnly="0" outline="0" fieldPosition="0"/>
    </format>
    <format dxfId="326">
      <pivotArea type="all" dataOnly="0" outline="0" fieldPosition="0"/>
    </format>
    <format dxfId="325">
      <pivotArea type="all" dataOnly="0" outline="0" fieldPosition="0"/>
    </format>
    <format dxfId="324">
      <pivotArea type="all" dataOnly="0" outline="0" fieldPosition="0"/>
    </format>
    <format dxfId="323">
      <pivotArea type="all" dataOnly="0" outline="0" fieldPosition="0"/>
    </format>
    <format dxfId="322">
      <pivotArea outline="0" collapsedLevelsAreSubtotals="1" fieldPosition="0"/>
    </format>
    <format dxfId="321">
      <pivotArea dataOnly="0" labelOnly="1" outline="0" axis="axisValues" fieldPosition="0"/>
    </format>
    <format dxfId="320">
      <pivotArea type="all" dataOnly="0" outline="0" fieldPosition="0"/>
    </format>
    <format dxfId="319">
      <pivotArea outline="0" collapsedLevelsAreSubtotals="1" fieldPosition="0"/>
    </format>
    <format dxfId="318">
      <pivotArea dataOnly="0" labelOnly="1" grandRow="1" outline="0" fieldPosition="0"/>
    </format>
    <format dxfId="317">
      <pivotArea dataOnly="0" labelOnly="1" outline="0" axis="axisValues" fieldPosition="0"/>
    </format>
    <format dxfId="316">
      <pivotArea type="all" dataOnly="0" outline="0" fieldPosition="0"/>
    </format>
    <format dxfId="315">
      <pivotArea outline="0" collapsedLevelsAreSubtotals="1" fieldPosition="0"/>
    </format>
    <format dxfId="314">
      <pivotArea dataOnly="0" labelOnly="1" grandRow="1" outline="0" fieldPosition="0"/>
    </format>
    <format dxfId="313">
      <pivotArea dataOnly="0" labelOnly="1" outline="0" axis="axisValues" fieldPosition="0"/>
    </format>
    <format dxfId="312">
      <pivotArea type="all" dataOnly="0" outline="0" fieldPosition="0"/>
    </format>
    <format dxfId="311">
      <pivotArea type="all" dataOnly="0" outline="0" fieldPosition="0"/>
    </format>
    <format dxfId="310">
      <pivotArea outline="0" collapsedLevelsAreSubtotals="1" fieldPosition="0"/>
    </format>
    <format dxfId="309">
      <pivotArea dataOnly="0" labelOnly="1" grandRow="1" outline="0" fieldPosition="0"/>
    </format>
    <format dxfId="308">
      <pivotArea dataOnly="0" labelOnly="1" outline="0" axis="axisValues" fieldPosition="0"/>
    </format>
    <format dxfId="307">
      <pivotArea type="all" dataOnly="0" outline="0" fieldPosition="0"/>
    </format>
    <format dxfId="306">
      <pivotArea outline="0" collapsedLevelsAreSubtotals="1" fieldPosition="0"/>
    </format>
    <format dxfId="305">
      <pivotArea dataOnly="0" labelOnly="1" grandRow="1" outline="0" fieldPosition="0"/>
    </format>
    <format dxfId="304">
      <pivotArea dataOnly="0" labelOnly="1" outline="0" axis="axisValues" fieldPosition="0"/>
    </format>
    <format dxfId="303">
      <pivotArea type="all" dataOnly="0" outline="0" fieldPosition="0"/>
    </format>
    <format dxfId="302">
      <pivotArea outline="0" collapsedLevelsAreSubtotals="1" fieldPosition="0"/>
    </format>
    <format dxfId="301">
      <pivotArea dataOnly="0" labelOnly="1" grandRow="1" outline="0" fieldPosition="0"/>
    </format>
    <format dxfId="300">
      <pivotArea dataOnly="0" labelOnly="1" outline="0" axis="axisValues" fieldPosition="0"/>
    </format>
    <format dxfId="299">
      <pivotArea type="all" dataOnly="0" outline="0" fieldPosition="0"/>
    </format>
    <format dxfId="298">
      <pivotArea outline="0" collapsedLevelsAreSubtotals="1" fieldPosition="0"/>
    </format>
    <format dxfId="297">
      <pivotArea dataOnly="0" labelOnly="1" grandRow="1" outline="0" fieldPosition="0"/>
    </format>
    <format dxfId="296">
      <pivotArea dataOnly="0" labelOnly="1" outline="0" axis="axisValues" fieldPosition="0"/>
    </format>
    <format dxfId="295">
      <pivotArea type="all" dataOnly="0" outline="0" fieldPosition="0"/>
    </format>
    <format dxfId="294">
      <pivotArea outline="0" collapsedLevelsAreSubtotals="1" fieldPosition="0"/>
    </format>
    <format dxfId="293">
      <pivotArea dataOnly="0" labelOnly="1" grandRow="1" outline="0" fieldPosition="0"/>
    </format>
    <format dxfId="292">
      <pivotArea dataOnly="0" labelOnly="1" outline="0" axis="axisValues" fieldPosition="0"/>
    </format>
    <format dxfId="291">
      <pivotArea type="all" dataOnly="0" outline="0" fieldPosition="0"/>
    </format>
    <format dxfId="290">
      <pivotArea outline="0" collapsedLevelsAreSubtotals="1" fieldPosition="0"/>
    </format>
    <format dxfId="289">
      <pivotArea dataOnly="0" labelOnly="1" grandRow="1" outline="0" fieldPosition="0"/>
    </format>
    <format dxfId="288">
      <pivotArea dataOnly="0" labelOnly="1" outline="0" axis="axisValues" fieldPosition="0"/>
    </format>
    <format dxfId="287">
      <pivotArea type="all" dataOnly="0" outline="0" fieldPosition="0"/>
    </format>
    <format dxfId="286">
      <pivotArea outline="0" collapsedLevelsAreSubtotals="1" fieldPosition="0"/>
    </format>
    <format dxfId="285">
      <pivotArea dataOnly="0" labelOnly="1" grandRow="1" outline="0" fieldPosition="0"/>
    </format>
    <format dxfId="284">
      <pivotArea dataOnly="0" labelOnly="1" outline="0" axis="axisValues" fieldPosition="0"/>
    </format>
    <format dxfId="283">
      <pivotArea type="all" dataOnly="0" outline="0" fieldPosition="0"/>
    </format>
    <format dxfId="282">
      <pivotArea outline="0" collapsedLevelsAreSubtotals="1" fieldPosition="0"/>
    </format>
    <format dxfId="281">
      <pivotArea dataOnly="0" labelOnly="1" grandRow="1" outline="0" fieldPosition="0"/>
    </format>
    <format dxfId="280">
      <pivotArea dataOnly="0" labelOnly="1" outline="0" axis="axisValues" fieldPosition="0"/>
    </format>
    <format dxfId="279">
      <pivotArea type="all" dataOnly="0" outline="0" fieldPosition="0"/>
    </format>
    <format dxfId="278">
      <pivotArea type="all" dataOnly="0" outline="0" fieldPosition="0"/>
    </format>
    <format dxfId="277">
      <pivotArea dataOnly="0" labelOnly="1" grandRow="1" outline="0" fieldPosition="0"/>
    </format>
    <format dxfId="276">
      <pivotArea dataOnly="0" labelOnly="1" grandRow="1" outline="0" fieldPosition="0"/>
    </format>
    <format dxfId="275">
      <pivotArea type="all" dataOnly="0" outline="0" fieldPosition="0"/>
    </format>
    <format dxfId="274">
      <pivotArea outline="0" collapsedLevelsAreSubtotals="1" fieldPosition="0"/>
    </format>
    <format dxfId="273">
      <pivotArea field="11" type="button" dataOnly="0" labelOnly="1" outline="0" axis="axisRow" fieldPosition="0"/>
    </format>
    <format dxfId="272">
      <pivotArea dataOnly="0" labelOnly="1" fieldPosition="0">
        <references count="1">
          <reference field="11" count="5">
            <x v="4"/>
            <x v="6"/>
            <x v="7"/>
            <x v="9"/>
            <x v="10"/>
          </reference>
        </references>
      </pivotArea>
    </format>
    <format dxfId="271">
      <pivotArea dataOnly="0" labelOnly="1" grandRow="1" outline="0" fieldPosition="0"/>
    </format>
    <format dxfId="270">
      <pivotArea dataOnly="0" labelOnly="1" outline="0" axis="axisValues" fieldPosition="0"/>
    </format>
    <format dxfId="269">
      <pivotArea type="all" dataOnly="0" outline="0" fieldPosition="0"/>
    </format>
    <format dxfId="268">
      <pivotArea dataOnly="0" labelOnly="1" fieldPosition="0">
        <references count="1">
          <reference field="11" count="5">
            <x v="4"/>
            <x v="6"/>
            <x v="7"/>
            <x v="9"/>
            <x v="10"/>
          </reference>
        </references>
      </pivotArea>
    </format>
    <format dxfId="267">
      <pivotArea type="all" dataOnly="0" outline="0" fieldPosition="0"/>
    </format>
    <format dxfId="266">
      <pivotArea dataOnly="0" labelOnly="1" fieldPosition="0">
        <references count="1">
          <reference field="11" count="5">
            <x v="4"/>
            <x v="6"/>
            <x v="7"/>
            <x v="9"/>
            <x v="10"/>
          </reference>
        </references>
      </pivotArea>
    </format>
    <format dxfId="265">
      <pivotArea collapsedLevelsAreSubtotals="1" fieldPosition="0">
        <references count="1">
          <reference field="11" count="5">
            <x v="4"/>
            <x v="6"/>
            <x v="7"/>
            <x v="9"/>
            <x v="10"/>
          </reference>
        </references>
      </pivotArea>
    </format>
    <format dxfId="264">
      <pivotArea type="all" dataOnly="0" outline="0" fieldPosition="0"/>
    </format>
    <format dxfId="263">
      <pivotArea outline="0" collapsedLevelsAreSubtotals="1" fieldPosition="0"/>
    </format>
    <format dxfId="262">
      <pivotArea field="11" type="button" dataOnly="0" labelOnly="1" outline="0" axis="axisRow" fieldPosition="0"/>
    </format>
    <format dxfId="261">
      <pivotArea dataOnly="0" labelOnly="1" fieldPosition="0">
        <references count="1">
          <reference field="11" count="2">
            <x v="3"/>
            <x v="8"/>
          </reference>
        </references>
      </pivotArea>
    </format>
    <format dxfId="260">
      <pivotArea type="all" dataOnly="0" outline="0" fieldPosition="0"/>
    </format>
    <format dxfId="259">
      <pivotArea outline="0" collapsedLevelsAreSubtotals="1" fieldPosition="0"/>
    </format>
    <format dxfId="258">
      <pivotArea field="11" type="button" dataOnly="0" labelOnly="1" outline="0" axis="axisRow" fieldPosition="0"/>
    </format>
    <format dxfId="257">
      <pivotArea dataOnly="0" labelOnly="1" fieldPosition="0">
        <references count="1">
          <reference field="11" count="2">
            <x v="3"/>
            <x v="8"/>
          </reference>
        </references>
      </pivotArea>
    </format>
    <format dxfId="256">
      <pivotArea dataOnly="0" labelOnly="1" grandRow="1" outline="0" fieldPosition="0"/>
    </format>
    <format dxfId="255">
      <pivotArea dataOnly="0" labelOnly="1" outline="0" axis="axisValues" fieldPosition="0"/>
    </format>
    <format dxfId="254">
      <pivotArea collapsedLevelsAreSubtotals="1" fieldPosition="0">
        <references count="1">
          <reference field="11" count="1">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0.xml><?xml version="1.0" encoding="utf-8"?>
<pivotTableDefinition xmlns="http://schemas.openxmlformats.org/spreadsheetml/2006/main" xmlns:mc="http://schemas.openxmlformats.org/markup-compatibility/2006" xmlns:xr="http://schemas.microsoft.com/office/spreadsheetml/2014/revision" mc:Ignorable="xr" xr:uid="{62A3FE3F-541E-432C-AC8A-D6B99651B403}" name="PivotTable14"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77:C483" firstHeaderRow="1" firstDataRow="1" firstDataCol="1" rowPageCount="3" colPageCount="1"/>
  <pivotFields count="85">
    <pivotField showAll="0" defaultSubtotal="0"/>
    <pivotField axis="axisPage" multipleItemSelectionAllowed="1" showAll="0" defaultSubtotal="0">
      <items count="5">
        <item x="1"/>
        <item x="4"/>
        <item x="2"/>
        <item h="1" x="3"/>
        <item h="1" x="0"/>
      </items>
    </pivotField>
    <pivotField axis="axisPage" multipleItemSelectionAllowed="1" showAll="0" defaultSubtotal="0">
      <items count="8">
        <item h="1"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6"/>
        <item h="1" x="4"/>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6">
    <i>
      <x/>
    </i>
    <i>
      <x v="2"/>
    </i>
    <i>
      <x v="3"/>
    </i>
    <i>
      <x v="4"/>
    </i>
    <i>
      <x v="5"/>
    </i>
    <i t="grand">
      <x/>
    </i>
  </rowItems>
  <colItems count="1">
    <i/>
  </colItems>
  <pageFields count="3">
    <pageField fld="9" hier="-1"/>
    <pageField fld="2" hier="-1"/>
    <pageField fld="1" hier="-1"/>
  </pageFields>
  <dataFields count="1">
    <dataField name="Sum of Net Dwellings" fld="45" baseField="0" baseItem="0"/>
  </dataFields>
  <formats count="46">
    <format dxfId="2585">
      <pivotArea type="all" dataOnly="0" outline="0" fieldPosition="0"/>
    </format>
    <format dxfId="2584">
      <pivotArea type="all" dataOnly="0" outline="0" fieldPosition="0"/>
    </format>
    <format dxfId="2583">
      <pivotArea type="all" dataOnly="0" outline="0" fieldPosition="0"/>
    </format>
    <format dxfId="2582">
      <pivotArea type="all" dataOnly="0" outline="0" fieldPosition="0"/>
    </format>
    <format dxfId="2581">
      <pivotArea type="all" dataOnly="0" outline="0" fieldPosition="0"/>
    </format>
    <format dxfId="2580">
      <pivotArea type="all" dataOnly="0" outline="0" fieldPosition="0"/>
    </format>
    <format dxfId="2579">
      <pivotArea type="all" dataOnly="0" outline="0" fieldPosition="0"/>
    </format>
    <format dxfId="2578">
      <pivotArea dataOnly="0" labelOnly="1" outline="0" fieldPosition="0">
        <references count="1">
          <reference field="4294967294" count="1">
            <x v="0"/>
          </reference>
        </references>
      </pivotArea>
    </format>
    <format dxfId="2577">
      <pivotArea dataOnly="0" labelOnly="1" outline="0" fieldPosition="0">
        <references count="1">
          <reference field="4294967294" count="1">
            <x v="0"/>
          </reference>
        </references>
      </pivotArea>
    </format>
    <format dxfId="2576">
      <pivotArea dataOnly="0" labelOnly="1" outline="0" fieldPosition="0">
        <references count="1">
          <reference field="4294967294" count="1">
            <x v="0"/>
          </reference>
        </references>
      </pivotArea>
    </format>
    <format dxfId="2575">
      <pivotArea type="all" dataOnly="0" outline="0" fieldPosition="0"/>
    </format>
    <format dxfId="2574">
      <pivotArea type="all" dataOnly="0" outline="0" fieldPosition="0"/>
    </format>
    <format dxfId="2573">
      <pivotArea type="all" dataOnly="0" outline="0" fieldPosition="0"/>
    </format>
    <format dxfId="2572">
      <pivotArea type="all" dataOnly="0" outline="0" fieldPosition="0"/>
    </format>
    <format dxfId="2571">
      <pivotArea outline="0" collapsedLevelsAreSubtotals="1" fieldPosition="0"/>
    </format>
    <format dxfId="2570">
      <pivotArea dataOnly="0" labelOnly="1" grandRow="1" outline="0" fieldPosition="0"/>
    </format>
    <format dxfId="2569">
      <pivotArea dataOnly="0" labelOnly="1" outline="0" axis="axisValues" fieldPosition="0"/>
    </format>
    <format dxfId="2568">
      <pivotArea type="all" dataOnly="0" outline="0" fieldPosition="0"/>
    </format>
    <format dxfId="2567">
      <pivotArea outline="0" collapsedLevelsAreSubtotals="1" fieldPosition="0"/>
    </format>
    <format dxfId="2566">
      <pivotArea dataOnly="0" labelOnly="1" grandRow="1" outline="0" fieldPosition="0"/>
    </format>
    <format dxfId="2565">
      <pivotArea dataOnly="0" labelOnly="1" outline="0" axis="axisValues" fieldPosition="0"/>
    </format>
    <format dxfId="2564">
      <pivotArea type="all" dataOnly="0" outline="0" fieldPosition="0"/>
    </format>
    <format dxfId="2563">
      <pivotArea outline="0" collapsedLevelsAreSubtotals="1" fieldPosition="0"/>
    </format>
    <format dxfId="2562">
      <pivotArea dataOnly="0" labelOnly="1" grandRow="1" outline="0" fieldPosition="0"/>
    </format>
    <format dxfId="2561">
      <pivotArea dataOnly="0" labelOnly="1" outline="0" axis="axisValues" fieldPosition="0"/>
    </format>
    <format dxfId="2560">
      <pivotArea type="all" dataOnly="0" outline="0" fieldPosition="0"/>
    </format>
    <format dxfId="2559">
      <pivotArea outline="0" collapsedLevelsAreSubtotals="1" fieldPosition="0"/>
    </format>
    <format dxfId="2558">
      <pivotArea field="71" type="button" dataOnly="0" labelOnly="1" outline="0"/>
    </format>
    <format dxfId="2557">
      <pivotArea dataOnly="0" labelOnly="1" grandRow="1" outline="0" fieldPosition="0"/>
    </format>
    <format dxfId="2556">
      <pivotArea dataOnly="0" labelOnly="1" outline="0" axis="axisValues" fieldPosition="0"/>
    </format>
    <format dxfId="2555">
      <pivotArea type="all" dataOnly="0" outline="0" fieldPosition="0"/>
    </format>
    <format dxfId="2554">
      <pivotArea outline="0" collapsedLevelsAreSubtotals="1" fieldPosition="0"/>
    </format>
    <format dxfId="2553">
      <pivotArea field="71" type="button" dataOnly="0" labelOnly="1" outline="0"/>
    </format>
    <format dxfId="2552">
      <pivotArea dataOnly="0" labelOnly="1" grandRow="1" outline="0" fieldPosition="0"/>
    </format>
    <format dxfId="2551">
      <pivotArea dataOnly="0" labelOnly="1" outline="0" axis="axisValues" fieldPosition="0"/>
    </format>
    <format dxfId="2550">
      <pivotArea type="all" dataOnly="0" outline="0" fieldPosition="0"/>
    </format>
    <format dxfId="2549">
      <pivotArea outline="0" collapsedLevelsAreSubtotals="1" fieldPosition="0"/>
    </format>
    <format dxfId="2548">
      <pivotArea field="71" type="button" dataOnly="0" labelOnly="1" outline="0"/>
    </format>
    <format dxfId="2547">
      <pivotArea dataOnly="0" labelOnly="1" grandRow="1" outline="0" fieldPosition="0"/>
    </format>
    <format dxfId="2546">
      <pivotArea dataOnly="0" labelOnly="1" outline="0" axis="axisValues" fieldPosition="0"/>
    </format>
    <format dxfId="2545">
      <pivotArea type="all" dataOnly="0" outline="0" fieldPosition="0"/>
    </format>
    <format dxfId="2544">
      <pivotArea outline="0" collapsedLevelsAreSubtotals="1" fieldPosition="0"/>
    </format>
    <format dxfId="2543">
      <pivotArea field="72" type="button" dataOnly="0" labelOnly="1" outline="0" axis="axisRow" fieldPosition="0"/>
    </format>
    <format dxfId="2542">
      <pivotArea dataOnly="0" labelOnly="1" fieldPosition="0">
        <references count="1">
          <reference field="72" count="6">
            <x v="0"/>
            <x v="1"/>
            <x v="2"/>
            <x v="3"/>
            <x v="4"/>
            <x v="5"/>
          </reference>
        </references>
      </pivotArea>
    </format>
    <format dxfId="2541">
      <pivotArea dataOnly="0" labelOnly="1" grandRow="1" outline="0" fieldPosition="0"/>
    </format>
    <format dxfId="254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1.xml><?xml version="1.0" encoding="utf-8"?>
<pivotTableDefinition xmlns="http://schemas.openxmlformats.org/spreadsheetml/2006/main" xmlns:mc="http://schemas.openxmlformats.org/markup-compatibility/2006" xmlns:xr="http://schemas.microsoft.com/office/spreadsheetml/2014/revision" mc:Ignorable="xr" xr:uid="{F63C83EF-1578-4B80-94A2-E1C1BF42718E}" name="PivotTable73"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81:B182" firstHeaderRow="1" firstDataRow="1" firstDataCol="0" rowPageCount="3"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0"/>
        <item h="1" x="1"/>
        <item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0" hier="-1"/>
  </pageFields>
  <dataFields count="1">
    <dataField name="Sum of Units Proposed" fld="36" baseField="0" baseItem="0"/>
  </dataFields>
  <formats count="40">
    <format dxfId="2625">
      <pivotArea type="all" dataOnly="0" outline="0" fieldPosition="0"/>
    </format>
    <format dxfId="2624">
      <pivotArea type="all" dataOnly="0" outline="0" fieldPosition="0"/>
    </format>
    <format dxfId="2623">
      <pivotArea type="all" dataOnly="0" outline="0" fieldPosition="0"/>
    </format>
    <format dxfId="2622">
      <pivotArea type="all" dataOnly="0" outline="0" fieldPosition="0"/>
    </format>
    <format dxfId="2621">
      <pivotArea type="all" dataOnly="0" outline="0" fieldPosition="0"/>
    </format>
    <format dxfId="2620">
      <pivotArea type="all" dataOnly="0" outline="0" fieldPosition="0"/>
    </format>
    <format dxfId="2619">
      <pivotArea type="all" dataOnly="0" outline="0" fieldPosition="0"/>
    </format>
    <format dxfId="2618">
      <pivotArea type="all" dataOnly="0" outline="0" fieldPosition="0"/>
    </format>
    <format dxfId="2617">
      <pivotArea type="all" dataOnly="0" outline="0" fieldPosition="0"/>
    </format>
    <format dxfId="2616">
      <pivotArea type="all" dataOnly="0" outline="0" fieldPosition="0"/>
    </format>
    <format dxfId="2615">
      <pivotArea type="all" dataOnly="0" outline="0" fieldPosition="0"/>
    </format>
    <format dxfId="2614">
      <pivotArea outline="0" collapsedLevelsAreSubtotals="1" fieldPosition="0"/>
    </format>
    <format dxfId="2613">
      <pivotArea dataOnly="0" labelOnly="1" outline="0" axis="axisValues" fieldPosition="0"/>
    </format>
    <format dxfId="2612">
      <pivotArea type="all" dataOnly="0" outline="0" fieldPosition="0"/>
    </format>
    <format dxfId="2611">
      <pivotArea outline="0" collapsedLevelsAreSubtotals="1" fieldPosition="0"/>
    </format>
    <format dxfId="2610">
      <pivotArea dataOnly="0" labelOnly="1" outline="0" axis="axisValues" fieldPosition="0"/>
    </format>
    <format dxfId="2609">
      <pivotArea type="all" dataOnly="0" outline="0" fieldPosition="0"/>
    </format>
    <format dxfId="2608">
      <pivotArea outline="0" collapsedLevelsAreSubtotals="1" fieldPosition="0"/>
    </format>
    <format dxfId="2607">
      <pivotArea dataOnly="0" labelOnly="1" outline="0" axis="axisValues" fieldPosition="0"/>
    </format>
    <format dxfId="2606">
      <pivotArea type="all" dataOnly="0" outline="0" fieldPosition="0"/>
    </format>
    <format dxfId="2605">
      <pivotArea outline="0" collapsedLevelsAreSubtotals="1" fieldPosition="0"/>
    </format>
    <format dxfId="2604">
      <pivotArea dataOnly="0" labelOnly="1" outline="0" axis="axisValues" fieldPosition="0"/>
    </format>
    <format dxfId="2603">
      <pivotArea type="all" dataOnly="0" outline="0" fieldPosition="0"/>
    </format>
    <format dxfId="2602">
      <pivotArea outline="0" collapsedLevelsAreSubtotals="1" fieldPosition="0"/>
    </format>
    <format dxfId="2601">
      <pivotArea dataOnly="0" labelOnly="1" outline="0" axis="axisValues" fieldPosition="0"/>
    </format>
    <format dxfId="2600">
      <pivotArea type="all" dataOnly="0" outline="0" fieldPosition="0"/>
    </format>
    <format dxfId="2599">
      <pivotArea outline="0" collapsedLevelsAreSubtotals="1" fieldPosition="0"/>
    </format>
    <format dxfId="2598">
      <pivotArea dataOnly="0" labelOnly="1" outline="0" axis="axisValues" fieldPosition="0"/>
    </format>
    <format dxfId="2597">
      <pivotArea type="all" dataOnly="0" outline="0" fieldPosition="0"/>
    </format>
    <format dxfId="2596">
      <pivotArea outline="0" collapsedLevelsAreSubtotals="1" fieldPosition="0"/>
    </format>
    <format dxfId="2595">
      <pivotArea dataOnly="0" labelOnly="1" outline="0" axis="axisValues" fieldPosition="0"/>
    </format>
    <format dxfId="2594">
      <pivotArea type="all" dataOnly="0" outline="0" fieldPosition="0"/>
    </format>
    <format dxfId="2593">
      <pivotArea outline="0" collapsedLevelsAreSubtotals="1" fieldPosition="0"/>
    </format>
    <format dxfId="2592">
      <pivotArea type="all" dataOnly="0" outline="0" fieldPosition="0"/>
    </format>
    <format dxfId="2591">
      <pivotArea outline="0" collapsedLevelsAreSubtotals="1" fieldPosition="0"/>
    </format>
    <format dxfId="2590">
      <pivotArea outline="0" collapsedLevelsAreSubtotals="1" fieldPosition="0"/>
    </format>
    <format dxfId="2589">
      <pivotArea type="all" dataOnly="0" outline="0" fieldPosition="0"/>
    </format>
    <format dxfId="2588">
      <pivotArea type="all" dataOnly="0" outline="0" fieldPosition="0"/>
    </format>
    <format dxfId="2587">
      <pivotArea outline="0" collapsedLevelsAreSubtotals="1" fieldPosition="0"/>
    </format>
    <format dxfId="258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2.xml><?xml version="1.0" encoding="utf-8"?>
<pivotTableDefinition xmlns="http://schemas.openxmlformats.org/spreadsheetml/2006/main" xmlns:mc="http://schemas.openxmlformats.org/markup-compatibility/2006" xmlns:xr="http://schemas.microsoft.com/office/spreadsheetml/2014/revision" mc:Ignorable="xr" xr:uid="{67DCC7B9-E484-4738-8B96-8250ADA73998}" name="PivotTable1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70:B71" firstHeaderRow="1" firstDataRow="1" firstDataCol="0" rowPageCount="2"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2">
    <pageField fld="9" hier="-1"/>
    <pageField fld="1" hier="-1"/>
  </pageFields>
  <dataFields count="1">
    <dataField name="Sum of Units Proposed" fld="36" baseField="0" baseItem="0"/>
  </dataFields>
  <formats count="40">
    <format dxfId="2665">
      <pivotArea type="all" dataOnly="0" outline="0" fieldPosition="0"/>
    </format>
    <format dxfId="2664">
      <pivotArea type="all" dataOnly="0" outline="0" fieldPosition="0"/>
    </format>
    <format dxfId="2663">
      <pivotArea type="all" dataOnly="0" outline="0" fieldPosition="0"/>
    </format>
    <format dxfId="2662">
      <pivotArea type="all" dataOnly="0" outline="0" fieldPosition="0"/>
    </format>
    <format dxfId="2661">
      <pivotArea type="all" dataOnly="0" outline="0" fieldPosition="0"/>
    </format>
    <format dxfId="2660">
      <pivotArea type="all" dataOnly="0" outline="0" fieldPosition="0"/>
    </format>
    <format dxfId="2659">
      <pivotArea type="all" dataOnly="0" outline="0" fieldPosition="0"/>
    </format>
    <format dxfId="2658">
      <pivotArea type="all" dataOnly="0" outline="0" fieldPosition="0"/>
    </format>
    <format dxfId="2657">
      <pivotArea type="all" dataOnly="0" outline="0" fieldPosition="0"/>
    </format>
    <format dxfId="2656">
      <pivotArea type="all" dataOnly="0" outline="0" fieldPosition="0"/>
    </format>
    <format dxfId="2655">
      <pivotArea type="all" dataOnly="0" outline="0" fieldPosition="0"/>
    </format>
    <format dxfId="2654">
      <pivotArea outline="0" collapsedLevelsAreSubtotals="1" fieldPosition="0"/>
    </format>
    <format dxfId="2653">
      <pivotArea dataOnly="0" labelOnly="1" outline="0" axis="axisValues" fieldPosition="0"/>
    </format>
    <format dxfId="2652">
      <pivotArea type="all" dataOnly="0" outline="0" fieldPosition="0"/>
    </format>
    <format dxfId="2651">
      <pivotArea outline="0" collapsedLevelsAreSubtotals="1" fieldPosition="0"/>
    </format>
    <format dxfId="2650">
      <pivotArea dataOnly="0" labelOnly="1" outline="0" axis="axisValues" fieldPosition="0"/>
    </format>
    <format dxfId="2649">
      <pivotArea type="all" dataOnly="0" outline="0" fieldPosition="0"/>
    </format>
    <format dxfId="2648">
      <pivotArea outline="0" collapsedLevelsAreSubtotals="1" fieldPosition="0"/>
    </format>
    <format dxfId="2647">
      <pivotArea dataOnly="0" labelOnly="1" outline="0" axis="axisValues" fieldPosition="0"/>
    </format>
    <format dxfId="2646">
      <pivotArea type="all" dataOnly="0" outline="0" fieldPosition="0"/>
    </format>
    <format dxfId="2645">
      <pivotArea outline="0" collapsedLevelsAreSubtotals="1" fieldPosition="0"/>
    </format>
    <format dxfId="2644">
      <pivotArea dataOnly="0" labelOnly="1" outline="0" axis="axisValues" fieldPosition="0"/>
    </format>
    <format dxfId="2643">
      <pivotArea type="all" dataOnly="0" outline="0" fieldPosition="0"/>
    </format>
    <format dxfId="2642">
      <pivotArea outline="0" collapsedLevelsAreSubtotals="1" fieldPosition="0"/>
    </format>
    <format dxfId="2641">
      <pivotArea dataOnly="0" labelOnly="1" outline="0" axis="axisValues" fieldPosition="0"/>
    </format>
    <format dxfId="2640">
      <pivotArea type="all" dataOnly="0" outline="0" fieldPosition="0"/>
    </format>
    <format dxfId="2639">
      <pivotArea outline="0" collapsedLevelsAreSubtotals="1" fieldPosition="0"/>
    </format>
    <format dxfId="2638">
      <pivotArea dataOnly="0" labelOnly="1" outline="0" axis="axisValues" fieldPosition="0"/>
    </format>
    <format dxfId="2637">
      <pivotArea type="all" dataOnly="0" outline="0" fieldPosition="0"/>
    </format>
    <format dxfId="2636">
      <pivotArea outline="0" collapsedLevelsAreSubtotals="1" fieldPosition="0"/>
    </format>
    <format dxfId="2635">
      <pivotArea dataOnly="0" labelOnly="1" outline="0" axis="axisValues" fieldPosition="0"/>
    </format>
    <format dxfId="2634">
      <pivotArea type="all" dataOnly="0" outline="0" fieldPosition="0"/>
    </format>
    <format dxfId="2633">
      <pivotArea outline="0" collapsedLevelsAreSubtotals="1" fieldPosition="0"/>
    </format>
    <format dxfId="2632">
      <pivotArea type="all" dataOnly="0" outline="0" fieldPosition="0"/>
    </format>
    <format dxfId="2631">
      <pivotArea outline="0" collapsedLevelsAreSubtotals="1" fieldPosition="0"/>
    </format>
    <format dxfId="2630">
      <pivotArea outline="0" collapsedLevelsAreSubtotals="1" fieldPosition="0"/>
    </format>
    <format dxfId="2629">
      <pivotArea type="all" dataOnly="0" outline="0" fieldPosition="0"/>
    </format>
    <format dxfId="2628">
      <pivotArea type="all" dataOnly="0" outline="0" fieldPosition="0"/>
    </format>
    <format dxfId="2627">
      <pivotArea outline="0" collapsedLevelsAreSubtotals="1" fieldPosition="0"/>
    </format>
    <format dxfId="262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3.xml><?xml version="1.0" encoding="utf-8"?>
<pivotTableDefinition xmlns="http://schemas.openxmlformats.org/spreadsheetml/2006/main" xmlns:mc="http://schemas.openxmlformats.org/markup-compatibility/2006" xmlns:xr="http://schemas.microsoft.com/office/spreadsheetml/2014/revision" mc:Ignorable="xr" xr:uid="{69373D40-EF37-4457-948F-714E44C0A673}" name="PivotTable9"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51:C270"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Items count="1">
    <i/>
  </colItems>
  <pageFields count="1">
    <pageField fld="9" hier="-1"/>
  </pageFields>
  <dataFields count="1">
    <dataField name="Sum of Net Dwellings" fld="45" baseField="0" baseItem="0"/>
  </dataFields>
  <formats count="38">
    <format dxfId="2703">
      <pivotArea type="all" dataOnly="0" outline="0" fieldPosition="0"/>
    </format>
    <format dxfId="2702">
      <pivotArea type="all" dataOnly="0" outline="0" fieldPosition="0"/>
    </format>
    <format dxfId="2701">
      <pivotArea type="all" dataOnly="0" outline="0" fieldPosition="0"/>
    </format>
    <format dxfId="2700">
      <pivotArea type="all" dataOnly="0" outline="0" fieldPosition="0"/>
    </format>
    <format dxfId="2699">
      <pivotArea type="all" dataOnly="0" outline="0" fieldPosition="0"/>
    </format>
    <format dxfId="2698">
      <pivotArea type="all" dataOnly="0" outline="0" fieldPosition="0"/>
    </format>
    <format dxfId="2697">
      <pivotArea type="all" dataOnly="0" outline="0" fieldPosition="0"/>
    </format>
    <format dxfId="2696">
      <pivotArea type="all" dataOnly="0" outline="0" fieldPosition="0"/>
    </format>
    <format dxfId="2695">
      <pivotArea type="all" dataOnly="0" outline="0" fieldPosition="0"/>
    </format>
    <format dxfId="2694">
      <pivotArea type="all" dataOnly="0" outline="0" fieldPosition="0"/>
    </format>
    <format dxfId="2693">
      <pivotArea type="all" dataOnly="0" outline="0" fieldPosition="0"/>
    </format>
    <format dxfId="2692">
      <pivotArea outline="0" collapsedLevelsAreSubtotals="1" fieldPosition="0"/>
    </format>
    <format dxfId="2691">
      <pivotArea dataOnly="0" labelOnly="1" grandRow="1" outline="0" fieldPosition="0"/>
    </format>
    <format dxfId="2690">
      <pivotArea dataOnly="0" labelOnly="1" outline="0" axis="axisValues" fieldPosition="0"/>
    </format>
    <format dxfId="2689">
      <pivotArea type="all" dataOnly="0" outline="0" fieldPosition="0"/>
    </format>
    <format dxfId="2688">
      <pivotArea outline="0" collapsedLevelsAreSubtotals="1" fieldPosition="0"/>
    </format>
    <format dxfId="2687">
      <pivotArea dataOnly="0" labelOnly="1" grandRow="1" outline="0" fieldPosition="0"/>
    </format>
    <format dxfId="2686">
      <pivotArea dataOnly="0" labelOnly="1" outline="0" axis="axisValues" fieldPosition="0"/>
    </format>
    <format dxfId="2685">
      <pivotArea type="all" dataOnly="0" outline="0" fieldPosition="0"/>
    </format>
    <format dxfId="2684">
      <pivotArea outline="0" collapsedLevelsAreSubtotals="1" fieldPosition="0"/>
    </format>
    <format dxfId="2683">
      <pivotArea dataOnly="0" labelOnly="1" grandRow="1" outline="0" fieldPosition="0"/>
    </format>
    <format dxfId="2682">
      <pivotArea dataOnly="0" labelOnly="1" outline="0" axis="axisValues" fieldPosition="0"/>
    </format>
    <format dxfId="2681">
      <pivotArea type="all" dataOnly="0" outline="0" fieldPosition="0"/>
    </format>
    <format dxfId="2680">
      <pivotArea outline="0" collapsedLevelsAreSubtotals="1" fieldPosition="0"/>
    </format>
    <format dxfId="2679">
      <pivotArea field="71" type="button" dataOnly="0" labelOnly="1" outline="0" axis="axisRow" fieldPosition="0"/>
    </format>
    <format dxfId="2678">
      <pivotArea dataOnly="0" labelOnly="1" grandRow="1" outline="0" fieldPosition="0"/>
    </format>
    <format dxfId="2677">
      <pivotArea dataOnly="0" labelOnly="1" outline="0" axis="axisValues" fieldPosition="0"/>
    </format>
    <format dxfId="2676">
      <pivotArea type="all" dataOnly="0" outline="0" fieldPosition="0"/>
    </format>
    <format dxfId="2675">
      <pivotArea outline="0" collapsedLevelsAreSubtotals="1" fieldPosition="0"/>
    </format>
    <format dxfId="2674">
      <pivotArea field="71" type="button" dataOnly="0" labelOnly="1" outline="0" axis="axisRow" fieldPosition="0"/>
    </format>
    <format dxfId="2673">
      <pivotArea dataOnly="0" labelOnly="1" grandRow="1" outline="0" fieldPosition="0"/>
    </format>
    <format dxfId="2672">
      <pivotArea dataOnly="0" labelOnly="1" outline="0" axis="axisValues" fieldPosition="0"/>
    </format>
    <format dxfId="2671">
      <pivotArea type="all" dataOnly="0" outline="0" fieldPosition="0"/>
    </format>
    <format dxfId="2670">
      <pivotArea outline="0" collapsedLevelsAreSubtotals="1" fieldPosition="0"/>
    </format>
    <format dxfId="2669">
      <pivotArea field="71" type="button" dataOnly="0" labelOnly="1" outline="0" axis="axisRow" fieldPosition="0"/>
    </format>
    <format dxfId="2668">
      <pivotArea dataOnly="0" labelOnly="1" fieldPosition="0">
        <references count="1">
          <reference field="71" count="15">
            <x v="0"/>
            <x v="1"/>
            <x v="2"/>
            <x v="4"/>
            <x v="5"/>
            <x v="7"/>
            <x v="8"/>
            <x v="9"/>
            <x v="11"/>
            <x v="12"/>
            <x v="13"/>
            <x v="15"/>
            <x v="16"/>
            <x v="17"/>
            <x v="18"/>
          </reference>
        </references>
      </pivotArea>
    </format>
    <format dxfId="2667">
      <pivotArea dataOnly="0" labelOnly="1" grandRow="1" outline="0" fieldPosition="0"/>
    </format>
    <format dxfId="266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4.xml><?xml version="1.0" encoding="utf-8"?>
<pivotTableDefinition xmlns="http://schemas.openxmlformats.org/spreadsheetml/2006/main" xmlns:mc="http://schemas.openxmlformats.org/markup-compatibility/2006" xmlns:xr="http://schemas.microsoft.com/office/spreadsheetml/2014/revision" mc:Ignorable="xr" xr:uid="{16A46256-8D13-488A-85F0-3F270ED8172A}" name="PivotTable51"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H226:I229"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4"/>
  </rowFields>
  <rowItems count="3">
    <i>
      <x/>
    </i>
    <i>
      <x v="1"/>
    </i>
    <i t="grand">
      <x/>
    </i>
  </rowItems>
  <colItems count="1">
    <i/>
  </colItems>
  <pageFields count="1">
    <pageField fld="9" hier="-1"/>
  </pageFields>
  <dataFields count="1">
    <dataField name="Sum of Net Dwellings" fld="45" baseField="0" baseItem="0"/>
  </dataFields>
  <formats count="39">
    <format dxfId="2742">
      <pivotArea type="all" dataOnly="0" outline="0" fieldPosition="0"/>
    </format>
    <format dxfId="2741">
      <pivotArea type="all" dataOnly="0" outline="0" fieldPosition="0"/>
    </format>
    <format dxfId="2740">
      <pivotArea type="all" dataOnly="0" outline="0" fieldPosition="0"/>
    </format>
    <format dxfId="2739">
      <pivotArea type="all" dataOnly="0" outline="0" fieldPosition="0"/>
    </format>
    <format dxfId="2738">
      <pivotArea type="all" dataOnly="0" outline="0" fieldPosition="0"/>
    </format>
    <format dxfId="2737">
      <pivotArea type="all" dataOnly="0" outline="0" fieldPosition="0"/>
    </format>
    <format dxfId="2736">
      <pivotArea type="all" dataOnly="0" outline="0" fieldPosition="0"/>
    </format>
    <format dxfId="2735">
      <pivotArea type="all" dataOnly="0" outline="0" fieldPosition="0"/>
    </format>
    <format dxfId="2734">
      <pivotArea type="all" dataOnly="0" outline="0" fieldPosition="0"/>
    </format>
    <format dxfId="2733">
      <pivotArea type="all" dataOnly="0" outline="0" fieldPosition="0"/>
    </format>
    <format dxfId="2732">
      <pivotArea type="all" dataOnly="0" outline="0" fieldPosition="0"/>
    </format>
    <format dxfId="2731">
      <pivotArea outline="0" collapsedLevelsAreSubtotals="1" fieldPosition="0"/>
    </format>
    <format dxfId="2730">
      <pivotArea dataOnly="0" labelOnly="1" grandRow="1" outline="0" fieldPosition="0"/>
    </format>
    <format dxfId="2729">
      <pivotArea dataOnly="0" labelOnly="1" outline="0" axis="axisValues" fieldPosition="0"/>
    </format>
    <format dxfId="2728">
      <pivotArea type="all" dataOnly="0" outline="0" fieldPosition="0"/>
    </format>
    <format dxfId="2727">
      <pivotArea outline="0" collapsedLevelsAreSubtotals="1" fieldPosition="0"/>
    </format>
    <format dxfId="2726">
      <pivotArea dataOnly="0" labelOnly="1" grandRow="1" outline="0" fieldPosition="0"/>
    </format>
    <format dxfId="2725">
      <pivotArea dataOnly="0" labelOnly="1" outline="0" axis="axisValues" fieldPosition="0"/>
    </format>
    <format dxfId="2724">
      <pivotArea type="all" dataOnly="0" outline="0" fieldPosition="0"/>
    </format>
    <format dxfId="2723">
      <pivotArea outline="0" collapsedLevelsAreSubtotals="1" fieldPosition="0"/>
    </format>
    <format dxfId="2722">
      <pivotArea dataOnly="0" labelOnly="1" grandRow="1" outline="0" fieldPosition="0"/>
    </format>
    <format dxfId="2721">
      <pivotArea dataOnly="0" labelOnly="1" outline="0" axis="axisValues" fieldPosition="0"/>
    </format>
    <format dxfId="2720">
      <pivotArea type="all" dataOnly="0" outline="0" fieldPosition="0"/>
    </format>
    <format dxfId="2719">
      <pivotArea outline="0" collapsedLevelsAreSubtotals="1" fieldPosition="0"/>
    </format>
    <format dxfId="2718">
      <pivotArea dataOnly="0" labelOnly="1" grandRow="1" outline="0" fieldPosition="0"/>
    </format>
    <format dxfId="2717">
      <pivotArea dataOnly="0" labelOnly="1" outline="0" axis="axisValues" fieldPosition="0"/>
    </format>
    <format dxfId="2716">
      <pivotArea type="all" dataOnly="0" outline="0" fieldPosition="0"/>
    </format>
    <format dxfId="2715">
      <pivotArea outline="0" collapsedLevelsAreSubtotals="1" fieldPosition="0"/>
    </format>
    <format dxfId="2714">
      <pivotArea type="all" dataOnly="0" outline="0" fieldPosition="0"/>
    </format>
    <format dxfId="2713">
      <pivotArea outline="0" collapsedLevelsAreSubtotals="1" fieldPosition="0"/>
    </format>
    <format dxfId="2712">
      <pivotArea outline="0" collapsedLevelsAreSubtotals="1" fieldPosition="0"/>
    </format>
    <format dxfId="2711">
      <pivotArea type="all" dataOnly="0" outline="0" fieldPosition="0"/>
    </format>
    <format dxfId="2710">
      <pivotArea outline="0" collapsedLevelsAreSubtotals="1" fieldPosition="0"/>
    </format>
    <format dxfId="2709">
      <pivotArea field="74" type="button" dataOnly="0" labelOnly="1" outline="0" axis="axisRow" fieldPosition="0"/>
    </format>
    <format dxfId="2708">
      <pivotArea dataOnly="0" labelOnly="1" fieldPosition="0">
        <references count="1">
          <reference field="74" count="0"/>
        </references>
      </pivotArea>
    </format>
    <format dxfId="2707">
      <pivotArea dataOnly="0" labelOnly="1" grandRow="1" outline="0" fieldPosition="0"/>
    </format>
    <format dxfId="2706">
      <pivotArea dataOnly="0" labelOnly="1" outline="0" axis="axisValues" fieldPosition="0"/>
    </format>
    <format dxfId="2705">
      <pivotArea type="all" dataOnly="0" outline="0" fieldPosition="0"/>
    </format>
    <format dxfId="270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5.xml><?xml version="1.0" encoding="utf-8"?>
<pivotTableDefinition xmlns="http://schemas.openxmlformats.org/spreadsheetml/2006/main" xmlns:mc="http://schemas.openxmlformats.org/markup-compatibility/2006" xmlns:xr="http://schemas.microsoft.com/office/spreadsheetml/2014/revision" mc:Ignorable="xr" xr:uid="{BEEA440F-7E00-40BE-BE63-CF6229B0D324}" name="PivotTable28"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E251:F270"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Items count="1">
    <i/>
  </colItems>
  <pageFields count="1">
    <pageField fld="9" hier="-1"/>
  </pageFields>
  <dataFields count="1">
    <dataField name="Sum of Net Dwellings" fld="45" baseField="0" baseItem="0"/>
  </dataFields>
  <formats count="38">
    <format dxfId="2780">
      <pivotArea type="all" dataOnly="0" outline="0" fieldPosition="0"/>
    </format>
    <format dxfId="2779">
      <pivotArea type="all" dataOnly="0" outline="0" fieldPosition="0"/>
    </format>
    <format dxfId="2778">
      <pivotArea type="all" dataOnly="0" outline="0" fieldPosition="0"/>
    </format>
    <format dxfId="2777">
      <pivotArea type="all" dataOnly="0" outline="0" fieldPosition="0"/>
    </format>
    <format dxfId="2776">
      <pivotArea type="all" dataOnly="0" outline="0" fieldPosition="0"/>
    </format>
    <format dxfId="2775">
      <pivotArea type="all" dataOnly="0" outline="0" fieldPosition="0"/>
    </format>
    <format dxfId="2774">
      <pivotArea type="all" dataOnly="0" outline="0" fieldPosition="0"/>
    </format>
    <format dxfId="2773">
      <pivotArea type="all" dataOnly="0" outline="0" fieldPosition="0"/>
    </format>
    <format dxfId="2772">
      <pivotArea type="all" dataOnly="0" outline="0" fieldPosition="0"/>
    </format>
    <format dxfId="2771">
      <pivotArea type="all" dataOnly="0" outline="0" fieldPosition="0"/>
    </format>
    <format dxfId="2770">
      <pivotArea type="all" dataOnly="0" outline="0" fieldPosition="0"/>
    </format>
    <format dxfId="2769">
      <pivotArea outline="0" collapsedLevelsAreSubtotals="1" fieldPosition="0"/>
    </format>
    <format dxfId="2768">
      <pivotArea dataOnly="0" labelOnly="1" grandRow="1" outline="0" fieldPosition="0"/>
    </format>
    <format dxfId="2767">
      <pivotArea dataOnly="0" labelOnly="1" outline="0" axis="axisValues" fieldPosition="0"/>
    </format>
    <format dxfId="2766">
      <pivotArea type="all" dataOnly="0" outline="0" fieldPosition="0"/>
    </format>
    <format dxfId="2765">
      <pivotArea outline="0" collapsedLevelsAreSubtotals="1" fieldPosition="0"/>
    </format>
    <format dxfId="2764">
      <pivotArea dataOnly="0" labelOnly="1" grandRow="1" outline="0" fieldPosition="0"/>
    </format>
    <format dxfId="2763">
      <pivotArea dataOnly="0" labelOnly="1" outline="0" axis="axisValues" fieldPosition="0"/>
    </format>
    <format dxfId="2762">
      <pivotArea type="all" dataOnly="0" outline="0" fieldPosition="0"/>
    </format>
    <format dxfId="2761">
      <pivotArea outline="0" collapsedLevelsAreSubtotals="1" fieldPosition="0"/>
    </format>
    <format dxfId="2760">
      <pivotArea dataOnly="0" labelOnly="1" grandRow="1" outline="0" fieldPosition="0"/>
    </format>
    <format dxfId="2759">
      <pivotArea dataOnly="0" labelOnly="1" outline="0" axis="axisValues" fieldPosition="0"/>
    </format>
    <format dxfId="2758">
      <pivotArea type="all" dataOnly="0" outline="0" fieldPosition="0"/>
    </format>
    <format dxfId="2757">
      <pivotArea outline="0" collapsedLevelsAreSubtotals="1" fieldPosition="0"/>
    </format>
    <format dxfId="2756">
      <pivotArea field="71" type="button" dataOnly="0" labelOnly="1" outline="0" axis="axisRow" fieldPosition="0"/>
    </format>
    <format dxfId="2755">
      <pivotArea dataOnly="0" labelOnly="1" grandRow="1" outline="0" fieldPosition="0"/>
    </format>
    <format dxfId="2754">
      <pivotArea dataOnly="0" labelOnly="1" outline="0" axis="axisValues" fieldPosition="0"/>
    </format>
    <format dxfId="2753">
      <pivotArea type="all" dataOnly="0" outline="0" fieldPosition="0"/>
    </format>
    <format dxfId="2752">
      <pivotArea outline="0" collapsedLevelsAreSubtotals="1" fieldPosition="0"/>
    </format>
    <format dxfId="2751">
      <pivotArea field="71" type="button" dataOnly="0" labelOnly="1" outline="0" axis="axisRow" fieldPosition="0"/>
    </format>
    <format dxfId="2750">
      <pivotArea dataOnly="0" labelOnly="1" grandRow="1" outline="0" fieldPosition="0"/>
    </format>
    <format dxfId="2749">
      <pivotArea dataOnly="0" labelOnly="1" outline="0" axis="axisValues" fieldPosition="0"/>
    </format>
    <format dxfId="2748">
      <pivotArea type="all" dataOnly="0" outline="0" fieldPosition="0"/>
    </format>
    <format dxfId="2747">
      <pivotArea outline="0" collapsedLevelsAreSubtotals="1" fieldPosition="0"/>
    </format>
    <format dxfId="2746">
      <pivotArea field="71" type="button" dataOnly="0" labelOnly="1" outline="0" axis="axisRow" fieldPosition="0"/>
    </format>
    <format dxfId="2745">
      <pivotArea dataOnly="0" labelOnly="1" fieldPosition="0">
        <references count="1">
          <reference field="71" count="15">
            <x v="0"/>
            <x v="1"/>
            <x v="2"/>
            <x v="4"/>
            <x v="5"/>
            <x v="7"/>
            <x v="8"/>
            <x v="9"/>
            <x v="11"/>
            <x v="12"/>
            <x v="13"/>
            <x v="15"/>
            <x v="16"/>
            <x v="17"/>
            <x v="18"/>
          </reference>
        </references>
      </pivotArea>
    </format>
    <format dxfId="2744">
      <pivotArea dataOnly="0" labelOnly="1" grandRow="1" outline="0" fieldPosition="0"/>
    </format>
    <format dxfId="27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6.xml><?xml version="1.0" encoding="utf-8"?>
<pivotTableDefinition xmlns="http://schemas.openxmlformats.org/spreadsheetml/2006/main" xmlns:mc="http://schemas.openxmlformats.org/markup-compatibility/2006" xmlns:xr="http://schemas.microsoft.com/office/spreadsheetml/2014/revision" mc:Ignorable="xr" xr:uid="{65D64DEE-032A-4E98-AAD3-8F4C00869746}" name="PivotTable1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Q279:T289" firstHeaderRow="0" firstDataRow="1" firstDataCol="1" rowPageCount="1" colPageCount="1"/>
  <pivotFields count="85">
    <pivotField showAll="0" defaultSubtotal="0"/>
    <pivotField multipleItemSelectionAllowed="1" showAll="0" defaultSubtotal="0"/>
    <pivotField showAll="0" defaultSubtotal="0"/>
    <pivotField multipleItemSelectionAllowed="1" showAll="0">
      <items count="266">
        <item h="1" x="61"/>
        <item h="1" x="63"/>
        <item h="1" x="64"/>
        <item h="1" x="65"/>
        <item h="1" x="66"/>
        <item h="1" x="67"/>
        <item h="1" x="0"/>
        <item h="1" x="69"/>
        <item h="1" x="71"/>
        <item h="1" x="70"/>
        <item h="1" x="75"/>
        <item h="1" x="68"/>
        <item h="1" x="74"/>
        <item h="1" x="73"/>
        <item h="1" x="1"/>
        <item h="1" x="76"/>
        <item h="1" x="77"/>
        <item h="1" x="78"/>
        <item h="1" x="83"/>
        <item h="1" x="87"/>
        <item h="1" x="81"/>
        <item h="1" x="2"/>
        <item h="1" x="86"/>
        <item h="1" x="80"/>
        <item h="1" x="82"/>
        <item h="1" x="85"/>
        <item h="1" x="88"/>
        <item h="1" x="4"/>
        <item h="1" x="90"/>
        <item h="1" x="5"/>
        <item h="1" x="93"/>
        <item h="1" x="6"/>
        <item h="1" x="79"/>
        <item h="1" x="94"/>
        <item h="1" x="100"/>
        <item h="1" x="7"/>
        <item h="1" x="98"/>
        <item h="1" x="97"/>
        <item h="1" x="102"/>
        <item h="1" x="96"/>
        <item h="1" x="91"/>
        <item h="1" x="9"/>
        <item h="1" x="105"/>
        <item h="1" x="95"/>
        <item h="1" x="104"/>
        <item h="1" x="107"/>
        <item h="1" x="11"/>
        <item h="1" x="12"/>
        <item h="1" x="8"/>
        <item h="1" x="92"/>
        <item h="1" x="84"/>
        <item h="1" x="101"/>
        <item h="1" x="106"/>
        <item h="1" x="72"/>
        <item h="1" x="115"/>
        <item h="1" x="10"/>
        <item h="1" x="19"/>
        <item h="1" x="18"/>
        <item h="1" x="116"/>
        <item h="1" x="103"/>
        <item h="1" x="122"/>
        <item h="1" x="20"/>
        <item h="1" x="110"/>
        <item h="1" x="99"/>
        <item h="1" x="16"/>
        <item h="1" x="168"/>
        <item h="1" x="109"/>
        <item h="1" x="119"/>
        <item h="1" x="175"/>
        <item h="1" x="177"/>
        <item h="1" x="174"/>
        <item h="1" x="127"/>
        <item h="1" x="128"/>
        <item h="1" x="114"/>
        <item h="1" x="166"/>
        <item h="1" x="155"/>
        <item h="1" x="120"/>
        <item h="1" x="21"/>
        <item h="1" x="121"/>
        <item h="1" x="24"/>
        <item h="1" x="15"/>
        <item h="1" x="17"/>
        <item h="1" x="118"/>
        <item h="1" x="113"/>
        <item h="1" x="124"/>
        <item h="1" x="171"/>
        <item h="1" x="170"/>
        <item h="1" x="164"/>
        <item h="1" x="163"/>
        <item h="1" x="172"/>
        <item h="1" x="28"/>
        <item h="1" x="182"/>
        <item h="1" x="158"/>
        <item h="1" x="169"/>
        <item h="1" x="123"/>
        <item h="1" x="29"/>
        <item h="1" x="30"/>
        <item h="1" x="188"/>
        <item h="1" x="26"/>
        <item h="1" x="187"/>
        <item h="1" x="183"/>
        <item h="1" x="134"/>
        <item h="1" x="167"/>
        <item h="1" x="191"/>
        <item h="1" x="165"/>
        <item h="1" x="179"/>
        <item h="1" x="161"/>
        <item h="1" x="27"/>
        <item h="1" x="32"/>
        <item h="1" x="112"/>
        <item h="1" x="22"/>
        <item h="1" x="186"/>
        <item h="1" x="130"/>
        <item h="1" x="13"/>
        <item h="1" x="117"/>
        <item h="1" x="33"/>
        <item h="1" x="129"/>
        <item h="1"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h="1" x="54"/>
        <item h="1" x="132"/>
        <item h="1" x="263"/>
        <item h="1" x="46"/>
        <item h="1" x="47"/>
        <item h="1" x="51"/>
        <item h="1" x="50"/>
        <item h="1" x="52"/>
        <item h="1" x="45"/>
        <item h="1" x="55"/>
        <item h="1" x="14"/>
        <item h="1" x="57"/>
        <item h="1" x="58"/>
        <item h="1" x="56"/>
        <item h="1" x="59"/>
        <item h="1" x="60"/>
        <item h="1" x="43"/>
        <item h="1" x="49"/>
        <item h="1" x="48"/>
        <item h="1" x="3"/>
        <item h="1" x="53"/>
        <item h="1" x="89"/>
        <item h="1" x="145"/>
        <item h="1" x="151"/>
        <item h="1" x="150"/>
        <item h="1" x="149"/>
        <item h="1" x="148"/>
        <item h="1" x="140"/>
        <item h="1" x="152"/>
        <item h="1" x="144"/>
        <item h="1" x="146"/>
        <item h="1" x="147"/>
        <item h="1" x="62"/>
        <item h="1" x="126"/>
        <item h="1" x="244"/>
        <item h="1" x="214"/>
        <item h="1" x="208"/>
        <item h="1" x="230"/>
        <item h="1" x="247"/>
        <item h="1" x="235"/>
        <item h="1" x="254"/>
        <item h="1" x="233"/>
        <item h="1" x="221"/>
        <item h="1" x="257"/>
        <item h="1" x="258"/>
        <item h="1" x="239"/>
        <item h="1" x="259"/>
        <item h="1" x="232"/>
        <item h="1" x="216"/>
        <item h="1" x="240"/>
        <item h="1" x="159"/>
        <item h="1" x="255"/>
        <item h="1" x="207"/>
        <item h="1" x="253"/>
        <item h="1" x="248"/>
        <item h="1" x="157"/>
        <item h="1" x="173"/>
        <item h="1" x="242"/>
        <item h="1" x="252"/>
        <item h="1" x="227"/>
        <item h="1" x="220"/>
        <item h="1" x="185"/>
        <item h="1" x="234"/>
        <item h="1" x="192"/>
        <item h="1" x="206"/>
        <item h="1" x="224"/>
        <item h="1" x="211"/>
        <item h="1" x="223"/>
        <item h="1" x="219"/>
        <item h="1" x="236"/>
        <item h="1" x="256"/>
        <item h="1" x="229"/>
        <item h="1" x="198"/>
        <item h="1" x="237"/>
        <item h="1" x="196"/>
        <item h="1" x="222"/>
        <item h="1" x="250"/>
        <item h="1" x="217"/>
        <item h="1" x="238"/>
        <item h="1" x="226"/>
        <item h="1" x="261"/>
        <item h="1" x="241"/>
        <item h="1" x="246"/>
        <item h="1" x="243"/>
        <item h="1" x="260"/>
        <item h="1" x="249"/>
        <item h="1" x="262"/>
        <item h="1" x="251"/>
        <item h="1" x="180"/>
        <item h="1" x="225"/>
        <item h="1" x="245"/>
        <item h="1" x="231"/>
        <item h="1" x="204"/>
        <item h="1" x="264"/>
        <item t="default"/>
      </items>
    </pivotField>
    <pivotField showAll="0"/>
    <pivotField showAll="0" defaultSubtotal="0"/>
    <pivotField showAll="0"/>
    <pivotField axis="axisPage" multipleItemSelectionAllowed="1" showAll="0">
      <items count="3">
        <item x="1"/>
        <item h="1" x="0"/>
        <item t="default"/>
      </items>
    </pivotField>
    <pivotField showAll="0" defaultSubtotal="0"/>
    <pivotField multipleItemSelectionAllowed="1" showAll="0" defaultSubtotal="0"/>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10">
    <i>
      <x/>
    </i>
    <i>
      <x v="1"/>
    </i>
    <i>
      <x v="2"/>
    </i>
    <i>
      <x v="3"/>
    </i>
    <i>
      <x v="4"/>
    </i>
    <i>
      <x v="5"/>
    </i>
    <i>
      <x v="6"/>
    </i>
    <i>
      <x v="7"/>
    </i>
    <i>
      <x v="8"/>
    </i>
    <i t="grand">
      <x/>
    </i>
  </rowItems>
  <colFields count="1">
    <field x="-2"/>
  </colFields>
  <colItems count="3">
    <i>
      <x/>
    </i>
    <i i="1">
      <x v="1"/>
    </i>
    <i i="2">
      <x v="2"/>
    </i>
  </colItems>
  <pageFields count="1">
    <pageField fld="7" hier="-1"/>
  </pageFields>
  <dataFields count="3">
    <dataField name="Sum of Units Proposed" fld="36" baseField="0" baseItem="0"/>
    <dataField name="Sum of Units Existing" fld="26" baseField="0" baseItem="0"/>
    <dataField name="Sum of Net Dwellings" fld="45" baseField="0" baseItem="0"/>
  </dataFields>
  <formats count="40">
    <format dxfId="2820">
      <pivotArea type="all" dataOnly="0" outline="0" fieldPosition="0"/>
    </format>
    <format dxfId="2819">
      <pivotArea type="all" dataOnly="0" outline="0" fieldPosition="0"/>
    </format>
    <format dxfId="2818">
      <pivotArea type="all" dataOnly="0" outline="0" fieldPosition="0"/>
    </format>
    <format dxfId="2817">
      <pivotArea type="all" dataOnly="0" outline="0" fieldPosition="0"/>
    </format>
    <format dxfId="2816">
      <pivotArea type="all" dataOnly="0" outline="0" fieldPosition="0"/>
    </format>
    <format dxfId="2815">
      <pivotArea type="all" dataOnly="0" outline="0" fieldPosition="0"/>
    </format>
    <format dxfId="2814">
      <pivotArea type="all" dataOnly="0" outline="0" fieldPosition="0"/>
    </format>
    <format dxfId="2813">
      <pivotArea dataOnly="0" labelOnly="1" outline="0" fieldPosition="0">
        <references count="1">
          <reference field="4294967294" count="2">
            <x v="0"/>
            <x v="2"/>
          </reference>
        </references>
      </pivotArea>
    </format>
    <format dxfId="2812">
      <pivotArea dataOnly="0" labelOnly="1" outline="0" fieldPosition="0">
        <references count="1">
          <reference field="4294967294" count="2">
            <x v="0"/>
            <x v="2"/>
          </reference>
        </references>
      </pivotArea>
    </format>
    <format dxfId="2811">
      <pivotArea dataOnly="0" labelOnly="1" outline="0" fieldPosition="0">
        <references count="1">
          <reference field="4294967294" count="2">
            <x v="0"/>
            <x v="2"/>
          </reference>
        </references>
      </pivotArea>
    </format>
    <format dxfId="2810">
      <pivotArea type="all" dataOnly="0" outline="0" fieldPosition="0"/>
    </format>
    <format dxfId="2809">
      <pivotArea type="all" dataOnly="0" outline="0" fieldPosition="0"/>
    </format>
    <format dxfId="2808">
      <pivotArea type="all" dataOnly="0" outline="0" fieldPosition="0"/>
    </format>
    <format dxfId="2807">
      <pivotArea type="all" dataOnly="0" outline="0" fieldPosition="0"/>
    </format>
    <format dxfId="2806">
      <pivotArea outline="0" collapsedLevelsAreSubtotals="1" fieldPosition="0"/>
    </format>
    <format dxfId="2805">
      <pivotArea dataOnly="0" labelOnly="1" grandRow="1" outline="0" fieldPosition="0"/>
    </format>
    <format dxfId="2804">
      <pivotArea dataOnly="0" labelOnly="1" outline="0" fieldPosition="0">
        <references count="1">
          <reference field="4294967294" count="2">
            <x v="0"/>
            <x v="2"/>
          </reference>
        </references>
      </pivotArea>
    </format>
    <format dxfId="2803">
      <pivotArea type="all" dataOnly="0" outline="0" fieldPosition="0"/>
    </format>
    <format dxfId="2802">
      <pivotArea outline="0" collapsedLevelsAreSubtotals="1" fieldPosition="0"/>
    </format>
    <format dxfId="2801">
      <pivotArea dataOnly="0" labelOnly="1" grandRow="1" outline="0" fieldPosition="0"/>
    </format>
    <format dxfId="2800">
      <pivotArea dataOnly="0" labelOnly="1" outline="0" fieldPosition="0">
        <references count="1">
          <reference field="4294967294" count="2">
            <x v="0"/>
            <x v="2"/>
          </reference>
        </references>
      </pivotArea>
    </format>
    <format dxfId="2799">
      <pivotArea type="all" dataOnly="0" outline="0" fieldPosition="0"/>
    </format>
    <format dxfId="2798">
      <pivotArea outline="0" collapsedLevelsAreSubtotals="1" fieldPosition="0"/>
    </format>
    <format dxfId="2797">
      <pivotArea dataOnly="0" labelOnly="1" grandRow="1" outline="0" fieldPosition="0"/>
    </format>
    <format dxfId="2796">
      <pivotArea dataOnly="0" labelOnly="1" outline="0" fieldPosition="0">
        <references count="1">
          <reference field="4294967294" count="2">
            <x v="0"/>
            <x v="2"/>
          </reference>
        </references>
      </pivotArea>
    </format>
    <format dxfId="2795">
      <pivotArea type="all" dataOnly="0" outline="0" fieldPosition="0"/>
    </format>
    <format dxfId="2794">
      <pivotArea outline="0" collapsedLevelsAreSubtotals="1" fieldPosition="0"/>
    </format>
    <format dxfId="2793">
      <pivotArea field="71" type="button" dataOnly="0" labelOnly="1" outline="0"/>
    </format>
    <format dxfId="2792">
      <pivotArea dataOnly="0" labelOnly="1" grandRow="1" outline="0" fieldPosition="0"/>
    </format>
    <format dxfId="2791">
      <pivotArea dataOnly="0" labelOnly="1" outline="0" fieldPosition="0">
        <references count="1">
          <reference field="4294967294" count="3">
            <x v="0"/>
            <x v="1"/>
            <x v="2"/>
          </reference>
        </references>
      </pivotArea>
    </format>
    <format dxfId="2790">
      <pivotArea type="all" dataOnly="0" outline="0" fieldPosition="0"/>
    </format>
    <format dxfId="2789">
      <pivotArea outline="0" collapsedLevelsAreSubtotals="1" fieldPosition="0"/>
    </format>
    <format dxfId="2788">
      <pivotArea field="71" type="button" dataOnly="0" labelOnly="1" outline="0"/>
    </format>
    <format dxfId="2787">
      <pivotArea dataOnly="0" labelOnly="1" grandRow="1" outline="0" fieldPosition="0"/>
    </format>
    <format dxfId="2786">
      <pivotArea dataOnly="0" labelOnly="1" outline="0" fieldPosition="0">
        <references count="1">
          <reference field="4294967294" count="3">
            <x v="0"/>
            <x v="1"/>
            <x v="2"/>
          </reference>
        </references>
      </pivotArea>
    </format>
    <format dxfId="2785">
      <pivotArea type="all" dataOnly="0" outline="0" fieldPosition="0"/>
    </format>
    <format dxfId="2784">
      <pivotArea outline="0" collapsedLevelsAreSubtotals="1" fieldPosition="0"/>
    </format>
    <format dxfId="2783">
      <pivotArea field="71" type="button" dataOnly="0" labelOnly="1" outline="0"/>
    </format>
    <format dxfId="2782">
      <pivotArea dataOnly="0" labelOnly="1" grandRow="1" outline="0" fieldPosition="0"/>
    </format>
    <format dxfId="2781">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7.xml><?xml version="1.0" encoding="utf-8"?>
<pivotTableDefinition xmlns="http://schemas.openxmlformats.org/spreadsheetml/2006/main" xmlns:mc="http://schemas.openxmlformats.org/markup-compatibility/2006" xmlns:xr="http://schemas.microsoft.com/office/spreadsheetml/2014/revision" mc:Ignorable="xr" xr:uid="{2C537216-1BEE-454A-B697-BF584D64F73A}" name="PivotTable1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56:C463" firstHeaderRow="1" firstDataRow="1" firstDataCol="1" rowPageCount="4" colPageCount="1"/>
  <pivotFields count="85">
    <pivotField showAll="0" defaultSubtotal="0"/>
    <pivotField axis="axisPage" multipleItemSelectionAllowed="1" showAll="0" defaultSubtotal="0">
      <items count="5">
        <item h="1" x="1"/>
        <item h="1" x="4"/>
        <item h="1" x="2"/>
        <item x="3"/>
        <item x="0"/>
      </items>
    </pivotField>
    <pivotField axis="axisPage" multipleItemSelectionAllowed="1" showAll="0" defaultSubtotal="0">
      <items count="8">
        <item x="1"/>
        <item x="5"/>
        <item x="0"/>
        <item x="2"/>
        <item x="3"/>
        <item x="4"/>
        <item x="6"/>
        <item x="7"/>
      </items>
    </pivotField>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h="1" x="2"/>
        <item h="1" x="3"/>
        <item h="1" x="6"/>
        <item h="1" x="4"/>
        <item h="1" x="5"/>
      </items>
    </pivotField>
    <pivotField multipleItemSelectionAllowed="1" showAll="0" defaultSubtotal="0"/>
    <pivotField axis="axisPage" multipleItemSelectionAllowed="1" showAll="0">
      <items count="13">
        <item x="10"/>
        <item h="1" x="1"/>
        <item x="2"/>
        <item x="11"/>
        <item x="5"/>
        <item x="7"/>
        <item x="3"/>
        <item x="8"/>
        <item x="9"/>
        <item x="0"/>
        <item h="1" x="4"/>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3"/>
        <item x="5"/>
        <item x="4"/>
        <item x="1"/>
        <item x="2"/>
        <item x="0"/>
        <item x="6"/>
        <item t="default"/>
      </items>
    </pivotField>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2"/>
  </rowFields>
  <rowItems count="7">
    <i>
      <x/>
    </i>
    <i>
      <x v="1"/>
    </i>
    <i>
      <x v="2"/>
    </i>
    <i>
      <x v="3"/>
    </i>
    <i>
      <x v="4"/>
    </i>
    <i>
      <x v="5"/>
    </i>
    <i t="grand">
      <x/>
    </i>
  </rowItems>
  <colItems count="1">
    <i/>
  </colItems>
  <pageFields count="4">
    <pageField fld="11" hier="-1"/>
    <pageField fld="9" hier="-1"/>
    <pageField fld="2" hier="-1"/>
    <pageField fld="1" hier="-1"/>
  </pageFields>
  <dataFields count="1">
    <dataField name="Sum of Net Dwellings" fld="45" baseField="0" baseItem="0"/>
  </dataFields>
  <formats count="43">
    <format dxfId="2863">
      <pivotArea type="all" dataOnly="0" outline="0" fieldPosition="0"/>
    </format>
    <format dxfId="2862">
      <pivotArea type="all" dataOnly="0" outline="0" fieldPosition="0"/>
    </format>
    <format dxfId="2861">
      <pivotArea type="all" dataOnly="0" outline="0" fieldPosition="0"/>
    </format>
    <format dxfId="2860">
      <pivotArea type="all" dataOnly="0" outline="0" fieldPosition="0"/>
    </format>
    <format dxfId="2859">
      <pivotArea type="all" dataOnly="0" outline="0" fieldPosition="0"/>
    </format>
    <format dxfId="2858">
      <pivotArea type="all" dataOnly="0" outline="0" fieldPosition="0"/>
    </format>
    <format dxfId="2857">
      <pivotArea type="all" dataOnly="0" outline="0" fieldPosition="0"/>
    </format>
    <format dxfId="2856">
      <pivotArea dataOnly="0" labelOnly="1" outline="0" fieldPosition="0">
        <references count="1">
          <reference field="4294967294" count="1">
            <x v="0"/>
          </reference>
        </references>
      </pivotArea>
    </format>
    <format dxfId="2855">
      <pivotArea dataOnly="0" labelOnly="1" outline="0" fieldPosition="0">
        <references count="1">
          <reference field="4294967294" count="1">
            <x v="0"/>
          </reference>
        </references>
      </pivotArea>
    </format>
    <format dxfId="2854">
      <pivotArea dataOnly="0" labelOnly="1" outline="0" fieldPosition="0">
        <references count="1">
          <reference field="4294967294" count="1">
            <x v="0"/>
          </reference>
        </references>
      </pivotArea>
    </format>
    <format dxfId="2853">
      <pivotArea type="all" dataOnly="0" outline="0" fieldPosition="0"/>
    </format>
    <format dxfId="2852">
      <pivotArea type="all" dataOnly="0" outline="0" fieldPosition="0"/>
    </format>
    <format dxfId="2851">
      <pivotArea type="all" dataOnly="0" outline="0" fieldPosition="0"/>
    </format>
    <format dxfId="2850">
      <pivotArea type="all" dataOnly="0" outline="0" fieldPosition="0"/>
    </format>
    <format dxfId="2849">
      <pivotArea outline="0" collapsedLevelsAreSubtotals="1" fieldPosition="0"/>
    </format>
    <format dxfId="2848">
      <pivotArea dataOnly="0" labelOnly="1" grandRow="1" outline="0" fieldPosition="0"/>
    </format>
    <format dxfId="2847">
      <pivotArea dataOnly="0" labelOnly="1" outline="0" axis="axisValues" fieldPosition="0"/>
    </format>
    <format dxfId="2846">
      <pivotArea type="all" dataOnly="0" outline="0" fieldPosition="0"/>
    </format>
    <format dxfId="2845">
      <pivotArea outline="0" collapsedLevelsAreSubtotals="1" fieldPosition="0"/>
    </format>
    <format dxfId="2844">
      <pivotArea dataOnly="0" labelOnly="1" grandRow="1" outline="0" fieldPosition="0"/>
    </format>
    <format dxfId="2843">
      <pivotArea dataOnly="0" labelOnly="1" outline="0" axis="axisValues" fieldPosition="0"/>
    </format>
    <format dxfId="2842">
      <pivotArea type="all" dataOnly="0" outline="0" fieldPosition="0"/>
    </format>
    <format dxfId="2841">
      <pivotArea outline="0" collapsedLevelsAreSubtotals="1" fieldPosition="0"/>
    </format>
    <format dxfId="2840">
      <pivotArea dataOnly="0" labelOnly="1" grandRow="1" outline="0" fieldPosition="0"/>
    </format>
    <format dxfId="2839">
      <pivotArea dataOnly="0" labelOnly="1" outline="0" axis="axisValues" fieldPosition="0"/>
    </format>
    <format dxfId="2838">
      <pivotArea type="all" dataOnly="0" outline="0" fieldPosition="0"/>
    </format>
    <format dxfId="2837">
      <pivotArea outline="0" collapsedLevelsAreSubtotals="1" fieldPosition="0"/>
    </format>
    <format dxfId="2836">
      <pivotArea dataOnly="0" labelOnly="1" grandRow="1" outline="0" fieldPosition="0"/>
    </format>
    <format dxfId="2835">
      <pivotArea dataOnly="0" labelOnly="1" outline="0" axis="axisValues" fieldPosition="0"/>
    </format>
    <format dxfId="2834">
      <pivotArea type="all" dataOnly="0" outline="0" fieldPosition="0"/>
    </format>
    <format dxfId="2833">
      <pivotArea outline="0" collapsedLevelsAreSubtotals="1" fieldPosition="0"/>
    </format>
    <format dxfId="2832">
      <pivotArea dataOnly="0" labelOnly="1" grandRow="1" outline="0" fieldPosition="0"/>
    </format>
    <format dxfId="2831">
      <pivotArea dataOnly="0" labelOnly="1" outline="0" axis="axisValues" fieldPosition="0"/>
    </format>
    <format dxfId="2830">
      <pivotArea type="all" dataOnly="0" outline="0" fieldPosition="0"/>
    </format>
    <format dxfId="2829">
      <pivotArea outline="0" collapsedLevelsAreSubtotals="1" fieldPosition="0"/>
    </format>
    <format dxfId="2828">
      <pivotArea dataOnly="0" labelOnly="1" grandRow="1" outline="0" fieldPosition="0"/>
    </format>
    <format dxfId="2827">
      <pivotArea dataOnly="0" labelOnly="1" outline="0" axis="axisValues" fieldPosition="0"/>
    </format>
    <format dxfId="2826">
      <pivotArea type="all" dataOnly="0" outline="0" fieldPosition="0"/>
    </format>
    <format dxfId="2825">
      <pivotArea outline="0" collapsedLevelsAreSubtotals="1" fieldPosition="0"/>
    </format>
    <format dxfId="2824">
      <pivotArea field="72" type="button" dataOnly="0" labelOnly="1" outline="0" axis="axisRow" fieldPosition="0"/>
    </format>
    <format dxfId="2823">
      <pivotArea dataOnly="0" labelOnly="1" fieldPosition="0">
        <references count="1">
          <reference field="72" count="6">
            <x v="0"/>
            <x v="1"/>
            <x v="2"/>
            <x v="3"/>
            <x v="4"/>
            <x v="5"/>
          </reference>
        </references>
      </pivotArea>
    </format>
    <format dxfId="2822">
      <pivotArea dataOnly="0" labelOnly="1" grandRow="1" outline="0" fieldPosition="0"/>
    </format>
    <format dxfId="282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8.xml><?xml version="1.0" encoding="utf-8"?>
<pivotTableDefinition xmlns="http://schemas.openxmlformats.org/spreadsheetml/2006/main" xmlns:mc="http://schemas.openxmlformats.org/markup-compatibility/2006" xmlns:xr="http://schemas.microsoft.com/office/spreadsheetml/2014/revision" mc:Ignorable="xr" xr:uid="{4670D627-0319-4D01-A666-245BA692840E}" name="PivotTable49"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25:C230" firstHeaderRow="1" firstDataRow="1" firstDataCol="1" rowPageCount="1"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51"/>
        <item x="57"/>
        <item x="60"/>
        <item x="50"/>
        <item x="58"/>
        <item x="43"/>
        <item x="14"/>
        <item x="49"/>
        <item x="56"/>
        <item x="48"/>
        <item x="3"/>
        <item x="53"/>
        <item x="46"/>
        <item x="47"/>
        <item x="59"/>
        <item x="52"/>
        <item x="145"/>
        <item x="151"/>
        <item x="150"/>
        <item x="149"/>
        <item x="148"/>
        <item x="140"/>
        <item x="152"/>
        <item x="144"/>
        <item x="146"/>
        <item x="147"/>
        <item x="89"/>
        <item x="214"/>
        <item x="208"/>
        <item x="230"/>
        <item x="247"/>
        <item x="235"/>
        <item x="254"/>
        <item x="233"/>
        <item x="221"/>
        <item x="257"/>
        <item x="258"/>
        <item x="239"/>
        <item x="259"/>
        <item x="232"/>
        <item x="216"/>
        <item x="240"/>
        <item x="159"/>
        <item x="255"/>
        <item x="207"/>
        <item x="253"/>
        <item x="248"/>
        <item x="157"/>
        <item x="173"/>
        <item x="242"/>
        <item x="252"/>
        <item x="227"/>
        <item x="220"/>
        <item x="185"/>
        <item x="234"/>
        <item x="192"/>
        <item x="206"/>
        <item x="224"/>
        <item x="211"/>
        <item x="223"/>
        <item x="219"/>
        <item x="236"/>
        <item x="256"/>
        <item x="229"/>
        <item x="198"/>
        <item x="237"/>
        <item x="196"/>
        <item x="222"/>
        <item x="250"/>
        <item x="217"/>
        <item x="238"/>
        <item x="226"/>
        <item x="261"/>
        <item x="241"/>
        <item x="246"/>
        <item x="243"/>
        <item x="260"/>
        <item x="249"/>
        <item x="262"/>
        <item x="251"/>
        <item x="180"/>
        <item x="225"/>
        <item x="264"/>
        <item x="55"/>
        <item x="45"/>
        <item x="62"/>
        <item x="126"/>
        <item x="245"/>
        <item x="231"/>
        <item x="204"/>
        <item x="244"/>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5"/>
        <item h="1" x="6"/>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7">
        <item x="4"/>
        <item x="3"/>
        <item x="5"/>
        <item x="2"/>
        <item x="1"/>
        <item h="1" x="0"/>
        <item t="default"/>
      </items>
    </pivotField>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3"/>
  </rowFields>
  <rowItems count="5">
    <i>
      <x/>
    </i>
    <i>
      <x v="1"/>
    </i>
    <i>
      <x v="3"/>
    </i>
    <i>
      <x v="4"/>
    </i>
    <i t="grand">
      <x/>
    </i>
  </rowItems>
  <colItems count="1">
    <i/>
  </colItems>
  <pageFields count="1">
    <pageField fld="9" hier="-1"/>
  </pageFields>
  <dataFields count="1">
    <dataField name="Sum of Net Dwellings" fld="45" baseField="0" baseItem="0"/>
  </dataFields>
  <formats count="44">
    <format dxfId="2907">
      <pivotArea type="all" dataOnly="0" outline="0" fieldPosition="0"/>
    </format>
    <format dxfId="2906">
      <pivotArea type="all" dataOnly="0" outline="0" fieldPosition="0"/>
    </format>
    <format dxfId="2905">
      <pivotArea type="all" dataOnly="0" outline="0" fieldPosition="0"/>
    </format>
    <format dxfId="2904">
      <pivotArea type="all" dataOnly="0" outline="0" fieldPosition="0"/>
    </format>
    <format dxfId="2903">
      <pivotArea type="all" dataOnly="0" outline="0" fieldPosition="0"/>
    </format>
    <format dxfId="2902">
      <pivotArea type="all" dataOnly="0" outline="0" fieldPosition="0"/>
    </format>
    <format dxfId="2901">
      <pivotArea type="all" dataOnly="0" outline="0" fieldPosition="0"/>
    </format>
    <format dxfId="2900">
      <pivotArea type="all" dataOnly="0" outline="0" fieldPosition="0"/>
    </format>
    <format dxfId="2899">
      <pivotArea type="all" dataOnly="0" outline="0" fieldPosition="0"/>
    </format>
    <format dxfId="2898">
      <pivotArea type="all" dataOnly="0" outline="0" fieldPosition="0"/>
    </format>
    <format dxfId="2897">
      <pivotArea type="all" dataOnly="0" outline="0" fieldPosition="0"/>
    </format>
    <format dxfId="2896">
      <pivotArea outline="0" collapsedLevelsAreSubtotals="1" fieldPosition="0"/>
    </format>
    <format dxfId="2895">
      <pivotArea dataOnly="0" labelOnly="1" grandRow="1" outline="0" fieldPosition="0"/>
    </format>
    <format dxfId="2894">
      <pivotArea dataOnly="0" labelOnly="1" outline="0" axis="axisValues" fieldPosition="0"/>
    </format>
    <format dxfId="2893">
      <pivotArea type="all" dataOnly="0" outline="0" fieldPosition="0"/>
    </format>
    <format dxfId="2892">
      <pivotArea outline="0" collapsedLevelsAreSubtotals="1" fieldPosition="0"/>
    </format>
    <format dxfId="2891">
      <pivotArea dataOnly="0" labelOnly="1" grandRow="1" outline="0" fieldPosition="0"/>
    </format>
    <format dxfId="2890">
      <pivotArea dataOnly="0" labelOnly="1" outline="0" axis="axisValues" fieldPosition="0"/>
    </format>
    <format dxfId="2889">
      <pivotArea type="all" dataOnly="0" outline="0" fieldPosition="0"/>
    </format>
    <format dxfId="2888">
      <pivotArea outline="0" collapsedLevelsAreSubtotals="1" fieldPosition="0"/>
    </format>
    <format dxfId="2887">
      <pivotArea dataOnly="0" labelOnly="1" grandRow="1" outline="0" fieldPosition="0"/>
    </format>
    <format dxfId="2886">
      <pivotArea dataOnly="0" labelOnly="1" outline="0" axis="axisValues" fieldPosition="0"/>
    </format>
    <format dxfId="2885">
      <pivotArea type="all" dataOnly="0" outline="0" fieldPosition="0"/>
    </format>
    <format dxfId="2884">
      <pivotArea outline="0" collapsedLevelsAreSubtotals="1" fieldPosition="0"/>
    </format>
    <format dxfId="2883">
      <pivotArea dataOnly="0" labelOnly="1" grandRow="1" outline="0" fieldPosition="0"/>
    </format>
    <format dxfId="2882">
      <pivotArea dataOnly="0" labelOnly="1" outline="0" axis="axisValues" fieldPosition="0"/>
    </format>
    <format dxfId="2881">
      <pivotArea type="all" dataOnly="0" outline="0" fieldPosition="0"/>
    </format>
    <format dxfId="2880">
      <pivotArea outline="0" collapsedLevelsAreSubtotals="1" fieldPosition="0"/>
    </format>
    <format dxfId="2879">
      <pivotArea type="all" dataOnly="0" outline="0" fieldPosition="0"/>
    </format>
    <format dxfId="2878">
      <pivotArea outline="0" collapsedLevelsAreSubtotals="1" fieldPosition="0"/>
    </format>
    <format dxfId="2877">
      <pivotArea outline="0" collapsedLevelsAreSubtotals="1" fieldPosition="0"/>
    </format>
    <format dxfId="2876">
      <pivotArea collapsedLevelsAreSubtotals="1" fieldPosition="0">
        <references count="1">
          <reference field="73" count="1">
            <x v="5"/>
          </reference>
        </references>
      </pivotArea>
    </format>
    <format dxfId="2875">
      <pivotArea grandRow="1" outline="0" collapsedLevelsAreSubtotals="1" fieldPosition="0"/>
    </format>
    <format dxfId="2874">
      <pivotArea grandRow="1" outline="0" collapsedLevelsAreSubtotals="1" fieldPosition="0"/>
    </format>
    <format dxfId="2873">
      <pivotArea type="all" dataOnly="0" outline="0" fieldPosition="0"/>
    </format>
    <format dxfId="2872">
      <pivotArea outline="0" collapsedLevelsAreSubtotals="1" fieldPosition="0"/>
    </format>
    <format dxfId="2871">
      <pivotArea field="73" type="button" dataOnly="0" labelOnly="1" outline="0" axis="axisRow" fieldPosition="0"/>
    </format>
    <format dxfId="2870">
      <pivotArea dataOnly="0" labelOnly="1" fieldPosition="0">
        <references count="1">
          <reference field="73" count="1">
            <x v="5"/>
          </reference>
        </references>
      </pivotArea>
    </format>
    <format dxfId="2869">
      <pivotArea dataOnly="0" labelOnly="1" grandRow="1" outline="0" fieldPosition="0"/>
    </format>
    <format dxfId="2868">
      <pivotArea dataOnly="0" labelOnly="1" outline="0" axis="axisValues" fieldPosition="0"/>
    </format>
    <format dxfId="2867">
      <pivotArea type="all" dataOnly="0" outline="0" fieldPosition="0"/>
    </format>
    <format dxfId="2866">
      <pivotArea outline="0" collapsedLevelsAreSubtotals="1" fieldPosition="0"/>
    </format>
    <format dxfId="2865">
      <pivotArea collapsedLevelsAreSubtotals="1" fieldPosition="0">
        <references count="1">
          <reference field="73" count="4">
            <x v="0"/>
            <x v="1"/>
            <x v="2"/>
            <x v="3"/>
          </reference>
        </references>
      </pivotArea>
    </format>
    <format dxfId="2864">
      <pivotArea collapsedLevelsAreSubtotals="1" fieldPosition="0">
        <references count="1">
          <reference field="73" count="1">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9.xml><?xml version="1.0" encoding="utf-8"?>
<pivotTableDefinition xmlns="http://schemas.openxmlformats.org/spreadsheetml/2006/main" xmlns:mc="http://schemas.openxmlformats.org/markup-compatibility/2006" xmlns:xr="http://schemas.microsoft.com/office/spreadsheetml/2014/revision" mc:Ignorable="xr" xr:uid="{A6AE8632-D3C3-496B-8E3C-B1CAE2DB44F3}" name="PivotTable4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551:M559" firstHeaderRow="0" firstDataRow="1" firstDataCol="1" rowPageCount="1" colPageCount="1"/>
  <pivotFields count="85">
    <pivotField showAll="0" defaultSubtotal="0"/>
    <pivotField multipleItemSelectionAllowed="1" showAll="0" defaultSubtotal="0"/>
    <pivotField multipleItemSelectionAllowed="1"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3"/>
        <item x="14"/>
        <item x="46"/>
        <item x="47"/>
        <item x="51"/>
        <item x="43"/>
        <item x="50"/>
        <item x="49"/>
        <item x="48"/>
        <item x="52"/>
        <item x="45"/>
        <item x="53"/>
        <item x="55"/>
        <item x="57"/>
        <item x="58"/>
        <item x="56"/>
        <item x="59"/>
        <item x="60"/>
        <item x="62"/>
        <item x="89"/>
        <item x="126"/>
        <item x="140"/>
        <item x="144"/>
        <item x="146"/>
        <item x="148"/>
        <item x="149"/>
        <item x="145"/>
        <item x="147"/>
        <item x="150"/>
        <item x="151"/>
        <item x="152"/>
        <item x="157"/>
        <item x="180"/>
        <item x="225"/>
        <item x="217"/>
        <item x="204"/>
        <item x="214"/>
        <item x="229"/>
        <item x="173"/>
        <item x="206"/>
        <item x="232"/>
        <item x="222"/>
        <item x="220"/>
        <item x="224"/>
        <item x="207"/>
        <item x="198"/>
        <item x="216"/>
        <item x="238"/>
        <item x="211"/>
        <item x="241"/>
        <item x="240"/>
        <item x="159"/>
        <item x="226"/>
        <item x="227"/>
        <item x="245"/>
        <item x="208"/>
        <item x="230"/>
        <item x="247"/>
        <item x="244"/>
        <item x="185"/>
        <item x="246"/>
        <item x="231"/>
        <item x="234"/>
        <item x="237"/>
        <item x="223"/>
        <item x="250"/>
        <item x="235"/>
        <item x="251"/>
        <item x="219"/>
        <item x="254"/>
        <item x="252"/>
        <item x="253"/>
        <item x="233"/>
        <item x="221"/>
        <item x="255"/>
        <item x="248"/>
        <item x="257"/>
        <item x="258"/>
        <item x="236"/>
        <item x="239"/>
        <item x="243"/>
        <item x="260"/>
        <item x="261"/>
        <item x="242"/>
        <item x="192"/>
        <item x="256"/>
        <item x="259"/>
        <item x="196"/>
        <item x="249"/>
        <item x="262"/>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h="1" x="1"/>
        <item h="1" x="2"/>
        <item x="3"/>
        <item x="6"/>
        <item x="4"/>
        <item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items count="20">
        <item x="17"/>
        <item x="9"/>
        <item x="6"/>
        <item x="10"/>
        <item x="7"/>
        <item x="1"/>
        <item x="14"/>
        <item x="15"/>
        <item x="13"/>
        <item x="5"/>
        <item x="8"/>
        <item x="12"/>
        <item x="2"/>
        <item x="3"/>
        <item x="11"/>
        <item x="4"/>
        <item x="16"/>
        <item x="0"/>
        <item x="18"/>
        <item t="default"/>
      </items>
    </pivotField>
    <pivotField showAll="0"/>
    <pivotField showAll="0"/>
    <pivotField showAll="0"/>
    <pivotField showAll="0"/>
    <pivotField showAll="0"/>
    <pivotField showAll="0"/>
    <pivotField showAll="0"/>
    <pivotField showAll="0"/>
    <pivotField showAll="0"/>
    <pivotField axis="axisRow" showAll="0">
      <items count="11">
        <item x="3"/>
        <item x="6"/>
        <item x="1"/>
        <item x="8"/>
        <item x="5"/>
        <item x="4"/>
        <item x="7"/>
        <item x="2"/>
        <item x="0"/>
        <item x="9"/>
        <item t="default"/>
      </items>
    </pivotField>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81"/>
  </rowFields>
  <rowItems count="8">
    <i>
      <x v="2"/>
    </i>
    <i>
      <x v="4"/>
    </i>
    <i>
      <x v="5"/>
    </i>
    <i>
      <x v="6"/>
    </i>
    <i>
      <x v="7"/>
    </i>
    <i>
      <x v="8"/>
    </i>
    <i>
      <x v="9"/>
    </i>
    <i t="grand">
      <x/>
    </i>
  </rowItems>
  <colFields count="1">
    <field x="-2"/>
  </colFields>
  <colItems count="11">
    <i>
      <x/>
    </i>
    <i i="1">
      <x v="1"/>
    </i>
    <i i="2">
      <x v="2"/>
    </i>
    <i i="3">
      <x v="3"/>
    </i>
    <i i="4">
      <x v="4"/>
    </i>
    <i i="5">
      <x v="5"/>
    </i>
    <i i="6">
      <x v="6"/>
    </i>
    <i i="7">
      <x v="7"/>
    </i>
    <i i="8">
      <x v="8"/>
    </i>
    <i i="9">
      <x v="9"/>
    </i>
    <i i="10">
      <x v="10"/>
    </i>
  </colItems>
  <pageFields count="1">
    <pageField fld="9" hier="-1"/>
  </pageFields>
  <dataFields count="11">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 name="Sum of 2030/31 (6)" fld="53" baseField="0" baseItem="0"/>
    <dataField name="Sum of 2031/32 (7)" fld="54" baseField="0" baseItem="0"/>
    <dataField name="Sum of 2032/33 (8)" fld="55" baseField="0" baseItem="0"/>
    <dataField name="Sum of 2033/34 (9)" fld="56" baseField="0" baseItem="0"/>
    <dataField name="Sum of 2034/35 (10)" fld="57" baseField="0" baseItem="0"/>
    <dataField name="Sum of 2025–2035 Total" fld="65" baseField="0" baseItem="0"/>
  </dataFields>
  <formats count="35">
    <format dxfId="2942">
      <pivotArea type="all" dataOnly="0" outline="0" fieldPosition="0"/>
    </format>
    <format dxfId="2941">
      <pivotArea type="all" dataOnly="0" outline="0" fieldPosition="0"/>
    </format>
    <format dxfId="2940">
      <pivotArea type="all" dataOnly="0" outline="0" fieldPosition="0"/>
    </format>
    <format dxfId="2939">
      <pivotArea type="all" dataOnly="0" outline="0" fieldPosition="0"/>
    </format>
    <format dxfId="2938">
      <pivotArea type="all" dataOnly="0" outline="0" fieldPosition="0"/>
    </format>
    <format dxfId="2937">
      <pivotArea type="all" dataOnly="0" outline="0" fieldPosition="0"/>
    </format>
    <format dxfId="2936">
      <pivotArea type="all" dataOnly="0" outline="0" fieldPosition="0"/>
    </format>
    <format dxfId="2935">
      <pivotArea type="all" dataOnly="0" outline="0" fieldPosition="0"/>
    </format>
    <format dxfId="2934">
      <pivotArea type="all" dataOnly="0" outline="0" fieldPosition="0"/>
    </format>
    <format dxfId="2933">
      <pivotArea type="all" dataOnly="0" outline="0" fieldPosition="0"/>
    </format>
    <format dxfId="2932">
      <pivotArea type="all" dataOnly="0" outline="0" fieldPosition="0"/>
    </format>
    <format dxfId="2931">
      <pivotArea outline="0" collapsedLevelsAreSubtotals="1" fieldPosition="0"/>
    </format>
    <format dxfId="2930">
      <pivotArea dataOnly="0" labelOnly="1" grandRow="1" outline="0" fieldPosition="0"/>
    </format>
    <format dxfId="2929">
      <pivotArea outline="0" collapsedLevelsAreSubtotals="1" fieldPosition="0"/>
    </format>
    <format dxfId="2928">
      <pivotArea type="all" dataOnly="0" outline="0" fieldPosition="0"/>
    </format>
    <format dxfId="2927">
      <pivotArea outline="0" collapsedLevelsAreSubtotals="1" fieldPosition="0"/>
    </format>
    <format dxfId="2926">
      <pivotArea dataOnly="0" labelOnly="1" grandRow="1" outline="0" fieldPosition="0"/>
    </format>
    <format dxfId="2925">
      <pivotArea type="all" dataOnly="0" outline="0" fieldPosition="0"/>
    </format>
    <format dxfId="2924">
      <pivotArea outline="0" collapsedLevelsAreSubtotals="1" fieldPosition="0"/>
    </format>
    <format dxfId="2923">
      <pivotArea dataOnly="0" labelOnly="1" grandRow="1" outline="0" fieldPosition="0"/>
    </format>
    <format dxfId="2922">
      <pivotArea type="all" dataOnly="0" outline="0" fieldPosition="0"/>
    </format>
    <format dxfId="2921">
      <pivotArea outline="0" collapsedLevelsAreSubtotals="1" fieldPosition="0"/>
    </format>
    <format dxfId="2920">
      <pivotArea outline="0" collapsedLevelsAreSubtotals="1" fieldPosition="0"/>
    </format>
    <format dxfId="2919">
      <pivotArea type="all" dataOnly="0" outline="0" fieldPosition="0"/>
    </format>
    <format dxfId="2918">
      <pivotArea outline="0" collapsedLevelsAreSubtotals="1" fieldPosition="0"/>
    </format>
    <format dxfId="2917">
      <pivotArea field="71" type="button" dataOnly="0" labelOnly="1" outline="0"/>
    </format>
    <format dxfId="2916">
      <pivotArea dataOnly="0" labelOnly="1" grandRow="1" outline="0" fieldPosition="0"/>
    </format>
    <format dxfId="2915">
      <pivotArea type="all" dataOnly="0" outline="0" fieldPosition="0"/>
    </format>
    <format dxfId="2914">
      <pivotArea outline="0" collapsedLevelsAreSubtotals="1" fieldPosition="0"/>
    </format>
    <format dxfId="2913">
      <pivotArea field="71" type="button" dataOnly="0" labelOnly="1" outline="0"/>
    </format>
    <format dxfId="2912">
      <pivotArea dataOnly="0" labelOnly="1" grandRow="1" outline="0" fieldPosition="0"/>
    </format>
    <format dxfId="2911">
      <pivotArea type="all" dataOnly="0" outline="0" fieldPosition="0"/>
    </format>
    <format dxfId="2910">
      <pivotArea outline="0" collapsedLevelsAreSubtotals="1" fieldPosition="0"/>
    </format>
    <format dxfId="2909">
      <pivotArea field="71" type="button" dataOnly="0" labelOnly="1" outline="0"/>
    </format>
    <format dxfId="290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80A1901A-F3D2-4C4B-8F90-5CD07C740C48}" name="PivotTable32"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279:E298" firstHeaderRow="0" firstDataRow="1" firstDataCol="1" rowPageCount="1" colPageCount="1"/>
  <pivotFields count="85">
    <pivotField showAll="0" defaultSubtotal="0"/>
    <pivotField multipleItemSelectionAllowed="1" showAll="0" defaultSubtotal="0"/>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multipleItemSelectionAllowe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20">
        <item x="17"/>
        <item x="9"/>
        <item x="6"/>
        <item x="10"/>
        <item x="7"/>
        <item x="1"/>
        <item x="14"/>
        <item x="15"/>
        <item x="13"/>
        <item x="5"/>
        <item x="18"/>
        <item x="8"/>
        <item x="12"/>
        <item x="2"/>
        <item x="3"/>
        <item x="11"/>
        <item x="4"/>
        <item x="16"/>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1"/>
  </rowFields>
  <rowItems count="19">
    <i>
      <x/>
    </i>
    <i>
      <x v="1"/>
    </i>
    <i>
      <x v="2"/>
    </i>
    <i>
      <x v="3"/>
    </i>
    <i>
      <x v="4"/>
    </i>
    <i>
      <x v="5"/>
    </i>
    <i>
      <x v="6"/>
    </i>
    <i>
      <x v="7"/>
    </i>
    <i>
      <x v="8"/>
    </i>
    <i>
      <x v="9"/>
    </i>
    <i>
      <x v="11"/>
    </i>
    <i>
      <x v="12"/>
    </i>
    <i>
      <x v="13"/>
    </i>
    <i>
      <x v="14"/>
    </i>
    <i>
      <x v="15"/>
    </i>
    <i>
      <x v="16"/>
    </i>
    <i>
      <x v="17"/>
    </i>
    <i>
      <x v="18"/>
    </i>
    <i t="grand">
      <x/>
    </i>
  </rowItems>
  <colFields count="1">
    <field x="-2"/>
  </colFields>
  <colItems count="3">
    <i>
      <x/>
    </i>
    <i i="1">
      <x v="1"/>
    </i>
    <i i="2">
      <x v="2"/>
    </i>
  </colItems>
  <pageFields count="1">
    <pageField fld="9" hier="-1"/>
  </pageFields>
  <dataFields count="3">
    <dataField name="Sum of Units Proposed" fld="36" baseField="0" baseItem="0"/>
    <dataField name="Sum of Units Existing" fld="26" baseField="0" baseItem="0"/>
    <dataField name="Sum of Net Dwellings" fld="45" baseField="0" baseItem="0"/>
  </dataFields>
  <formats count="41">
    <format dxfId="374">
      <pivotArea type="all" dataOnly="0" outline="0" fieldPosition="0"/>
    </format>
    <format dxfId="373">
      <pivotArea type="all" dataOnly="0" outline="0" fieldPosition="0"/>
    </format>
    <format dxfId="372">
      <pivotArea type="all" dataOnly="0" outline="0" fieldPosition="0"/>
    </format>
    <format dxfId="371">
      <pivotArea type="all" dataOnly="0" outline="0" fieldPosition="0"/>
    </format>
    <format dxfId="370">
      <pivotArea type="all" dataOnly="0" outline="0" fieldPosition="0"/>
    </format>
    <format dxfId="369">
      <pivotArea type="all" dataOnly="0" outline="0" fieldPosition="0"/>
    </format>
    <format dxfId="368">
      <pivotArea type="all" dataOnly="0" outline="0" fieldPosition="0"/>
    </format>
    <format dxfId="367">
      <pivotArea dataOnly="0" labelOnly="1" outline="0" fieldPosition="0">
        <references count="1">
          <reference field="4294967294" count="2">
            <x v="0"/>
            <x v="2"/>
          </reference>
        </references>
      </pivotArea>
    </format>
    <format dxfId="366">
      <pivotArea dataOnly="0" labelOnly="1" outline="0" fieldPosition="0">
        <references count="1">
          <reference field="4294967294" count="2">
            <x v="0"/>
            <x v="2"/>
          </reference>
        </references>
      </pivotArea>
    </format>
    <format dxfId="365">
      <pivotArea dataOnly="0" labelOnly="1" outline="0" fieldPosition="0">
        <references count="1">
          <reference field="4294967294" count="2">
            <x v="0"/>
            <x v="2"/>
          </reference>
        </references>
      </pivotArea>
    </format>
    <format dxfId="364">
      <pivotArea type="all" dataOnly="0" outline="0" fieldPosition="0"/>
    </format>
    <format dxfId="363">
      <pivotArea type="all" dataOnly="0" outline="0" fieldPosition="0"/>
    </format>
    <format dxfId="362">
      <pivotArea type="all" dataOnly="0" outline="0" fieldPosition="0"/>
    </format>
    <format dxfId="361">
      <pivotArea type="all" dataOnly="0" outline="0" fieldPosition="0"/>
    </format>
    <format dxfId="360">
      <pivotArea outline="0" collapsedLevelsAreSubtotals="1" fieldPosition="0"/>
    </format>
    <format dxfId="359">
      <pivotArea dataOnly="0" labelOnly="1" grandRow="1" outline="0" fieldPosition="0"/>
    </format>
    <format dxfId="358">
      <pivotArea dataOnly="0" labelOnly="1" outline="0" fieldPosition="0">
        <references count="1">
          <reference field="4294967294" count="2">
            <x v="0"/>
            <x v="2"/>
          </reference>
        </references>
      </pivotArea>
    </format>
    <format dxfId="357">
      <pivotArea type="all" dataOnly="0" outline="0" fieldPosition="0"/>
    </format>
    <format dxfId="356">
      <pivotArea outline="0" collapsedLevelsAreSubtotals="1" fieldPosition="0"/>
    </format>
    <format dxfId="355">
      <pivotArea dataOnly="0" labelOnly="1" grandRow="1" outline="0" fieldPosition="0"/>
    </format>
    <format dxfId="354">
      <pivotArea dataOnly="0" labelOnly="1" outline="0" fieldPosition="0">
        <references count="1">
          <reference field="4294967294" count="2">
            <x v="0"/>
            <x v="2"/>
          </reference>
        </references>
      </pivotArea>
    </format>
    <format dxfId="353">
      <pivotArea type="all" dataOnly="0" outline="0" fieldPosition="0"/>
    </format>
    <format dxfId="352">
      <pivotArea outline="0" collapsedLevelsAreSubtotals="1" fieldPosition="0"/>
    </format>
    <format dxfId="351">
      <pivotArea dataOnly="0" labelOnly="1" grandRow="1" outline="0" fieldPosition="0"/>
    </format>
    <format dxfId="350">
      <pivotArea dataOnly="0" labelOnly="1" outline="0" fieldPosition="0">
        <references count="1">
          <reference field="4294967294" count="2">
            <x v="0"/>
            <x v="2"/>
          </reference>
        </references>
      </pivotArea>
    </format>
    <format dxfId="349">
      <pivotArea type="all" dataOnly="0" outline="0" fieldPosition="0"/>
    </format>
    <format dxfId="348">
      <pivotArea outline="0" collapsedLevelsAreSubtotals="1" fieldPosition="0"/>
    </format>
    <format dxfId="347">
      <pivotArea field="71" type="button" dataOnly="0" labelOnly="1" outline="0" axis="axisRow" fieldPosition="0"/>
    </format>
    <format dxfId="346">
      <pivotArea dataOnly="0" labelOnly="1" grandRow="1" outline="0" fieldPosition="0"/>
    </format>
    <format dxfId="345">
      <pivotArea dataOnly="0" labelOnly="1" outline="0" fieldPosition="0">
        <references count="1">
          <reference field="4294967294" count="3">
            <x v="0"/>
            <x v="1"/>
            <x v="2"/>
          </reference>
        </references>
      </pivotArea>
    </format>
    <format dxfId="344">
      <pivotArea type="all" dataOnly="0" outline="0" fieldPosition="0"/>
    </format>
    <format dxfId="343">
      <pivotArea outline="0" collapsedLevelsAreSubtotals="1" fieldPosition="0"/>
    </format>
    <format dxfId="342">
      <pivotArea field="71" type="button" dataOnly="0" labelOnly="1" outline="0" axis="axisRow" fieldPosition="0"/>
    </format>
    <format dxfId="341">
      <pivotArea dataOnly="0" labelOnly="1" grandRow="1" outline="0" fieldPosition="0"/>
    </format>
    <format dxfId="340">
      <pivotArea dataOnly="0" labelOnly="1" outline="0" fieldPosition="0">
        <references count="1">
          <reference field="4294967294" count="3">
            <x v="0"/>
            <x v="1"/>
            <x v="2"/>
          </reference>
        </references>
      </pivotArea>
    </format>
    <format dxfId="339">
      <pivotArea type="all" dataOnly="0" outline="0" fieldPosition="0"/>
    </format>
    <format dxfId="338">
      <pivotArea outline="0" collapsedLevelsAreSubtotals="1" fieldPosition="0"/>
    </format>
    <format dxfId="337">
      <pivotArea field="71" type="button" dataOnly="0" labelOnly="1" outline="0" axis="axisRow" fieldPosition="0"/>
    </format>
    <format dxfId="336">
      <pivotArea dataOnly="0" labelOnly="1" fieldPosition="0">
        <references count="1">
          <reference field="71" count="18">
            <x v="0"/>
            <x v="1"/>
            <x v="2"/>
            <x v="3"/>
            <x v="4"/>
            <x v="5"/>
            <x v="6"/>
            <x v="7"/>
            <x v="8"/>
            <x v="9"/>
            <x v="11"/>
            <x v="12"/>
            <x v="13"/>
            <x v="14"/>
            <x v="15"/>
            <x v="16"/>
            <x v="17"/>
            <x v="18"/>
          </reference>
        </references>
      </pivotArea>
    </format>
    <format dxfId="335">
      <pivotArea dataOnly="0" labelOnly="1" grandRow="1" outline="0" fieldPosition="0"/>
    </format>
    <format dxfId="334">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0.xml><?xml version="1.0" encoding="utf-8"?>
<pivotTableDefinition xmlns="http://schemas.openxmlformats.org/spreadsheetml/2006/main" xmlns:mc="http://schemas.openxmlformats.org/markup-compatibility/2006" xmlns:xr="http://schemas.microsoft.com/office/spreadsheetml/2014/revision" mc:Ignorable="xr" xr:uid="{AAAE7BDE-1A9B-47DA-B1F5-BA3AB0A0356A}" name="PivotTable6"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2:B43" firstHeaderRow="1" firstDataRow="1" firstDataCol="0" rowPageCount="4" colPageCount="1"/>
  <pivotFields count="85">
    <pivotField showAll="0"/>
    <pivotField axis="axisPage" multipleItemSelectionAllowed="1" showAll="0" defaultSubtotal="0">
      <items count="5">
        <item x="1"/>
        <item x="4"/>
        <item x="2"/>
        <item h="1" x="3"/>
        <item h="1" x="0"/>
      </items>
    </pivotField>
    <pivotField axis="axisPage" multipleItemSelectionAllowed="1" showAll="0">
      <items count="9">
        <item h="1" x="1"/>
        <item x="5"/>
        <item x="0"/>
        <item x="2"/>
        <item x="3"/>
        <item x="4"/>
        <item x="6"/>
        <item h="1" x="7"/>
        <item t="default"/>
      </items>
    </pivotField>
    <pivotField numFmtId="14"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numFmtId="14" showAll="0"/>
    <pivotField showAll="0" defaultSubtotal="0"/>
    <pivotField showAll="0"/>
    <pivotField showAll="0"/>
    <pivotField showAll="0" defaultSubtotal="0"/>
    <pivotField axis="axisPage" multipleItemSelectionAllowed="1" showAll="0">
      <items count="8">
        <item h="1" x="0"/>
        <item h="1" x="1"/>
        <item x="2"/>
        <item h="1" x="3"/>
        <item h="1" x="4"/>
        <item h="1" x="6"/>
        <item h="1" x="5"/>
        <item t="default"/>
      </items>
    </pivotField>
    <pivotField showAll="0"/>
    <pivotField axis="axisPage" multipleItemSelectionAllowed="1" showAll="0">
      <items count="13">
        <item h="1" x="1"/>
        <item x="0"/>
        <item h="1" x="2"/>
        <item h="1" x="6"/>
        <item h="1" x="5"/>
        <item h="1" x="4"/>
        <item h="1" x="10"/>
        <item h="1" x="11"/>
        <item h="1" x="3"/>
        <item h="1" x="7"/>
        <item h="1" x="8"/>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4">
    <pageField fld="1" hier="-1"/>
    <pageField fld="9" hier="-1"/>
    <pageField fld="2" hier="-1"/>
    <pageField fld="11" hier="-1"/>
  </pageFields>
  <dataFields count="1">
    <dataField name="Sum of Net Dwellings" fld="45" baseField="0" baseItem="0"/>
  </dataFields>
  <formats count="40">
    <format dxfId="2982">
      <pivotArea type="all" dataOnly="0" outline="0" fieldPosition="0"/>
    </format>
    <format dxfId="2981">
      <pivotArea type="all" dataOnly="0" outline="0" fieldPosition="0"/>
    </format>
    <format dxfId="2980">
      <pivotArea type="all" dataOnly="0" outline="0" fieldPosition="0"/>
    </format>
    <format dxfId="2979">
      <pivotArea type="all" dataOnly="0" outline="0" fieldPosition="0"/>
    </format>
    <format dxfId="2978">
      <pivotArea type="all" dataOnly="0" outline="0" fieldPosition="0"/>
    </format>
    <format dxfId="2977">
      <pivotArea type="all" dataOnly="0" outline="0" fieldPosition="0"/>
    </format>
    <format dxfId="2976">
      <pivotArea type="all" dataOnly="0" outline="0" fieldPosition="0"/>
    </format>
    <format dxfId="2975">
      <pivotArea type="all" dataOnly="0" outline="0" fieldPosition="0"/>
    </format>
    <format dxfId="2974">
      <pivotArea type="all" dataOnly="0" outline="0" fieldPosition="0"/>
    </format>
    <format dxfId="2973">
      <pivotArea type="all" dataOnly="0" outline="0" fieldPosition="0"/>
    </format>
    <format dxfId="2972">
      <pivotArea type="all" dataOnly="0" outline="0" fieldPosition="0"/>
    </format>
    <format dxfId="2971">
      <pivotArea outline="0" collapsedLevelsAreSubtotals="1" fieldPosition="0"/>
    </format>
    <format dxfId="2970">
      <pivotArea dataOnly="0" labelOnly="1" outline="0" axis="axisValues" fieldPosition="0"/>
    </format>
    <format dxfId="2969">
      <pivotArea type="all" dataOnly="0" outline="0" fieldPosition="0"/>
    </format>
    <format dxfId="2968">
      <pivotArea outline="0" collapsedLevelsAreSubtotals="1" fieldPosition="0"/>
    </format>
    <format dxfId="2967">
      <pivotArea dataOnly="0" labelOnly="1" outline="0" axis="axisValues" fieldPosition="0"/>
    </format>
    <format dxfId="2966">
      <pivotArea type="all" dataOnly="0" outline="0" fieldPosition="0"/>
    </format>
    <format dxfId="2965">
      <pivotArea outline="0" collapsedLevelsAreSubtotals="1" fieldPosition="0"/>
    </format>
    <format dxfId="2964">
      <pivotArea dataOnly="0" labelOnly="1" outline="0" axis="axisValues" fieldPosition="0"/>
    </format>
    <format dxfId="2963">
      <pivotArea type="all" dataOnly="0" outline="0" fieldPosition="0"/>
    </format>
    <format dxfId="2962">
      <pivotArea outline="0" collapsedLevelsAreSubtotals="1" fieldPosition="0"/>
    </format>
    <format dxfId="2961">
      <pivotArea dataOnly="0" labelOnly="1" outline="0" axis="axisValues" fieldPosition="0"/>
    </format>
    <format dxfId="2960">
      <pivotArea type="all" dataOnly="0" outline="0" fieldPosition="0"/>
    </format>
    <format dxfId="2959">
      <pivotArea outline="0" collapsedLevelsAreSubtotals="1" fieldPosition="0"/>
    </format>
    <format dxfId="2958">
      <pivotArea dataOnly="0" labelOnly="1" outline="0" axis="axisValues" fieldPosition="0"/>
    </format>
    <format dxfId="2957">
      <pivotArea type="all" dataOnly="0" outline="0" fieldPosition="0"/>
    </format>
    <format dxfId="2956">
      <pivotArea outline="0" collapsedLevelsAreSubtotals="1" fieldPosition="0"/>
    </format>
    <format dxfId="2955">
      <pivotArea dataOnly="0" labelOnly="1" outline="0" axis="axisValues" fieldPosition="0"/>
    </format>
    <format dxfId="2954">
      <pivotArea type="all" dataOnly="0" outline="0" fieldPosition="0"/>
    </format>
    <format dxfId="2953">
      <pivotArea outline="0" collapsedLevelsAreSubtotals="1" fieldPosition="0"/>
    </format>
    <format dxfId="2952">
      <pivotArea dataOnly="0" labelOnly="1" outline="0" axis="axisValues" fieldPosition="0"/>
    </format>
    <format dxfId="2951">
      <pivotArea type="all" dataOnly="0" outline="0" fieldPosition="0"/>
    </format>
    <format dxfId="2950">
      <pivotArea outline="0" collapsedLevelsAreSubtotals="1" fieldPosition="0"/>
    </format>
    <format dxfId="2949">
      <pivotArea type="all" dataOnly="0" outline="0" fieldPosition="0"/>
    </format>
    <format dxfId="2948">
      <pivotArea outline="0" collapsedLevelsAreSubtotals="1" fieldPosition="0"/>
    </format>
    <format dxfId="2947">
      <pivotArea outline="0" collapsedLevelsAreSubtotals="1" fieldPosition="0"/>
    </format>
    <format dxfId="2946">
      <pivotArea type="all" dataOnly="0" outline="0" fieldPosition="0"/>
    </format>
    <format dxfId="2945">
      <pivotArea type="all" dataOnly="0" outline="0" fieldPosition="0"/>
    </format>
    <format dxfId="2944">
      <pivotArea outline="0" collapsedLevelsAreSubtotals="1" fieldPosition="0"/>
    </format>
    <format dxfId="29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847BFA45-94D4-4B62-A645-5CF73B2C70D9}" name="PivotTable65"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172:B173" firstHeaderRow="1" firstDataRow="1" firstDataCol="0" rowPageCount="3" colPageCount="1"/>
  <pivotFields count="85">
    <pivotField showAll="0" defaultSubtotal="0"/>
    <pivotField axis="axisPage" multipleItemSelectionAllowed="1" showAll="0" defaultSubtotal="0">
      <items count="5">
        <item h="1" x="1"/>
        <item h="1" x="4"/>
        <item h="1" x="2"/>
        <item x="3"/>
        <item x="0"/>
      </items>
    </pivotField>
    <pivotField showAll="0" defaultSubtotal="0"/>
    <pivotField showAll="0">
      <items count="266">
        <item x="61"/>
        <item x="62"/>
        <item x="63"/>
        <item x="64"/>
        <item x="65"/>
        <item x="66"/>
        <item x="67"/>
        <item x="0"/>
        <item x="69"/>
        <item x="71"/>
        <item x="70"/>
        <item x="75"/>
        <item x="68"/>
        <item x="74"/>
        <item x="73"/>
        <item x="1"/>
        <item x="76"/>
        <item x="77"/>
        <item x="78"/>
        <item x="83"/>
        <item x="89"/>
        <item x="87"/>
        <item x="81"/>
        <item x="2"/>
        <item x="3"/>
        <item x="86"/>
        <item x="80"/>
        <item x="82"/>
        <item x="85"/>
        <item x="88"/>
        <item x="4"/>
        <item x="90"/>
        <item x="5"/>
        <item x="93"/>
        <item x="6"/>
        <item x="79"/>
        <item x="94"/>
        <item x="100"/>
        <item x="7"/>
        <item x="98"/>
        <item x="97"/>
        <item x="102"/>
        <item x="96"/>
        <item x="91"/>
        <item x="9"/>
        <item x="105"/>
        <item x="95"/>
        <item x="104"/>
        <item x="107"/>
        <item x="11"/>
        <item x="12"/>
        <item x="8"/>
        <item x="92"/>
        <item x="14"/>
        <item x="84"/>
        <item x="101"/>
        <item x="106"/>
        <item x="72"/>
        <item x="115"/>
        <item x="10"/>
        <item x="157"/>
        <item x="19"/>
        <item x="18"/>
        <item x="116"/>
        <item x="103"/>
        <item x="122"/>
        <item x="20"/>
        <item x="110"/>
        <item x="99"/>
        <item x="16"/>
        <item x="168"/>
        <item x="109"/>
        <item x="119"/>
        <item x="126"/>
        <item x="175"/>
        <item x="177"/>
        <item x="174"/>
        <item x="127"/>
        <item x="128"/>
        <item x="114"/>
        <item x="166"/>
        <item x="155"/>
        <item x="120"/>
        <item x="21"/>
        <item x="180"/>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225"/>
        <item x="217"/>
        <item x="195"/>
        <item x="31"/>
        <item x="44"/>
        <item x="215"/>
        <item x="228"/>
        <item x="142"/>
        <item x="204"/>
        <item x="214"/>
        <item x="46"/>
        <item x="47"/>
        <item x="51"/>
        <item x="43"/>
        <item x="229"/>
        <item x="173"/>
        <item x="206"/>
        <item x="232"/>
        <item x="222"/>
        <item x="220"/>
        <item x="50"/>
        <item x="54"/>
        <item x="49"/>
        <item x="140"/>
        <item x="48"/>
        <item x="224"/>
        <item x="52"/>
        <item x="132"/>
        <item x="207"/>
        <item x="198"/>
        <item x="45"/>
        <item x="216"/>
        <item x="53"/>
        <item x="238"/>
        <item x="55"/>
        <item x="144"/>
        <item x="211"/>
        <item x="241"/>
        <item x="146"/>
        <item x="240"/>
        <item x="159"/>
        <item x="226"/>
        <item x="57"/>
        <item x="148"/>
        <item x="227"/>
        <item x="245"/>
        <item x="208"/>
        <item x="230"/>
        <item x="247"/>
        <item x="149"/>
        <item x="244"/>
        <item x="185"/>
        <item x="58"/>
        <item x="246"/>
        <item x="231"/>
        <item x="234"/>
        <item x="237"/>
        <item x="145"/>
        <item x="223"/>
        <item x="147"/>
        <item x="250"/>
        <item x="235"/>
        <item x="251"/>
        <item x="219"/>
        <item x="254"/>
        <item x="252"/>
        <item x="253"/>
        <item x="56"/>
        <item x="233"/>
        <item x="221"/>
        <item x="255"/>
        <item x="248"/>
        <item x="150"/>
        <item x="151"/>
        <item x="59"/>
        <item x="257"/>
        <item x="258"/>
        <item x="236"/>
        <item x="239"/>
        <item x="243"/>
        <item x="260"/>
        <item x="152"/>
        <item x="261"/>
        <item x="242"/>
        <item x="192"/>
        <item x="256"/>
        <item x="259"/>
        <item x="60"/>
        <item x="196"/>
        <item x="249"/>
        <item x="262"/>
        <item x="264"/>
        <item x="263"/>
        <item t="default"/>
      </items>
    </pivotField>
    <pivotField showAll="0"/>
    <pivotField showAll="0" defaultSubtotal="0"/>
    <pivotField showAll="0"/>
    <pivotField showAll="0"/>
    <pivotField showAll="0" defaultSubtotal="0"/>
    <pivotField axis="axisPage" multipleItemSelectionAllowed="1" showAll="0" defaultSubtotal="0">
      <items count="7">
        <item x="0"/>
        <item h="1" x="1"/>
        <item h="1" x="2"/>
        <item h="1" x="3"/>
        <item h="1" x="4"/>
        <item h="1" x="6"/>
        <item h="1" x="5"/>
      </items>
    </pivotField>
    <pivotField axis="axisPage" multipleItemSelectionAllowed="1" showAll="0" defaultSubtotal="0">
      <items count="8">
        <item h="1" x="0"/>
        <item h="1" x="1"/>
        <item x="2"/>
        <item h="1" x="6"/>
        <item h="1" x="4"/>
        <item h="1" x="3"/>
        <item h="1" x="5"/>
        <item h="1" x="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Items count="1">
    <i/>
  </colItems>
  <pageFields count="3">
    <pageField fld="9" hier="-1"/>
    <pageField fld="1" hier="-1"/>
    <pageField fld="10" hier="-1"/>
  </pageFields>
  <dataFields count="1">
    <dataField name="Sum of Net Dwellings" fld="45" baseField="0" baseItem="0"/>
  </dataFields>
  <formats count="40">
    <format dxfId="414">
      <pivotArea type="all" dataOnly="0" outline="0" fieldPosition="0"/>
    </format>
    <format dxfId="413">
      <pivotArea type="all" dataOnly="0" outline="0" fieldPosition="0"/>
    </format>
    <format dxfId="412">
      <pivotArea type="all" dataOnly="0" outline="0" fieldPosition="0"/>
    </format>
    <format dxfId="411">
      <pivotArea type="all" dataOnly="0" outline="0" fieldPosition="0"/>
    </format>
    <format dxfId="410">
      <pivotArea type="all" dataOnly="0" outline="0" fieldPosition="0"/>
    </format>
    <format dxfId="409">
      <pivotArea type="all" dataOnly="0" outline="0" fieldPosition="0"/>
    </format>
    <format dxfId="408">
      <pivotArea type="all" dataOnly="0" outline="0" fieldPosition="0"/>
    </format>
    <format dxfId="407">
      <pivotArea type="all" dataOnly="0" outline="0" fieldPosition="0"/>
    </format>
    <format dxfId="406">
      <pivotArea type="all" dataOnly="0" outline="0" fieldPosition="0"/>
    </format>
    <format dxfId="405">
      <pivotArea type="all" dataOnly="0" outline="0" fieldPosition="0"/>
    </format>
    <format dxfId="404">
      <pivotArea type="all" dataOnly="0" outline="0" fieldPosition="0"/>
    </format>
    <format dxfId="403">
      <pivotArea outline="0" collapsedLevelsAreSubtotals="1" fieldPosition="0"/>
    </format>
    <format dxfId="402">
      <pivotArea dataOnly="0" labelOnly="1" outline="0" axis="axisValues" fieldPosition="0"/>
    </format>
    <format dxfId="401">
      <pivotArea type="all" dataOnly="0" outline="0" fieldPosition="0"/>
    </format>
    <format dxfId="400">
      <pivotArea outline="0" collapsedLevelsAreSubtotals="1" fieldPosition="0"/>
    </format>
    <format dxfId="399">
      <pivotArea dataOnly="0" labelOnly="1" outline="0" axis="axisValues" fieldPosition="0"/>
    </format>
    <format dxfId="398">
      <pivotArea type="all" dataOnly="0" outline="0" fieldPosition="0"/>
    </format>
    <format dxfId="397">
      <pivotArea outline="0" collapsedLevelsAreSubtotals="1" fieldPosition="0"/>
    </format>
    <format dxfId="396">
      <pivotArea dataOnly="0" labelOnly="1" outline="0" axis="axisValues" fieldPosition="0"/>
    </format>
    <format dxfId="395">
      <pivotArea type="all" dataOnly="0" outline="0" fieldPosition="0"/>
    </format>
    <format dxfId="394">
      <pivotArea outline="0" collapsedLevelsAreSubtotals="1" fieldPosition="0"/>
    </format>
    <format dxfId="393">
      <pivotArea dataOnly="0" labelOnly="1" outline="0" axis="axisValues" fieldPosition="0"/>
    </format>
    <format dxfId="392">
      <pivotArea type="all" dataOnly="0" outline="0" fieldPosition="0"/>
    </format>
    <format dxfId="391">
      <pivotArea outline="0" collapsedLevelsAreSubtotals="1" fieldPosition="0"/>
    </format>
    <format dxfId="390">
      <pivotArea dataOnly="0" labelOnly="1" outline="0" axis="axisValues" fieldPosition="0"/>
    </format>
    <format dxfId="389">
      <pivotArea type="all" dataOnly="0" outline="0" fieldPosition="0"/>
    </format>
    <format dxfId="388">
      <pivotArea outline="0" collapsedLevelsAreSubtotals="1" fieldPosition="0"/>
    </format>
    <format dxfId="387">
      <pivotArea dataOnly="0" labelOnly="1" outline="0" axis="axisValues" fieldPosition="0"/>
    </format>
    <format dxfId="386">
      <pivotArea type="all" dataOnly="0" outline="0" fieldPosition="0"/>
    </format>
    <format dxfId="385">
      <pivotArea outline="0" collapsedLevelsAreSubtotals="1" fieldPosition="0"/>
    </format>
    <format dxfId="384">
      <pivotArea dataOnly="0" labelOnly="1" outline="0" axis="axisValues" fieldPosition="0"/>
    </format>
    <format dxfId="383">
      <pivotArea type="all" dataOnly="0" outline="0" fieldPosition="0"/>
    </format>
    <format dxfId="382">
      <pivotArea outline="0" collapsedLevelsAreSubtotals="1" fieldPosition="0"/>
    </format>
    <format dxfId="381">
      <pivotArea type="all" dataOnly="0" outline="0" fieldPosition="0"/>
    </format>
    <format dxfId="380">
      <pivotArea outline="0" collapsedLevelsAreSubtotals="1" fieldPosition="0"/>
    </format>
    <format dxfId="379">
      <pivotArea outline="0" collapsedLevelsAreSubtotals="1" fieldPosition="0"/>
    </format>
    <format dxfId="378">
      <pivotArea type="all" dataOnly="0" outline="0" fieldPosition="0"/>
    </format>
    <format dxfId="377">
      <pivotArea type="all" dataOnly="0" outline="0" fieldPosition="0"/>
    </format>
    <format dxfId="376">
      <pivotArea outline="0" collapsedLevelsAreSubtotals="1" fieldPosition="0"/>
    </format>
    <format dxfId="37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5AA0424-CFB0-4D94-8FE4-F76ADAB0CE1D}" name="PivotTable37" cacheId="2" applyNumberFormats="0" applyBorderFormats="0" applyFontFormats="0" applyPatternFormats="0" applyAlignmentFormats="0" applyWidthHeightFormats="1" dataCaption="Values" updatedVersion="8" minRefreshableVersion="3" itemPrintTitles="1" createdVersion="4" indent="0" outline="1" outlineData="1" multipleFieldFilters="0">
  <location ref="B414:K415" firstHeaderRow="0" firstDataRow="1" firstDataCol="0" rowPageCount="2" colPageCount="1"/>
  <pivotFields count="85">
    <pivotField showAll="0" defaultSubtotal="0"/>
    <pivotField multipleItemSelectionAllowed="1" showAll="0" defaultSubtotal="0"/>
    <pivotField showAll="0" defaultSubtotal="0"/>
    <pivotField showAll="0">
      <items count="266">
        <item x="61"/>
        <item x="63"/>
        <item x="64"/>
        <item x="65"/>
        <item x="66"/>
        <item x="67"/>
        <item x="0"/>
        <item x="69"/>
        <item x="71"/>
        <item x="70"/>
        <item x="75"/>
        <item x="68"/>
        <item x="74"/>
        <item x="73"/>
        <item x="1"/>
        <item x="76"/>
        <item x="77"/>
        <item x="78"/>
        <item x="83"/>
        <item x="87"/>
        <item x="81"/>
        <item x="2"/>
        <item x="86"/>
        <item x="80"/>
        <item x="82"/>
        <item x="85"/>
        <item x="88"/>
        <item x="4"/>
        <item x="90"/>
        <item x="5"/>
        <item x="93"/>
        <item x="6"/>
        <item x="79"/>
        <item x="94"/>
        <item x="100"/>
        <item x="7"/>
        <item x="98"/>
        <item x="97"/>
        <item x="102"/>
        <item x="96"/>
        <item x="91"/>
        <item x="9"/>
        <item x="105"/>
        <item x="95"/>
        <item x="104"/>
        <item x="107"/>
        <item x="11"/>
        <item x="12"/>
        <item x="8"/>
        <item x="92"/>
        <item x="84"/>
        <item x="101"/>
        <item x="106"/>
        <item x="72"/>
        <item x="115"/>
        <item x="10"/>
        <item x="19"/>
        <item x="18"/>
        <item x="116"/>
        <item x="103"/>
        <item x="122"/>
        <item x="20"/>
        <item x="110"/>
        <item x="99"/>
        <item x="16"/>
        <item x="168"/>
        <item x="109"/>
        <item x="119"/>
        <item x="175"/>
        <item x="177"/>
        <item x="174"/>
        <item x="127"/>
        <item x="128"/>
        <item x="114"/>
        <item x="166"/>
        <item x="155"/>
        <item x="120"/>
        <item x="21"/>
        <item x="121"/>
        <item x="24"/>
        <item x="15"/>
        <item x="17"/>
        <item x="118"/>
        <item x="113"/>
        <item x="124"/>
        <item x="171"/>
        <item x="170"/>
        <item x="164"/>
        <item x="163"/>
        <item x="172"/>
        <item x="28"/>
        <item x="182"/>
        <item x="158"/>
        <item x="169"/>
        <item x="123"/>
        <item x="29"/>
        <item x="30"/>
        <item x="188"/>
        <item x="26"/>
        <item x="187"/>
        <item x="183"/>
        <item x="134"/>
        <item x="167"/>
        <item x="191"/>
        <item x="165"/>
        <item x="179"/>
        <item x="161"/>
        <item x="27"/>
        <item x="32"/>
        <item x="112"/>
        <item x="22"/>
        <item x="186"/>
        <item x="130"/>
        <item x="13"/>
        <item x="117"/>
        <item x="33"/>
        <item x="129"/>
        <item x="34"/>
        <item x="111"/>
        <item x="25"/>
        <item x="194"/>
        <item x="181"/>
        <item x="125"/>
        <item x="203"/>
        <item x="197"/>
        <item x="201"/>
        <item x="135"/>
        <item x="35"/>
        <item x="137"/>
        <item x="138"/>
        <item x="156"/>
        <item x="184"/>
        <item x="133"/>
        <item x="38"/>
        <item x="39"/>
        <item x="210"/>
        <item x="136"/>
        <item x="41"/>
        <item x="131"/>
        <item x="209"/>
        <item x="37"/>
        <item x="42"/>
        <item x="154"/>
        <item x="23"/>
        <item x="212"/>
        <item x="190"/>
        <item x="213"/>
        <item x="178"/>
        <item x="176"/>
        <item x="40"/>
        <item x="153"/>
        <item x="199"/>
        <item x="160"/>
        <item x="189"/>
        <item x="218"/>
        <item x="108"/>
        <item x="143"/>
        <item x="162"/>
        <item x="193"/>
        <item x="141"/>
        <item x="36"/>
        <item x="205"/>
        <item x="139"/>
        <item x="202"/>
        <item x="200"/>
        <item x="195"/>
        <item x="31"/>
        <item x="44"/>
        <item x="215"/>
        <item x="228"/>
        <item x="142"/>
        <item x="54"/>
        <item x="132"/>
        <item x="263"/>
        <item x="60"/>
        <item x="51"/>
        <item x="57"/>
        <item x="145"/>
        <item x="151"/>
        <item x="206"/>
        <item x="226"/>
        <item x="149"/>
        <item x="260"/>
        <item x="50"/>
        <item x="58"/>
        <item x="150"/>
        <item x="214"/>
        <item x="208"/>
        <item x="230"/>
        <item x="247"/>
        <item x="235"/>
        <item x="254"/>
        <item x="233"/>
        <item x="221"/>
        <item x="257"/>
        <item x="258"/>
        <item x="239"/>
        <item x="259"/>
        <item x="232"/>
        <item x="240"/>
        <item x="216"/>
        <item x="159"/>
        <item x="245"/>
        <item x="255"/>
        <item x="55"/>
        <item x="126"/>
        <item x="62"/>
        <item x="231"/>
        <item x="43"/>
        <item x="207"/>
        <item x="253"/>
        <item x="248"/>
        <item x="204"/>
        <item x="56"/>
        <item x="242"/>
        <item x="157"/>
        <item x="173"/>
        <item x="45"/>
        <item x="244"/>
        <item x="252"/>
        <item x="148"/>
        <item x="227"/>
        <item x="14"/>
        <item x="49"/>
        <item x="220"/>
        <item x="185"/>
        <item x="234"/>
        <item x="192"/>
        <item x="48"/>
        <item x="140"/>
        <item x="152"/>
        <item x="224"/>
        <item x="211"/>
        <item x="223"/>
        <item x="219"/>
        <item x="236"/>
        <item x="256"/>
        <item x="229"/>
        <item x="198"/>
        <item x="237"/>
        <item x="196"/>
        <item x="3"/>
        <item x="144"/>
        <item x="222"/>
        <item x="250"/>
        <item x="53"/>
        <item x="238"/>
        <item x="217"/>
        <item x="261"/>
        <item x="46"/>
        <item x="47"/>
        <item x="146"/>
        <item x="147"/>
        <item x="241"/>
        <item x="246"/>
        <item x="243"/>
        <item x="249"/>
        <item x="262"/>
        <item x="59"/>
        <item x="89"/>
        <item x="251"/>
        <item x="52"/>
        <item x="180"/>
        <item x="225"/>
        <item x="264"/>
        <item t="default"/>
      </items>
    </pivotField>
    <pivotField showAll="0"/>
    <pivotField showAll="0" defaultSubtotal="0"/>
    <pivotField showAll="0"/>
    <pivotField showAll="0"/>
    <pivotField showAll="0" defaultSubtotal="0"/>
    <pivotField axis="axisPage" multipleItemSelectionAllowed="1" showAll="0" defaultSubtotal="0">
      <items count="7">
        <item h="1" x="0"/>
        <item x="1"/>
        <item x="2"/>
        <item x="3"/>
        <item x="6"/>
        <item x="4"/>
        <item x="5"/>
      </items>
    </pivotField>
    <pivotField showAll="0" defaultSubtotal="0"/>
    <pivotField axis="axisPage" multipleItemSelectionAllowed="1" showAll="0">
      <items count="13">
        <item x="11"/>
        <item x="5"/>
        <item x="7"/>
        <item x="8"/>
        <item x="9"/>
        <item x="2"/>
        <item x="3"/>
        <item x="0"/>
        <item x="10"/>
        <item h="1" x="1"/>
        <item x="4"/>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defaultSubtota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25">
        <item x="0"/>
        <item x="1"/>
        <item x="2"/>
        <item x="3"/>
        <item x="4"/>
        <item x="5"/>
        <item x="6"/>
        <item x="7"/>
        <item x="8"/>
        <item x="9"/>
        <item x="10"/>
        <item x="11"/>
        <item x="12"/>
        <item x="13"/>
        <item x="14"/>
        <item x="15"/>
        <item x="16"/>
        <item x="17"/>
        <item x="18"/>
        <item x="19"/>
        <item x="20"/>
        <item x="21"/>
        <item x="22"/>
        <item x="23"/>
        <item t="default"/>
      </items>
    </pivotField>
  </pivotFields>
  <rowItems count="1">
    <i/>
  </rowItems>
  <colFields count="1">
    <field x="-2"/>
  </colFields>
  <colItems count="10">
    <i>
      <x/>
    </i>
    <i i="1">
      <x v="1"/>
    </i>
    <i i="2">
      <x v="2"/>
    </i>
    <i i="3">
      <x v="3"/>
    </i>
    <i i="4">
      <x v="4"/>
    </i>
    <i i="5">
      <x v="5"/>
    </i>
    <i i="6">
      <x v="6"/>
    </i>
    <i i="7">
      <x v="7"/>
    </i>
    <i i="8">
      <x v="8"/>
    </i>
    <i i="9">
      <x v="9"/>
    </i>
  </colItems>
  <pageFields count="2">
    <pageField fld="9" hier="-1"/>
    <pageField fld="11" hier="-1"/>
  </pageFields>
  <dataFields count="10">
    <dataField name="Sum of 2025/26 (1)" fld="48" baseField="0" baseItem="0"/>
    <dataField name="Sum of 2026/27 (2)" fld="49" baseField="0" baseItem="0"/>
    <dataField name="Sum of 2027/28 (3)" fld="50" baseField="0" baseItem="0"/>
    <dataField name="Sum of 2028/29 (4)" fld="51" baseField="0" baseItem="0"/>
    <dataField name="Sum of 2029/30 (5)" fld="52" baseField="0" baseItem="0"/>
    <dataField name="Sum of 2030/31 (6)" fld="53" baseField="0" baseItem="0"/>
    <dataField name="Sum of 2031/32 (7)" fld="54" baseField="0" baseItem="0"/>
    <dataField name="Sum of 2032/33 (8)" fld="55" baseField="0" baseItem="0"/>
    <dataField name="Sum of 2033/34 (9)" fld="56" baseField="0" baseItem="0"/>
    <dataField name="Sum of 2034/35 (10)" fld="57" baseField="0" baseItem="0"/>
  </dataFields>
  <formats count="27">
    <format dxfId="441">
      <pivotArea type="all" dataOnly="0" outline="0" fieldPosition="0"/>
    </format>
    <format dxfId="440">
      <pivotArea type="all" dataOnly="0" outline="0" fieldPosition="0"/>
    </format>
    <format dxfId="439">
      <pivotArea type="all" dataOnly="0" outline="0" fieldPosition="0"/>
    </format>
    <format dxfId="438">
      <pivotArea type="all" dataOnly="0" outline="0" fieldPosition="0"/>
    </format>
    <format dxfId="437">
      <pivotArea type="all" dataOnly="0" outline="0" fieldPosition="0"/>
    </format>
    <format dxfId="436">
      <pivotArea type="all" dataOnly="0" outline="0" fieldPosition="0"/>
    </format>
    <format dxfId="435">
      <pivotArea type="all" dataOnly="0" outline="0" fieldPosition="0"/>
    </format>
    <format dxfId="434">
      <pivotArea outline="0" collapsedLevelsAreSubtotals="1" fieldPosition="0"/>
    </format>
    <format dxfId="433">
      <pivotArea type="all" dataOnly="0" outline="0" fieldPosition="0"/>
    </format>
    <format dxfId="432">
      <pivotArea type="all" dataOnly="0" outline="0" fieldPosition="0"/>
    </format>
    <format dxfId="431">
      <pivotArea type="all" dataOnly="0" outline="0" fieldPosition="0"/>
    </format>
    <format dxfId="430">
      <pivotArea type="all" dataOnly="0" outline="0" fieldPosition="0"/>
    </format>
    <format dxfId="429">
      <pivotArea outline="0" collapsedLevelsAreSubtotals="1" fieldPosition="0"/>
    </format>
    <format dxfId="428">
      <pivotArea type="all" dataOnly="0" outline="0" fieldPosition="0"/>
    </format>
    <format dxfId="427">
      <pivotArea outline="0" collapsedLevelsAreSubtotals="1" fieldPosition="0"/>
    </format>
    <format dxfId="426">
      <pivotArea type="all" dataOnly="0" outline="0" fieldPosition="0"/>
    </format>
    <format dxfId="425">
      <pivotArea outline="0" collapsedLevelsAreSubtotals="1" fieldPosition="0"/>
    </format>
    <format dxfId="424">
      <pivotArea type="all" dataOnly="0" outline="0" fieldPosition="0"/>
    </format>
    <format dxfId="423">
      <pivotArea outline="0" collapsedLevelsAreSubtotals="1" fieldPosition="0"/>
    </format>
    <format dxfId="422">
      <pivotArea type="all" dataOnly="0" outline="0" fieldPosition="0"/>
    </format>
    <format dxfId="421">
      <pivotArea outline="0" collapsedLevelsAreSubtotals="1" fieldPosition="0"/>
    </format>
    <format dxfId="420">
      <pivotArea type="all" dataOnly="0" outline="0" fieldPosition="0"/>
    </format>
    <format dxfId="419">
      <pivotArea outline="0" collapsedLevelsAreSubtotals="1" fieldPosition="0"/>
    </format>
    <format dxfId="418">
      <pivotArea outline="0" collapsedLevelsAreSubtotals="1" fieldPosition="0"/>
    </format>
    <format dxfId="417">
      <pivotArea type="all" dataOnly="0" outline="0" fieldPosition="0"/>
    </format>
    <format dxfId="416">
      <pivotArea type="all" dataOnly="0" outline="0" fieldPosition="0"/>
    </format>
    <format dxfId="41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9" Type="http://schemas.openxmlformats.org/officeDocument/2006/relationships/pivotTable" Target="../pivotTables/pivotTable39.xml"/><Relationship Id="rId21" Type="http://schemas.openxmlformats.org/officeDocument/2006/relationships/pivotTable" Target="../pivotTables/pivotTable21.xml"/><Relationship Id="rId34" Type="http://schemas.openxmlformats.org/officeDocument/2006/relationships/pivotTable" Target="../pivotTables/pivotTable34.xml"/><Relationship Id="rId42" Type="http://schemas.openxmlformats.org/officeDocument/2006/relationships/pivotTable" Target="../pivotTables/pivotTable42.xml"/><Relationship Id="rId47" Type="http://schemas.openxmlformats.org/officeDocument/2006/relationships/pivotTable" Target="../pivotTables/pivotTable47.xml"/><Relationship Id="rId50" Type="http://schemas.openxmlformats.org/officeDocument/2006/relationships/pivotTable" Target="../pivotTables/pivotTable50.xml"/><Relationship Id="rId55" Type="http://schemas.openxmlformats.org/officeDocument/2006/relationships/pivotTable" Target="../pivotTables/pivotTable55.xml"/><Relationship Id="rId63" Type="http://schemas.openxmlformats.org/officeDocument/2006/relationships/pivotTable" Target="../pivotTables/pivotTable63.xml"/><Relationship Id="rId68" Type="http://schemas.openxmlformats.org/officeDocument/2006/relationships/pivotTable" Target="../pivotTables/pivotTable68.xml"/><Relationship Id="rId7" Type="http://schemas.openxmlformats.org/officeDocument/2006/relationships/pivotTable" Target="../pivotTables/pivotTable7.xml"/><Relationship Id="rId71" Type="http://schemas.openxmlformats.org/officeDocument/2006/relationships/printerSettings" Target="../printerSettings/printerSettings3.bin"/><Relationship Id="rId2" Type="http://schemas.openxmlformats.org/officeDocument/2006/relationships/pivotTable" Target="../pivotTables/pivotTable2.xml"/><Relationship Id="rId16" Type="http://schemas.openxmlformats.org/officeDocument/2006/relationships/pivotTable" Target="../pivotTables/pivotTable16.xml"/><Relationship Id="rId29" Type="http://schemas.openxmlformats.org/officeDocument/2006/relationships/pivotTable" Target="../pivotTables/pivotTable29.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32" Type="http://schemas.openxmlformats.org/officeDocument/2006/relationships/pivotTable" Target="../pivotTables/pivotTable32.xml"/><Relationship Id="rId37" Type="http://schemas.openxmlformats.org/officeDocument/2006/relationships/pivotTable" Target="../pivotTables/pivotTable37.xml"/><Relationship Id="rId40" Type="http://schemas.openxmlformats.org/officeDocument/2006/relationships/pivotTable" Target="../pivotTables/pivotTable40.xml"/><Relationship Id="rId45" Type="http://schemas.openxmlformats.org/officeDocument/2006/relationships/pivotTable" Target="../pivotTables/pivotTable45.xml"/><Relationship Id="rId53" Type="http://schemas.openxmlformats.org/officeDocument/2006/relationships/pivotTable" Target="../pivotTables/pivotTable53.xml"/><Relationship Id="rId58" Type="http://schemas.openxmlformats.org/officeDocument/2006/relationships/pivotTable" Target="../pivotTables/pivotTable58.xml"/><Relationship Id="rId66" Type="http://schemas.openxmlformats.org/officeDocument/2006/relationships/pivotTable" Target="../pivotTables/pivotTable66.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ivotTable" Target="../pivotTables/pivotTable28.xml"/><Relationship Id="rId36" Type="http://schemas.openxmlformats.org/officeDocument/2006/relationships/pivotTable" Target="../pivotTables/pivotTable36.xml"/><Relationship Id="rId49" Type="http://schemas.openxmlformats.org/officeDocument/2006/relationships/pivotTable" Target="../pivotTables/pivotTable49.xml"/><Relationship Id="rId57" Type="http://schemas.openxmlformats.org/officeDocument/2006/relationships/pivotTable" Target="../pivotTables/pivotTable57.xml"/><Relationship Id="rId61" Type="http://schemas.openxmlformats.org/officeDocument/2006/relationships/pivotTable" Target="../pivotTables/pivotTable61.xml"/><Relationship Id="rId10" Type="http://schemas.openxmlformats.org/officeDocument/2006/relationships/pivotTable" Target="../pivotTables/pivotTable10.xml"/><Relationship Id="rId19" Type="http://schemas.openxmlformats.org/officeDocument/2006/relationships/pivotTable" Target="../pivotTables/pivotTable19.xml"/><Relationship Id="rId31" Type="http://schemas.openxmlformats.org/officeDocument/2006/relationships/pivotTable" Target="../pivotTables/pivotTable31.xml"/><Relationship Id="rId44" Type="http://schemas.openxmlformats.org/officeDocument/2006/relationships/pivotTable" Target="../pivotTables/pivotTable44.xml"/><Relationship Id="rId52" Type="http://schemas.openxmlformats.org/officeDocument/2006/relationships/pivotTable" Target="../pivotTables/pivotTable52.xml"/><Relationship Id="rId60" Type="http://schemas.openxmlformats.org/officeDocument/2006/relationships/pivotTable" Target="../pivotTables/pivotTable60.xml"/><Relationship Id="rId65" Type="http://schemas.openxmlformats.org/officeDocument/2006/relationships/pivotTable" Target="../pivotTables/pivotTable65.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 Id="rId30" Type="http://schemas.openxmlformats.org/officeDocument/2006/relationships/pivotTable" Target="../pivotTables/pivotTable30.xml"/><Relationship Id="rId35" Type="http://schemas.openxmlformats.org/officeDocument/2006/relationships/pivotTable" Target="../pivotTables/pivotTable35.xml"/><Relationship Id="rId43" Type="http://schemas.openxmlformats.org/officeDocument/2006/relationships/pivotTable" Target="../pivotTables/pivotTable43.xml"/><Relationship Id="rId48" Type="http://schemas.openxmlformats.org/officeDocument/2006/relationships/pivotTable" Target="../pivotTables/pivotTable48.xml"/><Relationship Id="rId56" Type="http://schemas.openxmlformats.org/officeDocument/2006/relationships/pivotTable" Target="../pivotTables/pivotTable56.xml"/><Relationship Id="rId64" Type="http://schemas.openxmlformats.org/officeDocument/2006/relationships/pivotTable" Target="../pivotTables/pivotTable64.xml"/><Relationship Id="rId69" Type="http://schemas.openxmlformats.org/officeDocument/2006/relationships/pivotTable" Target="../pivotTables/pivotTable69.xml"/><Relationship Id="rId8" Type="http://schemas.openxmlformats.org/officeDocument/2006/relationships/pivotTable" Target="../pivotTables/pivotTable8.xml"/><Relationship Id="rId51" Type="http://schemas.openxmlformats.org/officeDocument/2006/relationships/pivotTable" Target="../pivotTables/pivotTable51.xml"/><Relationship Id="rId3" Type="http://schemas.openxmlformats.org/officeDocument/2006/relationships/pivotTable" Target="../pivotTables/pivotTable3.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33" Type="http://schemas.openxmlformats.org/officeDocument/2006/relationships/pivotTable" Target="../pivotTables/pivotTable33.xml"/><Relationship Id="rId38" Type="http://schemas.openxmlformats.org/officeDocument/2006/relationships/pivotTable" Target="../pivotTables/pivotTable38.xml"/><Relationship Id="rId46" Type="http://schemas.openxmlformats.org/officeDocument/2006/relationships/pivotTable" Target="../pivotTables/pivotTable46.xml"/><Relationship Id="rId59" Type="http://schemas.openxmlformats.org/officeDocument/2006/relationships/pivotTable" Target="../pivotTables/pivotTable59.xml"/><Relationship Id="rId67" Type="http://schemas.openxmlformats.org/officeDocument/2006/relationships/pivotTable" Target="../pivotTables/pivotTable67.xml"/><Relationship Id="rId20" Type="http://schemas.openxmlformats.org/officeDocument/2006/relationships/pivotTable" Target="../pivotTables/pivotTable20.xml"/><Relationship Id="rId41" Type="http://schemas.openxmlformats.org/officeDocument/2006/relationships/pivotTable" Target="../pivotTables/pivotTable41.xml"/><Relationship Id="rId54" Type="http://schemas.openxmlformats.org/officeDocument/2006/relationships/pivotTable" Target="../pivotTables/pivotTable54.xml"/><Relationship Id="rId62" Type="http://schemas.openxmlformats.org/officeDocument/2006/relationships/pivotTable" Target="../pivotTables/pivotTable62.xml"/><Relationship Id="rId70" Type="http://schemas.openxmlformats.org/officeDocument/2006/relationships/pivotTable" Target="../pivotTables/pivotTable70.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01747-A0C9-4C20-B3AA-8DEC164EC479}">
  <sheetPr>
    <pageSetUpPr autoPageBreaks="0"/>
  </sheetPr>
  <dimension ref="B2:T477"/>
  <sheetViews>
    <sheetView tabSelected="1" zoomScaleNormal="100" zoomScaleSheetLayoutView="100" zoomScalePageLayoutView="60" workbookViewId="0">
      <selection activeCell="B2" sqref="B2:S3"/>
    </sheetView>
  </sheetViews>
  <sheetFormatPr defaultColWidth="9.140625" defaultRowHeight="12.75" x14ac:dyDescent="0.2"/>
  <cols>
    <col min="1" max="1" width="5.7109375" style="3" customWidth="1"/>
    <col min="2" max="2" width="9.140625" style="3"/>
    <col min="3" max="5" width="9.7109375" style="3" customWidth="1"/>
    <col min="6" max="6" width="9.140625" style="3"/>
    <col min="7" max="7" width="9.42578125" style="3" customWidth="1"/>
    <col min="8" max="8" width="9.140625" style="3"/>
    <col min="9" max="9" width="9.140625" style="3" customWidth="1"/>
    <col min="10" max="12" width="9.140625" style="3"/>
    <col min="13" max="13" width="9.140625" style="3" customWidth="1"/>
    <col min="14" max="19" width="9.140625" style="3"/>
    <col min="20" max="20" width="9.140625" style="25"/>
    <col min="21" max="16384" width="9.140625" style="3"/>
  </cols>
  <sheetData>
    <row r="2" spans="2:19" ht="50.1" customHeight="1" x14ac:dyDescent="0.2">
      <c r="B2" s="455" t="s">
        <v>0</v>
      </c>
      <c r="C2" s="456"/>
      <c r="D2" s="456"/>
      <c r="E2" s="456"/>
      <c r="F2" s="456"/>
      <c r="G2" s="456"/>
      <c r="H2" s="456"/>
      <c r="I2" s="456"/>
      <c r="J2" s="456"/>
      <c r="K2" s="456"/>
      <c r="L2" s="456"/>
      <c r="M2" s="456"/>
      <c r="N2" s="456"/>
      <c r="O2" s="456"/>
      <c r="P2" s="456"/>
      <c r="Q2" s="456"/>
      <c r="R2" s="456"/>
      <c r="S2" s="457"/>
    </row>
    <row r="3" spans="2:19" x14ac:dyDescent="0.2">
      <c r="B3" s="458"/>
      <c r="C3" s="459"/>
      <c r="D3" s="459"/>
      <c r="E3" s="459"/>
      <c r="F3" s="459"/>
      <c r="G3" s="459"/>
      <c r="H3" s="459"/>
      <c r="I3" s="459"/>
      <c r="J3" s="459"/>
      <c r="K3" s="459"/>
      <c r="L3" s="459"/>
      <c r="M3" s="459"/>
      <c r="N3" s="459"/>
      <c r="O3" s="459"/>
      <c r="P3" s="459"/>
      <c r="Q3" s="459"/>
      <c r="R3" s="459"/>
      <c r="S3" s="460"/>
    </row>
    <row r="4" spans="2:19" x14ac:dyDescent="0.2">
      <c r="B4" s="6"/>
      <c r="C4" s="7"/>
      <c r="D4" s="7"/>
      <c r="E4" s="8"/>
      <c r="F4" s="9"/>
      <c r="G4" s="10"/>
      <c r="H4" s="10"/>
      <c r="I4" s="10"/>
      <c r="J4" s="10"/>
      <c r="K4" s="10"/>
      <c r="L4" s="10"/>
      <c r="M4" s="9"/>
      <c r="N4" s="11"/>
      <c r="O4" s="12"/>
      <c r="P4" s="12"/>
      <c r="Q4" s="12"/>
      <c r="R4" s="12"/>
      <c r="S4" s="13"/>
    </row>
    <row r="5" spans="2:19" x14ac:dyDescent="0.2">
      <c r="B5" s="6"/>
      <c r="C5" s="14" t="s">
        <v>1</v>
      </c>
      <c r="D5" s="14" t="s">
        <v>2</v>
      </c>
      <c r="E5" s="15"/>
      <c r="F5" s="15"/>
      <c r="G5" s="15"/>
      <c r="H5" s="16"/>
      <c r="I5" s="16"/>
      <c r="J5" s="16"/>
      <c r="K5" s="16"/>
      <c r="L5" s="16"/>
      <c r="M5" s="12"/>
      <c r="N5" s="12"/>
      <c r="O5" s="12"/>
      <c r="P5" s="12"/>
      <c r="Q5" s="12"/>
      <c r="R5" s="12"/>
      <c r="S5" s="13"/>
    </row>
    <row r="6" spans="2:19" ht="22.5" customHeight="1" x14ac:dyDescent="0.2">
      <c r="B6" s="6"/>
      <c r="C6" s="384" t="s">
        <v>3</v>
      </c>
      <c r="D6" s="384"/>
      <c r="E6" s="384"/>
      <c r="F6" s="384"/>
      <c r="G6" s="461" t="s">
        <v>4</v>
      </c>
      <c r="H6" s="384" t="s">
        <v>5</v>
      </c>
      <c r="I6" s="384"/>
      <c r="J6" s="384"/>
      <c r="K6" s="384"/>
      <c r="L6" s="461" t="s">
        <v>6</v>
      </c>
      <c r="M6" s="198" t="s">
        <v>7</v>
      </c>
      <c r="N6" s="12"/>
      <c r="O6" s="12"/>
      <c r="P6" s="12"/>
      <c r="Q6" s="12"/>
      <c r="R6" s="12"/>
      <c r="S6" s="13"/>
    </row>
    <row r="7" spans="2:19" ht="12.75" customHeight="1" x14ac:dyDescent="0.2">
      <c r="B7" s="6"/>
      <c r="C7" s="384"/>
      <c r="D7" s="384"/>
      <c r="E7" s="384"/>
      <c r="F7" s="384"/>
      <c r="G7" s="461"/>
      <c r="H7" s="199" t="s">
        <v>8</v>
      </c>
      <c r="I7" s="199" t="s">
        <v>9</v>
      </c>
      <c r="J7" s="199" t="s">
        <v>10</v>
      </c>
      <c r="K7" s="199" t="s">
        <v>11</v>
      </c>
      <c r="L7" s="461"/>
      <c r="M7" s="198"/>
      <c r="N7" s="12"/>
      <c r="O7" s="12"/>
      <c r="P7" s="12"/>
      <c r="Q7" s="12"/>
      <c r="R7" s="12"/>
      <c r="S7" s="13"/>
    </row>
    <row r="8" spans="2:19" ht="12.75" customHeight="1" x14ac:dyDescent="0.2">
      <c r="B8" s="6"/>
      <c r="C8" s="462" t="s">
        <v>12</v>
      </c>
      <c r="D8" s="462"/>
      <c r="E8" s="462"/>
      <c r="F8" s="462"/>
      <c r="G8" s="294">
        <v>4110</v>
      </c>
      <c r="H8" s="295">
        <v>163</v>
      </c>
      <c r="I8" s="295">
        <v>137</v>
      </c>
      <c r="J8" s="296">
        <v>109</v>
      </c>
      <c r="K8" s="296">
        <f>GETPIVOTDATA("Net Dwellings",Pivot!$B$5)+GETPIVOTDATA("2024/25 (R)",Pivot!$E$5)</f>
        <v>93.444444444444443</v>
      </c>
      <c r="L8" s="294">
        <f>SUM(H8:K8)</f>
        <v>502.44444444444446</v>
      </c>
      <c r="M8" s="297">
        <f>L8/G8</f>
        <v>0.1222492565558259</v>
      </c>
      <c r="N8" s="17"/>
      <c r="O8" s="12"/>
      <c r="P8" s="12"/>
      <c r="Q8" s="12"/>
      <c r="R8" s="12"/>
      <c r="S8" s="13"/>
    </row>
    <row r="9" spans="2:19" x14ac:dyDescent="0.2">
      <c r="B9" s="6"/>
      <c r="C9" s="7"/>
      <c r="D9" s="7"/>
      <c r="E9" s="8"/>
      <c r="F9" s="9"/>
      <c r="G9" s="10"/>
      <c r="H9" s="10"/>
      <c r="I9" s="10"/>
      <c r="J9" s="10"/>
      <c r="K9" s="10"/>
      <c r="L9" s="18"/>
      <c r="M9" s="200"/>
      <c r="N9" s="11"/>
      <c r="O9" s="12"/>
      <c r="P9" s="12"/>
      <c r="Q9" s="12"/>
      <c r="R9" s="12"/>
      <c r="S9" s="13"/>
    </row>
    <row r="10" spans="2:19" ht="12.75" customHeight="1" x14ac:dyDescent="0.2">
      <c r="B10" s="6"/>
      <c r="C10" s="27"/>
      <c r="D10" s="28"/>
      <c r="E10" s="28"/>
      <c r="F10" s="28"/>
      <c r="G10" s="28"/>
      <c r="H10" s="28"/>
      <c r="I10" s="28"/>
      <c r="J10" s="28"/>
      <c r="K10" s="27"/>
      <c r="L10" s="27"/>
      <c r="M10" s="29"/>
      <c r="N10" s="30"/>
      <c r="O10" s="16"/>
      <c r="P10" s="16"/>
      <c r="Q10" s="16"/>
      <c r="R10" s="16"/>
      <c r="S10" s="31"/>
    </row>
    <row r="11" spans="2:19" ht="12.75" customHeight="1" x14ac:dyDescent="0.2">
      <c r="B11" s="6"/>
      <c r="C11" s="19" t="s">
        <v>13</v>
      </c>
      <c r="D11" s="20" t="s">
        <v>14</v>
      </c>
      <c r="E11" s="21"/>
      <c r="F11" s="22"/>
      <c r="G11" s="22"/>
      <c r="H11" s="22"/>
      <c r="I11" s="22"/>
      <c r="J11" s="22"/>
      <c r="K11" s="22"/>
      <c r="L11" s="22"/>
      <c r="M11" s="22"/>
      <c r="N11" s="30"/>
      <c r="O11" s="16"/>
      <c r="P11" s="16"/>
      <c r="Q11" s="16"/>
      <c r="R11" s="16"/>
      <c r="S11" s="31"/>
    </row>
    <row r="12" spans="2:19" ht="12.75" customHeight="1" x14ac:dyDescent="0.25">
      <c r="B12" s="6"/>
      <c r="C12" s="450"/>
      <c r="D12" s="450"/>
      <c r="E12" s="450"/>
      <c r="F12" s="450"/>
      <c r="G12" s="450"/>
      <c r="H12" s="450"/>
      <c r="I12" s="450"/>
      <c r="J12" s="450"/>
      <c r="K12" s="450"/>
      <c r="L12" s="450"/>
      <c r="M12" s="450"/>
      <c r="N12" s="256"/>
      <c r="O12" s="256"/>
      <c r="P12" s="256"/>
      <c r="Q12" s="256"/>
      <c r="R12" s="256"/>
      <c r="S12" s="31"/>
    </row>
    <row r="13" spans="2:19" ht="12.75" customHeight="1" x14ac:dyDescent="0.25">
      <c r="B13" s="6"/>
      <c r="C13" s="23" t="s">
        <v>15</v>
      </c>
      <c r="D13" s="367" t="s">
        <v>16</v>
      </c>
      <c r="E13" s="367"/>
      <c r="F13" s="367"/>
      <c r="G13" s="367"/>
      <c r="H13" s="367"/>
      <c r="I13" s="367"/>
      <c r="J13" s="367"/>
      <c r="K13" s="367"/>
      <c r="L13" s="367"/>
      <c r="M13" s="24">
        <v>4110</v>
      </c>
      <c r="N13" s="256"/>
      <c r="O13" s="256"/>
      <c r="P13" s="256"/>
      <c r="Q13" s="256"/>
      <c r="R13" s="256"/>
      <c r="S13" s="31"/>
    </row>
    <row r="14" spans="2:19" ht="12.75" customHeight="1" x14ac:dyDescent="0.25">
      <c r="B14" s="6"/>
      <c r="C14" s="23" t="s">
        <v>17</v>
      </c>
      <c r="D14" s="451" t="s">
        <v>18</v>
      </c>
      <c r="E14" s="451"/>
      <c r="F14" s="451"/>
      <c r="G14" s="451"/>
      <c r="H14" s="451"/>
      <c r="I14" s="451"/>
      <c r="J14" s="451"/>
      <c r="K14" s="451"/>
      <c r="L14" s="451"/>
      <c r="M14" s="24">
        <f>L8</f>
        <v>502.44444444444446</v>
      </c>
      <c r="N14" s="256"/>
      <c r="O14" s="256"/>
      <c r="P14" s="256"/>
      <c r="Q14" s="256"/>
      <c r="R14" s="256"/>
      <c r="S14" s="31"/>
    </row>
    <row r="15" spans="2:19" ht="12.75" customHeight="1" x14ac:dyDescent="0.25">
      <c r="B15" s="6"/>
      <c r="C15" s="23" t="s">
        <v>19</v>
      </c>
      <c r="D15" s="452" t="s">
        <v>20</v>
      </c>
      <c r="E15" s="453"/>
      <c r="F15" s="453"/>
      <c r="G15" s="453"/>
      <c r="H15" s="453"/>
      <c r="I15" s="453"/>
      <c r="J15" s="453"/>
      <c r="K15" s="453"/>
      <c r="L15" s="454"/>
      <c r="M15" s="24">
        <f>SUM(Trajectory!M16:R16)</f>
        <v>3270</v>
      </c>
      <c r="N15" s="256"/>
      <c r="O15" s="256"/>
      <c r="P15" s="256"/>
      <c r="Q15" s="256"/>
      <c r="R15" s="256"/>
      <c r="S15" s="31"/>
    </row>
    <row r="16" spans="2:19" ht="12.75" customHeight="1" x14ac:dyDescent="0.25">
      <c r="B16" s="6"/>
      <c r="C16" s="23" t="s">
        <v>21</v>
      </c>
      <c r="D16" s="367" t="s">
        <v>22</v>
      </c>
      <c r="E16" s="367"/>
      <c r="F16" s="367"/>
      <c r="G16" s="367"/>
      <c r="H16" s="367"/>
      <c r="I16" s="367"/>
      <c r="J16" s="367"/>
      <c r="K16" s="370" t="s">
        <v>23</v>
      </c>
      <c r="L16" s="370"/>
      <c r="M16" s="24">
        <f>M15/6</f>
        <v>545</v>
      </c>
      <c r="N16" s="256"/>
      <c r="O16" s="256"/>
      <c r="P16" s="256"/>
      <c r="Q16" s="256"/>
      <c r="R16" s="256"/>
      <c r="S16" s="31"/>
    </row>
    <row r="17" spans="2:19" ht="12.75" customHeight="1" x14ac:dyDescent="0.25">
      <c r="B17" s="6"/>
      <c r="C17" s="23" t="s">
        <v>24</v>
      </c>
      <c r="D17" s="447" t="s">
        <v>25</v>
      </c>
      <c r="E17" s="368"/>
      <c r="F17" s="368"/>
      <c r="G17" s="368"/>
      <c r="H17" s="368"/>
      <c r="I17" s="368"/>
      <c r="J17" s="368"/>
      <c r="K17" s="368"/>
      <c r="L17" s="369"/>
      <c r="M17" s="24">
        <f>SUM(Trajectory!I16:L16)-SUM(Trajectory!I12:L12)</f>
        <v>337.55555555555554</v>
      </c>
      <c r="N17" s="256"/>
      <c r="O17" s="256"/>
      <c r="P17" s="256"/>
      <c r="Q17" s="256"/>
      <c r="R17" s="256"/>
      <c r="S17" s="31"/>
    </row>
    <row r="18" spans="2:19" ht="12.75" customHeight="1" x14ac:dyDescent="0.25">
      <c r="B18" s="6"/>
      <c r="C18" s="23" t="s">
        <v>26</v>
      </c>
      <c r="D18" s="448" t="s">
        <v>27</v>
      </c>
      <c r="E18" s="448"/>
      <c r="F18" s="448"/>
      <c r="G18" s="448"/>
      <c r="H18" s="448"/>
      <c r="I18" s="448"/>
      <c r="J18" s="448"/>
      <c r="K18" s="449"/>
      <c r="L18" s="449"/>
      <c r="M18" s="24">
        <f>SUM(Trajectory!M16:Q16)</f>
        <v>2600</v>
      </c>
      <c r="N18" s="256"/>
      <c r="O18" s="256"/>
      <c r="P18" s="256"/>
      <c r="Q18" s="256"/>
      <c r="R18" s="256"/>
      <c r="S18" s="31"/>
    </row>
    <row r="19" spans="2:19" ht="12.75" customHeight="1" x14ac:dyDescent="0.25">
      <c r="B19" s="6"/>
      <c r="C19" s="23" t="s">
        <v>28</v>
      </c>
      <c r="D19" s="367" t="s">
        <v>29</v>
      </c>
      <c r="E19" s="367"/>
      <c r="F19" s="367"/>
      <c r="G19" s="367"/>
      <c r="H19" s="367"/>
      <c r="I19" s="367"/>
      <c r="J19" s="367"/>
      <c r="K19" s="370" t="s">
        <v>30</v>
      </c>
      <c r="L19" s="370"/>
      <c r="M19" s="24">
        <f>M18+M17</f>
        <v>2937.5555555555557</v>
      </c>
      <c r="N19" s="256"/>
      <c r="O19" s="256"/>
      <c r="P19" s="256"/>
      <c r="Q19" s="256"/>
      <c r="R19" s="256"/>
      <c r="S19" s="31"/>
    </row>
    <row r="20" spans="2:19" ht="12.75" customHeight="1" x14ac:dyDescent="0.25">
      <c r="B20" s="6"/>
      <c r="C20" s="23" t="s">
        <v>31</v>
      </c>
      <c r="D20" s="367" t="s">
        <v>32</v>
      </c>
      <c r="E20" s="367"/>
      <c r="F20" s="367"/>
      <c r="G20" s="367"/>
      <c r="H20" s="367"/>
      <c r="I20" s="367"/>
      <c r="J20" s="367"/>
      <c r="K20" s="370" t="s">
        <v>33</v>
      </c>
      <c r="L20" s="370"/>
      <c r="M20" s="291">
        <f>M19*0.05</f>
        <v>146.87777777777779</v>
      </c>
      <c r="N20" s="256"/>
      <c r="O20" s="256"/>
      <c r="P20" s="256"/>
      <c r="Q20" s="256"/>
      <c r="R20" s="256"/>
      <c r="S20" s="31"/>
    </row>
    <row r="21" spans="2:19" ht="12.75" customHeight="1" x14ac:dyDescent="0.25">
      <c r="B21" s="6"/>
      <c r="C21" s="23" t="s">
        <v>34</v>
      </c>
      <c r="D21" s="367" t="s">
        <v>35</v>
      </c>
      <c r="E21" s="367"/>
      <c r="F21" s="367"/>
      <c r="G21" s="367"/>
      <c r="H21" s="367"/>
      <c r="I21" s="367"/>
      <c r="J21" s="367"/>
      <c r="K21" s="370" t="s">
        <v>36</v>
      </c>
      <c r="L21" s="370"/>
      <c r="M21" s="24">
        <f>M19+M20</f>
        <v>3084.4333333333334</v>
      </c>
      <c r="N21" s="256"/>
      <c r="O21" s="256"/>
      <c r="P21" s="256"/>
      <c r="Q21" s="256"/>
      <c r="R21" s="256"/>
      <c r="S21" s="31"/>
    </row>
    <row r="22" spans="2:19" ht="12.75" customHeight="1" x14ac:dyDescent="0.25">
      <c r="B22" s="6"/>
      <c r="C22" s="23" t="s">
        <v>37</v>
      </c>
      <c r="D22" s="367" t="s">
        <v>38</v>
      </c>
      <c r="E22" s="367"/>
      <c r="F22" s="367"/>
      <c r="G22" s="367"/>
      <c r="H22" s="367"/>
      <c r="I22" s="367"/>
      <c r="J22" s="367"/>
      <c r="K22" s="372" t="s">
        <v>39</v>
      </c>
      <c r="L22" s="371"/>
      <c r="M22" s="24">
        <f>M21/5</f>
        <v>616.88666666666666</v>
      </c>
      <c r="N22" s="256"/>
      <c r="O22" s="256"/>
      <c r="P22" s="256"/>
      <c r="Q22" s="256"/>
      <c r="R22" s="256"/>
      <c r="S22" s="31"/>
    </row>
    <row r="23" spans="2:19" ht="12.75" customHeight="1" x14ac:dyDescent="0.25">
      <c r="B23" s="6"/>
      <c r="C23" s="23" t="s">
        <v>40</v>
      </c>
      <c r="D23" s="367" t="s">
        <v>41</v>
      </c>
      <c r="E23" s="368"/>
      <c r="F23" s="368"/>
      <c r="G23" s="368"/>
      <c r="H23" s="368"/>
      <c r="I23" s="368"/>
      <c r="J23" s="369"/>
      <c r="K23" s="370" t="s">
        <v>42</v>
      </c>
      <c r="L23" s="371"/>
      <c r="M23" s="24">
        <f>M19*0.2</f>
        <v>587.51111111111118</v>
      </c>
      <c r="N23" s="256"/>
      <c r="O23" s="256"/>
      <c r="P23" s="256"/>
      <c r="Q23" s="256"/>
      <c r="R23" s="256"/>
      <c r="S23" s="31"/>
    </row>
    <row r="24" spans="2:19" ht="12.75" customHeight="1" x14ac:dyDescent="0.25">
      <c r="B24" s="6"/>
      <c r="C24" s="23" t="s">
        <v>43</v>
      </c>
      <c r="D24" s="367" t="s">
        <v>44</v>
      </c>
      <c r="E24" s="368"/>
      <c r="F24" s="368"/>
      <c r="G24" s="368"/>
      <c r="H24" s="368"/>
      <c r="I24" s="368"/>
      <c r="J24" s="369"/>
      <c r="K24" s="370" t="s">
        <v>45</v>
      </c>
      <c r="L24" s="370"/>
      <c r="M24" s="24">
        <f>M19+M23</f>
        <v>3525.0666666666666</v>
      </c>
      <c r="N24" s="256"/>
      <c r="O24" s="256"/>
      <c r="P24" s="256"/>
      <c r="Q24" s="256"/>
      <c r="R24" s="256"/>
      <c r="S24" s="31"/>
    </row>
    <row r="25" spans="2:19" ht="12.75" customHeight="1" x14ac:dyDescent="0.25">
      <c r="B25" s="6"/>
      <c r="C25" s="23" t="s">
        <v>46</v>
      </c>
      <c r="D25" s="367" t="s">
        <v>47</v>
      </c>
      <c r="E25" s="368"/>
      <c r="F25" s="368"/>
      <c r="G25" s="368"/>
      <c r="H25" s="368"/>
      <c r="I25" s="368"/>
      <c r="J25" s="369"/>
      <c r="K25" s="372" t="s">
        <v>48</v>
      </c>
      <c r="L25" s="371"/>
      <c r="M25" s="24">
        <f>M24/5</f>
        <v>705.01333333333332</v>
      </c>
      <c r="N25" s="256"/>
      <c r="O25" s="256"/>
      <c r="P25" s="256"/>
      <c r="Q25" s="256"/>
      <c r="R25" s="256"/>
      <c r="S25" s="31"/>
    </row>
    <row r="26" spans="2:19" ht="12.75" customHeight="1" x14ac:dyDescent="0.25">
      <c r="B26" s="6"/>
      <c r="C26" s="23" t="s">
        <v>49</v>
      </c>
      <c r="D26" s="367" t="s">
        <v>50</v>
      </c>
      <c r="E26" s="367"/>
      <c r="F26" s="367"/>
      <c r="G26" s="367"/>
      <c r="H26" s="367"/>
      <c r="I26" s="367"/>
      <c r="J26" s="367"/>
      <c r="K26" s="370"/>
      <c r="L26" s="370"/>
      <c r="M26" s="24">
        <f>H43</f>
        <v>3187.6</v>
      </c>
      <c r="N26" s="256"/>
      <c r="O26" s="256"/>
      <c r="P26" s="256"/>
      <c r="Q26" s="256"/>
      <c r="R26" s="256"/>
      <c r="S26" s="31"/>
    </row>
    <row r="27" spans="2:19" ht="12.75" customHeight="1" x14ac:dyDescent="0.25">
      <c r="B27" s="6"/>
      <c r="C27" s="23" t="s">
        <v>51</v>
      </c>
      <c r="D27" s="367" t="s">
        <v>52</v>
      </c>
      <c r="E27" s="367"/>
      <c r="F27" s="367"/>
      <c r="G27" s="367"/>
      <c r="H27" s="367"/>
      <c r="I27" s="367"/>
      <c r="J27" s="367"/>
      <c r="K27" s="370" t="s">
        <v>53</v>
      </c>
      <c r="L27" s="370"/>
      <c r="M27" s="26">
        <f>M26/M21</f>
        <v>1.0334475268282666</v>
      </c>
      <c r="N27" s="256"/>
      <c r="O27" s="256"/>
      <c r="P27" s="256"/>
      <c r="Q27" s="256"/>
      <c r="R27" s="256"/>
      <c r="S27" s="31"/>
    </row>
    <row r="28" spans="2:19" ht="12.75" customHeight="1" x14ac:dyDescent="0.25">
      <c r="B28" s="6"/>
      <c r="C28" s="23" t="s">
        <v>54</v>
      </c>
      <c r="D28" s="367" t="s">
        <v>55</v>
      </c>
      <c r="E28" s="367"/>
      <c r="F28" s="367"/>
      <c r="G28" s="367"/>
      <c r="H28" s="367"/>
      <c r="I28" s="367"/>
      <c r="J28" s="367"/>
      <c r="K28" s="370" t="s">
        <v>56</v>
      </c>
      <c r="L28" s="370"/>
      <c r="M28" s="292">
        <f>M26/M22</f>
        <v>5.1672376341413333</v>
      </c>
      <c r="N28" s="256"/>
      <c r="O28" s="256"/>
      <c r="P28" s="256"/>
      <c r="Q28" s="256"/>
      <c r="R28" s="256"/>
      <c r="S28" s="31"/>
    </row>
    <row r="29" spans="2:19" ht="12.75" customHeight="1" x14ac:dyDescent="0.25">
      <c r="B29" s="6"/>
      <c r="C29" s="23" t="s">
        <v>57</v>
      </c>
      <c r="D29" s="367" t="s">
        <v>58</v>
      </c>
      <c r="E29" s="367"/>
      <c r="F29" s="367"/>
      <c r="G29" s="367"/>
      <c r="H29" s="367"/>
      <c r="I29" s="367"/>
      <c r="J29" s="367"/>
      <c r="K29" s="370"/>
      <c r="L29" s="370"/>
      <c r="M29" s="26">
        <f>M26/M24</f>
        <v>0.90426658597473331</v>
      </c>
      <c r="N29" s="256"/>
      <c r="O29" s="256"/>
      <c r="P29" s="256"/>
      <c r="Q29" s="256"/>
      <c r="R29" s="256"/>
      <c r="S29" s="31"/>
    </row>
    <row r="30" spans="2:19" ht="12.75" customHeight="1" x14ac:dyDescent="0.25">
      <c r="B30" s="6"/>
      <c r="C30" s="23" t="s">
        <v>59</v>
      </c>
      <c r="D30" s="367" t="s">
        <v>60</v>
      </c>
      <c r="E30" s="367"/>
      <c r="F30" s="367"/>
      <c r="G30" s="367"/>
      <c r="H30" s="367"/>
      <c r="I30" s="367"/>
      <c r="J30" s="367"/>
      <c r="K30" s="370"/>
      <c r="L30" s="370"/>
      <c r="M30" s="292">
        <f>M26/M25</f>
        <v>4.5213329298736671</v>
      </c>
      <c r="N30" s="256"/>
      <c r="O30" s="256"/>
      <c r="P30" s="256"/>
      <c r="Q30" s="256"/>
      <c r="R30" s="256"/>
      <c r="S30" s="31"/>
    </row>
    <row r="31" spans="2:19" ht="12.75" customHeight="1" x14ac:dyDescent="0.2">
      <c r="B31" s="6"/>
      <c r="C31" s="32" t="s">
        <v>61</v>
      </c>
      <c r="D31" s="33"/>
      <c r="E31" s="33"/>
      <c r="F31" s="33"/>
      <c r="G31" s="33"/>
      <c r="H31" s="33"/>
      <c r="I31" s="33"/>
      <c r="J31" s="33"/>
      <c r="K31" s="34"/>
      <c r="L31" s="34"/>
      <c r="M31" s="35"/>
      <c r="N31" s="30"/>
      <c r="O31" s="16"/>
      <c r="P31" s="16"/>
      <c r="Q31" s="16"/>
      <c r="R31" s="16"/>
      <c r="S31" s="31"/>
    </row>
    <row r="32" spans="2:19" ht="12.75" customHeight="1" x14ac:dyDescent="0.2">
      <c r="B32" s="6"/>
      <c r="C32" s="34"/>
      <c r="D32" s="33"/>
      <c r="E32" s="33"/>
      <c r="F32" s="33"/>
      <c r="G32" s="33"/>
      <c r="H32" s="33"/>
      <c r="I32" s="33"/>
      <c r="J32" s="33"/>
      <c r="K32" s="34"/>
      <c r="L32" s="34"/>
      <c r="M32" s="35"/>
      <c r="N32" s="30"/>
      <c r="O32" s="16"/>
      <c r="P32" s="16"/>
      <c r="Q32" s="16"/>
      <c r="R32" s="16"/>
      <c r="S32" s="31"/>
    </row>
    <row r="33" spans="2:19" ht="12.75" customHeight="1" x14ac:dyDescent="0.2">
      <c r="B33" s="6"/>
      <c r="C33" s="36"/>
      <c r="D33" s="37"/>
      <c r="E33" s="37"/>
      <c r="F33" s="37"/>
      <c r="G33" s="37"/>
      <c r="H33" s="37"/>
      <c r="I33" s="37"/>
      <c r="J33" s="37"/>
      <c r="K33" s="36"/>
      <c r="L33" s="36"/>
      <c r="M33" s="38"/>
      <c r="N33" s="12"/>
      <c r="O33" s="12"/>
      <c r="P33" s="12"/>
      <c r="Q33" s="12"/>
      <c r="R33" s="12"/>
      <c r="S33" s="13"/>
    </row>
    <row r="34" spans="2:19" ht="12.75" customHeight="1" x14ac:dyDescent="0.2">
      <c r="B34" s="6"/>
      <c r="C34" s="20" t="s">
        <v>62</v>
      </c>
      <c r="D34" s="20" t="s">
        <v>50</v>
      </c>
      <c r="E34" s="39"/>
      <c r="F34" s="39"/>
      <c r="G34" s="39"/>
      <c r="H34" s="39"/>
      <c r="I34" s="39"/>
      <c r="J34" s="37"/>
      <c r="K34" s="20" t="s">
        <v>63</v>
      </c>
      <c r="L34" s="20" t="s">
        <v>64</v>
      </c>
      <c r="M34" s="40"/>
      <c r="N34" s="40"/>
      <c r="O34" s="40"/>
      <c r="P34" s="40"/>
      <c r="Q34" s="32"/>
      <c r="R34" s="32"/>
      <c r="S34" s="13"/>
    </row>
    <row r="35" spans="2:19" ht="24" customHeight="1" x14ac:dyDescent="0.2">
      <c r="B35" s="41"/>
      <c r="C35" s="442" t="s">
        <v>65</v>
      </c>
      <c r="D35" s="443"/>
      <c r="E35" s="443"/>
      <c r="F35" s="443"/>
      <c r="G35" s="444"/>
      <c r="H35" s="445" t="s">
        <v>66</v>
      </c>
      <c r="I35" s="446"/>
      <c r="J35" s="16"/>
      <c r="K35" s="442" t="s">
        <v>65</v>
      </c>
      <c r="L35" s="443"/>
      <c r="M35" s="443"/>
      <c r="N35" s="443"/>
      <c r="O35" s="443"/>
      <c r="P35" s="444"/>
      <c r="Q35" s="445" t="s">
        <v>67</v>
      </c>
      <c r="R35" s="446"/>
      <c r="S35" s="13"/>
    </row>
    <row r="36" spans="2:19" ht="12.75" customHeight="1" x14ac:dyDescent="0.2">
      <c r="B36" s="41"/>
      <c r="C36" s="439" t="s">
        <v>68</v>
      </c>
      <c r="D36" s="440"/>
      <c r="E36" s="440"/>
      <c r="F36" s="440"/>
      <c r="G36" s="441"/>
      <c r="H36" s="437">
        <f>GETPIVOTDATA("Sum of 2025/26 (1)",Pivot!$E$14)+GETPIVOTDATA("Sum of 2026/27 (2)",Pivot!$E$14)+GETPIVOTDATA("Sum of 2027/28 (3)",Pivot!$E$14)+GETPIVOTDATA("Sum of 2028/29 (4)",Pivot!$E$14)+GETPIVOTDATA("Sum of 2029/30 (5)",Pivot!$E$14)</f>
        <v>802</v>
      </c>
      <c r="I36" s="438"/>
      <c r="J36" s="16"/>
      <c r="K36" s="434" t="s">
        <v>68</v>
      </c>
      <c r="L36" s="435"/>
      <c r="M36" s="435"/>
      <c r="N36" s="435"/>
      <c r="O36" s="435"/>
      <c r="P36" s="436"/>
      <c r="Q36" s="437">
        <f>GETPIVOTDATA("Net Dwellings",Pivot!$B$14)</f>
        <v>892</v>
      </c>
      <c r="R36" s="438"/>
      <c r="S36" s="13"/>
    </row>
    <row r="37" spans="2:19" x14ac:dyDescent="0.2">
      <c r="B37" s="41"/>
      <c r="C37" s="439" t="s">
        <v>69</v>
      </c>
      <c r="D37" s="440"/>
      <c r="E37" s="440"/>
      <c r="F37" s="440"/>
      <c r="G37" s="441"/>
      <c r="H37" s="437">
        <f>GETPIVOTDATA("Sum of 2025/26 (1)",Pivot!$E$23)+GETPIVOTDATA("Sum of 2026/27 (2)",Pivot!$E$23)+GETPIVOTDATA("Sum of 2027/28 (3)",Pivot!$E$23)+GETPIVOTDATA("Sum of 2028/29 (4)",Pivot!$E$23)+GETPIVOTDATA("Sum of 2029/30 (5)",Pivot!$E$23)</f>
        <v>607</v>
      </c>
      <c r="I37" s="438"/>
      <c r="J37" s="16"/>
      <c r="K37" s="434" t="s">
        <v>69</v>
      </c>
      <c r="L37" s="435"/>
      <c r="M37" s="435"/>
      <c r="N37" s="435"/>
      <c r="O37" s="435"/>
      <c r="P37" s="436"/>
      <c r="Q37" s="437">
        <f>GETPIVOTDATA("Net Dwellings",Pivot!$B$23)</f>
        <v>607</v>
      </c>
      <c r="R37" s="438"/>
      <c r="S37" s="13"/>
    </row>
    <row r="38" spans="2:19" ht="12.75" customHeight="1" x14ac:dyDescent="0.2">
      <c r="B38" s="41"/>
      <c r="C38" s="439" t="s">
        <v>70</v>
      </c>
      <c r="D38" s="440"/>
      <c r="E38" s="440"/>
      <c r="F38" s="440"/>
      <c r="G38" s="441"/>
      <c r="H38" s="437">
        <f>GETPIVOTDATA("Net Dwellings",Pivot!$B$32)</f>
        <v>120</v>
      </c>
      <c r="I38" s="438"/>
      <c r="J38" s="16"/>
      <c r="K38" s="434" t="s">
        <v>70</v>
      </c>
      <c r="L38" s="435"/>
      <c r="M38" s="435"/>
      <c r="N38" s="435"/>
      <c r="O38" s="435"/>
      <c r="P38" s="436"/>
      <c r="Q38" s="437">
        <f>GETPIVOTDATA("Net Dwellings",Pivot!$B$32)</f>
        <v>120</v>
      </c>
      <c r="R38" s="438"/>
      <c r="S38" s="13"/>
    </row>
    <row r="39" spans="2:19" ht="12.75" customHeight="1" x14ac:dyDescent="0.2">
      <c r="B39" s="41"/>
      <c r="C39" s="439" t="s">
        <v>71</v>
      </c>
      <c r="D39" s="440"/>
      <c r="E39" s="440"/>
      <c r="F39" s="440"/>
      <c r="G39" s="441"/>
      <c r="H39" s="437">
        <f>GETPIVOTDATA("Net Dwellings",Pivot!$B$42)</f>
        <v>120</v>
      </c>
      <c r="I39" s="438"/>
      <c r="J39" s="16"/>
      <c r="K39" s="434" t="s">
        <v>71</v>
      </c>
      <c r="L39" s="435"/>
      <c r="M39" s="435"/>
      <c r="N39" s="435"/>
      <c r="O39" s="435"/>
      <c r="P39" s="436"/>
      <c r="Q39" s="437">
        <f>GETPIVOTDATA("Net Dwellings",Pivot!$B$42)</f>
        <v>120</v>
      </c>
      <c r="R39" s="438"/>
      <c r="S39" s="13"/>
    </row>
    <row r="40" spans="2:19" ht="12.75" customHeight="1" x14ac:dyDescent="0.2">
      <c r="B40" s="41"/>
      <c r="C40" s="439" t="s">
        <v>72</v>
      </c>
      <c r="D40" s="440"/>
      <c r="E40" s="440"/>
      <c r="F40" s="440"/>
      <c r="G40" s="441"/>
      <c r="H40" s="437">
        <f>GETPIVOTDATA("Net Dwellings",Pivot!$B$52)</f>
        <v>136</v>
      </c>
      <c r="I40" s="438"/>
      <c r="J40" s="16"/>
      <c r="K40" s="434" t="s">
        <v>72</v>
      </c>
      <c r="L40" s="435"/>
      <c r="M40" s="435"/>
      <c r="N40" s="435"/>
      <c r="O40" s="435"/>
      <c r="P40" s="436"/>
      <c r="Q40" s="437">
        <f>GETPIVOTDATA("Net Dwellings",Pivot!$B$52)</f>
        <v>136</v>
      </c>
      <c r="R40" s="438"/>
      <c r="S40" s="13"/>
    </row>
    <row r="41" spans="2:19" ht="12.75" customHeight="1" x14ac:dyDescent="0.2">
      <c r="B41" s="41"/>
      <c r="C41" s="439" t="s">
        <v>73</v>
      </c>
      <c r="D41" s="440"/>
      <c r="E41" s="440"/>
      <c r="F41" s="440"/>
      <c r="G41" s="441"/>
      <c r="H41" s="437">
        <f>SUM('Non-Self-Contained'!AO2:AO9)</f>
        <v>41.599999999999994</v>
      </c>
      <c r="I41" s="438"/>
      <c r="J41" s="203"/>
      <c r="K41" s="434" t="s">
        <v>73</v>
      </c>
      <c r="L41" s="435"/>
      <c r="M41" s="435"/>
      <c r="N41" s="435"/>
      <c r="O41" s="435"/>
      <c r="P41" s="436"/>
      <c r="Q41" s="437">
        <f>H41</f>
        <v>41.599999999999994</v>
      </c>
      <c r="R41" s="438"/>
      <c r="S41" s="13"/>
    </row>
    <row r="42" spans="2:19" ht="12.75" customHeight="1" x14ac:dyDescent="0.2">
      <c r="B42" s="41"/>
      <c r="C42" s="439" t="s">
        <v>74</v>
      </c>
      <c r="D42" s="440"/>
      <c r="E42" s="440"/>
      <c r="F42" s="440"/>
      <c r="G42" s="441"/>
      <c r="H42" s="437">
        <f>GETPIVOTDATA("2025–2029 Total",Pivot!$E$33)</f>
        <v>1361</v>
      </c>
      <c r="I42" s="438"/>
      <c r="J42" s="203"/>
      <c r="K42" s="434" t="s">
        <v>75</v>
      </c>
      <c r="L42" s="435"/>
      <c r="M42" s="435"/>
      <c r="N42" s="435"/>
      <c r="O42" s="435"/>
      <c r="P42" s="436"/>
      <c r="Q42" s="437">
        <f>GETPIVOTDATA("2025–2035 Total",Pivot!$E$72)</f>
        <v>270</v>
      </c>
      <c r="R42" s="438"/>
      <c r="S42" s="13"/>
    </row>
    <row r="43" spans="2:19" ht="12.75" customHeight="1" x14ac:dyDescent="0.2">
      <c r="B43" s="41"/>
      <c r="C43" s="429" t="s">
        <v>76</v>
      </c>
      <c r="D43" s="430"/>
      <c r="E43" s="430"/>
      <c r="F43" s="430"/>
      <c r="G43" s="431"/>
      <c r="H43" s="432">
        <f>SUM(H36:I42)</f>
        <v>3187.6</v>
      </c>
      <c r="I43" s="433"/>
      <c r="J43" s="204"/>
      <c r="K43" s="434" t="s">
        <v>74</v>
      </c>
      <c r="L43" s="435"/>
      <c r="M43" s="435"/>
      <c r="N43" s="435"/>
      <c r="O43" s="435"/>
      <c r="P43" s="436"/>
      <c r="Q43" s="437">
        <f>GETPIVOTDATA("2025–2035 Total",Pivot!$E$50)</f>
        <v>3391</v>
      </c>
      <c r="R43" s="438"/>
      <c r="S43" s="13"/>
    </row>
    <row r="44" spans="2:19" ht="12.75" customHeight="1" x14ac:dyDescent="0.2">
      <c r="B44" s="6"/>
      <c r="C44" s="205"/>
      <c r="D44" s="25"/>
      <c r="E44" s="25"/>
      <c r="F44" s="25"/>
      <c r="G44" s="25"/>
      <c r="H44" s="25"/>
      <c r="I44" s="25"/>
      <c r="J44" s="25"/>
      <c r="K44" s="429" t="s">
        <v>77</v>
      </c>
      <c r="L44" s="430"/>
      <c r="M44" s="430"/>
      <c r="N44" s="430"/>
      <c r="O44" s="430"/>
      <c r="P44" s="431"/>
      <c r="Q44" s="432">
        <f>SUM(Q36:R43)</f>
        <v>5577.6</v>
      </c>
      <c r="R44" s="433"/>
      <c r="S44" s="13"/>
    </row>
    <row r="45" spans="2:19" ht="12.75" customHeight="1" x14ac:dyDescent="0.2">
      <c r="B45" s="6"/>
      <c r="C45" s="42"/>
      <c r="D45" s="43"/>
      <c r="E45" s="43"/>
      <c r="F45" s="44"/>
      <c r="G45" s="44"/>
      <c r="H45" s="44"/>
      <c r="I45" s="44"/>
      <c r="J45" s="44"/>
      <c r="K45" s="44"/>
      <c r="L45" s="44"/>
      <c r="M45" s="44"/>
      <c r="N45" s="45"/>
      <c r="O45" s="45"/>
      <c r="P45" s="45"/>
      <c r="Q45" s="45"/>
      <c r="R45" s="45"/>
      <c r="S45" s="46"/>
    </row>
    <row r="46" spans="2:19" ht="12.75" customHeight="1" x14ac:dyDescent="0.2">
      <c r="B46" s="6"/>
      <c r="C46" s="42"/>
      <c r="D46" s="43"/>
      <c r="E46" s="43"/>
      <c r="F46" s="44"/>
      <c r="G46" s="44"/>
      <c r="H46" s="44"/>
      <c r="I46" s="44"/>
      <c r="J46" s="44"/>
      <c r="K46" s="44"/>
      <c r="L46" s="44"/>
      <c r="M46" s="44"/>
      <c r="N46" s="45"/>
      <c r="O46" s="45"/>
      <c r="P46" s="45"/>
      <c r="Q46" s="45"/>
      <c r="R46" s="45"/>
      <c r="S46" s="46"/>
    </row>
    <row r="47" spans="2:19" x14ac:dyDescent="0.2">
      <c r="B47" s="47"/>
      <c r="C47" s="48"/>
      <c r="D47" s="49"/>
      <c r="E47" s="49"/>
      <c r="F47" s="49"/>
      <c r="G47" s="49"/>
      <c r="H47" s="49"/>
      <c r="I47" s="49"/>
      <c r="J47" s="49"/>
      <c r="K47" s="49"/>
      <c r="L47" s="49"/>
      <c r="M47" s="49"/>
      <c r="N47" s="49"/>
      <c r="O47" s="49"/>
      <c r="P47" s="49"/>
      <c r="Q47" s="49"/>
      <c r="R47" s="49"/>
      <c r="S47" s="50"/>
    </row>
    <row r="48" spans="2:19" x14ac:dyDescent="0.2">
      <c r="B48" s="51"/>
      <c r="C48" s="52"/>
      <c r="D48" s="52"/>
      <c r="E48" s="52"/>
      <c r="F48" s="52"/>
      <c r="G48" s="52"/>
      <c r="H48" s="52"/>
      <c r="I48" s="52"/>
      <c r="J48" s="52"/>
      <c r="K48" s="52"/>
      <c r="L48" s="52"/>
      <c r="M48" s="52"/>
      <c r="N48" s="52"/>
      <c r="O48" s="52"/>
      <c r="P48" s="52"/>
      <c r="Q48" s="52"/>
      <c r="R48" s="52"/>
      <c r="S48" s="53"/>
    </row>
    <row r="49" spans="2:19" x14ac:dyDescent="0.2">
      <c r="B49" s="6"/>
      <c r="C49" s="20" t="s">
        <v>78</v>
      </c>
      <c r="D49" s="206" t="s">
        <v>79</v>
      </c>
      <c r="E49" s="54"/>
      <c r="F49" s="55"/>
      <c r="G49" s="55"/>
      <c r="H49" s="55"/>
      <c r="I49" s="55"/>
      <c r="J49" s="55"/>
      <c r="K49" s="55"/>
      <c r="L49" s="55"/>
      <c r="M49" s="45"/>
      <c r="N49" s="45"/>
      <c r="O49" s="45"/>
      <c r="P49" s="45"/>
      <c r="Q49" s="45"/>
      <c r="R49" s="45"/>
      <c r="S49" s="53"/>
    </row>
    <row r="50" spans="2:19" x14ac:dyDescent="0.2">
      <c r="B50" s="6"/>
      <c r="C50" s="56" t="s">
        <v>80</v>
      </c>
      <c r="D50" s="56" t="s">
        <v>81</v>
      </c>
      <c r="E50" s="56" t="s">
        <v>82</v>
      </c>
      <c r="F50" s="257"/>
      <c r="G50" s="57"/>
      <c r="H50" s="57"/>
      <c r="I50" s="57"/>
      <c r="J50" s="57"/>
      <c r="K50" s="57"/>
      <c r="L50" s="58"/>
      <c r="M50" s="58"/>
      <c r="N50" s="58"/>
      <c r="O50" s="58"/>
      <c r="P50" s="58"/>
      <c r="Q50" s="58"/>
      <c r="R50" s="58"/>
      <c r="S50" s="53"/>
    </row>
    <row r="51" spans="2:19" x14ac:dyDescent="0.2">
      <c r="B51" s="6"/>
      <c r="C51" s="59" t="s">
        <v>83</v>
      </c>
      <c r="D51" s="60">
        <v>319</v>
      </c>
      <c r="E51" s="60">
        <v>270</v>
      </c>
      <c r="F51" s="54"/>
      <c r="G51" s="55"/>
      <c r="H51" s="55"/>
      <c r="I51" s="55"/>
      <c r="J51" s="55"/>
      <c r="K51" s="55"/>
      <c r="L51" s="45"/>
      <c r="M51" s="45"/>
      <c r="N51" s="45"/>
      <c r="O51" s="45"/>
      <c r="P51" s="45"/>
      <c r="Q51" s="45"/>
      <c r="R51" s="45"/>
      <c r="S51" s="53"/>
    </row>
    <row r="52" spans="2:19" x14ac:dyDescent="0.2">
      <c r="B52" s="6"/>
      <c r="C52" s="59" t="s">
        <v>84</v>
      </c>
      <c r="D52" s="60">
        <v>246</v>
      </c>
      <c r="E52" s="60">
        <v>270</v>
      </c>
      <c r="F52" s="54"/>
      <c r="G52" s="55"/>
      <c r="H52" s="55"/>
      <c r="I52" s="55"/>
      <c r="J52" s="55"/>
      <c r="K52" s="55"/>
      <c r="L52" s="45"/>
      <c r="M52" s="45"/>
      <c r="N52" s="45"/>
      <c r="O52" s="45"/>
      <c r="P52" s="45"/>
      <c r="Q52" s="45"/>
      <c r="R52" s="45"/>
      <c r="S52" s="53"/>
    </row>
    <row r="53" spans="2:19" ht="12.75" customHeight="1" x14ac:dyDescent="0.2">
      <c r="B53" s="6"/>
      <c r="C53" s="59" t="s">
        <v>85</v>
      </c>
      <c r="D53" s="60">
        <v>582</v>
      </c>
      <c r="E53" s="60">
        <v>270</v>
      </c>
      <c r="F53" s="54"/>
      <c r="G53" s="55"/>
      <c r="H53" s="55"/>
      <c r="I53" s="55"/>
      <c r="J53" s="55"/>
      <c r="K53" s="55"/>
      <c r="L53" s="45"/>
      <c r="M53" s="45"/>
      <c r="N53" s="45"/>
      <c r="O53" s="45"/>
      <c r="P53" s="45"/>
      <c r="Q53" s="45"/>
      <c r="R53" s="45"/>
      <c r="S53" s="53"/>
    </row>
    <row r="54" spans="2:19" x14ac:dyDescent="0.2">
      <c r="B54" s="6"/>
      <c r="C54" s="59" t="s">
        <v>86</v>
      </c>
      <c r="D54" s="60">
        <v>842</v>
      </c>
      <c r="E54" s="60">
        <v>270</v>
      </c>
      <c r="F54" s="54"/>
      <c r="G54" s="55"/>
      <c r="H54" s="55"/>
      <c r="I54" s="55"/>
      <c r="J54" s="55"/>
      <c r="K54" s="55"/>
      <c r="L54" s="45"/>
      <c r="M54" s="45"/>
      <c r="N54" s="45"/>
      <c r="O54" s="45"/>
      <c r="P54" s="45"/>
      <c r="Q54" s="45"/>
      <c r="R54" s="45"/>
      <c r="S54" s="53"/>
    </row>
    <row r="55" spans="2:19" x14ac:dyDescent="0.2">
      <c r="B55" s="6"/>
      <c r="C55" s="59" t="s">
        <v>87</v>
      </c>
      <c r="D55" s="60">
        <v>230</v>
      </c>
      <c r="E55" s="60">
        <v>270</v>
      </c>
      <c r="F55" s="54"/>
      <c r="G55" s="55"/>
      <c r="H55" s="55"/>
      <c r="I55" s="55"/>
      <c r="J55" s="55"/>
      <c r="K55" s="55"/>
      <c r="L55" s="45"/>
      <c r="M55" s="45"/>
      <c r="N55" s="45"/>
      <c r="O55" s="45"/>
      <c r="P55" s="45"/>
      <c r="Q55" s="45"/>
      <c r="R55" s="45"/>
      <c r="S55" s="53"/>
    </row>
    <row r="56" spans="2:19" x14ac:dyDescent="0.2">
      <c r="B56" s="6"/>
      <c r="C56" s="59" t="s">
        <v>88</v>
      </c>
      <c r="D56" s="60">
        <v>260</v>
      </c>
      <c r="E56" s="60">
        <v>270</v>
      </c>
      <c r="F56" s="54"/>
      <c r="G56" s="55"/>
      <c r="H56" s="55"/>
      <c r="I56" s="55"/>
      <c r="J56" s="55"/>
      <c r="K56" s="55"/>
      <c r="L56" s="45"/>
      <c r="M56" s="45"/>
      <c r="N56" s="45"/>
      <c r="O56" s="45"/>
      <c r="P56" s="45"/>
      <c r="Q56" s="45"/>
      <c r="R56" s="45"/>
      <c r="S56" s="53"/>
    </row>
    <row r="57" spans="2:19" x14ac:dyDescent="0.2">
      <c r="B57" s="6"/>
      <c r="C57" s="59" t="s">
        <v>89</v>
      </c>
      <c r="D57" s="60">
        <v>436</v>
      </c>
      <c r="E57" s="60">
        <v>270</v>
      </c>
      <c r="F57" s="54"/>
      <c r="G57" s="55"/>
      <c r="H57" s="55"/>
      <c r="I57" s="55"/>
      <c r="J57" s="55"/>
      <c r="K57" s="55"/>
      <c r="L57" s="45"/>
      <c r="M57" s="45"/>
      <c r="N57" s="45"/>
      <c r="O57" s="45"/>
      <c r="P57" s="45"/>
      <c r="Q57" s="45"/>
      <c r="R57" s="45"/>
      <c r="S57" s="53"/>
    </row>
    <row r="58" spans="2:19" x14ac:dyDescent="0.2">
      <c r="B58" s="6"/>
      <c r="C58" s="59" t="s">
        <v>90</v>
      </c>
      <c r="D58" s="60">
        <v>145</v>
      </c>
      <c r="E58" s="60">
        <v>270</v>
      </c>
      <c r="F58" s="54"/>
      <c r="G58" s="55"/>
      <c r="H58" s="55"/>
      <c r="I58" s="55"/>
      <c r="J58" s="55"/>
      <c r="K58" s="55"/>
      <c r="L58" s="45"/>
      <c r="M58" s="45"/>
      <c r="N58" s="45"/>
      <c r="O58" s="45"/>
      <c r="P58" s="45"/>
      <c r="Q58" s="45"/>
      <c r="R58" s="45"/>
      <c r="S58" s="53"/>
    </row>
    <row r="59" spans="2:19" x14ac:dyDescent="0.2">
      <c r="B59" s="6"/>
      <c r="C59" s="59" t="s">
        <v>91</v>
      </c>
      <c r="D59" s="60">
        <v>399</v>
      </c>
      <c r="E59" s="60">
        <v>270</v>
      </c>
      <c r="F59" s="54"/>
      <c r="G59" s="55"/>
      <c r="H59" s="55"/>
      <c r="I59" s="55"/>
      <c r="J59" s="55"/>
      <c r="K59" s="55"/>
      <c r="L59" s="45"/>
      <c r="M59" s="45"/>
      <c r="N59" s="45"/>
      <c r="O59" s="45"/>
      <c r="P59" s="45"/>
      <c r="Q59" s="45"/>
      <c r="R59" s="45"/>
      <c r="S59" s="53"/>
    </row>
    <row r="60" spans="2:19" x14ac:dyDescent="0.2">
      <c r="B60" s="6"/>
      <c r="C60" s="59" t="s">
        <v>92</v>
      </c>
      <c r="D60" s="60">
        <v>208</v>
      </c>
      <c r="E60" s="60">
        <v>245</v>
      </c>
      <c r="F60" s="54"/>
      <c r="G60" s="55"/>
      <c r="H60" s="55"/>
      <c r="I60" s="55"/>
      <c r="J60" s="55"/>
      <c r="K60" s="55"/>
      <c r="L60" s="45"/>
      <c r="M60" s="45"/>
      <c r="N60" s="45"/>
      <c r="O60" s="45"/>
      <c r="P60" s="45"/>
      <c r="Q60" s="45"/>
      <c r="R60" s="45"/>
      <c r="S60" s="53"/>
    </row>
    <row r="61" spans="2:19" x14ac:dyDescent="0.2">
      <c r="B61" s="6"/>
      <c r="C61" s="59" t="s">
        <v>93</v>
      </c>
      <c r="D61" s="60">
        <v>695</v>
      </c>
      <c r="E61" s="60">
        <v>245</v>
      </c>
      <c r="F61" s="54"/>
      <c r="G61" s="55"/>
      <c r="H61" s="55"/>
      <c r="I61" s="55"/>
      <c r="J61" s="55"/>
      <c r="K61" s="55"/>
      <c r="L61" s="45"/>
      <c r="M61" s="45"/>
      <c r="N61" s="45"/>
      <c r="O61" s="45"/>
      <c r="P61" s="45"/>
      <c r="Q61" s="45"/>
      <c r="R61" s="45"/>
      <c r="S61" s="53"/>
    </row>
    <row r="62" spans="2:19" x14ac:dyDescent="0.2">
      <c r="B62" s="6"/>
      <c r="C62" s="59" t="s">
        <v>94</v>
      </c>
      <c r="D62" s="60">
        <v>235</v>
      </c>
      <c r="E62" s="60">
        <v>245</v>
      </c>
      <c r="F62" s="258"/>
      <c r="G62" s="55"/>
      <c r="H62" s="55"/>
      <c r="I62" s="55"/>
      <c r="J62" s="55"/>
      <c r="K62" s="55"/>
      <c r="L62" s="45"/>
      <c r="M62" s="45"/>
      <c r="N62" s="45"/>
      <c r="O62" s="45"/>
      <c r="P62" s="45"/>
      <c r="Q62" s="45"/>
      <c r="R62" s="45"/>
      <c r="S62" s="53"/>
    </row>
    <row r="63" spans="2:19" x14ac:dyDescent="0.2">
      <c r="B63" s="6"/>
      <c r="C63" s="59" t="s">
        <v>95</v>
      </c>
      <c r="D63" s="60">
        <v>304</v>
      </c>
      <c r="E63" s="60">
        <v>245</v>
      </c>
      <c r="F63" s="25"/>
      <c r="S63" s="53"/>
    </row>
    <row r="64" spans="2:19" x14ac:dyDescent="0.2">
      <c r="B64" s="6"/>
      <c r="C64" s="59" t="s">
        <v>96</v>
      </c>
      <c r="D64" s="60">
        <v>491</v>
      </c>
      <c r="E64" s="60">
        <v>245</v>
      </c>
      <c r="F64" s="25"/>
      <c r="S64" s="53"/>
    </row>
    <row r="65" spans="2:19" x14ac:dyDescent="0.2">
      <c r="B65" s="6"/>
      <c r="C65" s="59" t="s">
        <v>97</v>
      </c>
      <c r="D65" s="60">
        <v>460</v>
      </c>
      <c r="E65" s="60">
        <v>315</v>
      </c>
      <c r="F65" s="25"/>
      <c r="S65" s="53"/>
    </row>
    <row r="66" spans="2:19" x14ac:dyDescent="0.2">
      <c r="B66" s="6"/>
      <c r="C66" s="59" t="s">
        <v>98</v>
      </c>
      <c r="D66" s="60">
        <v>382</v>
      </c>
      <c r="E66" s="60">
        <v>315</v>
      </c>
      <c r="F66" s="25"/>
      <c r="S66" s="53"/>
    </row>
    <row r="67" spans="2:19" x14ac:dyDescent="0.2">
      <c r="B67" s="6"/>
      <c r="C67" s="59" t="s">
        <v>99</v>
      </c>
      <c r="D67" s="60">
        <v>419</v>
      </c>
      <c r="E67" s="60">
        <v>315</v>
      </c>
      <c r="F67" s="25"/>
      <c r="S67" s="53"/>
    </row>
    <row r="68" spans="2:19" x14ac:dyDescent="0.2">
      <c r="B68" s="6"/>
      <c r="C68" s="59" t="s">
        <v>100</v>
      </c>
      <c r="D68" s="60">
        <v>331</v>
      </c>
      <c r="E68" s="60">
        <v>315</v>
      </c>
      <c r="F68" s="25"/>
      <c r="S68" s="53"/>
    </row>
    <row r="69" spans="2:19" x14ac:dyDescent="0.2">
      <c r="B69" s="6"/>
      <c r="C69" s="59" t="s">
        <v>101</v>
      </c>
      <c r="D69" s="60">
        <v>206</v>
      </c>
      <c r="E69" s="60">
        <v>315</v>
      </c>
      <c r="F69" s="25"/>
      <c r="S69" s="53"/>
    </row>
    <row r="70" spans="2:19" x14ac:dyDescent="0.2">
      <c r="B70" s="6"/>
      <c r="C70" s="59" t="s">
        <v>8</v>
      </c>
      <c r="D70" s="60">
        <v>164</v>
      </c>
      <c r="E70" s="60">
        <v>210</v>
      </c>
      <c r="F70" s="259"/>
      <c r="S70" s="53"/>
    </row>
    <row r="71" spans="2:19" x14ac:dyDescent="0.2">
      <c r="B71" s="6"/>
      <c r="C71" s="59" t="s">
        <v>9</v>
      </c>
      <c r="D71" s="61">
        <v>141</v>
      </c>
      <c r="E71" s="60">
        <v>210</v>
      </c>
      <c r="F71" s="259"/>
      <c r="I71" s="12"/>
      <c r="J71" s="12"/>
      <c r="K71" s="12"/>
      <c r="L71" s="12"/>
      <c r="M71" s="12"/>
      <c r="N71" s="12"/>
      <c r="O71" s="12"/>
      <c r="P71" s="12"/>
      <c r="S71" s="53"/>
    </row>
    <row r="72" spans="2:19" x14ac:dyDescent="0.2">
      <c r="B72" s="6"/>
      <c r="C72" s="59" t="s">
        <v>102</v>
      </c>
      <c r="D72" s="61">
        <v>100</v>
      </c>
      <c r="E72" s="60">
        <v>210</v>
      </c>
      <c r="F72" s="259"/>
      <c r="I72" s="12"/>
      <c r="J72" s="12"/>
      <c r="K72" s="12"/>
      <c r="L72" s="12"/>
      <c r="M72" s="12"/>
      <c r="N72" s="12"/>
      <c r="O72" s="12"/>
      <c r="P72" s="12"/>
      <c r="S72" s="53"/>
    </row>
    <row r="73" spans="2:19" x14ac:dyDescent="0.2">
      <c r="B73" s="6"/>
      <c r="C73" s="207" t="s">
        <v>11</v>
      </c>
      <c r="D73" s="208">
        <f>K8</f>
        <v>93.444444444444443</v>
      </c>
      <c r="E73" s="60">
        <v>210</v>
      </c>
      <c r="F73" s="259"/>
      <c r="I73" s="12"/>
      <c r="J73" s="12"/>
      <c r="K73" s="12"/>
      <c r="L73" s="12"/>
      <c r="M73" s="12"/>
      <c r="N73" s="12"/>
      <c r="O73" s="12"/>
      <c r="P73" s="12"/>
      <c r="S73" s="53"/>
    </row>
    <row r="74" spans="2:19" x14ac:dyDescent="0.2">
      <c r="B74" s="6"/>
      <c r="C74" s="63" t="s">
        <v>6</v>
      </c>
      <c r="D74" s="64">
        <f>SUM(D51:D73)</f>
        <v>7688.4444444444443</v>
      </c>
      <c r="E74" s="64">
        <f>SUM(E51:E73)</f>
        <v>6070</v>
      </c>
      <c r="F74" s="25"/>
      <c r="I74" s="12"/>
      <c r="J74" s="12"/>
      <c r="K74" s="12"/>
      <c r="L74" s="12"/>
      <c r="M74" s="12"/>
      <c r="N74" s="12"/>
      <c r="O74" s="12"/>
      <c r="P74" s="12"/>
      <c r="S74" s="53"/>
    </row>
    <row r="75" spans="2:19" x14ac:dyDescent="0.2">
      <c r="B75" s="47"/>
      <c r="C75" s="65"/>
      <c r="D75" s="65"/>
      <c r="E75" s="65"/>
      <c r="F75" s="65"/>
      <c r="G75" s="65"/>
      <c r="H75" s="65"/>
      <c r="I75" s="65"/>
      <c r="J75" s="65"/>
      <c r="K75" s="65"/>
      <c r="L75" s="65"/>
      <c r="M75" s="65"/>
      <c r="N75" s="65"/>
      <c r="O75" s="65"/>
      <c r="P75" s="65"/>
      <c r="Q75" s="65"/>
      <c r="R75" s="66"/>
      <c r="S75" s="67"/>
    </row>
    <row r="76" spans="2:19" x14ac:dyDescent="0.2">
      <c r="B76" s="51"/>
      <c r="C76" s="5"/>
      <c r="D76" s="5"/>
      <c r="E76" s="5"/>
      <c r="F76" s="5"/>
      <c r="G76" s="5"/>
      <c r="H76" s="5"/>
      <c r="I76" s="5"/>
      <c r="J76" s="5"/>
      <c r="K76" s="5"/>
      <c r="L76" s="5"/>
      <c r="M76" s="5"/>
      <c r="N76" s="5"/>
      <c r="O76" s="5"/>
      <c r="P76" s="5"/>
      <c r="Q76" s="5"/>
      <c r="R76" s="4"/>
      <c r="S76" s="68"/>
    </row>
    <row r="77" spans="2:19" ht="20.25" x14ac:dyDescent="0.3">
      <c r="B77" s="6"/>
      <c r="C77" s="69" t="s">
        <v>81</v>
      </c>
      <c r="D77" s="16"/>
      <c r="E77" s="16"/>
      <c r="F77" s="16"/>
      <c r="G77" s="16"/>
      <c r="H77" s="16"/>
      <c r="I77" s="12"/>
      <c r="J77" s="12"/>
      <c r="K77" s="12"/>
      <c r="L77" s="12"/>
      <c r="M77" s="12"/>
      <c r="N77" s="12"/>
      <c r="O77" s="12"/>
      <c r="P77" s="12"/>
      <c r="Q77" s="12"/>
      <c r="S77" s="53"/>
    </row>
    <row r="78" spans="2:19" x14ac:dyDescent="0.2">
      <c r="B78" s="6"/>
      <c r="C78" s="70"/>
      <c r="D78" s="70"/>
      <c r="E78" s="70"/>
      <c r="F78" s="70"/>
      <c r="G78" s="70"/>
      <c r="H78" s="70"/>
      <c r="I78" s="71"/>
      <c r="J78" s="71"/>
      <c r="K78" s="71"/>
      <c r="L78" s="71"/>
      <c r="M78" s="71"/>
      <c r="N78" s="71"/>
      <c r="O78" s="71"/>
      <c r="P78" s="71"/>
      <c r="Q78" s="71"/>
      <c r="S78" s="53"/>
    </row>
    <row r="79" spans="2:19" x14ac:dyDescent="0.2">
      <c r="B79" s="6"/>
      <c r="C79" s="20" t="s">
        <v>103</v>
      </c>
      <c r="D79" s="20" t="s">
        <v>104</v>
      </c>
      <c r="E79" s="16"/>
      <c r="F79" s="16"/>
      <c r="G79" s="16"/>
      <c r="H79" s="16"/>
      <c r="I79" s="12"/>
      <c r="J79" s="12"/>
      <c r="K79" s="12"/>
      <c r="L79" s="12"/>
      <c r="M79" s="12"/>
      <c r="N79" s="12"/>
      <c r="O79" s="12"/>
      <c r="P79" s="12"/>
      <c r="Q79" s="12"/>
      <c r="S79" s="53"/>
    </row>
    <row r="80" spans="2:19" x14ac:dyDescent="0.2">
      <c r="B80" s="6"/>
      <c r="C80" s="424" t="s">
        <v>80</v>
      </c>
      <c r="D80" s="425" t="s">
        <v>105</v>
      </c>
      <c r="E80" s="425"/>
      <c r="F80" s="425" t="s">
        <v>106</v>
      </c>
      <c r="G80" s="425"/>
      <c r="H80" s="426" t="s">
        <v>107</v>
      </c>
      <c r="I80" s="12"/>
      <c r="J80" s="12"/>
      <c r="K80" s="12"/>
      <c r="L80" s="12"/>
      <c r="M80" s="12"/>
      <c r="S80" s="53"/>
    </row>
    <row r="81" spans="2:19" x14ac:dyDescent="0.2">
      <c r="B81" s="6"/>
      <c r="C81" s="424"/>
      <c r="D81" s="72" t="s">
        <v>108</v>
      </c>
      <c r="E81" s="72" t="s">
        <v>109</v>
      </c>
      <c r="F81" s="72" t="s">
        <v>108</v>
      </c>
      <c r="G81" s="72" t="s">
        <v>109</v>
      </c>
      <c r="H81" s="425"/>
      <c r="I81" s="12"/>
      <c r="J81" s="12"/>
      <c r="K81" s="12"/>
      <c r="L81" s="12"/>
      <c r="M81" s="12"/>
      <c r="S81" s="53"/>
    </row>
    <row r="82" spans="2:19" x14ac:dyDescent="0.2">
      <c r="B82" s="6"/>
      <c r="C82" s="267" t="s">
        <v>86</v>
      </c>
      <c r="D82" s="73">
        <v>611</v>
      </c>
      <c r="E82" s="74">
        <f t="shared" ref="E82:E101" si="0">D82/H82</f>
        <v>0.72565320665083133</v>
      </c>
      <c r="F82" s="73">
        <v>231</v>
      </c>
      <c r="G82" s="74">
        <f t="shared" ref="G82:G102" si="1">F82/H82</f>
        <v>0.27434679334916867</v>
      </c>
      <c r="H82" s="73">
        <v>842</v>
      </c>
      <c r="I82" s="12"/>
      <c r="J82" s="12"/>
      <c r="K82" s="12"/>
      <c r="L82" s="12"/>
      <c r="M82" s="12"/>
      <c r="S82" s="53"/>
    </row>
    <row r="83" spans="2:19" x14ac:dyDescent="0.2">
      <c r="B83" s="6"/>
      <c r="C83" s="267" t="s">
        <v>87</v>
      </c>
      <c r="D83" s="73">
        <v>192</v>
      </c>
      <c r="E83" s="74">
        <f t="shared" si="0"/>
        <v>0.83478260869565213</v>
      </c>
      <c r="F83" s="73">
        <v>38</v>
      </c>
      <c r="G83" s="74">
        <f t="shared" si="1"/>
        <v>0.16521739130434782</v>
      </c>
      <c r="H83" s="73">
        <f t="shared" ref="H83:H92" si="2">F83+D83</f>
        <v>230</v>
      </c>
      <c r="I83" s="12"/>
      <c r="J83" s="12"/>
      <c r="K83" s="12"/>
      <c r="L83" s="12"/>
      <c r="M83" s="12"/>
      <c r="S83" s="53"/>
    </row>
    <row r="84" spans="2:19" x14ac:dyDescent="0.2">
      <c r="B84" s="6"/>
      <c r="C84" s="267" t="s">
        <v>88</v>
      </c>
      <c r="D84" s="73">
        <v>257</v>
      </c>
      <c r="E84" s="74">
        <f t="shared" si="0"/>
        <v>0.9884615384615385</v>
      </c>
      <c r="F84" s="73">
        <v>3</v>
      </c>
      <c r="G84" s="74">
        <f t="shared" si="1"/>
        <v>1.1538461538461539E-2</v>
      </c>
      <c r="H84" s="73">
        <f t="shared" si="2"/>
        <v>260</v>
      </c>
      <c r="I84" s="12"/>
      <c r="J84" s="12"/>
      <c r="K84" s="12"/>
      <c r="L84" s="12"/>
      <c r="M84" s="12"/>
      <c r="S84" s="53"/>
    </row>
    <row r="85" spans="2:19" x14ac:dyDescent="0.2">
      <c r="B85" s="6"/>
      <c r="C85" s="267" t="s">
        <v>89</v>
      </c>
      <c r="D85" s="73">
        <v>338</v>
      </c>
      <c r="E85" s="74">
        <f t="shared" si="0"/>
        <v>0.77522935779816515</v>
      </c>
      <c r="F85" s="73">
        <v>98</v>
      </c>
      <c r="G85" s="74">
        <f t="shared" si="1"/>
        <v>0.22477064220183487</v>
      </c>
      <c r="H85" s="73">
        <f t="shared" si="2"/>
        <v>436</v>
      </c>
      <c r="I85" s="12"/>
      <c r="J85" s="12"/>
      <c r="K85" s="12"/>
      <c r="L85" s="12"/>
      <c r="M85" s="12"/>
      <c r="S85" s="53"/>
    </row>
    <row r="86" spans="2:19" x14ac:dyDescent="0.2">
      <c r="B86" s="6"/>
      <c r="C86" s="267" t="s">
        <v>90</v>
      </c>
      <c r="D86" s="73">
        <v>145</v>
      </c>
      <c r="E86" s="74">
        <f t="shared" si="0"/>
        <v>1</v>
      </c>
      <c r="F86" s="73">
        <v>0</v>
      </c>
      <c r="G86" s="74">
        <f t="shared" si="1"/>
        <v>0</v>
      </c>
      <c r="H86" s="73">
        <f t="shared" si="2"/>
        <v>145</v>
      </c>
      <c r="I86" s="12"/>
      <c r="J86" s="12"/>
      <c r="K86" s="12"/>
      <c r="L86" s="12"/>
      <c r="M86" s="12"/>
      <c r="S86" s="53"/>
    </row>
    <row r="87" spans="2:19" x14ac:dyDescent="0.2">
      <c r="B87" s="6"/>
      <c r="C87" s="267" t="s">
        <v>91</v>
      </c>
      <c r="D87" s="73">
        <v>273</v>
      </c>
      <c r="E87" s="74">
        <f t="shared" si="0"/>
        <v>0.68421052631578949</v>
      </c>
      <c r="F87" s="73">
        <v>126</v>
      </c>
      <c r="G87" s="74">
        <f t="shared" si="1"/>
        <v>0.31578947368421051</v>
      </c>
      <c r="H87" s="73">
        <f t="shared" si="2"/>
        <v>399</v>
      </c>
      <c r="I87" s="12"/>
      <c r="J87" s="12"/>
      <c r="K87" s="12"/>
      <c r="L87" s="12"/>
      <c r="M87" s="12"/>
      <c r="S87" s="53"/>
    </row>
    <row r="88" spans="2:19" x14ac:dyDescent="0.2">
      <c r="B88" s="6"/>
      <c r="C88" s="267" t="s">
        <v>92</v>
      </c>
      <c r="D88" s="73">
        <v>133</v>
      </c>
      <c r="E88" s="74">
        <f t="shared" si="0"/>
        <v>0.63942307692307687</v>
      </c>
      <c r="F88" s="73">
        <v>75</v>
      </c>
      <c r="G88" s="74">
        <f t="shared" si="1"/>
        <v>0.36057692307692307</v>
      </c>
      <c r="H88" s="73">
        <f t="shared" si="2"/>
        <v>208</v>
      </c>
      <c r="I88" s="12"/>
      <c r="J88" s="12"/>
      <c r="K88" s="12"/>
      <c r="L88" s="12"/>
      <c r="M88" s="12"/>
      <c r="S88" s="53"/>
    </row>
    <row r="89" spans="2:19" x14ac:dyDescent="0.2">
      <c r="B89" s="6"/>
      <c r="C89" s="267" t="s">
        <v>93</v>
      </c>
      <c r="D89" s="73">
        <v>468</v>
      </c>
      <c r="E89" s="74">
        <f t="shared" si="0"/>
        <v>0.67338129496402876</v>
      </c>
      <c r="F89" s="73">
        <v>227</v>
      </c>
      <c r="G89" s="74">
        <f t="shared" si="1"/>
        <v>0.32661870503597124</v>
      </c>
      <c r="H89" s="73">
        <f t="shared" si="2"/>
        <v>695</v>
      </c>
      <c r="I89" s="12"/>
      <c r="J89" s="12"/>
      <c r="K89" s="12"/>
      <c r="L89" s="12"/>
      <c r="M89" s="12"/>
      <c r="S89" s="53"/>
    </row>
    <row r="90" spans="2:19" x14ac:dyDescent="0.2">
      <c r="B90" s="6"/>
      <c r="C90" s="268" t="s">
        <v>94</v>
      </c>
      <c r="D90" s="73">
        <v>202</v>
      </c>
      <c r="E90" s="74">
        <f t="shared" si="0"/>
        <v>0.8595744680851064</v>
      </c>
      <c r="F90" s="73">
        <v>33</v>
      </c>
      <c r="G90" s="74">
        <f t="shared" si="1"/>
        <v>0.14042553191489363</v>
      </c>
      <c r="H90" s="73">
        <f t="shared" si="2"/>
        <v>235</v>
      </c>
      <c r="I90" s="71"/>
      <c r="J90" s="71"/>
      <c r="K90" s="71"/>
      <c r="L90" s="71"/>
      <c r="M90" s="71"/>
      <c r="S90" s="53"/>
    </row>
    <row r="91" spans="2:19" x14ac:dyDescent="0.2">
      <c r="B91" s="6"/>
      <c r="C91" s="268" t="s">
        <v>95</v>
      </c>
      <c r="D91" s="73">
        <v>298</v>
      </c>
      <c r="E91" s="74">
        <f t="shared" si="0"/>
        <v>0.98026315789473684</v>
      </c>
      <c r="F91" s="75">
        <v>6</v>
      </c>
      <c r="G91" s="74">
        <f t="shared" si="1"/>
        <v>1.9736842105263157E-2</v>
      </c>
      <c r="H91" s="73">
        <f t="shared" si="2"/>
        <v>304</v>
      </c>
      <c r="I91" s="71"/>
      <c r="J91" s="71"/>
      <c r="K91" s="71"/>
      <c r="L91" s="71"/>
      <c r="M91" s="71"/>
      <c r="S91" s="53"/>
    </row>
    <row r="92" spans="2:19" ht="12.75" customHeight="1" x14ac:dyDescent="0.2">
      <c r="B92" s="6"/>
      <c r="C92" s="267" t="s">
        <v>96</v>
      </c>
      <c r="D92" s="73">
        <v>392</v>
      </c>
      <c r="E92" s="74">
        <f t="shared" si="0"/>
        <v>0.79837067209775969</v>
      </c>
      <c r="F92" s="73">
        <v>99</v>
      </c>
      <c r="G92" s="74">
        <f t="shared" si="1"/>
        <v>0.20162932790224034</v>
      </c>
      <c r="H92" s="73">
        <f t="shared" si="2"/>
        <v>491</v>
      </c>
      <c r="I92" s="71"/>
      <c r="J92" s="71"/>
      <c r="K92" s="71"/>
      <c r="L92" s="71"/>
      <c r="M92" s="71"/>
      <c r="S92" s="53"/>
    </row>
    <row r="93" spans="2:19" ht="12.75" customHeight="1" x14ac:dyDescent="0.2">
      <c r="B93" s="6"/>
      <c r="C93" s="268" t="s">
        <v>97</v>
      </c>
      <c r="D93" s="73">
        <v>398</v>
      </c>
      <c r="E93" s="74">
        <f t="shared" si="0"/>
        <v>0.86521739130434783</v>
      </c>
      <c r="F93" s="75">
        <v>62</v>
      </c>
      <c r="G93" s="74">
        <f t="shared" si="1"/>
        <v>0.13478260869565217</v>
      </c>
      <c r="H93" s="73">
        <v>460</v>
      </c>
      <c r="I93" s="71"/>
      <c r="J93" s="71"/>
      <c r="K93" s="71"/>
      <c r="L93" s="71"/>
      <c r="M93" s="71"/>
      <c r="S93" s="53"/>
    </row>
    <row r="94" spans="2:19" ht="12.75" customHeight="1" x14ac:dyDescent="0.2">
      <c r="B94" s="6"/>
      <c r="C94" s="268" t="s">
        <v>98</v>
      </c>
      <c r="D94" s="73">
        <v>341</v>
      </c>
      <c r="E94" s="74">
        <f t="shared" si="0"/>
        <v>0.89267015706806285</v>
      </c>
      <c r="F94" s="75">
        <v>41</v>
      </c>
      <c r="G94" s="74">
        <f t="shared" si="1"/>
        <v>0.10732984293193717</v>
      </c>
      <c r="H94" s="73">
        <f t="shared" ref="H94:H101" si="3">F94+D94</f>
        <v>382</v>
      </c>
      <c r="I94" s="71"/>
      <c r="J94" s="71"/>
      <c r="K94" s="71"/>
      <c r="L94" s="71"/>
      <c r="M94" s="71"/>
      <c r="S94" s="53"/>
    </row>
    <row r="95" spans="2:19" x14ac:dyDescent="0.2">
      <c r="B95" s="6"/>
      <c r="C95" s="268" t="s">
        <v>99</v>
      </c>
      <c r="D95" s="73">
        <v>349</v>
      </c>
      <c r="E95" s="74">
        <f t="shared" si="0"/>
        <v>0.83293556085918852</v>
      </c>
      <c r="F95" s="75">
        <v>70</v>
      </c>
      <c r="G95" s="74">
        <f t="shared" si="1"/>
        <v>0.16706443914081145</v>
      </c>
      <c r="H95" s="73">
        <f t="shared" si="3"/>
        <v>419</v>
      </c>
      <c r="I95" s="71"/>
      <c r="J95" s="71"/>
      <c r="K95" s="71"/>
      <c r="L95" s="71"/>
      <c r="M95" s="71"/>
      <c r="S95" s="53"/>
    </row>
    <row r="96" spans="2:19" x14ac:dyDescent="0.2">
      <c r="B96" s="6"/>
      <c r="C96" s="268" t="s">
        <v>100</v>
      </c>
      <c r="D96" s="73">
        <v>297</v>
      </c>
      <c r="E96" s="74">
        <f t="shared" si="0"/>
        <v>0.89728096676737157</v>
      </c>
      <c r="F96" s="75">
        <v>34</v>
      </c>
      <c r="G96" s="74">
        <f t="shared" si="1"/>
        <v>0.1027190332326284</v>
      </c>
      <c r="H96" s="73">
        <f t="shared" si="3"/>
        <v>331</v>
      </c>
      <c r="I96" s="71"/>
      <c r="J96" s="71"/>
      <c r="K96" s="71"/>
      <c r="L96" s="71"/>
      <c r="M96" s="71"/>
      <c r="S96" s="53"/>
    </row>
    <row r="97" spans="2:19" x14ac:dyDescent="0.2">
      <c r="B97" s="6"/>
      <c r="C97" s="268" t="s">
        <v>101</v>
      </c>
      <c r="D97" s="73">
        <v>189</v>
      </c>
      <c r="E97" s="74">
        <f t="shared" si="0"/>
        <v>0.91747572815533984</v>
      </c>
      <c r="F97" s="75">
        <v>17</v>
      </c>
      <c r="G97" s="74">
        <f t="shared" si="1"/>
        <v>8.2524271844660199E-2</v>
      </c>
      <c r="H97" s="73">
        <f t="shared" si="3"/>
        <v>206</v>
      </c>
      <c r="I97" s="71"/>
      <c r="J97" s="71"/>
      <c r="K97" s="71"/>
      <c r="L97" s="71"/>
      <c r="M97" s="71"/>
      <c r="S97" s="53"/>
    </row>
    <row r="98" spans="2:19" x14ac:dyDescent="0.2">
      <c r="B98" s="6"/>
      <c r="C98" s="268" t="s">
        <v>8</v>
      </c>
      <c r="D98" s="73">
        <v>142</v>
      </c>
      <c r="E98" s="74">
        <f t="shared" si="0"/>
        <v>0.86585365853658536</v>
      </c>
      <c r="F98" s="269">
        <v>22</v>
      </c>
      <c r="G98" s="74">
        <f t="shared" si="1"/>
        <v>0.13414634146341464</v>
      </c>
      <c r="H98" s="73">
        <f t="shared" si="3"/>
        <v>164</v>
      </c>
      <c r="I98" s="71"/>
      <c r="J98" s="71"/>
      <c r="K98" s="71"/>
      <c r="L98" s="71"/>
      <c r="M98" s="71"/>
      <c r="S98" s="53"/>
    </row>
    <row r="99" spans="2:19" x14ac:dyDescent="0.2">
      <c r="B99" s="6"/>
      <c r="C99" s="268" t="s">
        <v>9</v>
      </c>
      <c r="D99" s="270">
        <v>127</v>
      </c>
      <c r="E99" s="271">
        <f t="shared" si="0"/>
        <v>0.900709219858156</v>
      </c>
      <c r="F99" s="269">
        <v>14</v>
      </c>
      <c r="G99" s="271">
        <f t="shared" si="1"/>
        <v>9.9290780141843976E-2</v>
      </c>
      <c r="H99" s="270">
        <f t="shared" si="3"/>
        <v>141</v>
      </c>
      <c r="I99" s="71"/>
      <c r="J99" s="71"/>
      <c r="K99" s="71"/>
      <c r="L99" s="71"/>
      <c r="M99" s="71"/>
      <c r="S99" s="53"/>
    </row>
    <row r="100" spans="2:19" x14ac:dyDescent="0.2">
      <c r="B100" s="6"/>
      <c r="C100" s="268" t="s">
        <v>102</v>
      </c>
      <c r="D100" s="270">
        <v>90</v>
      </c>
      <c r="E100" s="271">
        <f t="shared" si="0"/>
        <v>0.9</v>
      </c>
      <c r="F100" s="269">
        <v>10</v>
      </c>
      <c r="G100" s="271">
        <f t="shared" si="1"/>
        <v>0.1</v>
      </c>
      <c r="H100" s="270">
        <f t="shared" si="3"/>
        <v>100</v>
      </c>
      <c r="I100" s="71"/>
      <c r="J100" s="71"/>
      <c r="K100" s="71"/>
      <c r="L100" s="71"/>
      <c r="M100" s="71"/>
      <c r="S100" s="53"/>
    </row>
    <row r="101" spans="2:19" x14ac:dyDescent="0.2">
      <c r="B101" s="6"/>
      <c r="C101" s="272" t="s">
        <v>11</v>
      </c>
      <c r="D101" s="273">
        <f>GETPIVOTDATA("Net Dwellings",Pivot!$B$114)</f>
        <v>71</v>
      </c>
      <c r="E101" s="274">
        <f t="shared" si="0"/>
        <v>0.88749999999999996</v>
      </c>
      <c r="F101" s="275">
        <f>GETPIVOTDATA("Net Dwellings",Pivot!$B$106)</f>
        <v>9</v>
      </c>
      <c r="G101" s="274">
        <f t="shared" si="1"/>
        <v>0.1125</v>
      </c>
      <c r="H101" s="273">
        <f t="shared" si="3"/>
        <v>80</v>
      </c>
      <c r="I101" s="71"/>
      <c r="J101" s="71"/>
      <c r="K101" s="71"/>
      <c r="L101" s="71"/>
      <c r="M101" s="71"/>
      <c r="S101" s="53"/>
    </row>
    <row r="102" spans="2:19" x14ac:dyDescent="0.2">
      <c r="B102" s="6"/>
      <c r="C102" s="72" t="s">
        <v>6</v>
      </c>
      <c r="D102" s="276">
        <f>SUM(D82:D101)</f>
        <v>5313</v>
      </c>
      <c r="E102" s="277">
        <f>D102/H102</f>
        <v>0.8138786764705882</v>
      </c>
      <c r="F102" s="276">
        <f>SUM(F82:F101)</f>
        <v>1215</v>
      </c>
      <c r="G102" s="277">
        <f t="shared" si="1"/>
        <v>0.18612132352941177</v>
      </c>
      <c r="H102" s="276">
        <f>SUM(H82:H101)</f>
        <v>6528</v>
      </c>
      <c r="I102" s="71"/>
      <c r="J102" s="71"/>
      <c r="K102" s="71"/>
      <c r="L102" s="71"/>
      <c r="M102" s="71"/>
      <c r="N102" s="71"/>
      <c r="O102" s="71"/>
      <c r="P102" s="71"/>
      <c r="Q102" s="71"/>
      <c r="S102" s="53"/>
    </row>
    <row r="103" spans="2:19" x14ac:dyDescent="0.2">
      <c r="B103" s="6"/>
      <c r="C103" s="71"/>
      <c r="D103" s="71"/>
      <c r="E103" s="71"/>
      <c r="F103" s="71"/>
      <c r="G103" s="71"/>
      <c r="H103" s="71"/>
      <c r="I103" s="71"/>
      <c r="J103" s="71"/>
      <c r="K103" s="71"/>
      <c r="L103" s="71"/>
      <c r="M103" s="71"/>
      <c r="N103" s="71"/>
      <c r="O103" s="71"/>
      <c r="P103" s="71"/>
      <c r="Q103" s="71"/>
      <c r="S103" s="53"/>
    </row>
    <row r="104" spans="2:19" x14ac:dyDescent="0.2">
      <c r="B104" s="6"/>
      <c r="C104" s="71"/>
      <c r="D104" s="71"/>
      <c r="E104" s="71"/>
      <c r="F104" s="71"/>
      <c r="G104" s="71"/>
      <c r="H104" s="71"/>
      <c r="I104" s="71"/>
      <c r="J104" s="71"/>
      <c r="K104" s="71"/>
      <c r="L104" s="71"/>
      <c r="M104" s="71"/>
      <c r="N104" s="71"/>
      <c r="O104" s="71"/>
      <c r="P104" s="71"/>
      <c r="Q104" s="71"/>
      <c r="S104" s="53"/>
    </row>
    <row r="105" spans="2:19" x14ac:dyDescent="0.2">
      <c r="B105" s="6"/>
      <c r="C105" s="20" t="s">
        <v>110</v>
      </c>
      <c r="D105" s="20" t="s">
        <v>1785</v>
      </c>
      <c r="E105" s="71"/>
      <c r="F105" s="71"/>
      <c r="G105" s="71"/>
      <c r="H105" s="71"/>
      <c r="I105" s="71"/>
      <c r="J105" s="71"/>
      <c r="K105" s="71"/>
      <c r="L105" s="71"/>
      <c r="M105" s="71"/>
      <c r="N105" s="71"/>
      <c r="O105" s="71"/>
      <c r="P105" s="71"/>
      <c r="Q105" s="71"/>
      <c r="S105" s="53"/>
    </row>
    <row r="106" spans="2:19" ht="12.75" customHeight="1" x14ac:dyDescent="0.2">
      <c r="B106" s="6"/>
      <c r="C106" s="427" t="s">
        <v>280</v>
      </c>
      <c r="D106" s="427"/>
      <c r="E106" s="365" t="s">
        <v>1788</v>
      </c>
      <c r="F106" s="71"/>
      <c r="G106" s="71"/>
      <c r="H106" s="71"/>
      <c r="I106" s="71"/>
      <c r="J106" s="71"/>
      <c r="K106" s="71"/>
      <c r="L106" s="71"/>
      <c r="M106" s="71"/>
      <c r="N106" s="71"/>
      <c r="O106" s="71"/>
      <c r="P106" s="71"/>
      <c r="Q106" s="71"/>
      <c r="S106" s="53"/>
    </row>
    <row r="107" spans="2:19" ht="12.75" customHeight="1" x14ac:dyDescent="0.2">
      <c r="B107" s="6"/>
      <c r="C107" s="428" t="s">
        <v>260</v>
      </c>
      <c r="D107" s="428"/>
      <c r="E107" s="366">
        <f>GETPIVOTDATA("Units Proposed",Pivot!$H$5,"Tenure","Affordable Rent")</f>
        <v>9</v>
      </c>
      <c r="F107" s="71"/>
      <c r="G107" s="71"/>
      <c r="H107" s="71"/>
      <c r="I107" s="71"/>
      <c r="J107" s="71"/>
      <c r="K107" s="71"/>
      <c r="L107" s="71"/>
      <c r="M107" s="71"/>
      <c r="N107" s="71"/>
      <c r="O107" s="71"/>
      <c r="P107" s="71"/>
      <c r="Q107" s="71"/>
      <c r="S107" s="53"/>
    </row>
    <row r="108" spans="2:19" ht="12.75" customHeight="1" x14ac:dyDescent="0.2">
      <c r="B108" s="6"/>
      <c r="C108" s="428" t="s">
        <v>268</v>
      </c>
      <c r="D108" s="428"/>
      <c r="E108" s="366">
        <f>GETPIVOTDATA("Units Proposed",Pivot!$H$5,"Tenure","Open Market")</f>
        <v>107</v>
      </c>
      <c r="F108" s="71"/>
      <c r="G108" s="71"/>
      <c r="H108" s="71"/>
      <c r="I108" s="71"/>
      <c r="J108" s="71"/>
      <c r="K108" s="71"/>
      <c r="L108" s="71"/>
      <c r="M108" s="71"/>
      <c r="N108" s="71"/>
      <c r="O108" s="71"/>
      <c r="P108" s="71"/>
      <c r="Q108" s="71"/>
      <c r="S108" s="53"/>
    </row>
    <row r="109" spans="2:19" ht="12.75" customHeight="1" x14ac:dyDescent="0.2">
      <c r="B109" s="6"/>
      <c r="C109" s="427" t="s">
        <v>6</v>
      </c>
      <c r="D109" s="427"/>
      <c r="E109" s="365">
        <f>GETPIVOTDATA("Units Proposed",Pivot!$H$5)</f>
        <v>116</v>
      </c>
      <c r="F109" s="71"/>
      <c r="G109" s="71"/>
      <c r="H109" s="71"/>
      <c r="I109" s="71"/>
      <c r="J109" s="71"/>
      <c r="K109" s="71"/>
      <c r="L109" s="71"/>
      <c r="M109" s="71"/>
      <c r="N109" s="71"/>
      <c r="O109" s="71"/>
      <c r="P109" s="71"/>
      <c r="Q109" s="71"/>
      <c r="S109" s="53"/>
    </row>
    <row r="110" spans="2:19" ht="12.75" customHeight="1" x14ac:dyDescent="0.2">
      <c r="B110" s="6"/>
      <c r="C110" s="71"/>
      <c r="D110" s="71"/>
      <c r="E110" s="71"/>
      <c r="F110" s="71"/>
      <c r="G110" s="71"/>
      <c r="H110" s="71"/>
      <c r="I110" s="71"/>
      <c r="J110" s="71"/>
      <c r="K110" s="71"/>
      <c r="L110" s="71"/>
      <c r="M110" s="71"/>
      <c r="N110" s="71"/>
      <c r="O110" s="71"/>
      <c r="P110" s="71"/>
      <c r="Q110" s="71"/>
      <c r="S110" s="53"/>
    </row>
    <row r="111" spans="2:19" x14ac:dyDescent="0.2">
      <c r="B111" s="6"/>
      <c r="C111" s="71"/>
      <c r="D111" s="71"/>
      <c r="E111" s="71"/>
      <c r="F111" s="71"/>
      <c r="G111" s="71"/>
      <c r="H111" s="71"/>
      <c r="I111" s="71"/>
      <c r="J111" s="71"/>
      <c r="K111" s="71"/>
      <c r="L111" s="71"/>
      <c r="M111" s="71"/>
      <c r="N111" s="71"/>
      <c r="O111" s="71"/>
      <c r="P111" s="71"/>
      <c r="Q111" s="71"/>
      <c r="S111" s="53"/>
    </row>
    <row r="112" spans="2:19" x14ac:dyDescent="0.2">
      <c r="B112" s="6"/>
      <c r="C112" s="20" t="s">
        <v>120</v>
      </c>
      <c r="D112" s="20" t="s">
        <v>111</v>
      </c>
      <c r="E112" s="25"/>
      <c r="F112" s="25"/>
      <c r="G112" s="25"/>
      <c r="H112" s="25"/>
      <c r="I112" s="25"/>
      <c r="J112" s="70"/>
      <c r="K112" s="71"/>
      <c r="L112" s="71"/>
      <c r="M112" s="71"/>
      <c r="N112" s="71"/>
      <c r="O112" s="71"/>
      <c r="P112" s="71"/>
      <c r="Q112" s="71"/>
      <c r="S112" s="53"/>
    </row>
    <row r="113" spans="2:19" ht="12.75" customHeight="1" x14ac:dyDescent="0.2">
      <c r="B113" s="6"/>
      <c r="C113" s="421" t="s">
        <v>112</v>
      </c>
      <c r="D113" s="421"/>
      <c r="E113" s="421" t="s">
        <v>113</v>
      </c>
      <c r="F113" s="421"/>
      <c r="G113" s="421" t="s">
        <v>114</v>
      </c>
      <c r="H113" s="421"/>
      <c r="I113" s="76" t="s">
        <v>6</v>
      </c>
      <c r="J113" s="76" t="s">
        <v>109</v>
      </c>
      <c r="K113" s="71"/>
      <c r="L113" s="71"/>
      <c r="M113" s="71"/>
      <c r="N113" s="71"/>
      <c r="O113" s="71"/>
      <c r="P113" s="71"/>
      <c r="Q113" s="71"/>
      <c r="R113" s="71"/>
      <c r="S113" s="53"/>
    </row>
    <row r="114" spans="2:19" x14ac:dyDescent="0.2">
      <c r="B114" s="6"/>
      <c r="C114" s="413" t="s">
        <v>115</v>
      </c>
      <c r="D114" s="413"/>
      <c r="E114" s="422">
        <f>GETPIVOTDATA("Sum of 1 bed net",Pivot!$B$212,"Application Type","FULL")+GETPIVOTDATA("Sum of 1 bed net",Pivot!$B$212,"Application Type","S192")+GETPIVOTDATA("Sum of 1 bed net",Pivot!$B$212,"Application Type","ES191")</f>
        <v>18</v>
      </c>
      <c r="F114" s="422"/>
      <c r="G114" s="422">
        <f>GETPIVOTDATA("Sum of 1 bed net",Pivot!$B$212,"Application Type","PA")</f>
        <v>28</v>
      </c>
      <c r="H114" s="422"/>
      <c r="I114" s="209">
        <f>SUM(E114:H114)</f>
        <v>46</v>
      </c>
      <c r="J114" s="77">
        <f>I114/$I$118</f>
        <v>0.57499999999999996</v>
      </c>
      <c r="K114" s="71"/>
      <c r="L114" s="71"/>
      <c r="M114" s="71"/>
      <c r="N114" s="71"/>
      <c r="O114" s="71"/>
      <c r="P114" s="71"/>
      <c r="Q114" s="71"/>
      <c r="R114" s="71"/>
      <c r="S114" s="53"/>
    </row>
    <row r="115" spans="2:19" x14ac:dyDescent="0.2">
      <c r="B115" s="6"/>
      <c r="C115" s="413" t="s">
        <v>116</v>
      </c>
      <c r="D115" s="413"/>
      <c r="E115" s="422">
        <f>GETPIVOTDATA("Sum of 2 bed net",Pivot!$B$212,"Application Type","FULL")+GETPIVOTDATA("Sum of 2 bed net",Pivot!$B$212,"Application Type","S192")+GETPIVOTDATA("Sum of 2 bed net",Pivot!$B$212,"Application Type","ES191")</f>
        <v>1</v>
      </c>
      <c r="F115" s="422"/>
      <c r="G115" s="422">
        <f>GETPIVOTDATA("Sum of 2 bed net",Pivot!$B$212,"Application Type","PA")</f>
        <v>14</v>
      </c>
      <c r="H115" s="422"/>
      <c r="I115" s="209">
        <f>SUM(E115:H115)</f>
        <v>15</v>
      </c>
      <c r="J115" s="77">
        <f>I115/$I$118</f>
        <v>0.1875</v>
      </c>
      <c r="K115" s="71"/>
      <c r="L115" s="71"/>
      <c r="M115" s="71"/>
      <c r="N115" s="71"/>
      <c r="O115" s="71"/>
      <c r="P115" s="71"/>
      <c r="Q115" s="71"/>
      <c r="R115" s="71"/>
      <c r="S115" s="53"/>
    </row>
    <row r="116" spans="2:19" x14ac:dyDescent="0.2">
      <c r="B116" s="6"/>
      <c r="C116" s="413" t="s">
        <v>117</v>
      </c>
      <c r="D116" s="413"/>
      <c r="E116" s="422">
        <f>GETPIVOTDATA("Sum of 3 bed net",Pivot!$B$212,"Application Type","FULL")+GETPIVOTDATA("Sum of 3 bed net",Pivot!$B$212,"Application Type","S192")+GETPIVOTDATA("Sum of 3 bed net",Pivot!$B$212,"Application Type","ES191")</f>
        <v>14</v>
      </c>
      <c r="F116" s="422"/>
      <c r="G116" s="422">
        <f>GETPIVOTDATA("Sum of 3 bed net",Pivot!$B$212,"Application Type","PA")</f>
        <v>0</v>
      </c>
      <c r="H116" s="422"/>
      <c r="I116" s="209">
        <f>SUM(E116:H116)</f>
        <v>14</v>
      </c>
      <c r="J116" s="77">
        <f>I116/$I$118</f>
        <v>0.17499999999999999</v>
      </c>
      <c r="K116" s="71"/>
      <c r="L116" s="71"/>
      <c r="M116" s="71"/>
      <c r="N116" s="71"/>
      <c r="O116" s="71"/>
      <c r="P116" s="71"/>
      <c r="Q116" s="71"/>
      <c r="R116" s="71"/>
      <c r="S116" s="53"/>
    </row>
    <row r="117" spans="2:19" x14ac:dyDescent="0.2">
      <c r="B117" s="6"/>
      <c r="C117" s="413" t="s">
        <v>118</v>
      </c>
      <c r="D117" s="413"/>
      <c r="E117" s="422">
        <f>GETPIVOTDATA("Sum of 4 bed net",Pivot!$B$212,"Application Type","FULL")+GETPIVOTDATA("Sum of 4 bed net",Pivot!$B$212,"Application Type","S192")+GETPIVOTDATA("Sum of 4 bed net",Pivot!$B$212,"Application Type","ES191")+GETPIVOTDATA("Sum of 6 bed net",Pivot!$B$212,"Application Type","FULL")+GETPIVOTDATA("Sum of 6 bed net",Pivot!$B$212,"Application Type","ES191")+GETPIVOTDATA("Sum of 8 bed net",Pivot!$B$212,"Application Type","FULL")+GETPIVOTDATA("Sum of 8 bed net",Pivot!$B$212,"Application Type","ES191")</f>
        <v>5</v>
      </c>
      <c r="F117" s="422"/>
      <c r="G117" s="422">
        <f>GETPIVOTDATA("Sum of 4 bed net",Pivot!$B$212,"Application Type","PA")+GETPIVOTDATA("Sum of 5 bed net",Pivot!$B$212,"Application Type","PA")</f>
        <v>0</v>
      </c>
      <c r="H117" s="422"/>
      <c r="I117" s="209">
        <f>SUM(E117:H117)</f>
        <v>5</v>
      </c>
      <c r="J117" s="77">
        <f>I117/$I$118</f>
        <v>6.25E-2</v>
      </c>
      <c r="K117" s="71"/>
      <c r="L117" s="71"/>
      <c r="M117" s="71"/>
      <c r="N117" s="71"/>
      <c r="O117" s="71"/>
      <c r="P117" s="71"/>
      <c r="Q117" s="71"/>
      <c r="R117" s="71"/>
      <c r="S117" s="53"/>
    </row>
    <row r="118" spans="2:19" x14ac:dyDescent="0.2">
      <c r="B118" s="6"/>
      <c r="C118" s="410" t="s">
        <v>6</v>
      </c>
      <c r="D118" s="410"/>
      <c r="E118" s="423">
        <f>SUM(E114:F117)</f>
        <v>38</v>
      </c>
      <c r="F118" s="423"/>
      <c r="G118" s="423">
        <f>SUM(G114:H117)</f>
        <v>42</v>
      </c>
      <c r="H118" s="423"/>
      <c r="I118" s="210">
        <f>SUM(E118:H118)</f>
        <v>80</v>
      </c>
      <c r="J118" s="211">
        <f>SUM(J114:J117)</f>
        <v>1</v>
      </c>
      <c r="K118" s="71"/>
      <c r="L118" s="71"/>
      <c r="M118" s="71"/>
      <c r="N118" s="71"/>
      <c r="O118" s="71"/>
      <c r="P118" s="71"/>
      <c r="Q118" s="71"/>
      <c r="S118" s="53"/>
    </row>
    <row r="119" spans="2:19" x14ac:dyDescent="0.2">
      <c r="B119" s="6"/>
      <c r="C119" s="410" t="s">
        <v>119</v>
      </c>
      <c r="D119" s="410"/>
      <c r="E119" s="411">
        <f>E118/I118</f>
        <v>0.47499999999999998</v>
      </c>
      <c r="F119" s="411"/>
      <c r="G119" s="411">
        <f>G118/I118</f>
        <v>0.52500000000000002</v>
      </c>
      <c r="H119" s="411"/>
      <c r="I119" s="411"/>
      <c r="J119" s="411"/>
      <c r="K119" s="71"/>
      <c r="L119" s="71"/>
      <c r="M119" s="71"/>
      <c r="N119" s="71"/>
      <c r="O119" s="71"/>
      <c r="P119" s="71"/>
      <c r="Q119" s="71"/>
      <c r="S119" s="53"/>
    </row>
    <row r="120" spans="2:19" x14ac:dyDescent="0.2">
      <c r="B120" s="6"/>
      <c r="J120" s="71"/>
      <c r="K120" s="71"/>
      <c r="L120" s="71"/>
      <c r="M120" s="71"/>
      <c r="N120" s="71"/>
      <c r="O120" s="71"/>
      <c r="P120" s="71"/>
      <c r="Q120" s="71"/>
      <c r="S120" s="53"/>
    </row>
    <row r="121" spans="2:19" x14ac:dyDescent="0.2">
      <c r="B121" s="6"/>
      <c r="J121" s="71"/>
      <c r="K121" s="71"/>
      <c r="L121" s="71"/>
      <c r="M121" s="71"/>
      <c r="N121" s="71"/>
      <c r="O121" s="71"/>
      <c r="P121" s="71"/>
      <c r="Q121" s="71"/>
      <c r="S121" s="53"/>
    </row>
    <row r="122" spans="2:19" x14ac:dyDescent="0.2">
      <c r="B122" s="6"/>
      <c r="J122" s="71"/>
      <c r="K122" s="71"/>
      <c r="L122" s="71"/>
      <c r="M122" s="71"/>
      <c r="N122" s="71"/>
      <c r="O122" s="71"/>
      <c r="P122" s="71"/>
      <c r="Q122" s="71"/>
      <c r="S122" s="53"/>
    </row>
    <row r="123" spans="2:19" x14ac:dyDescent="0.2">
      <c r="B123" s="6"/>
      <c r="J123" s="71"/>
      <c r="K123" s="71"/>
      <c r="L123" s="71"/>
      <c r="M123" s="71"/>
      <c r="N123" s="71"/>
      <c r="O123" s="71"/>
      <c r="P123" s="71"/>
      <c r="Q123" s="71"/>
      <c r="S123" s="53"/>
    </row>
    <row r="124" spans="2:19" x14ac:dyDescent="0.2">
      <c r="B124" s="6"/>
      <c r="J124" s="71"/>
      <c r="K124" s="71"/>
      <c r="L124" s="71"/>
      <c r="M124" s="71"/>
      <c r="N124" s="71"/>
      <c r="O124" s="71"/>
      <c r="P124" s="71"/>
      <c r="Q124" s="71"/>
      <c r="S124" s="53"/>
    </row>
    <row r="125" spans="2:19" x14ac:dyDescent="0.2">
      <c r="B125" s="6"/>
      <c r="J125" s="71"/>
      <c r="K125" s="71"/>
      <c r="L125" s="71"/>
      <c r="M125" s="71"/>
      <c r="N125" s="71"/>
      <c r="O125" s="71"/>
      <c r="P125" s="71"/>
      <c r="Q125" s="71"/>
      <c r="S125" s="53"/>
    </row>
    <row r="126" spans="2:19" x14ac:dyDescent="0.2">
      <c r="B126" s="6"/>
      <c r="J126" s="71"/>
      <c r="K126" s="71"/>
      <c r="L126" s="71"/>
      <c r="M126" s="71"/>
      <c r="N126" s="71"/>
      <c r="O126" s="71"/>
      <c r="P126" s="71"/>
      <c r="Q126" s="71"/>
      <c r="S126" s="53"/>
    </row>
    <row r="127" spans="2:19" x14ac:dyDescent="0.2">
      <c r="B127" s="6"/>
      <c r="C127" s="20" t="s">
        <v>127</v>
      </c>
      <c r="D127" s="20" t="s">
        <v>121</v>
      </c>
      <c r="J127" s="71"/>
      <c r="K127" s="71"/>
      <c r="L127" s="71"/>
      <c r="M127" s="71"/>
      <c r="N127" s="71"/>
      <c r="O127" s="71"/>
      <c r="P127" s="71"/>
      <c r="Q127" s="71"/>
      <c r="S127" s="53"/>
    </row>
    <row r="128" spans="2:19" ht="22.5" x14ac:dyDescent="0.2">
      <c r="B128" s="6"/>
      <c r="C128" s="261" t="s">
        <v>122</v>
      </c>
      <c r="D128" s="261" t="s">
        <v>101</v>
      </c>
      <c r="E128" s="261" t="s">
        <v>8</v>
      </c>
      <c r="F128" s="261" t="s">
        <v>9</v>
      </c>
      <c r="G128" s="261" t="s">
        <v>102</v>
      </c>
      <c r="H128" s="261" t="s">
        <v>11</v>
      </c>
      <c r="I128" s="261" t="s">
        <v>6</v>
      </c>
      <c r="J128" s="261" t="s">
        <v>109</v>
      </c>
      <c r="K128" s="71"/>
      <c r="L128" s="71"/>
      <c r="M128" s="71"/>
      <c r="N128" s="71"/>
      <c r="O128" s="71"/>
      <c r="P128" s="71"/>
      <c r="Q128" s="71"/>
      <c r="S128" s="53"/>
    </row>
    <row r="129" spans="2:19" x14ac:dyDescent="0.2">
      <c r="B129" s="6"/>
      <c r="C129" s="262" t="s">
        <v>123</v>
      </c>
      <c r="D129" s="262">
        <v>69</v>
      </c>
      <c r="E129" s="262">
        <v>82</v>
      </c>
      <c r="F129" s="262">
        <v>65</v>
      </c>
      <c r="G129" s="262">
        <v>57</v>
      </c>
      <c r="H129" s="263">
        <v>46</v>
      </c>
      <c r="I129" s="263">
        <f>SUM(D129:H129)</f>
        <v>319</v>
      </c>
      <c r="J129" s="265">
        <v>0.46164978292329956</v>
      </c>
      <c r="K129" s="71"/>
      <c r="L129" s="71"/>
      <c r="M129" s="71"/>
      <c r="N129" s="71"/>
      <c r="O129" s="71"/>
      <c r="P129" s="71"/>
      <c r="Q129" s="71"/>
      <c r="S129" s="53"/>
    </row>
    <row r="130" spans="2:19" x14ac:dyDescent="0.2">
      <c r="B130" s="6"/>
      <c r="C130" s="262" t="s">
        <v>124</v>
      </c>
      <c r="D130" s="262">
        <v>93</v>
      </c>
      <c r="E130" s="262">
        <v>60</v>
      </c>
      <c r="F130" s="262">
        <v>45</v>
      </c>
      <c r="G130" s="262">
        <v>32</v>
      </c>
      <c r="H130" s="263">
        <v>15</v>
      </c>
      <c r="I130" s="263">
        <f t="shared" ref="I130:I133" si="4">SUM(D130:H130)</f>
        <v>245</v>
      </c>
      <c r="J130" s="265">
        <v>0.35455861070911721</v>
      </c>
      <c r="K130" s="71"/>
      <c r="L130" s="71"/>
      <c r="M130" s="71"/>
      <c r="N130" s="71"/>
      <c r="O130" s="71"/>
      <c r="P130" s="71"/>
      <c r="Q130" s="71"/>
      <c r="S130" s="53"/>
    </row>
    <row r="131" spans="2:19" x14ac:dyDescent="0.2">
      <c r="B131" s="6"/>
      <c r="C131" s="262" t="s">
        <v>125</v>
      </c>
      <c r="D131" s="262">
        <v>22</v>
      </c>
      <c r="E131" s="262">
        <v>12</v>
      </c>
      <c r="F131" s="262">
        <v>15</v>
      </c>
      <c r="G131" s="262">
        <v>-2</v>
      </c>
      <c r="H131" s="263">
        <v>14</v>
      </c>
      <c r="I131" s="263">
        <f t="shared" si="4"/>
        <v>61</v>
      </c>
      <c r="J131" s="265">
        <v>8.8277858176555715E-2</v>
      </c>
      <c r="K131" s="71"/>
      <c r="L131" s="71"/>
      <c r="M131" s="71"/>
      <c r="N131" s="71"/>
      <c r="O131" s="71"/>
      <c r="P131" s="71"/>
      <c r="Q131" s="71"/>
      <c r="S131" s="53"/>
    </row>
    <row r="132" spans="2:19" x14ac:dyDescent="0.2">
      <c r="B132" s="6"/>
      <c r="C132" s="262" t="s">
        <v>126</v>
      </c>
      <c r="D132" s="262">
        <v>22</v>
      </c>
      <c r="E132" s="262">
        <v>10</v>
      </c>
      <c r="F132" s="262">
        <v>16</v>
      </c>
      <c r="G132" s="262">
        <v>13</v>
      </c>
      <c r="H132" s="263">
        <v>5</v>
      </c>
      <c r="I132" s="263">
        <f t="shared" si="4"/>
        <v>66</v>
      </c>
      <c r="J132" s="265">
        <v>9.5513748191027495E-2</v>
      </c>
      <c r="K132" s="71"/>
      <c r="L132" s="71"/>
      <c r="M132" s="71"/>
      <c r="N132" s="71"/>
      <c r="O132" s="71"/>
      <c r="P132" s="71"/>
      <c r="Q132" s="71"/>
      <c r="S132" s="53"/>
    </row>
    <row r="133" spans="2:19" x14ac:dyDescent="0.2">
      <c r="B133" s="6"/>
      <c r="C133" s="264" t="s">
        <v>6</v>
      </c>
      <c r="D133" s="264">
        <v>206</v>
      </c>
      <c r="E133" s="264">
        <v>164</v>
      </c>
      <c r="F133" s="264">
        <v>141</v>
      </c>
      <c r="G133" s="264">
        <v>100</v>
      </c>
      <c r="H133" s="264">
        <v>80</v>
      </c>
      <c r="I133" s="264">
        <f t="shared" si="4"/>
        <v>691</v>
      </c>
      <c r="J133" s="266">
        <v>1</v>
      </c>
      <c r="K133" s="71"/>
      <c r="L133" s="71"/>
      <c r="M133" s="71"/>
      <c r="N133" s="71"/>
      <c r="O133" s="71"/>
      <c r="P133" s="71"/>
      <c r="Q133" s="71"/>
      <c r="S133" s="53"/>
    </row>
    <row r="134" spans="2:19" x14ac:dyDescent="0.2">
      <c r="B134" s="6"/>
      <c r="J134" s="71"/>
      <c r="K134" s="71"/>
      <c r="L134" s="71"/>
      <c r="M134" s="71"/>
      <c r="N134" s="71"/>
      <c r="O134" s="71"/>
      <c r="P134" s="71"/>
      <c r="Q134" s="71"/>
      <c r="S134" s="53"/>
    </row>
    <row r="135" spans="2:19" x14ac:dyDescent="0.2">
      <c r="B135" s="6"/>
      <c r="J135" s="71"/>
      <c r="K135" s="71"/>
      <c r="L135" s="71"/>
      <c r="M135" s="71"/>
      <c r="N135" s="71"/>
      <c r="O135" s="71"/>
      <c r="P135" s="71"/>
      <c r="Q135" s="71"/>
      <c r="S135" s="53"/>
    </row>
    <row r="136" spans="2:19" x14ac:dyDescent="0.2">
      <c r="B136" s="6"/>
      <c r="J136" s="71"/>
      <c r="K136" s="71"/>
      <c r="L136" s="71"/>
      <c r="M136" s="71"/>
      <c r="N136" s="71"/>
      <c r="O136" s="71"/>
      <c r="P136" s="71"/>
      <c r="Q136" s="71"/>
      <c r="S136" s="53"/>
    </row>
    <row r="137" spans="2:19" x14ac:dyDescent="0.2">
      <c r="B137" s="6"/>
      <c r="J137" s="71"/>
      <c r="K137" s="71"/>
      <c r="L137" s="71"/>
      <c r="M137" s="71"/>
      <c r="N137" s="71"/>
      <c r="O137" s="71"/>
      <c r="P137" s="71"/>
      <c r="Q137" s="71"/>
      <c r="S137" s="53"/>
    </row>
    <row r="138" spans="2:19" x14ac:dyDescent="0.2">
      <c r="B138" s="6"/>
      <c r="J138" s="71"/>
      <c r="K138" s="71"/>
      <c r="L138" s="71"/>
      <c r="M138" s="71"/>
      <c r="N138" s="71"/>
      <c r="O138" s="71"/>
      <c r="P138" s="71"/>
      <c r="Q138" s="71"/>
      <c r="S138" s="53"/>
    </row>
    <row r="139" spans="2:19" x14ac:dyDescent="0.2">
      <c r="B139" s="47"/>
      <c r="C139" s="78"/>
      <c r="D139" s="78"/>
      <c r="E139" s="78"/>
      <c r="F139" s="78"/>
      <c r="G139" s="78"/>
      <c r="H139" s="78"/>
      <c r="I139" s="78"/>
      <c r="J139" s="78"/>
      <c r="K139" s="78"/>
      <c r="L139" s="78"/>
      <c r="M139" s="78"/>
      <c r="N139" s="78"/>
      <c r="O139" s="78"/>
      <c r="P139" s="78"/>
      <c r="Q139" s="78"/>
      <c r="R139" s="66"/>
      <c r="S139" s="67"/>
    </row>
    <row r="140" spans="2:19" ht="12.75" customHeight="1" x14ac:dyDescent="0.2">
      <c r="B140" s="51"/>
      <c r="C140" s="79"/>
      <c r="D140" s="79"/>
      <c r="E140" s="79"/>
      <c r="F140" s="79"/>
      <c r="G140" s="79"/>
      <c r="H140" s="79"/>
      <c r="I140" s="79"/>
      <c r="J140" s="79"/>
      <c r="K140" s="79"/>
      <c r="L140" s="79"/>
      <c r="M140" s="79"/>
      <c r="N140" s="79"/>
      <c r="O140" s="79"/>
      <c r="P140" s="79"/>
      <c r="Q140" s="79"/>
      <c r="R140" s="4"/>
      <c r="S140" s="68"/>
    </row>
    <row r="141" spans="2:19" x14ac:dyDescent="0.2">
      <c r="B141" s="6"/>
      <c r="C141" s="126" t="s">
        <v>131</v>
      </c>
      <c r="D141" s="20" t="s">
        <v>128</v>
      </c>
      <c r="E141" s="25"/>
      <c r="F141" s="25"/>
      <c r="G141" s="25"/>
      <c r="H141" s="25"/>
      <c r="I141" s="25"/>
      <c r="J141" s="70"/>
      <c r="K141" s="70"/>
      <c r="L141" s="70"/>
      <c r="M141" s="70"/>
      <c r="N141" s="70"/>
      <c r="O141" s="71"/>
      <c r="P141" s="71"/>
      <c r="Q141" s="71"/>
      <c r="S141" s="53"/>
    </row>
    <row r="142" spans="2:19" ht="12.75" customHeight="1" x14ac:dyDescent="0.2">
      <c r="B142" s="6"/>
      <c r="C142" s="421" t="s">
        <v>80</v>
      </c>
      <c r="D142" s="421"/>
      <c r="E142" s="421" t="s">
        <v>113</v>
      </c>
      <c r="F142" s="421"/>
      <c r="G142" s="421" t="s">
        <v>114</v>
      </c>
      <c r="H142" s="421"/>
      <c r="I142" s="421" t="s">
        <v>6</v>
      </c>
      <c r="J142" s="421"/>
      <c r="K142" s="421" t="s">
        <v>129</v>
      </c>
      <c r="L142" s="421"/>
      <c r="M142" s="421" t="s">
        <v>130</v>
      </c>
      <c r="N142" s="421"/>
      <c r="O142" s="71"/>
      <c r="P142" s="71"/>
      <c r="Q142" s="71"/>
      <c r="R142" s="71"/>
      <c r="S142" s="53"/>
    </row>
    <row r="143" spans="2:19" x14ac:dyDescent="0.2">
      <c r="B143" s="6"/>
      <c r="C143" s="413" t="s">
        <v>97</v>
      </c>
      <c r="D143" s="413"/>
      <c r="E143" s="420">
        <v>304</v>
      </c>
      <c r="F143" s="420"/>
      <c r="G143" s="420">
        <v>156</v>
      </c>
      <c r="H143" s="420"/>
      <c r="I143" s="420">
        <f t="shared" ref="I143:I149" si="5">SUM(E143:H143)</f>
        <v>460</v>
      </c>
      <c r="J143" s="420"/>
      <c r="K143" s="417">
        <f t="shared" ref="K143:K148" si="6">E143/I143</f>
        <v>0.66086956521739126</v>
      </c>
      <c r="L143" s="417"/>
      <c r="M143" s="417">
        <f t="shared" ref="M143:M150" si="7">G143/I143</f>
        <v>0.33913043478260868</v>
      </c>
      <c r="N143" s="417"/>
      <c r="O143" s="71"/>
      <c r="P143" s="71"/>
      <c r="Q143" s="71"/>
      <c r="R143" s="71"/>
      <c r="S143" s="53"/>
    </row>
    <row r="144" spans="2:19" x14ac:dyDescent="0.2">
      <c r="B144" s="6"/>
      <c r="C144" s="413" t="s">
        <v>98</v>
      </c>
      <c r="D144" s="413"/>
      <c r="E144" s="420">
        <v>294</v>
      </c>
      <c r="F144" s="420"/>
      <c r="G144" s="420">
        <v>88</v>
      </c>
      <c r="H144" s="420"/>
      <c r="I144" s="420">
        <f t="shared" si="5"/>
        <v>382</v>
      </c>
      <c r="J144" s="420"/>
      <c r="K144" s="417">
        <f t="shared" si="6"/>
        <v>0.76963350785340312</v>
      </c>
      <c r="L144" s="417"/>
      <c r="M144" s="417">
        <f t="shared" si="7"/>
        <v>0.23036649214659685</v>
      </c>
      <c r="N144" s="417"/>
      <c r="O144" s="71"/>
      <c r="P144" s="71"/>
      <c r="Q144" s="71"/>
      <c r="R144" s="71"/>
      <c r="S144" s="53"/>
    </row>
    <row r="145" spans="2:19" x14ac:dyDescent="0.2">
      <c r="B145" s="6"/>
      <c r="C145" s="413" t="s">
        <v>99</v>
      </c>
      <c r="D145" s="413"/>
      <c r="E145" s="420">
        <v>360</v>
      </c>
      <c r="F145" s="420"/>
      <c r="G145" s="420">
        <v>59</v>
      </c>
      <c r="H145" s="420"/>
      <c r="I145" s="420">
        <f t="shared" si="5"/>
        <v>419</v>
      </c>
      <c r="J145" s="420"/>
      <c r="K145" s="417">
        <f t="shared" si="6"/>
        <v>0.85918854415274459</v>
      </c>
      <c r="L145" s="417"/>
      <c r="M145" s="417">
        <f t="shared" si="7"/>
        <v>0.14081145584725538</v>
      </c>
      <c r="N145" s="417"/>
      <c r="O145" s="71"/>
      <c r="P145" s="71"/>
      <c r="Q145" s="71"/>
      <c r="R145" s="71"/>
      <c r="S145" s="53"/>
    </row>
    <row r="146" spans="2:19" x14ac:dyDescent="0.2">
      <c r="B146" s="6"/>
      <c r="C146" s="413" t="s">
        <v>100</v>
      </c>
      <c r="D146" s="413"/>
      <c r="E146" s="420">
        <v>285</v>
      </c>
      <c r="F146" s="420"/>
      <c r="G146" s="420">
        <v>46</v>
      </c>
      <c r="H146" s="420"/>
      <c r="I146" s="420">
        <f t="shared" si="5"/>
        <v>331</v>
      </c>
      <c r="J146" s="420"/>
      <c r="K146" s="417">
        <f t="shared" si="6"/>
        <v>0.86102719033232633</v>
      </c>
      <c r="L146" s="417"/>
      <c r="M146" s="417">
        <f t="shared" si="7"/>
        <v>0.13897280966767372</v>
      </c>
      <c r="N146" s="417"/>
      <c r="O146" s="71"/>
      <c r="P146" s="71"/>
      <c r="Q146" s="71"/>
      <c r="R146" s="71"/>
      <c r="S146" s="53"/>
    </row>
    <row r="147" spans="2:19" x14ac:dyDescent="0.2">
      <c r="B147" s="6"/>
      <c r="C147" s="413" t="s">
        <v>101</v>
      </c>
      <c r="D147" s="413"/>
      <c r="E147" s="420">
        <v>180</v>
      </c>
      <c r="F147" s="420"/>
      <c r="G147" s="420">
        <v>26</v>
      </c>
      <c r="H147" s="420"/>
      <c r="I147" s="420">
        <f t="shared" si="5"/>
        <v>206</v>
      </c>
      <c r="J147" s="420"/>
      <c r="K147" s="417">
        <f t="shared" si="6"/>
        <v>0.87378640776699024</v>
      </c>
      <c r="L147" s="417"/>
      <c r="M147" s="417">
        <f t="shared" si="7"/>
        <v>0.12621359223300971</v>
      </c>
      <c r="N147" s="417"/>
      <c r="O147" s="71"/>
      <c r="P147" s="71"/>
      <c r="Q147" s="71"/>
      <c r="S147" s="53"/>
    </row>
    <row r="148" spans="2:19" x14ac:dyDescent="0.2">
      <c r="B148" s="6"/>
      <c r="C148" s="413" t="s">
        <v>8</v>
      </c>
      <c r="D148" s="413"/>
      <c r="E148" s="420">
        <v>125</v>
      </c>
      <c r="F148" s="420"/>
      <c r="G148" s="420">
        <v>39</v>
      </c>
      <c r="H148" s="420"/>
      <c r="I148" s="420">
        <f t="shared" si="5"/>
        <v>164</v>
      </c>
      <c r="J148" s="420"/>
      <c r="K148" s="417">
        <f t="shared" si="6"/>
        <v>0.76219512195121952</v>
      </c>
      <c r="L148" s="417"/>
      <c r="M148" s="417">
        <f t="shared" si="7"/>
        <v>0.23780487804878048</v>
      </c>
      <c r="N148" s="417"/>
      <c r="O148" s="71"/>
      <c r="P148" s="71"/>
      <c r="Q148" s="71"/>
      <c r="S148" s="53"/>
    </row>
    <row r="149" spans="2:19" x14ac:dyDescent="0.2">
      <c r="B149" s="6"/>
      <c r="C149" s="413" t="s">
        <v>9</v>
      </c>
      <c r="D149" s="413"/>
      <c r="E149" s="416">
        <v>103</v>
      </c>
      <c r="F149" s="416"/>
      <c r="G149" s="416">
        <v>38</v>
      </c>
      <c r="H149" s="416"/>
      <c r="I149" s="420">
        <f t="shared" si="5"/>
        <v>141</v>
      </c>
      <c r="J149" s="420"/>
      <c r="K149" s="417">
        <f>E149/I149</f>
        <v>0.73049645390070927</v>
      </c>
      <c r="L149" s="417"/>
      <c r="M149" s="417">
        <f t="shared" si="7"/>
        <v>0.26950354609929078</v>
      </c>
      <c r="N149" s="417"/>
      <c r="O149" s="71"/>
      <c r="P149" s="71"/>
      <c r="Q149" s="71"/>
      <c r="S149" s="53"/>
    </row>
    <row r="150" spans="2:19" x14ac:dyDescent="0.2">
      <c r="B150" s="6"/>
      <c r="C150" s="413" t="s">
        <v>102</v>
      </c>
      <c r="D150" s="413"/>
      <c r="E150" s="414">
        <v>75</v>
      </c>
      <c r="F150" s="415"/>
      <c r="G150" s="416">
        <v>25</v>
      </c>
      <c r="H150" s="416"/>
      <c r="I150" s="416">
        <f>SUM(E150:H150)</f>
        <v>100</v>
      </c>
      <c r="J150" s="416"/>
      <c r="K150" s="417">
        <f>E150/I150</f>
        <v>0.75</v>
      </c>
      <c r="L150" s="417"/>
      <c r="M150" s="417">
        <f t="shared" si="7"/>
        <v>0.25</v>
      </c>
      <c r="N150" s="417"/>
      <c r="O150" s="71"/>
      <c r="P150" s="71"/>
      <c r="Q150" s="71"/>
      <c r="S150" s="53"/>
    </row>
    <row r="151" spans="2:19" x14ac:dyDescent="0.2">
      <c r="B151" s="6"/>
      <c r="C151" s="418" t="s">
        <v>11</v>
      </c>
      <c r="D151" s="418"/>
      <c r="E151" s="419">
        <f>E118</f>
        <v>38</v>
      </c>
      <c r="F151" s="419"/>
      <c r="G151" s="419">
        <f>G118</f>
        <v>42</v>
      </c>
      <c r="H151" s="419"/>
      <c r="I151" s="419">
        <f>SUM(E151:H151)</f>
        <v>80</v>
      </c>
      <c r="J151" s="419"/>
      <c r="K151" s="417">
        <f>E151/I151</f>
        <v>0.47499999999999998</v>
      </c>
      <c r="L151" s="417"/>
      <c r="M151" s="417">
        <f t="shared" ref="M151" si="8">G151/I151</f>
        <v>0.52500000000000002</v>
      </c>
      <c r="N151" s="417"/>
      <c r="O151" s="71"/>
      <c r="P151" s="71"/>
      <c r="Q151" s="71"/>
      <c r="S151" s="53"/>
    </row>
    <row r="152" spans="2:19" x14ac:dyDescent="0.2">
      <c r="B152" s="6"/>
      <c r="C152" s="410" t="s">
        <v>6</v>
      </c>
      <c r="D152" s="410"/>
      <c r="E152" s="412">
        <f>SUM(E143:F151)</f>
        <v>1764</v>
      </c>
      <c r="F152" s="412"/>
      <c r="G152" s="412">
        <f>SUM(G143:H151)</f>
        <v>519</v>
      </c>
      <c r="H152" s="412"/>
      <c r="I152" s="412">
        <f>SUM(I143:J151)</f>
        <v>2283</v>
      </c>
      <c r="J152" s="412"/>
      <c r="K152" s="411"/>
      <c r="L152" s="411"/>
      <c r="M152" s="411"/>
      <c r="N152" s="411"/>
      <c r="O152" s="71"/>
      <c r="P152" s="71"/>
      <c r="Q152" s="71"/>
      <c r="S152" s="53"/>
    </row>
    <row r="153" spans="2:19" x14ac:dyDescent="0.2">
      <c r="B153" s="6"/>
      <c r="C153" s="410" t="s">
        <v>119</v>
      </c>
      <c r="D153" s="410"/>
      <c r="E153" s="411">
        <f>E152/I152</f>
        <v>0.77266754270696447</v>
      </c>
      <c r="F153" s="411"/>
      <c r="G153" s="411">
        <f>G152/I152</f>
        <v>0.22733245729303547</v>
      </c>
      <c r="H153" s="411"/>
      <c r="I153" s="411"/>
      <c r="J153" s="411"/>
      <c r="K153" s="411"/>
      <c r="L153" s="411"/>
      <c r="M153" s="411"/>
      <c r="N153" s="411"/>
      <c r="O153" s="71"/>
      <c r="P153" s="71"/>
      <c r="Q153" s="71"/>
      <c r="S153" s="53"/>
    </row>
    <row r="154" spans="2:19" x14ac:dyDescent="0.2">
      <c r="B154" s="6"/>
      <c r="J154" s="71"/>
      <c r="K154" s="71"/>
      <c r="L154" s="71"/>
      <c r="M154" s="71"/>
      <c r="N154" s="71"/>
      <c r="O154" s="71"/>
      <c r="P154" s="71"/>
      <c r="Q154" s="71"/>
      <c r="S154" s="53"/>
    </row>
    <row r="155" spans="2:19" x14ac:dyDescent="0.2">
      <c r="B155" s="6"/>
      <c r="J155" s="71"/>
      <c r="K155" s="71"/>
      <c r="L155" s="71"/>
      <c r="M155" s="71"/>
      <c r="N155" s="71"/>
      <c r="O155" s="71"/>
      <c r="P155" s="71"/>
      <c r="Q155" s="71"/>
      <c r="S155" s="53"/>
    </row>
    <row r="156" spans="2:19" x14ac:dyDescent="0.2">
      <c r="B156" s="6"/>
      <c r="C156" s="126" t="s">
        <v>138</v>
      </c>
      <c r="D156" s="20" t="s">
        <v>132</v>
      </c>
      <c r="E156" s="80"/>
      <c r="F156" s="80"/>
      <c r="G156" s="80"/>
      <c r="H156" s="80"/>
      <c r="I156" s="71"/>
      <c r="S156" s="53"/>
    </row>
    <row r="157" spans="2:19" x14ac:dyDescent="0.2">
      <c r="B157" s="6"/>
      <c r="C157" s="81" t="s">
        <v>80</v>
      </c>
      <c r="D157" s="81" t="s">
        <v>133</v>
      </c>
      <c r="E157" s="81" t="s">
        <v>134</v>
      </c>
      <c r="F157" s="81" t="s">
        <v>6</v>
      </c>
      <c r="G157" s="81" t="s">
        <v>135</v>
      </c>
      <c r="H157" s="81" t="s">
        <v>136</v>
      </c>
      <c r="I157" s="71"/>
      <c r="S157" s="53"/>
    </row>
    <row r="158" spans="2:19" x14ac:dyDescent="0.2">
      <c r="B158" s="6"/>
      <c r="C158" s="82" t="s">
        <v>94</v>
      </c>
      <c r="D158" s="83">
        <v>63</v>
      </c>
      <c r="E158" s="83">
        <v>172</v>
      </c>
      <c r="F158" s="83">
        <f t="shared" ref="F158:F163" si="9">SUM(D158:E158)</f>
        <v>235</v>
      </c>
      <c r="G158" s="84">
        <f>D158/F158</f>
        <v>0.26808510638297872</v>
      </c>
      <c r="H158" s="84">
        <f>E158/F158</f>
        <v>0.73191489361702122</v>
      </c>
      <c r="I158" s="71"/>
      <c r="S158" s="53"/>
    </row>
    <row r="159" spans="2:19" x14ac:dyDescent="0.2">
      <c r="B159" s="6"/>
      <c r="C159" s="82" t="s">
        <v>95</v>
      </c>
      <c r="D159" s="83">
        <v>238</v>
      </c>
      <c r="E159" s="83">
        <v>66</v>
      </c>
      <c r="F159" s="83">
        <f t="shared" si="9"/>
        <v>304</v>
      </c>
      <c r="G159" s="84">
        <f>D159/F159</f>
        <v>0.78289473684210531</v>
      </c>
      <c r="H159" s="84">
        <f>E159/F159</f>
        <v>0.21710526315789475</v>
      </c>
      <c r="I159" s="71"/>
      <c r="S159" s="53"/>
    </row>
    <row r="160" spans="2:19" x14ac:dyDescent="0.2">
      <c r="B160" s="6"/>
      <c r="C160" s="82" t="s">
        <v>96</v>
      </c>
      <c r="D160" s="83">
        <v>304</v>
      </c>
      <c r="E160" s="83">
        <v>187</v>
      </c>
      <c r="F160" s="83">
        <f t="shared" si="9"/>
        <v>491</v>
      </c>
      <c r="G160" s="84">
        <f>D160/F160</f>
        <v>0.61914460285132378</v>
      </c>
      <c r="H160" s="84">
        <f>E160/F160</f>
        <v>0.38085539714867617</v>
      </c>
      <c r="I160" s="71"/>
      <c r="S160" s="53"/>
    </row>
    <row r="161" spans="2:19" x14ac:dyDescent="0.2">
      <c r="B161" s="6"/>
      <c r="C161" s="82" t="s">
        <v>97</v>
      </c>
      <c r="D161" s="83">
        <v>242</v>
      </c>
      <c r="E161" s="83">
        <v>218</v>
      </c>
      <c r="F161" s="83">
        <f t="shared" si="9"/>
        <v>460</v>
      </c>
      <c r="G161" s="84">
        <f>D161/F161</f>
        <v>0.52608695652173909</v>
      </c>
      <c r="H161" s="84">
        <f>E161/F161</f>
        <v>0.47391304347826085</v>
      </c>
      <c r="I161" s="71"/>
      <c r="S161" s="53"/>
    </row>
    <row r="162" spans="2:19" x14ac:dyDescent="0.2">
      <c r="B162" s="6"/>
      <c r="C162" s="82" t="s">
        <v>98</v>
      </c>
      <c r="D162" s="83">
        <v>165</v>
      </c>
      <c r="E162" s="83">
        <v>217</v>
      </c>
      <c r="F162" s="83">
        <f t="shared" si="9"/>
        <v>382</v>
      </c>
      <c r="G162" s="84">
        <f t="shared" ref="G162:G163" si="10">D162/F162</f>
        <v>0.43193717277486909</v>
      </c>
      <c r="H162" s="84">
        <f t="shared" ref="H162:H163" si="11">E162/F162</f>
        <v>0.56806282722513091</v>
      </c>
      <c r="I162" s="71"/>
      <c r="S162" s="53"/>
    </row>
    <row r="163" spans="2:19" x14ac:dyDescent="0.2">
      <c r="B163" s="6"/>
      <c r="C163" s="82" t="s">
        <v>99</v>
      </c>
      <c r="D163" s="83">
        <v>125</v>
      </c>
      <c r="E163" s="83">
        <v>294</v>
      </c>
      <c r="F163" s="83">
        <f t="shared" si="9"/>
        <v>419</v>
      </c>
      <c r="G163" s="84">
        <f t="shared" si="10"/>
        <v>0.29832935560859186</v>
      </c>
      <c r="H163" s="84">
        <f t="shared" si="11"/>
        <v>0.70167064439140814</v>
      </c>
      <c r="I163" s="71"/>
      <c r="S163" s="53"/>
    </row>
    <row r="164" spans="2:19" x14ac:dyDescent="0.2">
      <c r="B164" s="6"/>
      <c r="C164" s="82" t="s">
        <v>100</v>
      </c>
      <c r="D164" s="83">
        <v>98</v>
      </c>
      <c r="E164" s="83">
        <v>233</v>
      </c>
      <c r="F164" s="83">
        <v>331</v>
      </c>
      <c r="G164" s="84">
        <v>0.29607250755287007</v>
      </c>
      <c r="H164" s="84">
        <v>0.70392749244712993</v>
      </c>
      <c r="I164" s="71"/>
      <c r="S164" s="53"/>
    </row>
    <row r="165" spans="2:19" x14ac:dyDescent="0.2">
      <c r="B165" s="6"/>
      <c r="C165" s="82" t="s">
        <v>101</v>
      </c>
      <c r="D165" s="83">
        <v>107</v>
      </c>
      <c r="E165" s="83">
        <v>99</v>
      </c>
      <c r="F165" s="83">
        <v>206</v>
      </c>
      <c r="G165" s="84">
        <v>0.51941747572815533</v>
      </c>
      <c r="H165" s="84">
        <v>0.48058252427184467</v>
      </c>
      <c r="I165" s="71"/>
      <c r="S165" s="53"/>
    </row>
    <row r="166" spans="2:19" x14ac:dyDescent="0.2">
      <c r="B166" s="6"/>
      <c r="C166" s="82" t="s">
        <v>8</v>
      </c>
      <c r="D166" s="83">
        <v>63</v>
      </c>
      <c r="E166" s="83">
        <v>101</v>
      </c>
      <c r="F166" s="83">
        <v>164</v>
      </c>
      <c r="G166" s="84">
        <f>D166/F166</f>
        <v>0.38414634146341464</v>
      </c>
      <c r="H166" s="84">
        <f>E166/F166</f>
        <v>0.61585365853658536</v>
      </c>
      <c r="I166" s="71"/>
      <c r="S166" s="53"/>
    </row>
    <row r="167" spans="2:19" x14ac:dyDescent="0.2">
      <c r="B167" s="6"/>
      <c r="C167" s="82" t="s">
        <v>9</v>
      </c>
      <c r="D167" s="85">
        <v>121</v>
      </c>
      <c r="E167" s="85">
        <v>20</v>
      </c>
      <c r="F167" s="85">
        <f>SUM(D167:E167)</f>
        <v>141</v>
      </c>
      <c r="G167" s="86">
        <f>D167/F167</f>
        <v>0.85815602836879434</v>
      </c>
      <c r="H167" s="86">
        <f>E167/F167</f>
        <v>0.14184397163120568</v>
      </c>
      <c r="I167" s="71"/>
      <c r="S167" s="53"/>
    </row>
    <row r="168" spans="2:19" x14ac:dyDescent="0.2">
      <c r="B168" s="6"/>
      <c r="C168" s="82" t="s">
        <v>102</v>
      </c>
      <c r="D168" s="85">
        <v>77</v>
      </c>
      <c r="E168" s="85">
        <v>23</v>
      </c>
      <c r="F168" s="85">
        <f t="shared" ref="F168:F169" si="12">SUM(D168:E168)</f>
        <v>100</v>
      </c>
      <c r="G168" s="86">
        <f t="shared" ref="G168" si="13">D168/F168</f>
        <v>0.77</v>
      </c>
      <c r="H168" s="86">
        <f t="shared" ref="H168:H169" si="14">E168/F168</f>
        <v>0.23</v>
      </c>
      <c r="I168" s="71"/>
      <c r="S168" s="53"/>
    </row>
    <row r="169" spans="2:19" x14ac:dyDescent="0.2">
      <c r="B169" s="6"/>
      <c r="C169" s="212" t="s">
        <v>11</v>
      </c>
      <c r="D169" s="85">
        <f>GETPIVOTDATA("Net Dwellings",Pivot!$B$239,"Large Site",)</f>
        <v>80</v>
      </c>
      <c r="E169" s="85">
        <v>0</v>
      </c>
      <c r="F169" s="85">
        <f t="shared" si="12"/>
        <v>80</v>
      </c>
      <c r="G169" s="86">
        <f>D169/F169</f>
        <v>1</v>
      </c>
      <c r="H169" s="86">
        <f t="shared" si="14"/>
        <v>0</v>
      </c>
      <c r="I169" s="71"/>
      <c r="S169" s="53"/>
    </row>
    <row r="170" spans="2:19" x14ac:dyDescent="0.2">
      <c r="B170" s="6"/>
      <c r="C170" s="81" t="s">
        <v>137</v>
      </c>
      <c r="D170" s="213">
        <f>SUM(D158:D169)</f>
        <v>1683</v>
      </c>
      <c r="E170" s="213">
        <f>SUM(E158:E169)</f>
        <v>1630</v>
      </c>
      <c r="F170" s="213">
        <f>SUM(F158:F169)</f>
        <v>3313</v>
      </c>
      <c r="G170" s="214">
        <f>D170/F170</f>
        <v>0.50799879263507397</v>
      </c>
      <c r="H170" s="214">
        <f>E170/F170</f>
        <v>0.49200120736492603</v>
      </c>
      <c r="I170" s="71"/>
      <c r="S170" s="53"/>
    </row>
    <row r="171" spans="2:19" x14ac:dyDescent="0.2">
      <c r="B171" s="6"/>
      <c r="D171" s="71"/>
      <c r="E171" s="71"/>
      <c r="F171" s="71"/>
      <c r="G171" s="71"/>
      <c r="H171" s="71"/>
      <c r="I171" s="71"/>
      <c r="S171" s="53"/>
    </row>
    <row r="172" spans="2:19" x14ac:dyDescent="0.2">
      <c r="B172" s="6"/>
      <c r="E172" s="87"/>
      <c r="S172" s="53"/>
    </row>
    <row r="173" spans="2:19" x14ac:dyDescent="0.2">
      <c r="B173" s="6"/>
      <c r="S173" s="53"/>
    </row>
    <row r="174" spans="2:19" x14ac:dyDescent="0.2">
      <c r="B174" s="6"/>
      <c r="C174" s="126" t="s">
        <v>143</v>
      </c>
      <c r="D174" s="20" t="s">
        <v>139</v>
      </c>
      <c r="E174" s="25"/>
      <c r="S174" s="53"/>
    </row>
    <row r="175" spans="2:19" x14ac:dyDescent="0.2">
      <c r="B175" s="6"/>
      <c r="C175" s="76" t="s">
        <v>80</v>
      </c>
      <c r="D175" s="76" t="s">
        <v>109</v>
      </c>
      <c r="E175" s="25"/>
      <c r="S175" s="53"/>
    </row>
    <row r="176" spans="2:19" x14ac:dyDescent="0.2">
      <c r="B176" s="6"/>
      <c r="C176" s="88" t="s">
        <v>84</v>
      </c>
      <c r="D176" s="77">
        <v>0.5</v>
      </c>
      <c r="E176" s="25"/>
      <c r="L176" s="71"/>
      <c r="M176" s="71"/>
      <c r="N176" s="71"/>
      <c r="O176" s="71"/>
      <c r="P176" s="71"/>
      <c r="Q176" s="71"/>
      <c r="S176" s="53"/>
    </row>
    <row r="177" spans="2:19" x14ac:dyDescent="0.2">
      <c r="B177" s="6"/>
      <c r="C177" s="88" t="s">
        <v>85</v>
      </c>
      <c r="D177" s="77">
        <v>0.72</v>
      </c>
      <c r="E177" s="25"/>
      <c r="L177" s="71"/>
      <c r="M177" s="71"/>
      <c r="N177" s="71"/>
      <c r="O177" s="71"/>
      <c r="P177" s="71"/>
      <c r="Q177" s="71"/>
      <c r="S177" s="53"/>
    </row>
    <row r="178" spans="2:19" x14ac:dyDescent="0.2">
      <c r="B178" s="6"/>
      <c r="C178" s="88" t="s">
        <v>86</v>
      </c>
      <c r="D178" s="77">
        <v>0.83</v>
      </c>
      <c r="E178" s="25"/>
      <c r="J178" s="71"/>
      <c r="K178" s="71"/>
      <c r="L178" s="71"/>
      <c r="M178" s="71"/>
      <c r="N178" s="71"/>
      <c r="O178" s="71"/>
      <c r="P178" s="71"/>
      <c r="Q178" s="71"/>
      <c r="S178" s="53"/>
    </row>
    <row r="179" spans="2:19" x14ac:dyDescent="0.2">
      <c r="B179" s="6"/>
      <c r="C179" s="88" t="s">
        <v>87</v>
      </c>
      <c r="D179" s="77">
        <v>0.41</v>
      </c>
      <c r="E179" s="25"/>
      <c r="J179" s="71"/>
      <c r="K179" s="71"/>
      <c r="L179" s="71"/>
      <c r="M179" s="71"/>
      <c r="N179" s="71"/>
      <c r="O179" s="71"/>
      <c r="P179" s="71"/>
      <c r="Q179" s="71"/>
      <c r="S179" s="53"/>
    </row>
    <row r="180" spans="2:19" x14ac:dyDescent="0.2">
      <c r="B180" s="6"/>
      <c r="C180" s="88" t="s">
        <v>88</v>
      </c>
      <c r="D180" s="77">
        <v>0.27</v>
      </c>
      <c r="E180" s="25"/>
      <c r="J180" s="71"/>
      <c r="K180" s="71"/>
      <c r="L180" s="71"/>
      <c r="M180" s="71"/>
      <c r="N180" s="71"/>
      <c r="O180" s="71"/>
      <c r="Q180" s="71"/>
      <c r="S180" s="53"/>
    </row>
    <row r="181" spans="2:19" x14ac:dyDescent="0.2">
      <c r="B181" s="6"/>
      <c r="C181" s="88" t="s">
        <v>89</v>
      </c>
      <c r="D181" s="77">
        <v>0.61</v>
      </c>
      <c r="E181" s="25"/>
      <c r="J181" s="71"/>
      <c r="K181" s="71"/>
      <c r="Q181" s="71"/>
      <c r="S181" s="53"/>
    </row>
    <row r="182" spans="2:19" x14ac:dyDescent="0.2">
      <c r="B182" s="6"/>
      <c r="C182" s="88" t="s">
        <v>90</v>
      </c>
      <c r="D182" s="77">
        <v>7.0000000000000007E-2</v>
      </c>
      <c r="E182" s="25"/>
      <c r="Q182" s="71"/>
      <c r="S182" s="53"/>
    </row>
    <row r="183" spans="2:19" x14ac:dyDescent="0.2">
      <c r="B183" s="6"/>
      <c r="C183" s="88" t="s">
        <v>91</v>
      </c>
      <c r="D183" s="77">
        <v>0.67</v>
      </c>
      <c r="E183" s="25"/>
      <c r="Q183" s="71"/>
      <c r="S183" s="53"/>
    </row>
    <row r="184" spans="2:19" x14ac:dyDescent="0.2">
      <c r="B184" s="6"/>
      <c r="C184" s="88" t="s">
        <v>92</v>
      </c>
      <c r="D184" s="77">
        <v>0.3</v>
      </c>
      <c r="E184" s="25"/>
      <c r="Q184" s="71"/>
      <c r="S184" s="53"/>
    </row>
    <row r="185" spans="2:19" x14ac:dyDescent="0.2">
      <c r="B185" s="6"/>
      <c r="C185" s="88" t="s">
        <v>93</v>
      </c>
      <c r="D185" s="77">
        <v>0.79</v>
      </c>
      <c r="E185" s="25"/>
      <c r="Q185" s="71"/>
      <c r="S185" s="53"/>
    </row>
    <row r="186" spans="2:19" x14ac:dyDescent="0.2">
      <c r="B186" s="6"/>
      <c r="C186" s="88" t="s">
        <v>94</v>
      </c>
      <c r="D186" s="77">
        <v>0.73</v>
      </c>
      <c r="E186" s="25"/>
      <c r="Q186" s="71"/>
      <c r="S186" s="53"/>
    </row>
    <row r="187" spans="2:19" x14ac:dyDescent="0.2">
      <c r="B187" s="6"/>
      <c r="C187" s="88" t="s">
        <v>95</v>
      </c>
      <c r="D187" s="77">
        <v>0.22</v>
      </c>
      <c r="E187" s="25"/>
      <c r="Q187" s="71"/>
      <c r="S187" s="53"/>
    </row>
    <row r="188" spans="2:19" x14ac:dyDescent="0.2">
      <c r="B188" s="6"/>
      <c r="C188" s="88" t="s">
        <v>96</v>
      </c>
      <c r="D188" s="77">
        <v>0.38</v>
      </c>
      <c r="E188" s="25"/>
      <c r="Q188" s="71"/>
      <c r="S188" s="53"/>
    </row>
    <row r="189" spans="2:19" x14ac:dyDescent="0.2">
      <c r="B189" s="6"/>
      <c r="C189" s="88" t="s">
        <v>97</v>
      </c>
      <c r="D189" s="77">
        <v>0.47</v>
      </c>
      <c r="E189" s="25"/>
      <c r="Q189" s="71"/>
      <c r="S189" s="53"/>
    </row>
    <row r="190" spans="2:19" x14ac:dyDescent="0.2">
      <c r="B190" s="6"/>
      <c r="C190" s="88" t="s">
        <v>98</v>
      </c>
      <c r="D190" s="77">
        <v>0.56999999999999995</v>
      </c>
      <c r="E190" s="25"/>
      <c r="Q190" s="71"/>
      <c r="S190" s="53"/>
    </row>
    <row r="191" spans="2:19" x14ac:dyDescent="0.2">
      <c r="B191" s="6"/>
      <c r="C191" s="88" t="s">
        <v>99</v>
      </c>
      <c r="D191" s="77">
        <f t="shared" ref="D191:D197" si="15">H163</f>
        <v>0.70167064439140814</v>
      </c>
      <c r="E191" s="25"/>
      <c r="Q191" s="71"/>
      <c r="S191" s="53"/>
    </row>
    <row r="192" spans="2:19" x14ac:dyDescent="0.2">
      <c r="B192" s="6"/>
      <c r="C192" s="88" t="s">
        <v>100</v>
      </c>
      <c r="D192" s="77">
        <f t="shared" si="15"/>
        <v>0.70392749244712993</v>
      </c>
      <c r="E192" s="25"/>
      <c r="Q192" s="71"/>
      <c r="S192" s="53"/>
    </row>
    <row r="193" spans="2:19" x14ac:dyDescent="0.2">
      <c r="B193" s="6"/>
      <c r="C193" s="88" t="s">
        <v>101</v>
      </c>
      <c r="D193" s="77">
        <f t="shared" si="15"/>
        <v>0.48058252427184467</v>
      </c>
      <c r="E193" s="25"/>
      <c r="Q193" s="71"/>
      <c r="S193" s="53"/>
    </row>
    <row r="194" spans="2:19" x14ac:dyDescent="0.2">
      <c r="B194" s="6"/>
      <c r="C194" s="88" t="s">
        <v>8</v>
      </c>
      <c r="D194" s="77">
        <f t="shared" si="15"/>
        <v>0.61585365853658536</v>
      </c>
      <c r="E194" s="25"/>
      <c r="Q194" s="71"/>
      <c r="S194" s="53"/>
    </row>
    <row r="195" spans="2:19" x14ac:dyDescent="0.2">
      <c r="B195" s="6"/>
      <c r="C195" s="88" t="s">
        <v>9</v>
      </c>
      <c r="D195" s="89">
        <f t="shared" si="15"/>
        <v>0.14184397163120568</v>
      </c>
      <c r="E195" s="25"/>
      <c r="Q195" s="71"/>
      <c r="S195" s="53"/>
    </row>
    <row r="196" spans="2:19" x14ac:dyDescent="0.2">
      <c r="B196" s="6"/>
      <c r="C196" s="88" t="s">
        <v>102</v>
      </c>
      <c r="D196" s="89">
        <f t="shared" si="15"/>
        <v>0.23</v>
      </c>
      <c r="E196" s="25"/>
      <c r="Q196" s="71"/>
      <c r="S196" s="53"/>
    </row>
    <row r="197" spans="2:19" x14ac:dyDescent="0.2">
      <c r="B197" s="6"/>
      <c r="C197" s="212" t="s">
        <v>11</v>
      </c>
      <c r="D197" s="215">
        <f t="shared" si="15"/>
        <v>0</v>
      </c>
      <c r="E197" s="25"/>
      <c r="Q197" s="71"/>
      <c r="S197" s="53"/>
    </row>
    <row r="198" spans="2:19" x14ac:dyDescent="0.2">
      <c r="B198" s="47"/>
      <c r="C198" s="66"/>
      <c r="D198" s="66"/>
      <c r="E198" s="66"/>
      <c r="F198" s="66"/>
      <c r="G198" s="66"/>
      <c r="H198" s="66"/>
      <c r="I198" s="66"/>
      <c r="J198" s="66"/>
      <c r="K198" s="66"/>
      <c r="L198" s="66"/>
      <c r="M198" s="66"/>
      <c r="N198" s="66"/>
      <c r="O198" s="66"/>
      <c r="P198" s="66"/>
      <c r="Q198" s="78"/>
      <c r="R198" s="66"/>
      <c r="S198" s="67"/>
    </row>
    <row r="199" spans="2:19" x14ac:dyDescent="0.2">
      <c r="B199" s="51"/>
      <c r="C199" s="4"/>
      <c r="D199" s="4"/>
      <c r="E199" s="4"/>
      <c r="F199" s="4"/>
      <c r="G199" s="4"/>
      <c r="H199" s="4"/>
      <c r="I199" s="4"/>
      <c r="J199" s="4"/>
      <c r="K199" s="4"/>
      <c r="L199" s="4"/>
      <c r="M199" s="4"/>
      <c r="N199" s="4"/>
      <c r="O199" s="4"/>
      <c r="P199" s="4"/>
      <c r="Q199" s="4"/>
      <c r="R199" s="4"/>
      <c r="S199" s="68"/>
    </row>
    <row r="200" spans="2:19" s="25" customFormat="1" x14ac:dyDescent="0.2">
      <c r="B200" s="90"/>
      <c r="S200" s="91"/>
    </row>
    <row r="201" spans="2:19" s="25" customFormat="1" ht="20.25" x14ac:dyDescent="0.3">
      <c r="B201" s="90"/>
      <c r="C201" s="69" t="s">
        <v>140</v>
      </c>
      <c r="D201" s="16"/>
      <c r="E201" s="16"/>
      <c r="F201" s="16"/>
      <c r="G201" s="16"/>
      <c r="H201" s="16"/>
      <c r="I201" s="16"/>
      <c r="J201" s="16"/>
      <c r="K201" s="16"/>
      <c r="L201" s="16"/>
      <c r="M201" s="16"/>
      <c r="N201" s="16"/>
      <c r="O201" s="16"/>
      <c r="P201" s="16"/>
      <c r="Q201" s="16"/>
      <c r="S201" s="91"/>
    </row>
    <row r="202" spans="2:19" s="25" customFormat="1" ht="20.25" x14ac:dyDescent="0.3">
      <c r="B202" s="90"/>
      <c r="C202" s="69"/>
      <c r="D202" s="16"/>
      <c r="E202" s="16"/>
      <c r="F202" s="16"/>
      <c r="G202" s="16"/>
      <c r="H202" s="16"/>
      <c r="I202" s="16"/>
      <c r="J202" s="16"/>
      <c r="K202" s="16"/>
      <c r="L202" s="16"/>
      <c r="M202" s="16"/>
      <c r="N202" s="16"/>
      <c r="O202" s="16"/>
      <c r="P202" s="16"/>
      <c r="Q202" s="16"/>
      <c r="S202" s="91"/>
    </row>
    <row r="203" spans="2:19" s="25" customFormat="1" ht="15" x14ac:dyDescent="0.25">
      <c r="B203" s="90"/>
      <c r="C203" s="92" t="s">
        <v>141</v>
      </c>
      <c r="D203" s="16"/>
      <c r="E203" s="16"/>
      <c r="F203" s="216"/>
      <c r="G203" s="216"/>
      <c r="H203" s="216"/>
      <c r="I203" s="92" t="s">
        <v>142</v>
      </c>
      <c r="J203" s="70"/>
      <c r="K203" s="70"/>
      <c r="O203" s="70"/>
      <c r="P203" s="16"/>
      <c r="Q203" s="16"/>
      <c r="S203" s="91"/>
    </row>
    <row r="204" spans="2:19" s="25" customFormat="1" x14ac:dyDescent="0.2">
      <c r="B204" s="90"/>
      <c r="C204" s="126" t="s">
        <v>145</v>
      </c>
      <c r="D204" s="20" t="s">
        <v>144</v>
      </c>
      <c r="E204" s="16"/>
      <c r="F204" s="216"/>
      <c r="G204" s="216"/>
      <c r="H204" s="216"/>
      <c r="I204" s="126" t="s">
        <v>162</v>
      </c>
      <c r="J204" s="20" t="s">
        <v>146</v>
      </c>
      <c r="K204" s="16"/>
      <c r="O204" s="16"/>
      <c r="P204" s="16"/>
      <c r="Q204" s="16"/>
      <c r="S204" s="91"/>
    </row>
    <row r="205" spans="2:19" s="25" customFormat="1" x14ac:dyDescent="0.2">
      <c r="B205" s="93"/>
      <c r="C205" s="399" t="s">
        <v>147</v>
      </c>
      <c r="D205" s="400"/>
      <c r="E205" s="94" t="s">
        <v>11</v>
      </c>
      <c r="F205" s="216"/>
      <c r="G205" s="216"/>
      <c r="H205" s="216"/>
      <c r="I205" s="400" t="s">
        <v>148</v>
      </c>
      <c r="J205" s="400"/>
      <c r="K205" s="94" t="s">
        <v>11</v>
      </c>
      <c r="O205" s="16"/>
      <c r="P205" s="16"/>
      <c r="Q205" s="16"/>
      <c r="R205" s="16"/>
      <c r="S205" s="91"/>
    </row>
    <row r="206" spans="2:19" s="25" customFormat="1" x14ac:dyDescent="0.2">
      <c r="B206" s="93"/>
      <c r="C206" s="408" t="s">
        <v>149</v>
      </c>
      <c r="D206" s="401"/>
      <c r="E206" s="222">
        <f>GETPIVOTDATA("Net Dwellings",Pivot!$B$225,"Town_Centre",C206)</f>
        <v>0</v>
      </c>
      <c r="F206" s="216"/>
      <c r="G206" s="216"/>
      <c r="H206" s="216"/>
      <c r="I206" s="401" t="s">
        <v>141</v>
      </c>
      <c r="J206" s="401"/>
      <c r="K206" s="278">
        <f>E211</f>
        <v>16</v>
      </c>
      <c r="O206" s="16"/>
      <c r="P206" s="16"/>
      <c r="Q206" s="16"/>
      <c r="R206" s="16"/>
      <c r="S206" s="91"/>
    </row>
    <row r="207" spans="2:19" s="25" customFormat="1" x14ac:dyDescent="0.2">
      <c r="B207" s="93"/>
      <c r="C207" s="408" t="s">
        <v>150</v>
      </c>
      <c r="D207" s="401"/>
      <c r="E207" s="222">
        <f>GETPIVOTDATA("Net Dwellings",Pivot!$B$225,"Town_Centre",C207)</f>
        <v>1</v>
      </c>
      <c r="F207" s="216"/>
      <c r="G207" s="216"/>
      <c r="H207" s="216"/>
      <c r="I207" s="401" t="s">
        <v>151</v>
      </c>
      <c r="J207" s="401"/>
      <c r="K207" s="278">
        <f>GETPIVOTDATA("Net Dwellings",Pivot!$H$226,"Thames_Policy_Area","Thames Policy Area")</f>
        <v>0</v>
      </c>
      <c r="O207" s="16"/>
      <c r="P207" s="16"/>
      <c r="Q207" s="16"/>
      <c r="R207" s="16"/>
      <c r="S207" s="91"/>
    </row>
    <row r="208" spans="2:19" s="25" customFormat="1" x14ac:dyDescent="0.2">
      <c r="B208" s="93"/>
      <c r="C208" s="408" t="s">
        <v>152</v>
      </c>
      <c r="D208" s="401"/>
      <c r="E208" s="222">
        <v>0</v>
      </c>
      <c r="F208" s="216"/>
      <c r="G208" s="216"/>
      <c r="H208" s="216"/>
      <c r="I208" s="401" t="s">
        <v>153</v>
      </c>
      <c r="J208" s="401"/>
      <c r="K208" s="278">
        <f>GETPIVOTDATA("Net Dwellings",Pivot!$E$239,"Mixed_Use_Area","Y")</f>
        <v>13</v>
      </c>
      <c r="O208" s="16"/>
      <c r="P208" s="16"/>
      <c r="Q208" s="16"/>
      <c r="R208" s="16"/>
      <c r="S208" s="91"/>
    </row>
    <row r="209" spans="2:19" s="25" customFormat="1" x14ac:dyDescent="0.2">
      <c r="B209" s="93"/>
      <c r="C209" s="408" t="s">
        <v>154</v>
      </c>
      <c r="D209" s="401"/>
      <c r="E209" s="222">
        <f>GETPIVOTDATA("Net Dwellings",Pivot!$B$225,"Town_Centre",C209)</f>
        <v>13</v>
      </c>
      <c r="F209" s="216"/>
      <c r="G209" s="216"/>
      <c r="H209" s="216"/>
      <c r="I209" s="409" t="s">
        <v>155</v>
      </c>
      <c r="J209" s="408"/>
      <c r="K209" s="278">
        <v>0</v>
      </c>
      <c r="O209" s="16"/>
      <c r="P209" s="16"/>
      <c r="Q209" s="16"/>
      <c r="R209" s="16"/>
      <c r="S209" s="91"/>
    </row>
    <row r="210" spans="2:19" s="25" customFormat="1" x14ac:dyDescent="0.2">
      <c r="B210" s="93"/>
      <c r="C210" s="408" t="s">
        <v>156</v>
      </c>
      <c r="D210" s="401"/>
      <c r="E210" s="222">
        <f>GETPIVOTDATA("Net Dwellings",Pivot!$B$225,"Town_Centre",C210)</f>
        <v>2</v>
      </c>
      <c r="F210" s="216"/>
      <c r="G210" s="216"/>
      <c r="H210" s="216"/>
      <c r="I210" s="401" t="s">
        <v>157</v>
      </c>
      <c r="J210" s="401"/>
      <c r="K210" s="278">
        <f>GETPIVOTDATA("Net Dwellings",Pivot!$K$226,"Met_Open_Land","Barn Elms Pf")</f>
        <v>1</v>
      </c>
      <c r="O210" s="16"/>
      <c r="P210" s="16"/>
      <c r="Q210" s="16"/>
      <c r="R210" s="16"/>
      <c r="S210" s="91"/>
    </row>
    <row r="211" spans="2:19" s="25" customFormat="1" x14ac:dyDescent="0.2">
      <c r="B211" s="93"/>
      <c r="C211" s="399" t="s">
        <v>158</v>
      </c>
      <c r="D211" s="400"/>
      <c r="E211" s="223">
        <f>SUM(E206:E210)</f>
        <v>16</v>
      </c>
      <c r="F211" s="216"/>
      <c r="G211" s="216"/>
      <c r="H211" s="216"/>
      <c r="I211" s="401" t="s">
        <v>159</v>
      </c>
      <c r="J211" s="401"/>
      <c r="K211" s="278">
        <f>GETPIVOTDATA("Net Dwellings",Pivot!$H$239,"Garden Land","Y")</f>
        <v>11</v>
      </c>
      <c r="O211" s="16"/>
      <c r="P211" s="16"/>
      <c r="Q211" s="16"/>
      <c r="R211" s="16"/>
      <c r="S211" s="91"/>
    </row>
    <row r="212" spans="2:19" s="25" customFormat="1" x14ac:dyDescent="0.2">
      <c r="B212" s="90"/>
      <c r="C212" s="216"/>
      <c r="D212" s="216"/>
      <c r="E212" s="216"/>
      <c r="F212" s="216"/>
      <c r="G212" s="216"/>
      <c r="H212" s="216"/>
      <c r="I212" s="401" t="s">
        <v>160</v>
      </c>
      <c r="J212" s="401"/>
      <c r="K212" s="278">
        <f>GETPIVOTDATA("Net Dwellings",Pivot!$E$226,"Conservation_Area","Y")</f>
        <v>38</v>
      </c>
      <c r="O212" s="16"/>
      <c r="P212" s="16"/>
      <c r="S212" s="91"/>
    </row>
    <row r="213" spans="2:19" x14ac:dyDescent="0.2">
      <c r="B213" s="6"/>
      <c r="S213" s="53"/>
    </row>
    <row r="214" spans="2:19" ht="15" x14ac:dyDescent="0.25">
      <c r="B214" s="6"/>
      <c r="C214" s="92" t="s">
        <v>161</v>
      </c>
      <c r="D214" s="16"/>
      <c r="E214" s="70"/>
      <c r="F214" s="96"/>
      <c r="G214" s="96"/>
      <c r="H214" s="96"/>
      <c r="I214" s="97"/>
      <c r="J214" s="97"/>
      <c r="K214" s="97"/>
      <c r="L214" s="12"/>
      <c r="M214" s="12"/>
      <c r="N214" s="12"/>
      <c r="O214" s="12"/>
      <c r="P214" s="12"/>
      <c r="Q214" s="12"/>
      <c r="S214" s="53"/>
    </row>
    <row r="215" spans="2:19" x14ac:dyDescent="0.2">
      <c r="B215" s="6"/>
      <c r="C215" s="126" t="s">
        <v>182</v>
      </c>
      <c r="D215" s="20" t="s">
        <v>163</v>
      </c>
      <c r="E215" s="70"/>
      <c r="F215" s="96"/>
      <c r="G215" s="96"/>
      <c r="H215" s="96"/>
      <c r="I215" s="97"/>
      <c r="J215" s="97"/>
      <c r="K215" s="97"/>
      <c r="L215" s="12"/>
      <c r="M215" s="12"/>
      <c r="N215" s="12"/>
      <c r="O215" s="12"/>
      <c r="P215" s="12"/>
      <c r="Q215" s="12"/>
      <c r="S215" s="53"/>
    </row>
    <row r="216" spans="2:19" ht="33.75" x14ac:dyDescent="0.2">
      <c r="B216" s="41"/>
      <c r="C216" s="402" t="s">
        <v>164</v>
      </c>
      <c r="D216" s="403"/>
      <c r="E216" s="404"/>
      <c r="F216" s="298" t="s">
        <v>165</v>
      </c>
      <c r="G216" s="98" t="s">
        <v>166</v>
      </c>
      <c r="H216" s="98" t="s">
        <v>81</v>
      </c>
      <c r="I216" s="97"/>
      <c r="J216" s="97"/>
      <c r="K216" s="97"/>
      <c r="L216" s="97"/>
      <c r="M216" s="12"/>
      <c r="N216" s="12"/>
      <c r="O216" s="12"/>
      <c r="P216" s="12"/>
      <c r="Q216" s="12"/>
      <c r="R216" s="12"/>
      <c r="S216" s="53"/>
    </row>
    <row r="217" spans="2:19" x14ac:dyDescent="0.2">
      <c r="B217" s="41"/>
      <c r="C217" s="405" t="s">
        <v>167</v>
      </c>
      <c r="D217" s="406"/>
      <c r="E217" s="407"/>
      <c r="F217" s="219">
        <f>GETPIVOTDATA("Net Dwellings",Pivot!$B$251,"Ward_Name",C217)</f>
        <v>2</v>
      </c>
      <c r="G217" s="220">
        <f>GETPIVOTDATA("Net Dwellings",Pivot!$E$251,"Ward_Name",C217)</f>
        <v>6</v>
      </c>
      <c r="H217" s="219">
        <f>GETPIVOTDATA("Net Dwellings",Pivot!$H$251,"Ward_Name",C217)</f>
        <v>-1</v>
      </c>
      <c r="I217" s="97"/>
      <c r="J217" s="97"/>
      <c r="K217" s="97"/>
      <c r="L217" s="97"/>
      <c r="M217" s="12"/>
      <c r="N217" s="12"/>
      <c r="O217" s="12"/>
      <c r="P217" s="12"/>
      <c r="Q217" s="12"/>
      <c r="R217" s="12"/>
      <c r="S217" s="53"/>
    </row>
    <row r="218" spans="2:19" x14ac:dyDescent="0.2">
      <c r="B218" s="41"/>
      <c r="C218" s="398" t="s">
        <v>149</v>
      </c>
      <c r="D218" s="397"/>
      <c r="E218" s="395"/>
      <c r="F218" s="219">
        <f>GETPIVOTDATA("Net Dwellings",Pivot!$B$251,"Ward_Name",C218)</f>
        <v>40</v>
      </c>
      <c r="G218" s="220">
        <f>GETPIVOTDATA("Net Dwellings",Pivot!$E$251,"Ward_Name",C218)</f>
        <v>6</v>
      </c>
      <c r="H218" s="219">
        <f>GETPIVOTDATA("Net Dwellings",Pivot!$H$251,"Ward_Name",C218)</f>
        <v>1</v>
      </c>
      <c r="I218" s="97"/>
      <c r="J218" s="97"/>
      <c r="K218" s="97"/>
      <c r="L218" s="97"/>
      <c r="M218" s="12"/>
      <c r="N218" s="12"/>
      <c r="O218" s="12"/>
      <c r="P218" s="12"/>
      <c r="Q218" s="12"/>
      <c r="R218" s="12"/>
      <c r="S218" s="53"/>
    </row>
    <row r="219" spans="2:19" x14ac:dyDescent="0.2">
      <c r="B219" s="41"/>
      <c r="C219" s="398" t="s">
        <v>168</v>
      </c>
      <c r="D219" s="397"/>
      <c r="E219" s="395"/>
      <c r="F219" s="219">
        <f>GETPIVOTDATA("Net Dwellings",Pivot!$B$251,"Ward_Name",C219)</f>
        <v>25</v>
      </c>
      <c r="G219" s="220">
        <f>GETPIVOTDATA("Net Dwellings",Pivot!$E$251,"Ward_Name",C219)</f>
        <v>63</v>
      </c>
      <c r="H219" s="219">
        <f>GETPIVOTDATA("Net Dwellings",Pivot!$H$251,"Ward_Name",C219)</f>
        <v>7</v>
      </c>
      <c r="I219" s="97"/>
      <c r="J219" s="97"/>
      <c r="K219" s="97"/>
      <c r="L219" s="97"/>
      <c r="M219" s="12"/>
      <c r="N219" s="12"/>
      <c r="O219" s="12"/>
      <c r="P219" s="12"/>
      <c r="Q219" s="12"/>
      <c r="R219" s="12"/>
      <c r="S219" s="53"/>
    </row>
    <row r="220" spans="2:19" x14ac:dyDescent="0.2">
      <c r="B220" s="41"/>
      <c r="C220" s="398" t="s">
        <v>169</v>
      </c>
      <c r="D220" s="397"/>
      <c r="E220" s="395"/>
      <c r="F220" s="219">
        <f>GETPIVOTDATA("Net Dwellings",Pivot!$B$251,"Ward_Name",C220)</f>
        <v>2</v>
      </c>
      <c r="G220" s="220">
        <f>GETPIVOTDATA("Net Dwellings",Pivot!$E$251,"Ward_Name",C220)</f>
        <v>264</v>
      </c>
      <c r="H220" s="219">
        <f>GETPIVOTDATA("Net Dwellings",Pivot!$H$251,"Ward_Name",C220)</f>
        <v>-1</v>
      </c>
      <c r="I220" s="97"/>
      <c r="J220" s="97"/>
      <c r="K220" s="97"/>
      <c r="L220" s="97"/>
      <c r="M220" s="12"/>
      <c r="N220" s="12"/>
      <c r="O220" s="12"/>
      <c r="P220" s="12"/>
      <c r="Q220" s="12"/>
      <c r="R220" s="12"/>
      <c r="S220" s="53"/>
    </row>
    <row r="221" spans="2:19" x14ac:dyDescent="0.2">
      <c r="B221" s="41"/>
      <c r="C221" s="398" t="s">
        <v>170</v>
      </c>
      <c r="D221" s="397"/>
      <c r="E221" s="395"/>
      <c r="F221" s="219">
        <f>GETPIVOTDATA("Net Dwellings",Pivot!$B$251,"Ward_Name",C221)</f>
        <v>7</v>
      </c>
      <c r="G221" s="220">
        <f>GETPIVOTDATA("Net Dwellings",Pivot!$E$251,"Ward_Name",C221)</f>
        <v>10</v>
      </c>
      <c r="H221" s="219">
        <f>GETPIVOTDATA("Net Dwellings",Pivot!$H$251,"Ward_Name",C221)</f>
        <v>3</v>
      </c>
      <c r="I221" s="97"/>
      <c r="J221" s="97"/>
      <c r="K221" s="97"/>
      <c r="L221" s="97"/>
      <c r="M221" s="12"/>
      <c r="N221" s="12"/>
      <c r="O221" s="12"/>
      <c r="P221" s="12"/>
      <c r="Q221" s="12"/>
      <c r="R221" s="12"/>
      <c r="S221" s="53"/>
    </row>
    <row r="222" spans="2:19" x14ac:dyDescent="0.2">
      <c r="B222" s="41"/>
      <c r="C222" s="398" t="s">
        <v>171</v>
      </c>
      <c r="D222" s="397"/>
      <c r="E222" s="395"/>
      <c r="F222" s="219">
        <f>GETPIVOTDATA("Net Dwellings",Pivot!$B$251,"Ward_Name",C222)</f>
        <v>2</v>
      </c>
      <c r="G222" s="220">
        <f>GETPIVOTDATA("Net Dwellings",Pivot!$E$251,"Ward_Name",C222)</f>
        <v>1</v>
      </c>
      <c r="H222" s="219">
        <f>GETPIVOTDATA("Net Dwellings",Pivot!$H$251,"Ward_Name",C222)</f>
        <v>4</v>
      </c>
      <c r="I222" s="97"/>
      <c r="J222" s="97"/>
      <c r="K222" s="97"/>
      <c r="L222" s="97"/>
      <c r="M222" s="12"/>
      <c r="N222" s="12"/>
      <c r="O222" s="12"/>
      <c r="P222" s="12"/>
      <c r="Q222" s="12"/>
      <c r="R222" s="12"/>
      <c r="S222" s="53"/>
    </row>
    <row r="223" spans="2:19" x14ac:dyDescent="0.2">
      <c r="B223" s="41"/>
      <c r="C223" s="398" t="s">
        <v>172</v>
      </c>
      <c r="D223" s="397"/>
      <c r="E223" s="395"/>
      <c r="F223" s="219">
        <f>GETPIVOTDATA("Net Dwellings",Pivot!$B$251,"Ward_Name",C223)</f>
        <v>93</v>
      </c>
      <c r="G223" s="220">
        <f>GETPIVOTDATA("Net Dwellings",Pivot!$E$251,"Ward_Name",C223)</f>
        <v>36</v>
      </c>
      <c r="H223" s="219">
        <f>GETPIVOTDATA("Net Dwellings",Pivot!$H$251,"Ward_Name",C223)</f>
        <v>5</v>
      </c>
      <c r="I223" s="97"/>
      <c r="J223" s="97"/>
      <c r="K223" s="97"/>
      <c r="L223" s="97"/>
      <c r="M223" s="12"/>
      <c r="N223" s="12"/>
      <c r="O223" s="12"/>
      <c r="P223" s="12"/>
      <c r="Q223" s="12"/>
      <c r="R223" s="12"/>
      <c r="S223" s="53"/>
    </row>
    <row r="224" spans="2:19" x14ac:dyDescent="0.2">
      <c r="B224" s="41"/>
      <c r="C224" s="398" t="s">
        <v>173</v>
      </c>
      <c r="D224" s="397"/>
      <c r="E224" s="395"/>
      <c r="F224" s="219">
        <f>GETPIVOTDATA("Net Dwellings",Pivot!$B$251,"Ward_Name",C224)</f>
        <v>5</v>
      </c>
      <c r="G224" s="220">
        <f>GETPIVOTDATA("Net Dwellings",Pivot!$E$251,"Ward_Name",C224)</f>
        <v>7</v>
      </c>
      <c r="H224" s="219">
        <f>GETPIVOTDATA("Net Dwellings",Pivot!$H$251,"Ward_Name",C224)</f>
        <v>1</v>
      </c>
      <c r="I224" s="97"/>
      <c r="J224" s="97"/>
      <c r="K224" s="97"/>
      <c r="L224" s="97"/>
      <c r="M224" s="12"/>
      <c r="N224" s="12"/>
      <c r="O224" s="12"/>
      <c r="P224" s="12"/>
      <c r="Q224" s="12"/>
      <c r="R224" s="12"/>
      <c r="S224" s="53"/>
    </row>
    <row r="225" spans="2:19" x14ac:dyDescent="0.2">
      <c r="B225" s="41"/>
      <c r="C225" s="398" t="s">
        <v>174</v>
      </c>
      <c r="D225" s="397"/>
      <c r="E225" s="395"/>
      <c r="F225" s="219">
        <f>GETPIVOTDATA("Net Dwellings",Pivot!$B$251,"Ward_Name",C225)</f>
        <v>3</v>
      </c>
      <c r="G225" s="220">
        <f>GETPIVOTDATA("Net Dwellings",Pivot!$E$251,"Ward_Name",C225)</f>
        <v>90</v>
      </c>
      <c r="H225" s="219">
        <f>GETPIVOTDATA("Net Dwellings",Pivot!$H$251,"Ward_Name",C225)</f>
        <v>0</v>
      </c>
      <c r="I225" s="97"/>
      <c r="J225" s="97"/>
      <c r="K225" s="97"/>
      <c r="L225" s="97"/>
      <c r="M225" s="12"/>
      <c r="N225" s="12"/>
      <c r="O225" s="12"/>
      <c r="P225" s="12"/>
      <c r="Q225" s="12"/>
      <c r="R225" s="12"/>
      <c r="S225" s="53"/>
    </row>
    <row r="226" spans="2:19" x14ac:dyDescent="0.2">
      <c r="B226" s="41"/>
      <c r="C226" s="398" t="s">
        <v>175</v>
      </c>
      <c r="D226" s="397"/>
      <c r="E226" s="395"/>
      <c r="F226" s="219">
        <f>GETPIVOTDATA("Net Dwellings",Pivot!$B$251,"Ward_Name",C226)</f>
        <v>4</v>
      </c>
      <c r="G226" s="220">
        <f>GETPIVOTDATA("Net Dwellings",Pivot!$E$251,"Ward_Name",C226)</f>
        <v>16</v>
      </c>
      <c r="H226" s="219">
        <f>GETPIVOTDATA("Net Dwellings",Pivot!$H$251,"Ward_Name",C226)</f>
        <v>3</v>
      </c>
      <c r="I226" s="97"/>
      <c r="J226" s="97"/>
      <c r="K226" s="97"/>
      <c r="L226" s="97"/>
      <c r="M226" s="12"/>
      <c r="N226" s="12"/>
      <c r="O226" s="12"/>
      <c r="P226" s="12"/>
      <c r="Q226" s="12"/>
      <c r="R226" s="12"/>
      <c r="S226" s="53"/>
    </row>
    <row r="227" spans="2:19" x14ac:dyDescent="0.2">
      <c r="B227" s="41"/>
      <c r="C227" s="398" t="s">
        <v>176</v>
      </c>
      <c r="D227" s="397"/>
      <c r="E227" s="395"/>
      <c r="F227" s="219">
        <f>GETPIVOTDATA("Net Dwellings",Pivot!$B$251,"Ward_Name",C227)</f>
        <v>467</v>
      </c>
      <c r="G227" s="220">
        <f>GETPIVOTDATA("Net Dwellings",Pivot!$E$251,"Ward_Name",C227)</f>
        <v>96</v>
      </c>
      <c r="H227" s="219">
        <f>GETPIVOTDATA("Net Dwellings",Pivot!$H$251,"Ward_Name",C227)</f>
        <v>10</v>
      </c>
      <c r="I227" s="97"/>
      <c r="J227" s="97"/>
      <c r="K227" s="97"/>
      <c r="L227" s="97"/>
      <c r="M227" s="12"/>
      <c r="N227" s="12"/>
      <c r="O227" s="12"/>
      <c r="P227" s="12"/>
      <c r="Q227" s="12"/>
      <c r="R227" s="12"/>
      <c r="S227" s="53"/>
    </row>
    <row r="228" spans="2:19" x14ac:dyDescent="0.2">
      <c r="B228" s="41"/>
      <c r="C228" s="398" t="s">
        <v>177</v>
      </c>
      <c r="D228" s="397"/>
      <c r="E228" s="395"/>
      <c r="F228" s="219">
        <f>GETPIVOTDATA("Net Dwellings",Pivot!$B$251,"Ward_Name",C228)</f>
        <v>35</v>
      </c>
      <c r="G228" s="220">
        <f>GETPIVOTDATA("Net Dwellings",Pivot!$E$251,"Ward_Name",C228)</f>
        <v>28</v>
      </c>
      <c r="H228" s="219">
        <f>GETPIVOTDATA("Net Dwellings",Pivot!$H$251,"Ward_Name",C228)</f>
        <v>9</v>
      </c>
      <c r="I228" s="97"/>
      <c r="J228" s="97"/>
      <c r="K228" s="97"/>
      <c r="L228" s="97"/>
      <c r="M228" s="12"/>
      <c r="N228" s="12"/>
      <c r="O228" s="12"/>
      <c r="P228" s="12"/>
      <c r="Q228" s="12"/>
      <c r="R228" s="12"/>
      <c r="S228" s="53"/>
    </row>
    <row r="229" spans="2:19" x14ac:dyDescent="0.2">
      <c r="B229" s="41"/>
      <c r="C229" s="398" t="s">
        <v>178</v>
      </c>
      <c r="D229" s="397"/>
      <c r="E229" s="395"/>
      <c r="F229" s="219">
        <f>GETPIVOTDATA("Net Dwellings",Pivot!$B$251,"Ward_Name",C229)</f>
        <v>17</v>
      </c>
      <c r="G229" s="220">
        <f>GETPIVOTDATA("Net Dwellings",Pivot!$E$251,"Ward_Name",C229)</f>
        <v>136</v>
      </c>
      <c r="H229" s="219">
        <f>GETPIVOTDATA("Net Dwellings",Pivot!$H$251,"Ward_Name",C229)</f>
        <v>6</v>
      </c>
      <c r="I229" s="97"/>
      <c r="J229" s="97"/>
      <c r="K229" s="97"/>
      <c r="L229" s="97"/>
      <c r="M229" s="12"/>
      <c r="N229" s="12"/>
      <c r="O229" s="12"/>
      <c r="P229" s="12"/>
      <c r="Q229" s="12"/>
      <c r="R229" s="12"/>
      <c r="S229" s="53"/>
    </row>
    <row r="230" spans="2:19" x14ac:dyDescent="0.2">
      <c r="B230" s="41"/>
      <c r="C230" s="398" t="s">
        <v>179</v>
      </c>
      <c r="D230" s="397"/>
      <c r="E230" s="395"/>
      <c r="F230" s="219">
        <f>GETPIVOTDATA("Net Dwellings",Pivot!$B$251,"Ward_Name",C230)</f>
        <v>9</v>
      </c>
      <c r="G230" s="220">
        <f>GETPIVOTDATA("Net Dwellings",Pivot!$E$251,"Ward_Name",C230)</f>
        <v>215</v>
      </c>
      <c r="H230" s="219">
        <f>GETPIVOTDATA("Net Dwellings",Pivot!$H$251,"Ward_Name",C230)</f>
        <v>5</v>
      </c>
      <c r="I230" s="97"/>
      <c r="J230" s="97"/>
      <c r="K230" s="97"/>
      <c r="L230" s="97"/>
      <c r="M230" s="12"/>
      <c r="N230" s="12"/>
      <c r="O230" s="12"/>
      <c r="P230" s="12"/>
      <c r="Q230" s="12"/>
      <c r="R230" s="12"/>
      <c r="S230" s="53"/>
    </row>
    <row r="231" spans="2:19" x14ac:dyDescent="0.2">
      <c r="B231" s="41"/>
      <c r="C231" s="398" t="s">
        <v>152</v>
      </c>
      <c r="D231" s="397"/>
      <c r="E231" s="395"/>
      <c r="F231" s="219">
        <f>GETPIVOTDATA("Net Dwellings",Pivot!$B$251,"Ward_Name",C231)</f>
        <v>17</v>
      </c>
      <c r="G231" s="220">
        <f>GETPIVOTDATA("Net Dwellings",Pivot!$E$251,"Ward_Name",C231)</f>
        <v>23</v>
      </c>
      <c r="H231" s="219">
        <f>GETPIVOTDATA("Net Dwellings",Pivot!$H$251,"Ward_Name",C231)</f>
        <v>11</v>
      </c>
      <c r="I231" s="97"/>
      <c r="J231" s="97"/>
      <c r="K231" s="97"/>
      <c r="L231" s="97"/>
      <c r="M231" s="12"/>
      <c r="N231" s="12"/>
      <c r="O231" s="12"/>
      <c r="P231" s="12"/>
      <c r="Q231" s="12"/>
      <c r="R231" s="12"/>
      <c r="S231" s="53"/>
    </row>
    <row r="232" spans="2:19" x14ac:dyDescent="0.2">
      <c r="B232" s="41"/>
      <c r="C232" s="398" t="s">
        <v>180</v>
      </c>
      <c r="D232" s="397"/>
      <c r="E232" s="395"/>
      <c r="F232" s="219">
        <f>GETPIVOTDATA("Net Dwellings",Pivot!$B$251,"Ward_Name",C232)</f>
        <v>76</v>
      </c>
      <c r="G232" s="220">
        <f>GETPIVOTDATA("Net Dwellings",Pivot!$E$251,"Ward_Name",C232)</f>
        <v>52</v>
      </c>
      <c r="H232" s="219">
        <f>GETPIVOTDATA("Net Dwellings",Pivot!$H$251,"Ward_Name",C232)</f>
        <v>6</v>
      </c>
      <c r="I232" s="97"/>
      <c r="J232" s="97"/>
      <c r="K232" s="97"/>
      <c r="L232" s="97"/>
      <c r="M232" s="12"/>
      <c r="N232" s="12"/>
      <c r="O232" s="12"/>
      <c r="P232" s="12"/>
      <c r="Q232" s="12"/>
      <c r="R232" s="12"/>
      <c r="S232" s="53"/>
    </row>
    <row r="233" spans="2:19" x14ac:dyDescent="0.2">
      <c r="B233" s="41"/>
      <c r="C233" s="398" t="s">
        <v>181</v>
      </c>
      <c r="D233" s="397"/>
      <c r="E233" s="395"/>
      <c r="F233" s="219">
        <f>GETPIVOTDATA("Net Dwellings",Pivot!$B$251,"Ward_Name",C233)</f>
        <v>1</v>
      </c>
      <c r="G233" s="220">
        <f>GETPIVOTDATA("Net Dwellings",Pivot!$E$251,"Ward_Name",C233)</f>
        <v>4</v>
      </c>
      <c r="H233" s="219">
        <f>GETPIVOTDATA("Net Dwellings",Pivot!$H$251,"Ward_Name",C233)</f>
        <v>2</v>
      </c>
      <c r="I233" s="97"/>
      <c r="J233" s="97"/>
      <c r="K233" s="97"/>
      <c r="L233" s="97"/>
      <c r="M233" s="12"/>
      <c r="N233" s="12"/>
      <c r="O233" s="12"/>
      <c r="P233" s="12"/>
      <c r="Q233" s="12"/>
      <c r="R233" s="12"/>
      <c r="S233" s="53"/>
    </row>
    <row r="234" spans="2:19" x14ac:dyDescent="0.2">
      <c r="B234" s="41"/>
      <c r="C234" s="398" t="s">
        <v>156</v>
      </c>
      <c r="D234" s="397"/>
      <c r="E234" s="395"/>
      <c r="F234" s="221">
        <f>GETPIVOTDATA("Net Dwellings",Pivot!$B$251,"Ward_Name",C234)</f>
        <v>22</v>
      </c>
      <c r="G234" s="222">
        <f>GETPIVOTDATA("Net Dwellings",Pivot!$E$251,"Ward_Name",C234)</f>
        <v>7</v>
      </c>
      <c r="H234" s="219">
        <f>GETPIVOTDATA("Net Dwellings",Pivot!$H$251,"Ward_Name",C234)</f>
        <v>9</v>
      </c>
      <c r="I234" s="97"/>
      <c r="J234" s="97"/>
      <c r="K234" s="97"/>
      <c r="L234" s="97"/>
      <c r="M234" s="12"/>
      <c r="N234" s="12"/>
      <c r="O234" s="12"/>
      <c r="P234" s="12"/>
      <c r="Q234" s="12"/>
      <c r="R234" s="12"/>
      <c r="S234" s="53"/>
    </row>
    <row r="235" spans="2:19" x14ac:dyDescent="0.2">
      <c r="B235" s="41"/>
      <c r="C235" s="393" t="s">
        <v>6</v>
      </c>
      <c r="D235" s="394"/>
      <c r="E235" s="394"/>
      <c r="F235" s="223">
        <f>SUM(F217:F234)</f>
        <v>827</v>
      </c>
      <c r="G235" s="223">
        <f>SUM(G217:G234)</f>
        <v>1060</v>
      </c>
      <c r="H235" s="224">
        <f>SUM(H217:H234)</f>
        <v>80</v>
      </c>
      <c r="I235" s="97"/>
      <c r="J235" s="97"/>
      <c r="K235" s="97"/>
      <c r="L235" s="97"/>
      <c r="M235" s="12"/>
      <c r="N235" s="12"/>
      <c r="O235" s="12"/>
      <c r="P235" s="12"/>
      <c r="Q235" s="12"/>
      <c r="R235" s="12"/>
      <c r="S235" s="53"/>
    </row>
    <row r="236" spans="2:19" x14ac:dyDescent="0.2">
      <c r="B236" s="6"/>
      <c r="C236" s="99"/>
      <c r="D236" s="99"/>
      <c r="E236" s="99"/>
      <c r="F236" s="62"/>
      <c r="G236" s="62"/>
      <c r="H236" s="100"/>
      <c r="I236" s="97"/>
      <c r="J236" s="97"/>
      <c r="K236" s="97"/>
      <c r="L236" s="97"/>
      <c r="M236" s="12"/>
      <c r="N236" s="12"/>
      <c r="O236" s="12"/>
      <c r="P236" s="12"/>
      <c r="Q236" s="12"/>
      <c r="R236" s="12"/>
      <c r="S236" s="53"/>
    </row>
    <row r="237" spans="2:19" x14ac:dyDescent="0.2">
      <c r="B237" s="6"/>
      <c r="C237" s="99"/>
      <c r="D237" s="99"/>
      <c r="E237" s="99"/>
      <c r="F237" s="62"/>
      <c r="G237" s="62"/>
      <c r="H237" s="100"/>
      <c r="I237" s="97"/>
      <c r="J237" s="97"/>
      <c r="K237" s="97"/>
      <c r="L237" s="97"/>
      <c r="M237" s="12"/>
      <c r="N237" s="12"/>
      <c r="O237" s="12"/>
      <c r="P237" s="12"/>
      <c r="Q237" s="12"/>
      <c r="R237" s="12"/>
      <c r="S237" s="53"/>
    </row>
    <row r="238" spans="2:19" x14ac:dyDescent="0.2">
      <c r="B238" s="47"/>
      <c r="C238" s="101"/>
      <c r="D238" s="101"/>
      <c r="E238" s="101"/>
      <c r="F238" s="102"/>
      <c r="G238" s="102"/>
      <c r="H238" s="103"/>
      <c r="I238" s="104"/>
      <c r="J238" s="104"/>
      <c r="K238" s="104"/>
      <c r="L238" s="104"/>
      <c r="M238" s="65"/>
      <c r="N238" s="65"/>
      <c r="O238" s="65"/>
      <c r="P238" s="65"/>
      <c r="Q238" s="65"/>
      <c r="R238" s="65"/>
      <c r="S238" s="67"/>
    </row>
    <row r="239" spans="2:19" x14ac:dyDescent="0.2">
      <c r="B239" s="51"/>
      <c r="C239" s="105"/>
      <c r="D239" s="106"/>
      <c r="E239" s="107"/>
      <c r="F239" s="107"/>
      <c r="G239" s="107"/>
      <c r="H239" s="107"/>
      <c r="I239" s="107"/>
      <c r="J239" s="107"/>
      <c r="K239" s="107"/>
      <c r="L239" s="107"/>
      <c r="M239" s="107"/>
      <c r="N239" s="5"/>
      <c r="O239" s="5"/>
      <c r="P239" s="5"/>
      <c r="Q239" s="5"/>
      <c r="R239" s="4"/>
      <c r="S239" s="68"/>
    </row>
    <row r="240" spans="2:19" x14ac:dyDescent="0.2">
      <c r="B240" s="6"/>
      <c r="C240" s="99"/>
      <c r="D240" s="12"/>
      <c r="E240" s="71"/>
      <c r="F240" s="97"/>
      <c r="G240" s="97"/>
      <c r="H240" s="97"/>
      <c r="I240" s="97"/>
      <c r="J240" s="97"/>
      <c r="K240" s="97"/>
      <c r="L240" s="12"/>
      <c r="M240" s="12"/>
      <c r="N240" s="12"/>
      <c r="O240" s="12"/>
      <c r="P240" s="12"/>
      <c r="Q240" s="12"/>
      <c r="S240" s="53"/>
    </row>
    <row r="241" spans="2:19" x14ac:dyDescent="0.2">
      <c r="B241" s="6"/>
      <c r="C241" s="126" t="s">
        <v>187</v>
      </c>
      <c r="D241" s="20" t="s">
        <v>183</v>
      </c>
      <c r="E241" s="70"/>
      <c r="F241" s="96"/>
      <c r="G241" s="96"/>
      <c r="H241" s="96"/>
      <c r="I241" s="97"/>
      <c r="J241" s="97"/>
      <c r="K241" s="97"/>
      <c r="L241" s="12"/>
      <c r="M241" s="12"/>
      <c r="N241" s="12"/>
      <c r="O241" s="12"/>
      <c r="P241" s="12"/>
      <c r="Q241" s="12"/>
      <c r="S241" s="53"/>
    </row>
    <row r="242" spans="2:19" x14ac:dyDescent="0.2">
      <c r="B242" s="41"/>
      <c r="C242" s="399" t="s">
        <v>164</v>
      </c>
      <c r="D242" s="400"/>
      <c r="E242" s="400"/>
      <c r="F242" s="108" t="s">
        <v>184</v>
      </c>
      <c r="G242" s="108" t="s">
        <v>185</v>
      </c>
      <c r="H242" s="108" t="s">
        <v>186</v>
      </c>
      <c r="I242" s="97"/>
      <c r="J242" s="97"/>
      <c r="K242" s="97"/>
      <c r="L242" s="12"/>
      <c r="M242" s="12"/>
      <c r="N242" s="12"/>
      <c r="O242" s="12"/>
      <c r="P242" s="12"/>
      <c r="Q242" s="12"/>
      <c r="S242" s="53"/>
    </row>
    <row r="243" spans="2:19" x14ac:dyDescent="0.2">
      <c r="B243" s="41"/>
      <c r="C243" s="395" t="s">
        <v>167</v>
      </c>
      <c r="D243" s="396"/>
      <c r="E243" s="396"/>
      <c r="F243" s="220">
        <f>GETPIVOTDATA("Sum of Units Proposed",Pivot!$B$279,"Ward_Name",C243)</f>
        <v>3</v>
      </c>
      <c r="G243" s="219">
        <f>GETPIVOTDATA("Sum of Units Existing",Pivot!$B$279,"Ward_Name",C243)</f>
        <v>4</v>
      </c>
      <c r="H243" s="219">
        <f>GETPIVOTDATA("Sum of Net Dwellings",Pivot!$B$279,"Ward_Name",C243)</f>
        <v>-1</v>
      </c>
      <c r="I243" s="97"/>
      <c r="J243" s="97"/>
      <c r="K243" s="97"/>
      <c r="L243" s="12"/>
      <c r="M243" s="12"/>
      <c r="N243" s="12"/>
      <c r="O243" s="12"/>
      <c r="P243" s="12"/>
      <c r="Q243" s="12"/>
      <c r="S243" s="53"/>
    </row>
    <row r="244" spans="2:19" x14ac:dyDescent="0.2">
      <c r="B244" s="41"/>
      <c r="C244" s="395" t="s">
        <v>149</v>
      </c>
      <c r="D244" s="396"/>
      <c r="E244" s="396"/>
      <c r="F244" s="220">
        <f>GETPIVOTDATA("Sum of Units Proposed",Pivot!$B$279,"Ward_Name",C244)</f>
        <v>4</v>
      </c>
      <c r="G244" s="219">
        <f>GETPIVOTDATA("Sum of Units Existing",Pivot!$B$279,"Ward_Name",C244)</f>
        <v>3</v>
      </c>
      <c r="H244" s="219">
        <f>GETPIVOTDATA("Sum of Net Dwellings",Pivot!$B$279,"Ward_Name",C244)</f>
        <v>1</v>
      </c>
      <c r="I244" s="97"/>
      <c r="J244" s="97"/>
      <c r="K244" s="97"/>
      <c r="L244" s="12"/>
      <c r="M244" s="12"/>
      <c r="N244" s="12"/>
      <c r="O244" s="12"/>
      <c r="P244" s="12"/>
      <c r="Q244" s="12"/>
      <c r="S244" s="53"/>
    </row>
    <row r="245" spans="2:19" x14ac:dyDescent="0.2">
      <c r="B245" s="41"/>
      <c r="C245" s="395" t="s">
        <v>168</v>
      </c>
      <c r="D245" s="396"/>
      <c r="E245" s="396"/>
      <c r="F245" s="220">
        <f>GETPIVOTDATA("Sum of Units Proposed",Pivot!$B$279,"Ward_Name",C245)</f>
        <v>7</v>
      </c>
      <c r="G245" s="219">
        <f>GETPIVOTDATA("Sum of Units Existing",Pivot!$B$279,"Ward_Name",C245)</f>
        <v>0</v>
      </c>
      <c r="H245" s="219">
        <f>GETPIVOTDATA("Sum of Net Dwellings",Pivot!$B$279,"Ward_Name",C245)</f>
        <v>7</v>
      </c>
      <c r="I245" s="97"/>
      <c r="J245" s="97"/>
      <c r="K245" s="97"/>
      <c r="L245" s="12"/>
      <c r="M245" s="12"/>
      <c r="N245" s="12"/>
      <c r="O245" s="12"/>
      <c r="P245" s="12"/>
      <c r="Q245" s="12"/>
      <c r="S245" s="53"/>
    </row>
    <row r="246" spans="2:19" x14ac:dyDescent="0.2">
      <c r="B246" s="41"/>
      <c r="C246" s="397" t="s">
        <v>169</v>
      </c>
      <c r="D246" s="397"/>
      <c r="E246" s="395"/>
      <c r="F246" s="220">
        <f>GETPIVOTDATA("Sum of Units Proposed",Pivot!$B$279,"Ward_Name",C246)</f>
        <v>3</v>
      </c>
      <c r="G246" s="219">
        <f>GETPIVOTDATA("Sum of Units Existing",Pivot!$B$279,"Ward_Name",C246)</f>
        <v>4</v>
      </c>
      <c r="H246" s="219">
        <f>GETPIVOTDATA("Sum of Net Dwellings",Pivot!$B$279,"Ward_Name",C246)</f>
        <v>-1</v>
      </c>
      <c r="I246" s="97"/>
      <c r="J246" s="97"/>
      <c r="K246" s="97"/>
      <c r="L246" s="12"/>
      <c r="M246" s="12"/>
      <c r="N246" s="12"/>
      <c r="O246" s="12"/>
      <c r="P246" s="12"/>
      <c r="Q246" s="12"/>
      <c r="S246" s="53"/>
    </row>
    <row r="247" spans="2:19" x14ac:dyDescent="0.2">
      <c r="B247" s="41"/>
      <c r="C247" s="395" t="s">
        <v>170</v>
      </c>
      <c r="D247" s="396"/>
      <c r="E247" s="396"/>
      <c r="F247" s="220">
        <f>GETPIVOTDATA("Sum of Units Proposed",Pivot!$B$279,"Ward_Name",C247)</f>
        <v>5</v>
      </c>
      <c r="G247" s="219">
        <f>GETPIVOTDATA("Sum of Units Existing",Pivot!$B$279,"Ward_Name",C247)</f>
        <v>2</v>
      </c>
      <c r="H247" s="219">
        <f>GETPIVOTDATA("Sum of Net Dwellings",Pivot!$B$279,"Ward_Name",C247)</f>
        <v>3</v>
      </c>
      <c r="I247" s="97"/>
      <c r="J247" s="97"/>
      <c r="K247" s="97"/>
      <c r="L247" s="12"/>
      <c r="M247" s="12"/>
      <c r="N247" s="12"/>
      <c r="O247" s="12"/>
      <c r="P247" s="12"/>
      <c r="Q247" s="12"/>
      <c r="S247" s="53"/>
    </row>
    <row r="248" spans="2:19" x14ac:dyDescent="0.2">
      <c r="B248" s="41"/>
      <c r="C248" s="395" t="s">
        <v>171</v>
      </c>
      <c r="D248" s="396"/>
      <c r="E248" s="396"/>
      <c r="F248" s="220">
        <f>GETPIVOTDATA("Sum of Units Proposed",Pivot!$B$279,"Ward_Name",C248)</f>
        <v>4</v>
      </c>
      <c r="G248" s="219">
        <f>GETPIVOTDATA("Sum of Units Existing",Pivot!$B$279,"Ward_Name",C248)</f>
        <v>0</v>
      </c>
      <c r="H248" s="219">
        <f>GETPIVOTDATA("Sum of Net Dwellings",Pivot!$B$279,"Ward_Name",C248)</f>
        <v>4</v>
      </c>
      <c r="I248" s="97"/>
      <c r="J248" s="97"/>
      <c r="K248" s="97"/>
      <c r="L248" s="12"/>
      <c r="M248" s="12"/>
      <c r="N248" s="12"/>
      <c r="O248" s="12"/>
      <c r="P248" s="12"/>
      <c r="Q248" s="12"/>
      <c r="S248" s="53"/>
    </row>
    <row r="249" spans="2:19" x14ac:dyDescent="0.2">
      <c r="B249" s="41"/>
      <c r="C249" s="395" t="s">
        <v>172</v>
      </c>
      <c r="D249" s="396"/>
      <c r="E249" s="396"/>
      <c r="F249" s="220">
        <f>GETPIVOTDATA("Sum of Units Proposed",Pivot!$B$279,"Ward_Name",C249)</f>
        <v>5</v>
      </c>
      <c r="G249" s="219">
        <f>GETPIVOTDATA("Sum of Units Existing",Pivot!$B$279,"Ward_Name",C249)</f>
        <v>0</v>
      </c>
      <c r="H249" s="219">
        <f>GETPIVOTDATA("Sum of Net Dwellings",Pivot!$B$279,"Ward_Name",C249)</f>
        <v>5</v>
      </c>
      <c r="I249" s="97"/>
      <c r="J249" s="97"/>
      <c r="K249" s="97"/>
      <c r="L249" s="12"/>
      <c r="M249" s="12"/>
      <c r="N249" s="12"/>
      <c r="O249" s="12"/>
      <c r="P249" s="12"/>
      <c r="Q249" s="12"/>
      <c r="S249" s="53"/>
    </row>
    <row r="250" spans="2:19" x14ac:dyDescent="0.2">
      <c r="B250" s="41"/>
      <c r="C250" s="395" t="s">
        <v>173</v>
      </c>
      <c r="D250" s="396"/>
      <c r="E250" s="396"/>
      <c r="F250" s="220">
        <f>GETPIVOTDATA("Sum of Units Proposed",Pivot!$B$279,"Ward_Name",C250)</f>
        <v>4</v>
      </c>
      <c r="G250" s="219">
        <f>GETPIVOTDATA("Sum of Units Existing",Pivot!$B$279,"Ward_Name",C250)</f>
        <v>3</v>
      </c>
      <c r="H250" s="219">
        <f>GETPIVOTDATA("Sum of Net Dwellings",Pivot!$B$279,"Ward_Name",C250)</f>
        <v>1</v>
      </c>
      <c r="I250" s="97"/>
      <c r="J250" s="97"/>
      <c r="K250" s="97"/>
      <c r="L250" s="12"/>
      <c r="M250" s="12"/>
      <c r="N250" s="12"/>
      <c r="O250" s="12"/>
      <c r="P250" s="12"/>
      <c r="Q250" s="12"/>
      <c r="S250" s="53"/>
    </row>
    <row r="251" spans="2:19" x14ac:dyDescent="0.2">
      <c r="B251" s="41"/>
      <c r="C251" s="395" t="s">
        <v>174</v>
      </c>
      <c r="D251" s="396"/>
      <c r="E251" s="396"/>
      <c r="F251" s="220">
        <f>GETPIVOTDATA("Sum of Units Proposed",Pivot!$B$279,"Ward_Name",C251)</f>
        <v>1</v>
      </c>
      <c r="G251" s="219">
        <f>GETPIVOTDATA("Sum of Units Existing",Pivot!$B$279,"Ward_Name",C251)</f>
        <v>1</v>
      </c>
      <c r="H251" s="219">
        <f>GETPIVOTDATA("Sum of Net Dwellings",Pivot!$B$279,"Ward_Name",C251)</f>
        <v>0</v>
      </c>
      <c r="I251" s="97"/>
      <c r="J251" s="97"/>
      <c r="K251" s="97"/>
      <c r="L251" s="12"/>
      <c r="M251" s="12"/>
      <c r="N251" s="12"/>
      <c r="O251" s="12"/>
      <c r="P251" s="12"/>
      <c r="Q251" s="12"/>
      <c r="S251" s="53"/>
    </row>
    <row r="252" spans="2:19" x14ac:dyDescent="0.2">
      <c r="B252" s="41"/>
      <c r="C252" s="395" t="s">
        <v>175</v>
      </c>
      <c r="D252" s="396"/>
      <c r="E252" s="396"/>
      <c r="F252" s="220">
        <f>GETPIVOTDATA("Sum of Units Proposed",Pivot!$B$279,"Ward_Name",C252)</f>
        <v>3</v>
      </c>
      <c r="G252" s="219">
        <f>GETPIVOTDATA("Sum of Units Existing",Pivot!$B$279,"Ward_Name",C252)</f>
        <v>0</v>
      </c>
      <c r="H252" s="219">
        <f>GETPIVOTDATA("Sum of Net Dwellings",Pivot!$B$279,"Ward_Name",C252)</f>
        <v>3</v>
      </c>
      <c r="I252" s="97"/>
      <c r="J252" s="97"/>
      <c r="K252" s="97"/>
      <c r="L252" s="12"/>
      <c r="M252" s="12"/>
      <c r="N252" s="12"/>
      <c r="O252" s="12"/>
      <c r="P252" s="12"/>
      <c r="Q252" s="12"/>
      <c r="S252" s="53"/>
    </row>
    <row r="253" spans="2:19" x14ac:dyDescent="0.2">
      <c r="B253" s="41"/>
      <c r="C253" s="395" t="s">
        <v>176</v>
      </c>
      <c r="D253" s="396"/>
      <c r="E253" s="396"/>
      <c r="F253" s="220">
        <f>GETPIVOTDATA("Sum of Units Proposed",Pivot!$B$279,"Ward_Name",C253)</f>
        <v>12</v>
      </c>
      <c r="G253" s="219">
        <f>GETPIVOTDATA("Sum of Units Existing",Pivot!$B$279,"Ward_Name",C253)</f>
        <v>2</v>
      </c>
      <c r="H253" s="219">
        <f>GETPIVOTDATA("Sum of Net Dwellings",Pivot!$B$279,"Ward_Name",C253)</f>
        <v>10</v>
      </c>
      <c r="I253" s="97"/>
      <c r="J253" s="97"/>
      <c r="K253" s="97"/>
      <c r="L253" s="12"/>
      <c r="M253" s="12"/>
      <c r="N253" s="12"/>
      <c r="O253" s="12"/>
      <c r="P253" s="12"/>
      <c r="Q253" s="12"/>
      <c r="S253" s="53"/>
    </row>
    <row r="254" spans="2:19" x14ac:dyDescent="0.2">
      <c r="B254" s="41"/>
      <c r="C254" s="395" t="s">
        <v>177</v>
      </c>
      <c r="D254" s="396"/>
      <c r="E254" s="396"/>
      <c r="F254" s="220">
        <f>GETPIVOTDATA("Sum of Units Proposed",Pivot!$B$279,"Ward_Name",C254)</f>
        <v>9</v>
      </c>
      <c r="G254" s="219">
        <f>GETPIVOTDATA("Sum of Units Existing",Pivot!$B$279,"Ward_Name",C254)</f>
        <v>0</v>
      </c>
      <c r="H254" s="219">
        <f>GETPIVOTDATA("Sum of Net Dwellings",Pivot!$B$279,"Ward_Name",C254)</f>
        <v>9</v>
      </c>
      <c r="I254" s="97"/>
      <c r="J254" s="97"/>
      <c r="K254" s="97"/>
      <c r="L254" s="12"/>
      <c r="M254" s="12"/>
      <c r="N254" s="12"/>
      <c r="O254" s="12"/>
      <c r="P254" s="12"/>
      <c r="Q254" s="12"/>
      <c r="S254" s="53"/>
    </row>
    <row r="255" spans="2:19" x14ac:dyDescent="0.2">
      <c r="B255" s="41"/>
      <c r="C255" s="395" t="s">
        <v>178</v>
      </c>
      <c r="D255" s="396"/>
      <c r="E255" s="396"/>
      <c r="F255" s="220">
        <f>GETPIVOTDATA("Sum of Units Proposed",Pivot!$B$279,"Ward_Name",C255)</f>
        <v>8</v>
      </c>
      <c r="G255" s="219">
        <f>GETPIVOTDATA("Sum of Units Existing",Pivot!$B$279,"Ward_Name",C255)</f>
        <v>2</v>
      </c>
      <c r="H255" s="219">
        <f>GETPIVOTDATA("Sum of Net Dwellings",Pivot!$B$279,"Ward_Name",C255)</f>
        <v>6</v>
      </c>
      <c r="I255" s="97"/>
      <c r="J255" s="97"/>
      <c r="K255" s="97"/>
      <c r="L255" s="12"/>
      <c r="M255" s="12"/>
      <c r="N255" s="12"/>
      <c r="O255" s="12"/>
      <c r="P255" s="12"/>
      <c r="Q255" s="12"/>
      <c r="S255" s="53"/>
    </row>
    <row r="256" spans="2:19" x14ac:dyDescent="0.2">
      <c r="B256" s="41"/>
      <c r="C256" s="395" t="s">
        <v>179</v>
      </c>
      <c r="D256" s="396"/>
      <c r="E256" s="396"/>
      <c r="F256" s="220">
        <f>GETPIVOTDATA("Sum of Units Proposed",Pivot!$B$279,"Ward_Name",C256)</f>
        <v>5</v>
      </c>
      <c r="G256" s="219">
        <f>GETPIVOTDATA("Sum of Units Existing",Pivot!$B$279,"Ward_Name",C256)</f>
        <v>0</v>
      </c>
      <c r="H256" s="219">
        <f>GETPIVOTDATA("Sum of Net Dwellings",Pivot!$B$279,"Ward_Name",C256)</f>
        <v>5</v>
      </c>
      <c r="I256" s="97"/>
      <c r="J256" s="97"/>
      <c r="K256" s="97"/>
      <c r="L256" s="12"/>
      <c r="M256" s="12"/>
      <c r="N256" s="12"/>
      <c r="O256" s="12"/>
      <c r="P256" s="12"/>
      <c r="Q256" s="12"/>
      <c r="S256" s="53"/>
    </row>
    <row r="257" spans="2:19" x14ac:dyDescent="0.2">
      <c r="B257" s="41"/>
      <c r="C257" s="395" t="s">
        <v>152</v>
      </c>
      <c r="D257" s="396"/>
      <c r="E257" s="396"/>
      <c r="F257" s="220">
        <f>GETPIVOTDATA("Sum of Units Proposed",Pivot!$B$279,"Ward_Name",C257)</f>
        <v>13</v>
      </c>
      <c r="G257" s="219">
        <f>GETPIVOTDATA("Sum of Units Existing",Pivot!$B$279,"Ward_Name",C257)</f>
        <v>2</v>
      </c>
      <c r="H257" s="219">
        <f>GETPIVOTDATA("Sum of Net Dwellings",Pivot!$B$279,"Ward_Name",C257)</f>
        <v>11</v>
      </c>
      <c r="I257" s="97"/>
      <c r="J257" s="97"/>
      <c r="K257" s="97"/>
      <c r="L257" s="12"/>
      <c r="M257" s="12"/>
      <c r="N257" s="12"/>
      <c r="O257" s="12"/>
      <c r="P257" s="12"/>
      <c r="Q257" s="12"/>
      <c r="S257" s="53"/>
    </row>
    <row r="258" spans="2:19" x14ac:dyDescent="0.2">
      <c r="B258" s="41"/>
      <c r="C258" s="395" t="s">
        <v>180</v>
      </c>
      <c r="D258" s="396"/>
      <c r="E258" s="396"/>
      <c r="F258" s="220">
        <f>GETPIVOTDATA("Sum of Units Proposed",Pivot!$B$279,"Ward_Name",C258)</f>
        <v>15</v>
      </c>
      <c r="G258" s="219">
        <f>GETPIVOTDATA("Sum of Units Existing",Pivot!$B$279,"Ward_Name",C258)</f>
        <v>9</v>
      </c>
      <c r="H258" s="219">
        <f>GETPIVOTDATA("Sum of Net Dwellings",Pivot!$B$279,"Ward_Name",C258)</f>
        <v>6</v>
      </c>
      <c r="I258" s="97"/>
      <c r="J258" s="97"/>
      <c r="K258" s="97"/>
      <c r="L258" s="12"/>
      <c r="M258" s="12"/>
      <c r="N258" s="12"/>
      <c r="O258" s="12"/>
      <c r="P258" s="12"/>
      <c r="Q258" s="12"/>
      <c r="S258" s="53"/>
    </row>
    <row r="259" spans="2:19" x14ac:dyDescent="0.2">
      <c r="B259" s="41"/>
      <c r="C259" s="395" t="s">
        <v>181</v>
      </c>
      <c r="D259" s="396"/>
      <c r="E259" s="396"/>
      <c r="F259" s="220">
        <f>GETPIVOTDATA("Sum of Units Proposed",Pivot!$B$279,"Ward_Name",C259)</f>
        <v>2</v>
      </c>
      <c r="G259" s="219">
        <f>GETPIVOTDATA("Sum of Units Existing",Pivot!$B$279,"Ward_Name",C259)</f>
        <v>0</v>
      </c>
      <c r="H259" s="219">
        <f>GETPIVOTDATA("Sum of Net Dwellings",Pivot!$B$279,"Ward_Name",C259)</f>
        <v>2</v>
      </c>
      <c r="I259" s="97"/>
      <c r="J259" s="97"/>
      <c r="K259" s="97"/>
      <c r="L259" s="12"/>
      <c r="M259" s="12"/>
      <c r="N259" s="12"/>
      <c r="O259" s="12"/>
      <c r="P259" s="12"/>
      <c r="Q259" s="12"/>
      <c r="S259" s="53"/>
    </row>
    <row r="260" spans="2:19" x14ac:dyDescent="0.2">
      <c r="B260" s="41"/>
      <c r="C260" s="395" t="s">
        <v>156</v>
      </c>
      <c r="D260" s="396"/>
      <c r="E260" s="396"/>
      <c r="F260" s="220">
        <f>GETPIVOTDATA("Sum of Units Proposed",Pivot!$B$279,"Ward_Name",C260)</f>
        <v>13</v>
      </c>
      <c r="G260" s="219">
        <f>GETPIVOTDATA("Sum of Units Existing",Pivot!$B$279,"Ward_Name",C260)</f>
        <v>4</v>
      </c>
      <c r="H260" s="219">
        <f>GETPIVOTDATA("Sum of Net Dwellings",Pivot!$B$279,"Ward_Name",C260)</f>
        <v>9</v>
      </c>
      <c r="I260" s="97"/>
      <c r="J260" s="97"/>
      <c r="K260" s="97"/>
      <c r="L260" s="12"/>
      <c r="M260" s="12"/>
      <c r="N260" s="12"/>
      <c r="O260" s="12"/>
      <c r="P260" s="12"/>
      <c r="Q260" s="12"/>
      <c r="S260" s="53"/>
    </row>
    <row r="261" spans="2:19" x14ac:dyDescent="0.2">
      <c r="B261" s="41"/>
      <c r="C261" s="393" t="s">
        <v>6</v>
      </c>
      <c r="D261" s="394"/>
      <c r="E261" s="394"/>
      <c r="F261" s="223">
        <f>SUM(F243:F260)</f>
        <v>116</v>
      </c>
      <c r="G261" s="223">
        <f>SUM(G243:G260)</f>
        <v>36</v>
      </c>
      <c r="H261" s="223">
        <f>SUM(H243:H260)</f>
        <v>80</v>
      </c>
      <c r="I261" s="97"/>
      <c r="J261" s="97"/>
      <c r="K261" s="97"/>
      <c r="L261" s="12"/>
      <c r="M261" s="12"/>
      <c r="N261" s="12"/>
      <c r="O261" s="12"/>
      <c r="P261" s="12"/>
      <c r="Q261" s="12"/>
      <c r="S261" s="53"/>
    </row>
    <row r="262" spans="2:19" x14ac:dyDescent="0.2">
      <c r="B262" s="6"/>
      <c r="C262" s="99"/>
      <c r="D262" s="99"/>
      <c r="E262" s="99"/>
      <c r="F262" s="62"/>
      <c r="G262" s="62"/>
      <c r="H262" s="62"/>
      <c r="I262" s="97"/>
      <c r="J262" s="97"/>
      <c r="K262" s="97"/>
      <c r="L262" s="12"/>
      <c r="M262" s="12"/>
      <c r="N262" s="12"/>
      <c r="O262" s="12"/>
      <c r="P262" s="12"/>
      <c r="Q262" s="12"/>
      <c r="S262" s="53"/>
    </row>
    <row r="263" spans="2:19" x14ac:dyDescent="0.2">
      <c r="B263" s="6"/>
      <c r="C263" s="99"/>
      <c r="D263" s="99"/>
      <c r="E263" s="99"/>
      <c r="F263" s="62"/>
      <c r="G263" s="62"/>
      <c r="H263" s="62"/>
      <c r="I263" s="97"/>
      <c r="J263" s="97"/>
      <c r="K263" s="97"/>
      <c r="L263" s="12"/>
      <c r="M263" s="12"/>
      <c r="N263" s="12"/>
      <c r="O263" s="12"/>
      <c r="P263" s="12"/>
      <c r="Q263" s="12"/>
      <c r="S263" s="53"/>
    </row>
    <row r="264" spans="2:19" x14ac:dyDescent="0.2">
      <c r="B264" s="6"/>
      <c r="C264" s="20"/>
      <c r="D264" s="20"/>
      <c r="E264" s="99"/>
      <c r="F264" s="62"/>
      <c r="G264" s="62"/>
      <c r="H264" s="62"/>
      <c r="I264" s="97"/>
      <c r="J264" s="97"/>
      <c r="K264" s="97"/>
      <c r="L264" s="12"/>
      <c r="M264" s="12"/>
      <c r="N264" s="12"/>
      <c r="O264" s="12"/>
      <c r="P264" s="12"/>
      <c r="Q264" s="12"/>
      <c r="S264" s="53"/>
    </row>
    <row r="265" spans="2:19" ht="12.75" customHeight="1" x14ac:dyDescent="0.2">
      <c r="B265" s="6"/>
      <c r="C265" s="126" t="s">
        <v>194</v>
      </c>
      <c r="D265" s="20" t="s">
        <v>188</v>
      </c>
      <c r="E265" s="230"/>
      <c r="F265" s="230"/>
      <c r="G265" s="230"/>
      <c r="H265" s="230"/>
      <c r="I265" s="109"/>
      <c r="J265" s="109"/>
      <c r="K265" s="109"/>
      <c r="L265" s="109"/>
      <c r="S265" s="53"/>
    </row>
    <row r="266" spans="2:19" x14ac:dyDescent="0.2">
      <c r="B266" s="6"/>
      <c r="C266" s="385" t="s">
        <v>189</v>
      </c>
      <c r="D266" s="385"/>
      <c r="E266" s="385"/>
      <c r="F266" s="231" t="s">
        <v>184</v>
      </c>
      <c r="G266" s="231" t="s">
        <v>185</v>
      </c>
      <c r="H266" s="232" t="s">
        <v>186</v>
      </c>
      <c r="S266" s="53"/>
    </row>
    <row r="267" spans="2:19" x14ac:dyDescent="0.2">
      <c r="B267" s="6"/>
      <c r="C267" s="373" t="s">
        <v>190</v>
      </c>
      <c r="D267" s="373"/>
      <c r="E267" s="373"/>
      <c r="F267" s="110">
        <f>GETPIVOTDATA("Sum of Units Proposed",Pivot!$G$279,"Area Name",C267)</f>
        <v>10</v>
      </c>
      <c r="G267" s="110">
        <f>GETPIVOTDATA("Sum of Units Existing",Pivot!$G$279,"Area Name",C267)</f>
        <v>7</v>
      </c>
      <c r="H267" s="110">
        <f>GETPIVOTDATA("Sum of Net Dwellings",Pivot!$G$279,"Area Name",C267)</f>
        <v>3</v>
      </c>
      <c r="S267" s="53"/>
    </row>
    <row r="268" spans="2:19" x14ac:dyDescent="0.2">
      <c r="B268" s="6"/>
      <c r="C268" s="373" t="s">
        <v>191</v>
      </c>
      <c r="D268" s="373" t="s">
        <v>191</v>
      </c>
      <c r="E268" s="373" t="s">
        <v>191</v>
      </c>
      <c r="F268" s="110">
        <f>GETPIVOTDATA("Sum of Units Proposed",Pivot!$G$279,"Area Name",C268)</f>
        <v>3</v>
      </c>
      <c r="G268" s="110">
        <f>GETPIVOTDATA("Sum of Units Existing",Pivot!$G$279,"Area Name",C268)</f>
        <v>4</v>
      </c>
      <c r="H268" s="110">
        <f>GETPIVOTDATA("Sum of Net Dwellings",Pivot!$G$279,"Area Name",C268)</f>
        <v>-1</v>
      </c>
      <c r="S268" s="53"/>
    </row>
    <row r="269" spans="2:19" x14ac:dyDescent="0.2">
      <c r="B269" s="6"/>
      <c r="C269" s="373" t="s">
        <v>150</v>
      </c>
      <c r="D269" s="373" t="s">
        <v>150</v>
      </c>
      <c r="E269" s="373" t="s">
        <v>150</v>
      </c>
      <c r="F269" s="110">
        <f>GETPIVOTDATA("Sum of Units Proposed",Pivot!$G$279,"Area Name",C269)</f>
        <v>22</v>
      </c>
      <c r="G269" s="110">
        <f>GETPIVOTDATA("Sum of Units Existing",Pivot!$G$279,"Area Name",C269)</f>
        <v>3</v>
      </c>
      <c r="H269" s="110">
        <f>GETPIVOTDATA("Sum of Net Dwellings",Pivot!$G$279,"Area Name",C269)</f>
        <v>19</v>
      </c>
      <c r="S269" s="53"/>
    </row>
    <row r="270" spans="2:19" x14ac:dyDescent="0.2">
      <c r="B270" s="6"/>
      <c r="C270" s="373" t="s">
        <v>192</v>
      </c>
      <c r="D270" s="373" t="s">
        <v>192</v>
      </c>
      <c r="E270" s="373" t="s">
        <v>192</v>
      </c>
      <c r="F270" s="110">
        <f>GETPIVOTDATA("Sum of Units Proposed",Pivot!$G$279,"Area Name",C270)</f>
        <v>34</v>
      </c>
      <c r="G270" s="110">
        <f>GETPIVOTDATA("Sum of Units Existing",Pivot!$G$279,"Area Name",C270)</f>
        <v>4</v>
      </c>
      <c r="H270" s="110">
        <f>GETPIVOTDATA("Sum of Net Dwellings",Pivot!$G$279,"Area Name",C270)</f>
        <v>30</v>
      </c>
      <c r="S270" s="53"/>
    </row>
    <row r="271" spans="2:19" x14ac:dyDescent="0.2">
      <c r="B271" s="6"/>
      <c r="C271" s="373" t="s">
        <v>154</v>
      </c>
      <c r="D271" s="373" t="s">
        <v>154</v>
      </c>
      <c r="E271" s="373" t="s">
        <v>154</v>
      </c>
      <c r="F271" s="110">
        <f>GETPIVOTDATA("Sum of Units Proposed",Pivot!$G$279,"Area Name",C271)</f>
        <v>30</v>
      </c>
      <c r="G271" s="110">
        <f>GETPIVOTDATA("Sum of Units Existing",Pivot!$G$279,"Area Name",C271)</f>
        <v>11</v>
      </c>
      <c r="H271" s="110">
        <f>GETPIVOTDATA("Sum of Net Dwellings",Pivot!$G$279,"Area Name",C271)</f>
        <v>19</v>
      </c>
      <c r="S271" s="53"/>
    </row>
    <row r="272" spans="2:19" x14ac:dyDescent="0.2">
      <c r="B272" s="6"/>
      <c r="C272" s="373" t="s">
        <v>156</v>
      </c>
      <c r="D272" s="373" t="s">
        <v>156</v>
      </c>
      <c r="E272" s="373" t="s">
        <v>156</v>
      </c>
      <c r="F272" s="110">
        <f>GETPIVOTDATA("Sum of Units Proposed",Pivot!$G$279,"Area Name",C272)</f>
        <v>17</v>
      </c>
      <c r="G272" s="110">
        <f>GETPIVOTDATA("Sum of Units Existing",Pivot!$G$279,"Area Name",C272)</f>
        <v>7</v>
      </c>
      <c r="H272" s="110">
        <f>GETPIVOTDATA("Sum of Net Dwellings",Pivot!$G$279,"Area Name",C272)</f>
        <v>10</v>
      </c>
      <c r="S272" s="53"/>
    </row>
    <row r="273" spans="2:19" x14ac:dyDescent="0.2">
      <c r="B273" s="6"/>
      <c r="C273" s="376" t="s">
        <v>6</v>
      </c>
      <c r="D273" s="376"/>
      <c r="E273" s="376"/>
      <c r="F273" s="111">
        <f>SUM(F267:F272)</f>
        <v>116</v>
      </c>
      <c r="G273" s="111">
        <f t="shared" ref="G273:H273" si="16">SUM(G267:G272)</f>
        <v>36</v>
      </c>
      <c r="H273" s="111">
        <f t="shared" si="16"/>
        <v>80</v>
      </c>
      <c r="S273" s="53"/>
    </row>
    <row r="274" spans="2:19" x14ac:dyDescent="0.2">
      <c r="B274" s="6"/>
      <c r="C274" s="32" t="s">
        <v>193</v>
      </c>
      <c r="D274" s="25"/>
      <c r="E274" s="25"/>
      <c r="F274" s="25"/>
      <c r="G274" s="25"/>
      <c r="H274" s="25"/>
      <c r="S274" s="53"/>
    </row>
    <row r="275" spans="2:19" x14ac:dyDescent="0.2">
      <c r="B275" s="6"/>
      <c r="C275" s="225"/>
      <c r="D275" s="225"/>
      <c r="E275" s="225"/>
      <c r="F275" s="225"/>
      <c r="G275" s="225"/>
      <c r="H275" s="225"/>
      <c r="S275" s="53"/>
    </row>
    <row r="276" spans="2:19" x14ac:dyDescent="0.2">
      <c r="B276" s="6"/>
      <c r="C276" s="226"/>
      <c r="D276" s="226"/>
      <c r="E276" s="226"/>
      <c r="F276" s="227"/>
      <c r="G276" s="227"/>
      <c r="H276" s="227"/>
      <c r="I276" s="97"/>
      <c r="J276" s="97"/>
      <c r="K276" s="97"/>
      <c r="L276" s="12"/>
      <c r="M276" s="12"/>
      <c r="N276" s="12"/>
      <c r="O276" s="12"/>
      <c r="P276" s="12"/>
      <c r="Q276" s="12"/>
      <c r="S276" s="53"/>
    </row>
    <row r="277" spans="2:19" x14ac:dyDescent="0.2">
      <c r="B277" s="6"/>
      <c r="C277" s="226"/>
      <c r="D277" s="226"/>
      <c r="E277" s="226"/>
      <c r="F277" s="227"/>
      <c r="G277" s="227"/>
      <c r="H277" s="227"/>
      <c r="I277" s="97"/>
      <c r="J277" s="97"/>
      <c r="K277" s="97"/>
      <c r="L277" s="12"/>
      <c r="M277" s="12"/>
      <c r="N277" s="12"/>
      <c r="O277" s="12"/>
      <c r="P277" s="12"/>
      <c r="Q277" s="12"/>
      <c r="S277" s="53"/>
    </row>
    <row r="278" spans="2:19" x14ac:dyDescent="0.2">
      <c r="B278" s="6"/>
      <c r="C278" s="226"/>
      <c r="D278" s="226"/>
      <c r="E278" s="226"/>
      <c r="F278" s="227"/>
      <c r="G278" s="227"/>
      <c r="H278" s="227"/>
      <c r="I278" s="97"/>
      <c r="J278" s="97"/>
      <c r="K278" s="97"/>
      <c r="L278" s="12"/>
      <c r="M278" s="12"/>
      <c r="N278" s="12"/>
      <c r="O278" s="12"/>
      <c r="P278" s="12"/>
      <c r="Q278" s="12"/>
      <c r="S278" s="53"/>
    </row>
    <row r="279" spans="2:19" x14ac:dyDescent="0.2">
      <c r="B279" s="6"/>
      <c r="C279" s="226"/>
      <c r="D279" s="226"/>
      <c r="E279" s="226"/>
      <c r="F279" s="227"/>
      <c r="G279" s="227"/>
      <c r="H279" s="227"/>
      <c r="I279" s="97"/>
      <c r="J279" s="97"/>
      <c r="K279" s="97"/>
      <c r="L279" s="12"/>
      <c r="M279" s="12"/>
      <c r="N279" s="12"/>
      <c r="O279" s="12"/>
      <c r="P279" s="12"/>
      <c r="Q279" s="12"/>
      <c r="S279" s="53"/>
    </row>
    <row r="280" spans="2:19" x14ac:dyDescent="0.2">
      <c r="B280" s="6"/>
      <c r="C280" s="218"/>
      <c r="D280" s="218"/>
      <c r="E280" s="226"/>
      <c r="F280" s="227"/>
      <c r="G280" s="227"/>
      <c r="H280" s="227"/>
      <c r="I280" s="97"/>
      <c r="J280" s="97"/>
      <c r="K280" s="97"/>
      <c r="L280" s="12"/>
      <c r="M280" s="12"/>
      <c r="N280" s="12"/>
      <c r="O280" s="12"/>
      <c r="P280" s="12"/>
      <c r="Q280" s="12"/>
      <c r="S280" s="53"/>
    </row>
    <row r="281" spans="2:19" ht="12.75" customHeight="1" x14ac:dyDescent="0.2">
      <c r="B281" s="6"/>
      <c r="C281" s="126" t="s">
        <v>205</v>
      </c>
      <c r="D281" s="20" t="s">
        <v>195</v>
      </c>
      <c r="E281" s="230"/>
      <c r="F281" s="230"/>
      <c r="G281" s="230"/>
      <c r="H281" s="230"/>
      <c r="I281" s="109"/>
      <c r="J281" s="109"/>
      <c r="K281" s="109"/>
      <c r="L281" s="109"/>
      <c r="S281" s="53"/>
    </row>
    <row r="282" spans="2:19" x14ac:dyDescent="0.2">
      <c r="B282" s="6"/>
      <c r="C282" s="385" t="s">
        <v>196</v>
      </c>
      <c r="D282" s="385"/>
      <c r="E282" s="385"/>
      <c r="F282" s="231" t="s">
        <v>184</v>
      </c>
      <c r="G282" s="231" t="s">
        <v>185</v>
      </c>
      <c r="H282" s="232" t="s">
        <v>186</v>
      </c>
      <c r="S282" s="53"/>
    </row>
    <row r="283" spans="2:19" x14ac:dyDescent="0.2">
      <c r="B283" s="6"/>
      <c r="C283" s="373" t="s">
        <v>167</v>
      </c>
      <c r="D283" s="373"/>
      <c r="E283" s="373"/>
      <c r="F283" s="110">
        <f>GETPIVOTDATA("Sum of Units Proposed",Pivot!$L$279,"Place_Based_Strategies",C283)</f>
        <v>4</v>
      </c>
      <c r="G283" s="110">
        <f>GETPIVOTDATA("Sum of Units Existing",Pivot!$L$279,"Place_Based_Strategies",C283)</f>
        <v>4</v>
      </c>
      <c r="H283" s="110">
        <f>GETPIVOTDATA("Sum of Net Dwellings",Pivot!$L$279,"Place_Based_Strategies",C283)</f>
        <v>0</v>
      </c>
      <c r="S283" s="53"/>
    </row>
    <row r="284" spans="2:19" x14ac:dyDescent="0.2">
      <c r="B284" s="6"/>
      <c r="C284" s="373" t="s">
        <v>197</v>
      </c>
      <c r="D284" s="373"/>
      <c r="E284" s="373"/>
      <c r="F284" s="110">
        <f>GETPIVOTDATA("Sum of Units Proposed",Pivot!$L$279,"Place_Based_Strategies",C284)</f>
        <v>2</v>
      </c>
      <c r="G284" s="110">
        <f>GETPIVOTDATA("Sum of Units Existing",Pivot!$L$279,"Place_Based_Strategies",C284)</f>
        <v>2</v>
      </c>
      <c r="H284" s="110">
        <f>GETPIVOTDATA("Sum of Net Dwellings",Pivot!$L$279,"Place_Based_Strategies",C284)</f>
        <v>0</v>
      </c>
      <c r="S284" s="53"/>
    </row>
    <row r="285" spans="2:19" x14ac:dyDescent="0.2">
      <c r="B285" s="6"/>
      <c r="C285" s="373" t="s">
        <v>198</v>
      </c>
      <c r="D285" s="373"/>
      <c r="E285" s="373"/>
      <c r="F285" s="110">
        <f>GETPIVOTDATA("Sum of Units Proposed",Pivot!$L$279,"Place_Based_Strategies",C285)</f>
        <v>16</v>
      </c>
      <c r="G285" s="110">
        <f>GETPIVOTDATA("Sum of Units Existing",Pivot!$L$279,"Place_Based_Strategies",C285)</f>
        <v>2</v>
      </c>
      <c r="H285" s="110">
        <f>GETPIVOTDATA("Sum of Net Dwellings",Pivot!$L$279,"Place_Based_Strategies",C285)</f>
        <v>14</v>
      </c>
      <c r="S285" s="53"/>
    </row>
    <row r="286" spans="2:19" x14ac:dyDescent="0.2">
      <c r="B286" s="6"/>
      <c r="C286" s="373" t="s">
        <v>174</v>
      </c>
      <c r="D286" s="373"/>
      <c r="E286" s="373"/>
      <c r="F286" s="110">
        <f>GETPIVOTDATA("Sum of Units Proposed",Pivot!$L$279,"Place_Based_Strategies",C286)</f>
        <v>2</v>
      </c>
      <c r="G286" s="110">
        <f>GETPIVOTDATA("Sum of Units Existing",Pivot!$L$279,"Place_Based_Strategies",C286)</f>
        <v>3</v>
      </c>
      <c r="H286" s="110">
        <f>GETPIVOTDATA("Sum of Net Dwellings",Pivot!$L$279,"Place_Based_Strategies",C286)</f>
        <v>-1</v>
      </c>
      <c r="S286" s="53"/>
    </row>
    <row r="287" spans="2:19" x14ac:dyDescent="0.2">
      <c r="B287" s="6"/>
      <c r="C287" s="373" t="s">
        <v>199</v>
      </c>
      <c r="D287" s="373"/>
      <c r="E287" s="373"/>
      <c r="F287" s="110">
        <f>GETPIVOTDATA("Sum of Units Proposed",Pivot!$L$279,"Place_Based_Strategies",C287)</f>
        <v>6</v>
      </c>
      <c r="G287" s="110">
        <f>GETPIVOTDATA("Sum of Units Existing",Pivot!$L$279,"Place_Based_Strategies",C287)</f>
        <v>3</v>
      </c>
      <c r="H287" s="110">
        <f>GETPIVOTDATA("Sum of Net Dwellings",Pivot!$L$279,"Place_Based_Strategies",C287)</f>
        <v>3</v>
      </c>
      <c r="S287" s="53"/>
    </row>
    <row r="288" spans="2:19" x14ac:dyDescent="0.2">
      <c r="B288" s="6"/>
      <c r="C288" s="373" t="s">
        <v>200</v>
      </c>
      <c r="D288" s="373"/>
      <c r="E288" s="373"/>
      <c r="F288" s="110">
        <f>GETPIVOTDATA("Sum of Units Proposed",Pivot!$L$279,"Place_Based_Strategies",C288)</f>
        <v>21</v>
      </c>
      <c r="G288" s="110">
        <f>GETPIVOTDATA("Sum of Units Existing",Pivot!$L$279,"Place_Based_Strategies",C288)</f>
        <v>2</v>
      </c>
      <c r="H288" s="110">
        <f>GETPIVOTDATA("Sum of Net Dwellings",Pivot!$L$279,"Place_Based_Strategies",C288)</f>
        <v>19</v>
      </c>
      <c r="S288" s="53"/>
    </row>
    <row r="289" spans="2:19" x14ac:dyDescent="0.2">
      <c r="B289" s="6"/>
      <c r="C289" s="373" t="s">
        <v>201</v>
      </c>
      <c r="D289" s="373"/>
      <c r="E289" s="373"/>
      <c r="F289" s="110">
        <f>GETPIVOTDATA("Sum of Units Proposed",Pivot!$L$279,"Place_Based_Strategies",C289)</f>
        <v>18</v>
      </c>
      <c r="G289" s="110">
        <f>GETPIVOTDATA("Sum of Units Existing",Pivot!$L$279,"Place_Based_Strategies",C289)</f>
        <v>2</v>
      </c>
      <c r="H289" s="110">
        <f>GETPIVOTDATA("Sum of Net Dwellings",Pivot!$L$279,"Place_Based_Strategies",C289)</f>
        <v>16</v>
      </c>
      <c r="S289" s="53"/>
    </row>
    <row r="290" spans="2:19" x14ac:dyDescent="0.2">
      <c r="B290" s="6"/>
      <c r="C290" s="373" t="s">
        <v>202</v>
      </c>
      <c r="D290" s="373"/>
      <c r="E290" s="373"/>
      <c r="F290" s="110">
        <f>GETPIVOTDATA("Sum of Units Proposed",Pivot!$L$279,"Place_Based_Strategies",C290)</f>
        <v>30</v>
      </c>
      <c r="G290" s="110">
        <f>GETPIVOTDATA("Sum of Units Existing",Pivot!$L$279,"Place_Based_Strategies",C290)</f>
        <v>11</v>
      </c>
      <c r="H290" s="110">
        <f>GETPIVOTDATA("Sum of Net Dwellings",Pivot!$L$279,"Place_Based_Strategies",C290)</f>
        <v>19</v>
      </c>
      <c r="S290" s="53"/>
    </row>
    <row r="291" spans="2:19" x14ac:dyDescent="0.2">
      <c r="B291" s="6"/>
      <c r="C291" s="373" t="s">
        <v>203</v>
      </c>
      <c r="D291" s="373"/>
      <c r="E291" s="373"/>
      <c r="F291" s="110">
        <f>GETPIVOTDATA("Sum of Units Proposed",Pivot!$L$279,"Place_Based_Strategies",C291)</f>
        <v>17</v>
      </c>
      <c r="G291" s="110">
        <f>GETPIVOTDATA("Sum of Units Existing",Pivot!$L$279,"Place_Based_Strategies",C291)</f>
        <v>7</v>
      </c>
      <c r="H291" s="110">
        <f>GETPIVOTDATA("Sum of Net Dwellings",Pivot!$L$279,"Place_Based_Strategies",C291)</f>
        <v>10</v>
      </c>
      <c r="S291" s="53"/>
    </row>
    <row r="292" spans="2:19" x14ac:dyDescent="0.2">
      <c r="B292" s="6"/>
      <c r="C292" s="376" t="s">
        <v>6</v>
      </c>
      <c r="D292" s="376"/>
      <c r="E292" s="376"/>
      <c r="F292" s="111">
        <f>SUM(F283:F291)</f>
        <v>116</v>
      </c>
      <c r="G292" s="111">
        <f t="shared" ref="G292:H292" si="17">SUM(G283:G291)</f>
        <v>36</v>
      </c>
      <c r="H292" s="111">
        <f t="shared" si="17"/>
        <v>80</v>
      </c>
      <c r="I292" s="97"/>
      <c r="J292" s="97"/>
      <c r="K292" s="97"/>
      <c r="L292" s="12"/>
      <c r="M292" s="12"/>
      <c r="N292" s="12"/>
      <c r="O292" s="12"/>
      <c r="P292" s="12"/>
      <c r="Q292" s="12"/>
      <c r="S292" s="53"/>
    </row>
    <row r="293" spans="2:19" x14ac:dyDescent="0.2">
      <c r="B293" s="6"/>
      <c r="C293" s="32" t="s">
        <v>204</v>
      </c>
      <c r="D293" s="25"/>
      <c r="E293" s="25"/>
      <c r="F293" s="25"/>
      <c r="G293" s="25"/>
      <c r="H293" s="25"/>
      <c r="I293" s="97"/>
      <c r="J293" s="97"/>
      <c r="K293" s="97"/>
      <c r="L293" s="12"/>
      <c r="M293" s="12"/>
      <c r="N293" s="12"/>
      <c r="O293" s="12"/>
      <c r="P293" s="12"/>
      <c r="Q293" s="12"/>
      <c r="S293" s="53"/>
    </row>
    <row r="294" spans="2:19" x14ac:dyDescent="0.2">
      <c r="B294" s="6"/>
      <c r="C294" s="226"/>
      <c r="D294" s="226"/>
      <c r="E294" s="226"/>
      <c r="F294" s="227"/>
      <c r="G294" s="227"/>
      <c r="H294" s="227"/>
      <c r="I294" s="97"/>
      <c r="J294" s="97"/>
      <c r="K294" s="97"/>
      <c r="L294" s="12"/>
      <c r="M294" s="12"/>
      <c r="N294" s="12"/>
      <c r="O294" s="12"/>
      <c r="P294" s="12"/>
      <c r="Q294" s="12"/>
      <c r="S294" s="53"/>
    </row>
    <row r="295" spans="2:19" x14ac:dyDescent="0.2">
      <c r="B295" s="6"/>
      <c r="C295" s="226"/>
      <c r="D295" s="226"/>
      <c r="E295" s="226"/>
      <c r="F295" s="227"/>
      <c r="G295" s="227"/>
      <c r="H295" s="227"/>
      <c r="I295" s="97"/>
      <c r="J295" s="97"/>
      <c r="K295" s="97"/>
      <c r="L295" s="12"/>
      <c r="M295" s="12"/>
      <c r="N295" s="12"/>
      <c r="O295" s="12"/>
      <c r="P295" s="12"/>
      <c r="Q295" s="12"/>
      <c r="S295" s="53"/>
    </row>
    <row r="296" spans="2:19" x14ac:dyDescent="0.2">
      <c r="B296" s="6"/>
      <c r="C296" s="218"/>
      <c r="D296" s="218"/>
      <c r="E296" s="226"/>
      <c r="F296" s="227"/>
      <c r="G296" s="227"/>
      <c r="H296" s="227"/>
      <c r="I296" s="97"/>
      <c r="J296" s="97"/>
      <c r="K296" s="97"/>
      <c r="L296" s="12"/>
      <c r="M296" s="12"/>
      <c r="N296" s="12"/>
      <c r="O296" s="12"/>
      <c r="P296" s="12"/>
      <c r="Q296" s="12"/>
      <c r="S296" s="53"/>
    </row>
    <row r="297" spans="2:19" ht="12.75" customHeight="1" x14ac:dyDescent="0.2">
      <c r="B297" s="6"/>
      <c r="C297" s="126" t="s">
        <v>208</v>
      </c>
      <c r="D297" s="20" t="s">
        <v>206</v>
      </c>
      <c r="E297" s="230"/>
      <c r="F297" s="230"/>
      <c r="G297" s="230"/>
      <c r="H297" s="230"/>
      <c r="I297" s="109"/>
      <c r="J297" s="109"/>
      <c r="K297" s="109"/>
      <c r="L297" s="109"/>
      <c r="S297" s="53"/>
    </row>
    <row r="298" spans="2:19" x14ac:dyDescent="0.2">
      <c r="B298" s="6"/>
      <c r="C298" s="385" t="s">
        <v>196</v>
      </c>
      <c r="D298" s="385"/>
      <c r="E298" s="385"/>
      <c r="F298" s="231" t="s">
        <v>184</v>
      </c>
      <c r="G298" s="231" t="s">
        <v>185</v>
      </c>
      <c r="H298" s="232" t="s">
        <v>186</v>
      </c>
      <c r="S298" s="53"/>
    </row>
    <row r="299" spans="2:19" x14ac:dyDescent="0.2">
      <c r="B299" s="6"/>
      <c r="C299" s="373" t="s">
        <v>167</v>
      </c>
      <c r="D299" s="373"/>
      <c r="E299" s="373"/>
      <c r="F299" s="110">
        <f>GETPIVOTDATA("Sum of Units Proposed",Pivot!$Q$279,"Place_Based_Strategies",C299)</f>
        <v>13</v>
      </c>
      <c r="G299" s="110">
        <f>GETPIVOTDATA("Sum of Units Existing",Pivot!$Q$279,"Place_Based_Strategies",C299)</f>
        <v>9</v>
      </c>
      <c r="H299" s="110">
        <f>GETPIVOTDATA("Sum of Net Dwellings",Pivot!$Q$279,"Place_Based_Strategies",C299)</f>
        <v>4</v>
      </c>
      <c r="S299" s="53"/>
    </row>
    <row r="300" spans="2:19" x14ac:dyDescent="0.2">
      <c r="B300" s="6"/>
      <c r="C300" s="373" t="s">
        <v>197</v>
      </c>
      <c r="D300" s="373"/>
      <c r="E300" s="373"/>
      <c r="F300" s="110">
        <f>GETPIVOTDATA("Sum of Units Proposed",Pivot!$Q$279,"Place_Based_Strategies",C300)</f>
        <v>2</v>
      </c>
      <c r="G300" s="110">
        <f>GETPIVOTDATA("Sum of Units Existing",Pivot!$Q$279,"Place_Based_Strategies",C300)</f>
        <v>2</v>
      </c>
      <c r="H300" s="110">
        <f>GETPIVOTDATA("Sum of Net Dwellings",Pivot!$Q$279,"Place_Based_Strategies",C300)</f>
        <v>0</v>
      </c>
      <c r="S300" s="53"/>
    </row>
    <row r="301" spans="2:19" x14ac:dyDescent="0.2">
      <c r="B301" s="6"/>
      <c r="C301" s="373" t="s">
        <v>198</v>
      </c>
      <c r="D301" s="373"/>
      <c r="E301" s="373"/>
      <c r="F301" s="110">
        <f>GETPIVOTDATA("Sum of Units Proposed",Pivot!$Q$279,"Place_Based_Strategies",C301)</f>
        <v>19</v>
      </c>
      <c r="G301" s="110">
        <f>GETPIVOTDATA("Sum of Units Existing",Pivot!$Q$279,"Place_Based_Strategies",C301)</f>
        <v>3</v>
      </c>
      <c r="H301" s="110">
        <f>GETPIVOTDATA("Sum of Net Dwellings",Pivot!$Q$279,"Place_Based_Strategies",C301)</f>
        <v>16</v>
      </c>
      <c r="S301" s="53"/>
    </row>
    <row r="302" spans="2:19" x14ac:dyDescent="0.2">
      <c r="B302" s="6"/>
      <c r="C302" s="373" t="s">
        <v>174</v>
      </c>
      <c r="D302" s="373"/>
      <c r="E302" s="373"/>
      <c r="F302" s="110">
        <f>GETPIVOTDATA("Sum of Units Proposed",Pivot!$Q$279,"Place_Based_Strategies",C302)</f>
        <v>2</v>
      </c>
      <c r="G302" s="110">
        <f>GETPIVOTDATA("Sum of Units Existing",Pivot!$Q$279,"Place_Based_Strategies",C302)</f>
        <v>1</v>
      </c>
      <c r="H302" s="110">
        <f>GETPIVOTDATA("Sum of Net Dwellings",Pivot!$Q$279,"Place_Based_Strategies",C302)</f>
        <v>1</v>
      </c>
      <c r="S302" s="53"/>
    </row>
    <row r="303" spans="2:19" x14ac:dyDescent="0.2">
      <c r="B303" s="6"/>
      <c r="C303" s="373" t="s">
        <v>199</v>
      </c>
      <c r="D303" s="373"/>
      <c r="E303" s="373"/>
      <c r="F303" s="110">
        <f>GETPIVOTDATA("Sum of Units Proposed",Pivot!$Q$279,"Place_Based_Strategies",C303)</f>
        <v>53</v>
      </c>
      <c r="G303" s="110">
        <f>GETPIVOTDATA("Sum of Units Existing",Pivot!$Q$279,"Place_Based_Strategies",C303)</f>
        <v>8</v>
      </c>
      <c r="H303" s="110">
        <f>GETPIVOTDATA("Sum of Net Dwellings",Pivot!$Q$279,"Place_Based_Strategies",C303)</f>
        <v>45</v>
      </c>
      <c r="S303" s="53"/>
    </row>
    <row r="304" spans="2:19" x14ac:dyDescent="0.2">
      <c r="B304" s="6"/>
      <c r="C304" s="373" t="s">
        <v>200</v>
      </c>
      <c r="D304" s="373"/>
      <c r="E304" s="373"/>
      <c r="F304" s="110">
        <f>GETPIVOTDATA("Sum of Units Proposed",Pivot!$Q$279,"Place_Based_Strategies",C304)</f>
        <v>484</v>
      </c>
      <c r="G304" s="110">
        <f>GETPIVOTDATA("Sum of Units Existing",Pivot!$Q$279,"Place_Based_Strategies",C304)</f>
        <v>3</v>
      </c>
      <c r="H304" s="110">
        <f>GETPIVOTDATA("Sum of Net Dwellings",Pivot!$Q$279,"Place_Based_Strategies",C304)</f>
        <v>481</v>
      </c>
      <c r="S304" s="53"/>
    </row>
    <row r="305" spans="2:19" x14ac:dyDescent="0.2">
      <c r="B305" s="6"/>
      <c r="C305" s="373" t="s">
        <v>201</v>
      </c>
      <c r="D305" s="373"/>
      <c r="E305" s="373"/>
      <c r="F305" s="110">
        <f>GETPIVOTDATA("Sum of Units Proposed",Pivot!$Q$279,"Place_Based_Strategies",C305)</f>
        <v>102</v>
      </c>
      <c r="G305" s="110">
        <f>GETPIVOTDATA("Sum of Units Existing",Pivot!$Q$279,"Place_Based_Strategies",C305)</f>
        <v>6</v>
      </c>
      <c r="H305" s="110">
        <f>GETPIVOTDATA("Sum of Net Dwellings",Pivot!$Q$279,"Place_Based_Strategies",C305)</f>
        <v>96</v>
      </c>
      <c r="S305" s="53"/>
    </row>
    <row r="306" spans="2:19" x14ac:dyDescent="0.2">
      <c r="B306" s="6"/>
      <c r="C306" s="373" t="s">
        <v>202</v>
      </c>
      <c r="D306" s="373"/>
      <c r="E306" s="373"/>
      <c r="F306" s="110">
        <f>GETPIVOTDATA("Sum of Units Proposed",Pivot!$Q$279,"Place_Based_Strategies",C306)</f>
        <v>169</v>
      </c>
      <c r="G306" s="110">
        <f>GETPIVOTDATA("Sum of Units Existing",Pivot!$Q$279,"Place_Based_Strategies",C306)</f>
        <v>13</v>
      </c>
      <c r="H306" s="110">
        <f>GETPIVOTDATA("Sum of Net Dwellings",Pivot!$Q$279,"Place_Based_Strategies",C306)</f>
        <v>156</v>
      </c>
      <c r="S306" s="53"/>
    </row>
    <row r="307" spans="2:19" x14ac:dyDescent="0.2">
      <c r="B307" s="6"/>
      <c r="C307" s="373" t="s">
        <v>203</v>
      </c>
      <c r="D307" s="373"/>
      <c r="E307" s="373"/>
      <c r="F307" s="110">
        <f>GETPIVOTDATA("Sum of Units Proposed",Pivot!$Q$279,"Place_Based_Strategies",C307)</f>
        <v>10</v>
      </c>
      <c r="G307" s="110">
        <f>GETPIVOTDATA("Sum of Units Existing",Pivot!$Q$279,"Place_Based_Strategies",C307)</f>
        <v>5</v>
      </c>
      <c r="H307" s="110">
        <f>GETPIVOTDATA("Sum of Net Dwellings",Pivot!$Q$279,"Place_Based_Strategies",C307)</f>
        <v>5</v>
      </c>
      <c r="S307" s="53"/>
    </row>
    <row r="308" spans="2:19" x14ac:dyDescent="0.2">
      <c r="B308" s="6"/>
      <c r="C308" s="376" t="s">
        <v>6</v>
      </c>
      <c r="D308" s="376"/>
      <c r="E308" s="376"/>
      <c r="F308" s="111">
        <f>SUM(F299:F307)</f>
        <v>854</v>
      </c>
      <c r="G308" s="111">
        <f t="shared" ref="G308:H308" si="18">SUM(G299:G307)</f>
        <v>50</v>
      </c>
      <c r="H308" s="111">
        <f t="shared" si="18"/>
        <v>804</v>
      </c>
      <c r="I308" s="97"/>
      <c r="J308" s="97"/>
      <c r="K308" s="97"/>
      <c r="L308" s="12"/>
      <c r="M308" s="12"/>
      <c r="N308" s="12"/>
      <c r="O308" s="12"/>
      <c r="P308" s="12"/>
      <c r="Q308" s="12"/>
      <c r="S308" s="53"/>
    </row>
    <row r="309" spans="2:19" x14ac:dyDescent="0.2">
      <c r="B309" s="6"/>
      <c r="C309" s="225"/>
      <c r="D309" s="225"/>
      <c r="E309" s="225"/>
      <c r="F309" s="225"/>
      <c r="G309" s="225"/>
      <c r="H309" s="225"/>
      <c r="I309" s="97"/>
      <c r="J309" s="97"/>
      <c r="K309" s="97"/>
      <c r="L309" s="12"/>
      <c r="M309" s="12"/>
      <c r="N309" s="12"/>
      <c r="O309" s="12"/>
      <c r="P309" s="12"/>
      <c r="Q309" s="12"/>
      <c r="S309" s="53"/>
    </row>
    <row r="310" spans="2:19" x14ac:dyDescent="0.2">
      <c r="B310" s="6"/>
      <c r="C310" s="99"/>
      <c r="D310" s="99"/>
      <c r="E310" s="99"/>
      <c r="F310" s="62"/>
      <c r="G310" s="62"/>
      <c r="H310" s="62"/>
      <c r="I310" s="97"/>
      <c r="J310" s="97"/>
      <c r="K310" s="97"/>
      <c r="L310" s="12"/>
      <c r="M310" s="12"/>
      <c r="N310" s="12"/>
      <c r="O310" s="12"/>
      <c r="P310" s="12"/>
      <c r="Q310" s="12"/>
      <c r="S310" s="53"/>
    </row>
    <row r="311" spans="2:19" x14ac:dyDescent="0.2">
      <c r="B311" s="6"/>
      <c r="C311" s="99"/>
      <c r="D311" s="99"/>
      <c r="E311" s="99"/>
      <c r="F311" s="62"/>
      <c r="G311" s="62"/>
      <c r="H311" s="62"/>
      <c r="I311" s="97"/>
      <c r="J311" s="97"/>
      <c r="K311" s="97"/>
      <c r="L311" s="12"/>
      <c r="M311" s="12"/>
      <c r="N311" s="12"/>
      <c r="O311" s="12"/>
      <c r="P311" s="12"/>
      <c r="Q311" s="12"/>
      <c r="S311" s="53"/>
    </row>
    <row r="312" spans="2:19" x14ac:dyDescent="0.2">
      <c r="B312" s="6"/>
      <c r="C312" s="99"/>
      <c r="D312" s="99"/>
      <c r="E312" s="99"/>
      <c r="F312" s="62"/>
      <c r="G312" s="62"/>
      <c r="H312" s="62"/>
      <c r="I312" s="97"/>
      <c r="J312" s="97"/>
      <c r="K312" s="97"/>
      <c r="L312" s="12"/>
      <c r="M312" s="12"/>
      <c r="N312" s="12"/>
      <c r="O312" s="12"/>
      <c r="P312" s="12"/>
      <c r="Q312" s="12"/>
      <c r="S312" s="53"/>
    </row>
    <row r="313" spans="2:19" x14ac:dyDescent="0.2">
      <c r="B313" s="47"/>
      <c r="C313" s="101"/>
      <c r="D313" s="101"/>
      <c r="E313" s="101"/>
      <c r="F313" s="102"/>
      <c r="G313" s="102"/>
      <c r="H313" s="102"/>
      <c r="I313" s="104"/>
      <c r="J313" s="104"/>
      <c r="K313" s="104"/>
      <c r="L313" s="65"/>
      <c r="M313" s="65"/>
      <c r="N313" s="65"/>
      <c r="O313" s="65"/>
      <c r="P313" s="65"/>
      <c r="Q313" s="65"/>
      <c r="R313" s="66"/>
      <c r="S313" s="67"/>
    </row>
    <row r="314" spans="2:19" x14ac:dyDescent="0.2">
      <c r="B314" s="51"/>
      <c r="C314" s="106"/>
      <c r="D314" s="106"/>
      <c r="E314" s="107"/>
      <c r="F314" s="107"/>
      <c r="G314" s="107"/>
      <c r="H314" s="107"/>
      <c r="I314" s="107"/>
      <c r="J314" s="107"/>
      <c r="K314" s="107"/>
      <c r="L314" s="107"/>
      <c r="M314" s="107"/>
      <c r="N314" s="5"/>
      <c r="O314" s="5"/>
      <c r="P314" s="5"/>
      <c r="Q314" s="5"/>
      <c r="R314" s="4"/>
      <c r="S314" s="68"/>
    </row>
    <row r="315" spans="2:19" ht="20.25" x14ac:dyDescent="0.3">
      <c r="B315" s="6"/>
      <c r="C315" s="69" t="s">
        <v>207</v>
      </c>
      <c r="D315" s="12"/>
      <c r="E315" s="12"/>
      <c r="F315" s="12"/>
      <c r="G315" s="12"/>
      <c r="H315" s="12"/>
      <c r="I315" s="12"/>
      <c r="J315" s="12"/>
      <c r="K315" s="12"/>
      <c r="L315" s="12"/>
      <c r="M315" s="12"/>
      <c r="N315" s="12"/>
      <c r="O315" s="12"/>
      <c r="P315" s="12"/>
      <c r="Q315" s="12"/>
      <c r="S315" s="53"/>
    </row>
    <row r="316" spans="2:19" x14ac:dyDescent="0.2">
      <c r="B316" s="6"/>
      <c r="C316" s="12"/>
      <c r="D316" s="12"/>
      <c r="E316" s="12"/>
      <c r="F316" s="12"/>
      <c r="G316" s="12"/>
      <c r="H316" s="12"/>
      <c r="I316" s="12"/>
      <c r="J316" s="12"/>
      <c r="K316" s="12"/>
      <c r="L316" s="12"/>
      <c r="M316" s="12"/>
      <c r="N316" s="12"/>
      <c r="O316" s="12"/>
      <c r="P316" s="12"/>
      <c r="Q316" s="12"/>
      <c r="S316" s="53"/>
    </row>
    <row r="317" spans="2:19" x14ac:dyDescent="0.2">
      <c r="B317" s="6"/>
      <c r="C317" s="126" t="s">
        <v>217</v>
      </c>
      <c r="D317" s="20" t="s">
        <v>209</v>
      </c>
      <c r="E317" s="16"/>
      <c r="F317" s="16"/>
      <c r="G317" s="16"/>
      <c r="H317" s="16"/>
      <c r="I317" s="16"/>
      <c r="J317" s="16"/>
      <c r="K317" s="12"/>
      <c r="M317" s="112" t="s">
        <v>210</v>
      </c>
      <c r="O317" s="12"/>
      <c r="P317" s="12"/>
      <c r="Q317" s="12"/>
      <c r="S317" s="53"/>
    </row>
    <row r="318" spans="2:19" x14ac:dyDescent="0.2">
      <c r="B318" s="41"/>
      <c r="C318" s="389"/>
      <c r="D318" s="390"/>
      <c r="E318" s="94" t="s">
        <v>123</v>
      </c>
      <c r="F318" s="94" t="s">
        <v>124</v>
      </c>
      <c r="G318" s="94" t="s">
        <v>125</v>
      </c>
      <c r="H318" s="94" t="s">
        <v>211</v>
      </c>
      <c r="I318" s="94" t="s">
        <v>212</v>
      </c>
      <c r="J318" s="94" t="s">
        <v>6</v>
      </c>
      <c r="K318" s="12"/>
      <c r="L318" s="12"/>
      <c r="M318" s="12"/>
      <c r="N318" s="12"/>
      <c r="O318" s="12"/>
      <c r="P318" s="12"/>
      <c r="S318" s="53"/>
    </row>
    <row r="319" spans="2:19" x14ac:dyDescent="0.2">
      <c r="B319" s="41"/>
      <c r="C319" s="391" t="s">
        <v>213</v>
      </c>
      <c r="D319" s="392"/>
      <c r="E319" s="113">
        <f>GETPIVOTDATA("Sum of 1 bed net",Pivot!$B$306,"Tenure","Open Market")</f>
        <v>3</v>
      </c>
      <c r="F319" s="113">
        <f>GETPIVOTDATA("Sum of 2 bed net",Pivot!$B$306,"Tenure","Open Market")</f>
        <v>0</v>
      </c>
      <c r="G319" s="113">
        <f>GETPIVOTDATA("Sum of 3 bed net",Pivot!$B$306,"Tenure","Open Market")</f>
        <v>12</v>
      </c>
      <c r="H319" s="113">
        <f>GETPIVOTDATA("Sum of 4 bed net",Pivot!$B$306,"Tenure","Open Market")+GETPIVOTDATA("Sum of 5 bed net",Pivot!$B$306,"Tenure","Open Market")+GETPIVOTDATA("Sum of 6 bed net",Pivot!$B$306,"Tenure","Open Market")</f>
        <v>7</v>
      </c>
      <c r="I319" s="113">
        <v>0</v>
      </c>
      <c r="J319" s="113">
        <f t="shared" ref="J319:J324" si="19">SUM(D319:I319)</f>
        <v>22</v>
      </c>
      <c r="K319" s="12"/>
      <c r="L319" s="12"/>
      <c r="M319" s="12"/>
      <c r="N319" s="12"/>
      <c r="O319" s="12"/>
      <c r="P319" s="12"/>
      <c r="S319" s="53"/>
    </row>
    <row r="320" spans="2:19" x14ac:dyDescent="0.2">
      <c r="B320" s="41"/>
      <c r="C320" s="391"/>
      <c r="D320" s="392"/>
      <c r="E320" s="114">
        <f>E319/$J$327</f>
        <v>0.1111111111111111</v>
      </c>
      <c r="F320" s="114">
        <f>F319/$J$327</f>
        <v>0</v>
      </c>
      <c r="G320" s="114">
        <f>G319/$J$327</f>
        <v>0.44444444444444442</v>
      </c>
      <c r="H320" s="114">
        <f>H319/$J$327</f>
        <v>0.25925925925925924</v>
      </c>
      <c r="I320" s="114">
        <f>I319/$J$327</f>
        <v>0</v>
      </c>
      <c r="J320" s="114">
        <f>SUM(E320:I320)</f>
        <v>0.81481481481481488</v>
      </c>
      <c r="K320" s="12"/>
      <c r="L320" s="12"/>
      <c r="M320" s="12"/>
      <c r="N320" s="12"/>
      <c r="O320" s="12"/>
      <c r="P320" s="12"/>
      <c r="S320" s="53"/>
    </row>
    <row r="321" spans="2:19" x14ac:dyDescent="0.2">
      <c r="B321" s="41"/>
      <c r="C321" s="391" t="s">
        <v>214</v>
      </c>
      <c r="D321" s="392"/>
      <c r="E321" s="113">
        <v>0</v>
      </c>
      <c r="F321" s="113">
        <v>0</v>
      </c>
      <c r="G321" s="113">
        <v>0</v>
      </c>
      <c r="H321" s="113">
        <v>0</v>
      </c>
      <c r="I321" s="113">
        <v>0</v>
      </c>
      <c r="J321" s="113">
        <f t="shared" si="19"/>
        <v>0</v>
      </c>
      <c r="K321" s="12"/>
      <c r="L321" s="12"/>
      <c r="M321" s="71"/>
      <c r="N321" s="71"/>
      <c r="O321" s="71"/>
      <c r="P321" s="71"/>
      <c r="S321" s="53"/>
    </row>
    <row r="322" spans="2:19" x14ac:dyDescent="0.2">
      <c r="B322" s="41"/>
      <c r="C322" s="391"/>
      <c r="D322" s="392"/>
      <c r="E322" s="114">
        <f>E321/$J$327</f>
        <v>0</v>
      </c>
      <c r="F322" s="114">
        <f>F321/$J$327</f>
        <v>0</v>
      </c>
      <c r="G322" s="114">
        <f>G321/$J$327</f>
        <v>0</v>
      </c>
      <c r="H322" s="114">
        <f>H321/$J$327</f>
        <v>0</v>
      </c>
      <c r="I322" s="114">
        <f>I321/$J$327</f>
        <v>0</v>
      </c>
      <c r="J322" s="114">
        <f t="shared" si="19"/>
        <v>0</v>
      </c>
      <c r="K322" s="12"/>
      <c r="L322" s="12"/>
      <c r="M322" s="12"/>
      <c r="N322" s="12"/>
      <c r="O322" s="12"/>
      <c r="P322" s="12"/>
      <c r="S322" s="53"/>
    </row>
    <row r="323" spans="2:19" x14ac:dyDescent="0.2">
      <c r="B323" s="41"/>
      <c r="C323" s="391" t="s">
        <v>215</v>
      </c>
      <c r="D323" s="392"/>
      <c r="E323" s="113">
        <f>GETPIVOTDATA("Sum of 1 bed net",Pivot!$B$306,"Tenure","Affordable Rent")</f>
        <v>5</v>
      </c>
      <c r="F323" s="113">
        <f>GETPIVOTDATA("Sum of 2 bed net",Pivot!$B$306,"Tenure","Affordable Rent")</f>
        <v>0</v>
      </c>
      <c r="G323" s="113">
        <f>GETPIVOTDATA("Sum of 3 bed net",Pivot!$B$306,"Tenure","Affordable Rent")</f>
        <v>0</v>
      </c>
      <c r="H323" s="113">
        <f>GETPIVOTDATA("Sum of 4 bed net",Pivot!$B$306,"Tenure","Affordable Rent")</f>
        <v>0</v>
      </c>
      <c r="I323" s="113"/>
      <c r="J323" s="113">
        <f t="shared" si="19"/>
        <v>5</v>
      </c>
      <c r="K323" s="12"/>
      <c r="L323" s="12"/>
      <c r="M323" s="12"/>
      <c r="N323" s="12"/>
      <c r="O323" s="12"/>
      <c r="P323" s="12"/>
      <c r="S323" s="53"/>
    </row>
    <row r="324" spans="2:19" x14ac:dyDescent="0.2">
      <c r="B324" s="41"/>
      <c r="C324" s="391"/>
      <c r="D324" s="392"/>
      <c r="E324" s="114">
        <f>E323/$J$327</f>
        <v>0.18518518518518517</v>
      </c>
      <c r="F324" s="114">
        <f>F323/$J$327</f>
        <v>0</v>
      </c>
      <c r="G324" s="114">
        <f>G323/$J$327</f>
        <v>0</v>
      </c>
      <c r="H324" s="114">
        <f>H323/$J$327</f>
        <v>0</v>
      </c>
      <c r="I324" s="114">
        <f>I323/$J$327</f>
        <v>0</v>
      </c>
      <c r="J324" s="114">
        <f t="shared" si="19"/>
        <v>0.18518518518518517</v>
      </c>
      <c r="K324" s="12"/>
      <c r="L324" s="12"/>
      <c r="M324" s="12"/>
      <c r="N324" s="12"/>
      <c r="O324" s="12"/>
      <c r="P324" s="12"/>
      <c r="S324" s="53"/>
    </row>
    <row r="325" spans="2:19" x14ac:dyDescent="0.2">
      <c r="B325" s="41"/>
      <c r="C325" s="391" t="s">
        <v>216</v>
      </c>
      <c r="D325" s="392"/>
      <c r="E325" s="113">
        <v>0</v>
      </c>
      <c r="F325" s="113">
        <v>0</v>
      </c>
      <c r="G325" s="113">
        <v>0</v>
      </c>
      <c r="H325" s="113">
        <v>0</v>
      </c>
      <c r="I325" s="113">
        <v>0</v>
      </c>
      <c r="J325" s="113">
        <v>0</v>
      </c>
      <c r="K325" s="12"/>
      <c r="L325" s="12"/>
      <c r="M325" s="12"/>
      <c r="N325" s="12"/>
      <c r="O325" s="12"/>
      <c r="P325" s="12"/>
      <c r="S325" s="53"/>
    </row>
    <row r="326" spans="2:19" x14ac:dyDescent="0.2">
      <c r="B326" s="41"/>
      <c r="C326" s="391"/>
      <c r="D326" s="392"/>
      <c r="E326" s="114">
        <f>E325/$J$327</f>
        <v>0</v>
      </c>
      <c r="F326" s="114">
        <f t="shared" ref="F326:J326" si="20">F325/$J$327</f>
        <v>0</v>
      </c>
      <c r="G326" s="114">
        <f t="shared" si="20"/>
        <v>0</v>
      </c>
      <c r="H326" s="114">
        <f t="shared" si="20"/>
        <v>0</v>
      </c>
      <c r="I326" s="114">
        <f t="shared" si="20"/>
        <v>0</v>
      </c>
      <c r="J326" s="114">
        <f t="shared" si="20"/>
        <v>0</v>
      </c>
      <c r="K326" s="12"/>
      <c r="L326" s="12"/>
      <c r="M326" s="12"/>
      <c r="N326" s="12"/>
      <c r="O326" s="12"/>
      <c r="P326" s="12"/>
      <c r="S326" s="53"/>
    </row>
    <row r="327" spans="2:19" x14ac:dyDescent="0.2">
      <c r="B327" s="41"/>
      <c r="C327" s="386" t="s">
        <v>6</v>
      </c>
      <c r="D327" s="387"/>
      <c r="E327" s="95">
        <f>E319+E321+E323+E325</f>
        <v>8</v>
      </c>
      <c r="F327" s="95">
        <f t="shared" ref="F327:I327" si="21">F319+F321+F323+F325</f>
        <v>0</v>
      </c>
      <c r="G327" s="95">
        <f t="shared" si="21"/>
        <v>12</v>
      </c>
      <c r="H327" s="95">
        <f t="shared" si="21"/>
        <v>7</v>
      </c>
      <c r="I327" s="95">
        <f t="shared" si="21"/>
        <v>0</v>
      </c>
      <c r="J327" s="95">
        <f>SUM(D327:I327)</f>
        <v>27</v>
      </c>
      <c r="K327" s="12"/>
      <c r="L327" s="12"/>
      <c r="M327" s="12"/>
      <c r="N327" s="12"/>
      <c r="O327" s="12"/>
      <c r="P327" s="12"/>
      <c r="S327" s="53"/>
    </row>
    <row r="328" spans="2:19" x14ac:dyDescent="0.2">
      <c r="B328" s="41"/>
      <c r="C328" s="386"/>
      <c r="D328" s="387"/>
      <c r="E328" s="115">
        <f>E327/$J$327</f>
        <v>0.29629629629629628</v>
      </c>
      <c r="F328" s="115">
        <f>F327/$J$327</f>
        <v>0</v>
      </c>
      <c r="G328" s="115">
        <f>G327/$J$327</f>
        <v>0.44444444444444442</v>
      </c>
      <c r="H328" s="115">
        <f>H327/$J$327</f>
        <v>0.25925925925925924</v>
      </c>
      <c r="I328" s="115">
        <f>I327/$J$327</f>
        <v>0</v>
      </c>
      <c r="J328" s="115">
        <f>SUM(E328:I328)</f>
        <v>1</v>
      </c>
      <c r="K328" s="12"/>
      <c r="L328" s="12"/>
      <c r="M328" s="12"/>
      <c r="N328" s="12"/>
      <c r="O328" s="12"/>
      <c r="P328" s="12"/>
      <c r="S328" s="53"/>
    </row>
    <row r="329" spans="2:19" x14ac:dyDescent="0.2">
      <c r="B329" s="6"/>
      <c r="C329" s="216"/>
      <c r="D329" s="229"/>
      <c r="E329" s="229"/>
      <c r="F329" s="229"/>
      <c r="G329" s="229"/>
      <c r="H329" s="229"/>
      <c r="I329" s="229"/>
      <c r="J329" s="229"/>
      <c r="K329" s="12"/>
      <c r="L329" s="12"/>
      <c r="M329" s="12"/>
      <c r="N329" s="12"/>
      <c r="O329" s="12"/>
      <c r="P329" s="12"/>
      <c r="Q329" s="12"/>
      <c r="S329" s="53"/>
    </row>
    <row r="330" spans="2:19" x14ac:dyDescent="0.2">
      <c r="B330" s="6"/>
      <c r="C330" s="218"/>
      <c r="D330" s="217"/>
      <c r="E330" s="217"/>
      <c r="F330" s="217"/>
      <c r="G330" s="217"/>
      <c r="H330" s="217"/>
      <c r="I330" s="217"/>
      <c r="J330" s="217"/>
      <c r="K330" s="71"/>
      <c r="L330" s="71"/>
      <c r="M330" s="71"/>
      <c r="N330" s="12"/>
      <c r="O330" s="12"/>
      <c r="P330" s="12"/>
      <c r="Q330" s="12"/>
      <c r="S330" s="53"/>
    </row>
    <row r="331" spans="2:19" x14ac:dyDescent="0.2">
      <c r="B331" s="6"/>
      <c r="C331" s="126" t="s">
        <v>221</v>
      </c>
      <c r="D331" s="20" t="s">
        <v>218</v>
      </c>
      <c r="E331" s="16"/>
      <c r="F331" s="16"/>
      <c r="G331" s="16"/>
      <c r="H331" s="16"/>
      <c r="I331" s="16"/>
      <c r="J331" s="16"/>
      <c r="K331" s="12"/>
      <c r="M331" s="20" t="s">
        <v>219</v>
      </c>
      <c r="O331" s="12"/>
      <c r="P331" s="12"/>
      <c r="Q331" s="12"/>
      <c r="S331" s="53"/>
    </row>
    <row r="332" spans="2:19" x14ac:dyDescent="0.2">
      <c r="B332" s="41"/>
      <c r="C332" s="389"/>
      <c r="D332" s="390"/>
      <c r="E332" s="94" t="s">
        <v>123</v>
      </c>
      <c r="F332" s="94" t="s">
        <v>124</v>
      </c>
      <c r="G332" s="94" t="s">
        <v>125</v>
      </c>
      <c r="H332" s="94" t="s">
        <v>211</v>
      </c>
      <c r="I332" s="94" t="s">
        <v>212</v>
      </c>
      <c r="J332" s="94" t="s">
        <v>6</v>
      </c>
      <c r="K332" s="12"/>
      <c r="L332" s="12"/>
      <c r="M332" s="12"/>
      <c r="N332" s="12"/>
      <c r="O332" s="12"/>
      <c r="P332" s="12"/>
      <c r="S332" s="53"/>
    </row>
    <row r="333" spans="2:19" x14ac:dyDescent="0.2">
      <c r="B333" s="41"/>
      <c r="C333" s="391" t="s">
        <v>213</v>
      </c>
      <c r="D333" s="392"/>
      <c r="E333" s="113">
        <f>GETPIVOTDATA("Sum of 1 bed net",Pivot!$B$320,"Tenure","Open Market")</f>
        <v>184</v>
      </c>
      <c r="F333" s="113">
        <f>GETPIVOTDATA("Sum of 2 bed net",Pivot!$B$320,"Tenure","Open Market")</f>
        <v>231</v>
      </c>
      <c r="G333" s="113">
        <f>GETPIVOTDATA("Sum of 3 bed net",Pivot!$B$320,"Tenure","Open Market")</f>
        <v>79</v>
      </c>
      <c r="H333" s="113">
        <f>GETPIVOTDATA("Sum of 4 bed net",Pivot!$B$320,"Tenure","Open Market")+GETPIVOTDATA("Sum of 5 bed net",Pivot!$B$320,"Tenure","Open Market")+GETPIVOTDATA("Sum of 6 bed net",Pivot!$B$320,"Tenure","Open Market")+GETPIVOTDATA("Sum of 7 bed net",Pivot!$B$320,"Tenure","Open Market")</f>
        <v>66</v>
      </c>
      <c r="I333" s="113">
        <v>0</v>
      </c>
      <c r="J333" s="113">
        <f t="shared" ref="J333:J342" si="22">SUM(E333:I333)</f>
        <v>560</v>
      </c>
      <c r="K333" s="12"/>
      <c r="L333" s="12"/>
      <c r="M333" s="12"/>
      <c r="N333" s="12"/>
      <c r="O333" s="12"/>
      <c r="P333" s="12"/>
      <c r="S333" s="53"/>
    </row>
    <row r="334" spans="2:19" x14ac:dyDescent="0.2">
      <c r="B334" s="41"/>
      <c r="C334" s="391"/>
      <c r="D334" s="392"/>
      <c r="E334" s="114">
        <f>E333/$J$341</f>
        <v>0.20376522702104097</v>
      </c>
      <c r="F334" s="114">
        <f>F333/$J$341</f>
        <v>0.2558139534883721</v>
      </c>
      <c r="G334" s="114">
        <f>G333/$J$341</f>
        <v>8.7486157253599109E-2</v>
      </c>
      <c r="H334" s="114">
        <f>H333/$J$341</f>
        <v>7.3089700996677748E-2</v>
      </c>
      <c r="I334" s="114">
        <f>I333/$J$341</f>
        <v>0</v>
      </c>
      <c r="J334" s="114">
        <f>SUM(E334:I334)</f>
        <v>0.62015503875968991</v>
      </c>
      <c r="K334" s="12"/>
      <c r="L334" s="12"/>
      <c r="M334" s="12"/>
      <c r="N334" s="12"/>
      <c r="O334" s="12"/>
      <c r="P334" s="12"/>
      <c r="S334" s="53"/>
    </row>
    <row r="335" spans="2:19" x14ac:dyDescent="0.2">
      <c r="B335" s="41"/>
      <c r="C335" s="391" t="s">
        <v>220</v>
      </c>
      <c r="D335" s="392"/>
      <c r="E335" s="113">
        <f>GETPIVOTDATA("Sum of 1 bed net",Pivot!$B$320,"Tenure","Intermediate")+GETPIVOTDATA("Sum of 1 bed net",Pivot!$B$320,"Tenure","Shared Ownership")</f>
        <v>66</v>
      </c>
      <c r="F335" s="113">
        <f>GETPIVOTDATA("Sum of 2 bed net",Pivot!$B$320,"Tenure","Intermediate")+GETPIVOTDATA("Sum of 2 bed net",Pivot!$B$320,"Tenure","Shared Ownership")</f>
        <v>82</v>
      </c>
      <c r="G335" s="113">
        <f>GETPIVOTDATA("Sum of 3 bed net",Pivot!$B$320,"Tenure","Intermediate")+GETPIVOTDATA("Sum of 3 bed net",Pivot!$B$320,"Tenure","Shared Ownership")</f>
        <v>14</v>
      </c>
      <c r="H335" s="113">
        <v>0</v>
      </c>
      <c r="I335" s="113">
        <v>0</v>
      </c>
      <c r="J335" s="113">
        <f t="shared" si="22"/>
        <v>162</v>
      </c>
      <c r="K335" s="12"/>
      <c r="L335" s="12"/>
      <c r="M335" s="12"/>
      <c r="N335" s="12"/>
      <c r="O335" s="12"/>
      <c r="P335" s="12"/>
      <c r="S335" s="53"/>
    </row>
    <row r="336" spans="2:19" x14ac:dyDescent="0.2">
      <c r="B336" s="41"/>
      <c r="C336" s="391"/>
      <c r="D336" s="392"/>
      <c r="E336" s="114">
        <f>E335/$J$341</f>
        <v>7.3089700996677748E-2</v>
      </c>
      <c r="F336" s="114">
        <f>F335/$J$341</f>
        <v>9.0808416389811741E-2</v>
      </c>
      <c r="G336" s="114">
        <f>G335/$J$341</f>
        <v>1.5503875968992248E-2</v>
      </c>
      <c r="H336" s="114">
        <f>H335/$J$341</f>
        <v>0</v>
      </c>
      <c r="I336" s="114">
        <f>I335/$J$341</f>
        <v>0</v>
      </c>
      <c r="J336" s="114">
        <f t="shared" si="22"/>
        <v>0.17940199335548174</v>
      </c>
      <c r="K336" s="12"/>
      <c r="L336" s="12"/>
      <c r="M336" s="12"/>
      <c r="N336" s="12"/>
      <c r="O336" s="12"/>
      <c r="P336" s="12"/>
      <c r="S336" s="53"/>
    </row>
    <row r="337" spans="2:19" x14ac:dyDescent="0.2">
      <c r="B337" s="41"/>
      <c r="C337" s="391" t="s">
        <v>215</v>
      </c>
      <c r="D337" s="392"/>
      <c r="E337" s="113">
        <f>GETPIVOTDATA("Sum of 1 bed net",Pivot!$B$320,"Tenure","Affordable rent")+GETPIVOTDATA("Sum of 1 bed net",Pivot!$B$320,"Tenure","London Affordable Rent")+GETPIVOTDATA("Sum of 1 bed net",Pivot!$B$320,"Tenure","London Living rent")</f>
        <v>-29</v>
      </c>
      <c r="F337" s="113">
        <f>GETPIVOTDATA("Sum of 2 bed net",Pivot!$B$320,"Tenure","Affordable rent")+GETPIVOTDATA("Sum of 2 bed net",Pivot!$B$320,"Tenure","London Affordable Rent")+GETPIVOTDATA("Sum of 2 bed net",Pivot!$B$320,"Tenure","London Living rent")</f>
        <v>4</v>
      </c>
      <c r="G337" s="113">
        <f>GETPIVOTDATA("Sum of 3 bed net",Pivot!$B$320,"Tenure","Affordable rent")+GETPIVOTDATA("Sum of 3 bed net",Pivot!$B$320,"Tenure","London Affordable Rent")+GETPIVOTDATA("Sum of 3 bed net",Pivot!$B$320,"Tenure","London Living rent")</f>
        <v>3</v>
      </c>
      <c r="H337" s="113">
        <f>GETPIVOTDATA("Sum of 4 bed net",Pivot!$B$320,"Tenure","Affordable rent")+GETPIVOTDATA("Sum of 4 bed net",Pivot!$B$320,"Tenure","London Affordable Rent")+GETPIVOTDATA("Sum of 4 bed net",Pivot!$B$320,"Tenure","London Living rent")</f>
        <v>0</v>
      </c>
      <c r="I337" s="113">
        <v>0</v>
      </c>
      <c r="J337" s="113">
        <f t="shared" si="22"/>
        <v>-22</v>
      </c>
      <c r="K337" s="12"/>
      <c r="L337" s="12"/>
      <c r="M337" s="12"/>
      <c r="N337" s="12"/>
      <c r="O337" s="12"/>
      <c r="P337" s="12"/>
      <c r="S337" s="53"/>
    </row>
    <row r="338" spans="2:19" x14ac:dyDescent="0.2">
      <c r="B338" s="41"/>
      <c r="C338" s="391"/>
      <c r="D338" s="392"/>
      <c r="E338" s="114">
        <f>E337/$J$341</f>
        <v>-3.2115171650055369E-2</v>
      </c>
      <c r="F338" s="114">
        <f>F337/$J$341</f>
        <v>4.4296788482834993E-3</v>
      </c>
      <c r="G338" s="114">
        <f>G337/$J$341</f>
        <v>3.3222591362126247E-3</v>
      </c>
      <c r="H338" s="114">
        <f>H337/$J$341</f>
        <v>0</v>
      </c>
      <c r="I338" s="114">
        <f>I337/$J$341</f>
        <v>0</v>
      </c>
      <c r="J338" s="114">
        <f t="shared" si="22"/>
        <v>-2.4363233665559245E-2</v>
      </c>
      <c r="K338" s="12"/>
      <c r="L338" s="12"/>
      <c r="M338" s="12"/>
      <c r="N338" s="12"/>
      <c r="O338" s="12"/>
      <c r="P338" s="12"/>
      <c r="S338" s="53"/>
    </row>
    <row r="339" spans="2:19" x14ac:dyDescent="0.2">
      <c r="B339" s="41"/>
      <c r="C339" s="391" t="s">
        <v>216</v>
      </c>
      <c r="D339" s="392"/>
      <c r="E339" s="113">
        <f>GETPIVOTDATA("Sum of 1 bed net",Pivot!$B$320,"Tenure","Social Rent")</f>
        <v>129</v>
      </c>
      <c r="F339" s="113">
        <f>GETPIVOTDATA("Sum of 2 bed net",Pivot!$B$320,"Tenure","Social Rent")</f>
        <v>54</v>
      </c>
      <c r="G339" s="113">
        <f>GETPIVOTDATA("Sum of 3 bed net",Pivot!$B$320,"Tenure","Social Rent")</f>
        <v>20</v>
      </c>
      <c r="H339" s="113">
        <v>0</v>
      </c>
      <c r="I339" s="113">
        <v>0</v>
      </c>
      <c r="J339" s="113">
        <f t="shared" si="22"/>
        <v>203</v>
      </c>
      <c r="K339" s="12"/>
      <c r="L339" s="12"/>
      <c r="M339" s="12"/>
      <c r="N339" s="12"/>
      <c r="O339" s="12"/>
      <c r="P339" s="12"/>
      <c r="S339" s="53"/>
    </row>
    <row r="340" spans="2:19" x14ac:dyDescent="0.2">
      <c r="B340" s="41"/>
      <c r="C340" s="391"/>
      <c r="D340" s="392"/>
      <c r="E340" s="114">
        <f>E339/$J$341</f>
        <v>0.14285714285714285</v>
      </c>
      <c r="F340" s="114">
        <f>F339/$J$341</f>
        <v>5.9800664451827246E-2</v>
      </c>
      <c r="G340" s="114">
        <f>G339/$J$341</f>
        <v>2.2148394241417499E-2</v>
      </c>
      <c r="H340" s="114">
        <f>H339/$J$341</f>
        <v>0</v>
      </c>
      <c r="I340" s="114">
        <f>I339/$J$341</f>
        <v>0</v>
      </c>
      <c r="J340" s="114">
        <f t="shared" si="22"/>
        <v>0.22480620155038761</v>
      </c>
      <c r="K340" s="12"/>
      <c r="L340" s="12"/>
      <c r="M340" s="12"/>
      <c r="N340" s="12"/>
      <c r="O340" s="12"/>
      <c r="P340" s="12"/>
      <c r="S340" s="53"/>
    </row>
    <row r="341" spans="2:19" x14ac:dyDescent="0.2">
      <c r="B341" s="41"/>
      <c r="C341" s="386" t="s">
        <v>6</v>
      </c>
      <c r="D341" s="387"/>
      <c r="E341" s="95">
        <f>E333+E335+E337+E339</f>
        <v>350</v>
      </c>
      <c r="F341" s="95">
        <f>F333+F335+F337+F339</f>
        <v>371</v>
      </c>
      <c r="G341" s="95">
        <f>G333+G335+G337+G339</f>
        <v>116</v>
      </c>
      <c r="H341" s="95">
        <f>H333+H335+H337+H339</f>
        <v>66</v>
      </c>
      <c r="I341" s="95">
        <f>I333+I335+I337+I339</f>
        <v>0</v>
      </c>
      <c r="J341" s="95">
        <f>SUM(E341:I341)</f>
        <v>903</v>
      </c>
      <c r="K341" s="17"/>
      <c r="L341" s="12"/>
      <c r="M341" s="12"/>
      <c r="N341" s="12"/>
      <c r="O341" s="12"/>
      <c r="P341" s="12"/>
      <c r="S341" s="53"/>
    </row>
    <row r="342" spans="2:19" x14ac:dyDescent="0.2">
      <c r="B342" s="41"/>
      <c r="C342" s="386"/>
      <c r="D342" s="387"/>
      <c r="E342" s="115">
        <f>E341/$J$341</f>
        <v>0.38759689922480622</v>
      </c>
      <c r="F342" s="115">
        <f>F341/$J$341</f>
        <v>0.41085271317829458</v>
      </c>
      <c r="G342" s="115">
        <f>G341/$J$341</f>
        <v>0.12846068660022147</v>
      </c>
      <c r="H342" s="115">
        <f>H341/$J$341</f>
        <v>7.3089700996677748E-2</v>
      </c>
      <c r="I342" s="115">
        <f>I341/$J$341</f>
        <v>0</v>
      </c>
      <c r="J342" s="115">
        <f t="shared" si="22"/>
        <v>1</v>
      </c>
      <c r="K342" s="12"/>
      <c r="L342" s="12"/>
      <c r="M342" s="12"/>
      <c r="N342" s="12"/>
      <c r="O342" s="12"/>
      <c r="P342" s="12"/>
      <c r="S342" s="53"/>
    </row>
    <row r="343" spans="2:19" x14ac:dyDescent="0.2">
      <c r="B343" s="6"/>
      <c r="C343" s="16"/>
      <c r="D343" s="119"/>
      <c r="E343" s="119"/>
      <c r="F343" s="119"/>
      <c r="G343" s="119"/>
      <c r="H343" s="119"/>
      <c r="I343" s="119"/>
      <c r="J343" s="119"/>
      <c r="K343" s="12"/>
      <c r="L343" s="12"/>
      <c r="M343" s="12"/>
      <c r="N343" s="12"/>
      <c r="O343" s="12"/>
      <c r="P343" s="12"/>
      <c r="Q343" s="12"/>
      <c r="S343" s="53"/>
    </row>
    <row r="344" spans="2:19" x14ac:dyDescent="0.2">
      <c r="B344" s="6"/>
      <c r="C344" s="16"/>
      <c r="D344" s="119"/>
      <c r="E344" s="119"/>
      <c r="F344" s="119"/>
      <c r="G344" s="119"/>
      <c r="H344" s="119"/>
      <c r="I344" s="119"/>
      <c r="J344" s="119"/>
      <c r="K344" s="12"/>
      <c r="L344" s="12"/>
      <c r="M344" s="12"/>
      <c r="N344" s="12"/>
      <c r="O344" s="12"/>
      <c r="P344" s="12"/>
      <c r="Q344" s="12"/>
      <c r="S344" s="53"/>
    </row>
    <row r="345" spans="2:19" x14ac:dyDescent="0.2">
      <c r="B345" s="6"/>
      <c r="C345" s="25"/>
      <c r="D345" s="119"/>
      <c r="E345" s="119"/>
      <c r="F345" s="119"/>
      <c r="G345" s="119"/>
      <c r="H345" s="119"/>
      <c r="I345" s="119"/>
      <c r="J345" s="119"/>
      <c r="K345" s="12"/>
      <c r="L345" s="12"/>
      <c r="M345" s="12"/>
      <c r="N345" s="12"/>
      <c r="O345" s="12"/>
      <c r="P345" s="12"/>
      <c r="Q345" s="12"/>
      <c r="S345" s="53"/>
    </row>
    <row r="346" spans="2:19" x14ac:dyDescent="0.2">
      <c r="B346" s="6"/>
      <c r="C346" s="126" t="s">
        <v>225</v>
      </c>
      <c r="D346" s="20" t="s">
        <v>222</v>
      </c>
      <c r="E346" s="16"/>
      <c r="F346" s="16"/>
      <c r="G346" s="16"/>
      <c r="H346" s="16"/>
      <c r="I346" s="16"/>
      <c r="J346" s="16"/>
      <c r="K346" s="12"/>
      <c r="M346" s="112" t="s">
        <v>223</v>
      </c>
      <c r="O346" s="12"/>
      <c r="P346" s="12"/>
      <c r="Q346" s="12"/>
      <c r="S346" s="53"/>
    </row>
    <row r="347" spans="2:19" x14ac:dyDescent="0.2">
      <c r="B347" s="41"/>
      <c r="C347" s="389"/>
      <c r="D347" s="390"/>
      <c r="E347" s="94" t="s">
        <v>123</v>
      </c>
      <c r="F347" s="94" t="s">
        <v>124</v>
      </c>
      <c r="G347" s="94" t="s">
        <v>125</v>
      </c>
      <c r="H347" s="94" t="s">
        <v>211</v>
      </c>
      <c r="I347" s="94" t="s">
        <v>212</v>
      </c>
      <c r="J347" s="94" t="s">
        <v>6</v>
      </c>
      <c r="K347" s="12"/>
      <c r="L347" s="12"/>
      <c r="M347" s="12"/>
      <c r="N347" s="12"/>
      <c r="O347" s="12"/>
      <c r="P347" s="12"/>
      <c r="S347" s="53"/>
    </row>
    <row r="348" spans="2:19" x14ac:dyDescent="0.2">
      <c r="B348" s="41"/>
      <c r="C348" s="391" t="s">
        <v>213</v>
      </c>
      <c r="D348" s="392"/>
      <c r="E348" s="113">
        <f>GETPIVOTDATA("Sum of 1 bed net",Pivot!$B$337,"Tenure","Open Market")</f>
        <v>162</v>
      </c>
      <c r="F348" s="113">
        <f>GETPIVOTDATA("Sum of 2 bed net",Pivot!$B$337,"Tenure","Open Market")</f>
        <v>190</v>
      </c>
      <c r="G348" s="113">
        <f>GETPIVOTDATA("Sum of 3 bed net",Pivot!$B$337,"Tenure","Open Market")</f>
        <v>18</v>
      </c>
      <c r="H348" s="113">
        <f>GETPIVOTDATA("Sum of 4 bed net",Pivot!$B$337,"Tenure","Open Market")+GETPIVOTDATA("Sum of 5 bed net",Pivot!$B$337,"Tenure","Open Market")+GETPIVOTDATA("Sum of 6 bed net",Pivot!$B$337,"Tenure","Open Market")</f>
        <v>21</v>
      </c>
      <c r="I348" s="113">
        <v>0</v>
      </c>
      <c r="J348" s="113">
        <f t="shared" ref="J348:J355" si="23">SUM(E348:I348)</f>
        <v>391</v>
      </c>
      <c r="K348" s="12"/>
      <c r="L348" s="12"/>
      <c r="M348" s="12"/>
      <c r="N348" s="12"/>
      <c r="O348" s="12"/>
      <c r="P348" s="12"/>
      <c r="S348" s="53"/>
    </row>
    <row r="349" spans="2:19" x14ac:dyDescent="0.2">
      <c r="B349" s="41"/>
      <c r="C349" s="391"/>
      <c r="D349" s="392"/>
      <c r="E349" s="114">
        <f>E348/$J$356</f>
        <v>0.32142857142857145</v>
      </c>
      <c r="F349" s="114">
        <f t="shared" ref="F349:I349" si="24">F348/$J$356</f>
        <v>0.37698412698412698</v>
      </c>
      <c r="G349" s="114">
        <f t="shared" si="24"/>
        <v>3.5714285714285712E-2</v>
      </c>
      <c r="H349" s="114">
        <f t="shared" si="24"/>
        <v>4.1666666666666664E-2</v>
      </c>
      <c r="I349" s="114">
        <f t="shared" si="24"/>
        <v>0</v>
      </c>
      <c r="J349" s="114">
        <f t="shared" si="23"/>
        <v>0.7757936507936507</v>
      </c>
      <c r="K349" s="12"/>
      <c r="L349" s="12"/>
      <c r="M349" s="12"/>
      <c r="N349" s="12"/>
      <c r="O349" s="12"/>
      <c r="P349" s="12"/>
      <c r="S349" s="53"/>
    </row>
    <row r="350" spans="2:19" x14ac:dyDescent="0.2">
      <c r="B350" s="41"/>
      <c r="C350" s="391" t="s">
        <v>220</v>
      </c>
      <c r="D350" s="392"/>
      <c r="E350" s="113">
        <f>GETPIVOTDATA("Sum of 1 bed net",Pivot!$B$337,"Tenure","Intermediate")+GETPIVOTDATA("Sum of 1 bed net",Pivot!$B$337,"Tenure","Shared Ownership")</f>
        <v>3</v>
      </c>
      <c r="F350" s="113">
        <f>GETPIVOTDATA("Sum of 2 bed net",Pivot!$B$337,"Tenure","Intermediate")+GETPIVOTDATA("Sum of 2 bed net",Pivot!$B$337,"Tenure","Shared Ownership")</f>
        <v>35</v>
      </c>
      <c r="G350" s="113">
        <f>GETPIVOTDATA("Sum of 3 bed net",Pivot!$B$337,"Tenure","Intermediate")+GETPIVOTDATA("Sum of 3 bed net",Pivot!$B$337,"Tenure","Shared Ownership")</f>
        <v>0</v>
      </c>
      <c r="H350" s="113">
        <f>GETPIVOTDATA("Sum of 4 bed net",Pivot!$B$337,"Tenure","Intermediate")</f>
        <v>0</v>
      </c>
      <c r="I350" s="113">
        <v>0</v>
      </c>
      <c r="J350" s="113">
        <f t="shared" si="23"/>
        <v>38</v>
      </c>
      <c r="K350" s="12"/>
      <c r="L350" s="12"/>
      <c r="M350" s="12"/>
      <c r="N350" s="12"/>
      <c r="O350" s="12"/>
      <c r="P350" s="12"/>
      <c r="S350" s="53"/>
    </row>
    <row r="351" spans="2:19" x14ac:dyDescent="0.2">
      <c r="B351" s="41"/>
      <c r="C351" s="391"/>
      <c r="D351" s="392"/>
      <c r="E351" s="114">
        <f>E350/$J$356</f>
        <v>5.9523809523809521E-3</v>
      </c>
      <c r="F351" s="114">
        <f t="shared" ref="F351:I351" si="25">F350/$J$356</f>
        <v>6.9444444444444448E-2</v>
      </c>
      <c r="G351" s="114">
        <f t="shared" si="25"/>
        <v>0</v>
      </c>
      <c r="H351" s="114">
        <f>H350/$J$356</f>
        <v>0</v>
      </c>
      <c r="I351" s="114">
        <f t="shared" si="25"/>
        <v>0</v>
      </c>
      <c r="J351" s="114">
        <f t="shared" si="23"/>
        <v>7.5396825396825407E-2</v>
      </c>
      <c r="K351" s="12"/>
      <c r="L351" s="12"/>
      <c r="M351" s="12"/>
      <c r="N351" s="12"/>
      <c r="O351" s="12"/>
      <c r="P351" s="12"/>
      <c r="S351" s="53"/>
    </row>
    <row r="352" spans="2:19" x14ac:dyDescent="0.2">
      <c r="B352" s="41"/>
      <c r="C352" s="391" t="s">
        <v>215</v>
      </c>
      <c r="D352" s="392"/>
      <c r="E352" s="113">
        <f>GETPIVOTDATA("Sum of 1 bed net",Pivot!$B$337,"Tenure","Affordable rent")+GETPIVOTDATA("Sum of 1 bed net",Pivot!$B$337,"Tenure","London Living rent")</f>
        <v>36</v>
      </c>
      <c r="F352" s="113">
        <f>GETPIVOTDATA("Sum of 2 bed net",Pivot!$B$337,"Tenure","Affordable rent")+GETPIVOTDATA("Sum of 2 bed net",Pivot!$B$337,"Tenure","London Living rent")</f>
        <v>21</v>
      </c>
      <c r="G352" s="113">
        <f>GETPIVOTDATA("Sum of 3 bed net",Pivot!$B$337,"Tenure","Affordable rent")+GETPIVOTDATA("Sum of 3 bed net",Pivot!$B$337,"Tenure","London Living rent")</f>
        <v>1</v>
      </c>
      <c r="H352" s="113">
        <v>0</v>
      </c>
      <c r="I352" s="113">
        <v>0</v>
      </c>
      <c r="J352" s="113">
        <f t="shared" si="23"/>
        <v>58</v>
      </c>
      <c r="K352" s="12"/>
      <c r="L352" s="12"/>
      <c r="M352" s="12"/>
      <c r="N352" s="12"/>
      <c r="O352" s="12"/>
      <c r="P352" s="12"/>
      <c r="S352" s="53"/>
    </row>
    <row r="353" spans="2:19" x14ac:dyDescent="0.2">
      <c r="B353" s="41"/>
      <c r="C353" s="391"/>
      <c r="D353" s="392"/>
      <c r="E353" s="114">
        <f>E352/$J$356</f>
        <v>7.1428571428571425E-2</v>
      </c>
      <c r="F353" s="114">
        <f t="shared" ref="F353:I353" si="26">F352/$J$356</f>
        <v>4.1666666666666664E-2</v>
      </c>
      <c r="G353" s="114">
        <f t="shared" si="26"/>
        <v>1.984126984126984E-3</v>
      </c>
      <c r="H353" s="114">
        <f t="shared" si="26"/>
        <v>0</v>
      </c>
      <c r="I353" s="114">
        <f t="shared" si="26"/>
        <v>0</v>
      </c>
      <c r="J353" s="114">
        <f t="shared" si="23"/>
        <v>0.11507936507936506</v>
      </c>
      <c r="K353" s="12"/>
      <c r="L353" s="12"/>
      <c r="M353" s="12"/>
      <c r="N353" s="12"/>
      <c r="O353" s="12"/>
      <c r="P353" s="12"/>
      <c r="S353" s="53"/>
    </row>
    <row r="354" spans="2:19" x14ac:dyDescent="0.2">
      <c r="B354" s="41"/>
      <c r="C354" s="391" t="s">
        <v>216</v>
      </c>
      <c r="D354" s="392"/>
      <c r="E354" s="113">
        <f>GETPIVOTDATA("Sum of 1 bed net",Pivot!$B$337,"Tenure","Social Rent")</f>
        <v>10</v>
      </c>
      <c r="F354" s="113">
        <f>GETPIVOTDATA("Sum of 2 bed net",Pivot!$B$337,"Tenure","Social Rent")</f>
        <v>1</v>
      </c>
      <c r="G354" s="113">
        <f>GETPIVOTDATA("Sum of 3 bed net",Pivot!$B$337,"Tenure","Social Rent")</f>
        <v>3</v>
      </c>
      <c r="H354" s="113">
        <f>GETPIVOTDATA("Sum of 4 bed net",Pivot!$B$337,"Tenure","Social Rent")</f>
        <v>3</v>
      </c>
      <c r="I354" s="113">
        <v>0</v>
      </c>
      <c r="J354" s="113">
        <f t="shared" si="23"/>
        <v>17</v>
      </c>
      <c r="K354" s="12"/>
      <c r="L354" s="12"/>
      <c r="M354" s="12"/>
      <c r="N354" s="12"/>
      <c r="O354" s="12"/>
      <c r="P354" s="12"/>
      <c r="S354" s="53"/>
    </row>
    <row r="355" spans="2:19" x14ac:dyDescent="0.2">
      <c r="B355" s="41"/>
      <c r="C355" s="391"/>
      <c r="D355" s="392"/>
      <c r="E355" s="114">
        <f>E354/$J$356</f>
        <v>1.984126984126984E-2</v>
      </c>
      <c r="F355" s="114">
        <f t="shared" ref="F355:I355" si="27">F354/$J$356</f>
        <v>1.984126984126984E-3</v>
      </c>
      <c r="G355" s="114">
        <f t="shared" si="27"/>
        <v>5.9523809523809521E-3</v>
      </c>
      <c r="H355" s="114">
        <f t="shared" si="27"/>
        <v>5.9523809523809521E-3</v>
      </c>
      <c r="I355" s="114">
        <f t="shared" si="27"/>
        <v>0</v>
      </c>
      <c r="J355" s="114">
        <f t="shared" si="23"/>
        <v>3.3730158730158728E-2</v>
      </c>
      <c r="K355" s="12"/>
      <c r="L355" s="12"/>
      <c r="M355" s="12"/>
      <c r="N355" s="12"/>
      <c r="O355" s="12"/>
      <c r="P355" s="12"/>
      <c r="S355" s="53"/>
    </row>
    <row r="356" spans="2:19" x14ac:dyDescent="0.2">
      <c r="B356" s="41"/>
      <c r="C356" s="386" t="s">
        <v>6</v>
      </c>
      <c r="D356" s="387"/>
      <c r="E356" s="95">
        <f>E348+E350+E352+E354</f>
        <v>211</v>
      </c>
      <c r="F356" s="95">
        <f t="shared" ref="F356:I356" si="28">F348+F350+F352+F354</f>
        <v>247</v>
      </c>
      <c r="G356" s="95">
        <f>G348+G350+G352+G354</f>
        <v>22</v>
      </c>
      <c r="H356" s="95">
        <f>H348+H350+H352+H354</f>
        <v>24</v>
      </c>
      <c r="I356" s="95">
        <f t="shared" si="28"/>
        <v>0</v>
      </c>
      <c r="J356" s="95">
        <f>SUM(E356:I356)</f>
        <v>504</v>
      </c>
      <c r="K356" s="17"/>
      <c r="L356" s="12"/>
      <c r="M356" s="12"/>
      <c r="N356" s="12"/>
      <c r="O356" s="12"/>
      <c r="P356" s="12"/>
      <c r="S356" s="53"/>
    </row>
    <row r="357" spans="2:19" x14ac:dyDescent="0.2">
      <c r="B357" s="41"/>
      <c r="C357" s="386"/>
      <c r="D357" s="387"/>
      <c r="E357" s="115">
        <f>E356/$J$356</f>
        <v>0.41865079365079366</v>
      </c>
      <c r="F357" s="115">
        <f>F356/$J$356</f>
        <v>0.49007936507936506</v>
      </c>
      <c r="G357" s="115">
        <f>G356/$J$356</f>
        <v>4.3650793650793648E-2</v>
      </c>
      <c r="H357" s="115">
        <f>H356/$J$356</f>
        <v>4.7619047619047616E-2</v>
      </c>
      <c r="I357" s="115">
        <f>I356/$J$356</f>
        <v>0</v>
      </c>
      <c r="J357" s="115">
        <f>SUM(E357:I357)</f>
        <v>1</v>
      </c>
      <c r="K357" s="12"/>
      <c r="L357" s="12"/>
      <c r="M357" s="12"/>
      <c r="N357" s="12"/>
      <c r="O357" s="12"/>
      <c r="P357" s="12"/>
      <c r="S357" s="53"/>
    </row>
    <row r="358" spans="2:19" x14ac:dyDescent="0.2">
      <c r="B358" s="6"/>
      <c r="C358" s="12"/>
      <c r="D358" s="116"/>
      <c r="E358" s="116"/>
      <c r="F358" s="116"/>
      <c r="G358" s="116"/>
      <c r="H358" s="116"/>
      <c r="I358" s="116"/>
      <c r="J358" s="116"/>
      <c r="K358" s="12"/>
      <c r="L358" s="12"/>
      <c r="M358" s="12"/>
      <c r="N358" s="12"/>
      <c r="O358" s="12"/>
      <c r="P358" s="12"/>
      <c r="Q358" s="12"/>
      <c r="S358" s="53"/>
    </row>
    <row r="359" spans="2:19" x14ac:dyDescent="0.2">
      <c r="B359" s="6"/>
      <c r="C359" s="12"/>
      <c r="D359" s="116"/>
      <c r="E359" s="116"/>
      <c r="F359" s="116"/>
      <c r="G359" s="116"/>
      <c r="H359" s="116"/>
      <c r="I359" s="116"/>
      <c r="J359" s="116"/>
      <c r="K359" s="12"/>
      <c r="L359" s="12"/>
      <c r="M359" s="12"/>
      <c r="N359" s="12"/>
      <c r="O359" s="12"/>
      <c r="P359" s="12"/>
      <c r="Q359" s="12"/>
      <c r="S359" s="53"/>
    </row>
    <row r="360" spans="2:19" x14ac:dyDescent="0.2">
      <c r="B360" s="47"/>
      <c r="C360" s="65"/>
      <c r="D360" s="117"/>
      <c r="E360" s="117"/>
      <c r="F360" s="117"/>
      <c r="G360" s="117"/>
      <c r="H360" s="117"/>
      <c r="I360" s="117"/>
      <c r="J360" s="117"/>
      <c r="K360" s="65"/>
      <c r="L360" s="65"/>
      <c r="M360" s="65"/>
      <c r="N360" s="65"/>
      <c r="O360" s="65"/>
      <c r="P360" s="65"/>
      <c r="Q360" s="65"/>
      <c r="R360" s="66"/>
      <c r="S360" s="67"/>
    </row>
    <row r="361" spans="2:19" x14ac:dyDescent="0.2">
      <c r="B361" s="51"/>
      <c r="C361" s="5"/>
      <c r="D361" s="118"/>
      <c r="E361" s="118"/>
      <c r="F361" s="118"/>
      <c r="G361" s="118"/>
      <c r="H361" s="118"/>
      <c r="I361" s="118"/>
      <c r="J361" s="118"/>
      <c r="K361" s="5"/>
      <c r="L361" s="5"/>
      <c r="M361" s="5"/>
      <c r="N361" s="5"/>
      <c r="O361" s="5"/>
      <c r="P361" s="5"/>
      <c r="Q361" s="5"/>
      <c r="R361" s="4"/>
      <c r="S361" s="68"/>
    </row>
    <row r="362" spans="2:19" ht="20.25" x14ac:dyDescent="0.3">
      <c r="B362" s="6"/>
      <c r="C362" s="69" t="s">
        <v>224</v>
      </c>
      <c r="D362" s="119"/>
      <c r="E362" s="119"/>
      <c r="F362" s="119"/>
      <c r="G362" s="119"/>
      <c r="H362" s="119"/>
      <c r="I362" s="119"/>
      <c r="J362" s="119"/>
      <c r="K362" s="16"/>
      <c r="L362" s="16"/>
      <c r="M362" s="12"/>
      <c r="N362" s="12"/>
      <c r="O362" s="12"/>
      <c r="P362" s="12"/>
      <c r="Q362" s="12"/>
      <c r="S362" s="53"/>
    </row>
    <row r="363" spans="2:19" x14ac:dyDescent="0.2">
      <c r="B363" s="6"/>
      <c r="C363" s="16"/>
      <c r="D363" s="119"/>
      <c r="E363" s="119"/>
      <c r="F363" s="119"/>
      <c r="G363" s="119"/>
      <c r="H363" s="119"/>
      <c r="I363" s="119"/>
      <c r="J363" s="119"/>
      <c r="K363" s="16"/>
      <c r="L363" s="16"/>
      <c r="M363" s="12"/>
      <c r="N363" s="12"/>
      <c r="O363" s="12"/>
      <c r="P363" s="12"/>
      <c r="Q363" s="12"/>
      <c r="S363" s="53"/>
    </row>
    <row r="364" spans="2:19" x14ac:dyDescent="0.2">
      <c r="B364" s="6"/>
      <c r="C364" s="126" t="s">
        <v>234</v>
      </c>
      <c r="D364" s="20" t="s">
        <v>226</v>
      </c>
      <c r="E364" s="120"/>
      <c r="F364" s="120"/>
      <c r="G364" s="120"/>
      <c r="H364" s="120"/>
      <c r="I364" s="120"/>
      <c r="J364" s="120"/>
      <c r="K364" s="121"/>
      <c r="L364" s="121"/>
      <c r="M364" s="12"/>
      <c r="N364" s="12"/>
      <c r="O364" s="12"/>
      <c r="P364" s="12"/>
      <c r="Q364" s="12"/>
      <c r="S364" s="53"/>
    </row>
    <row r="365" spans="2:19" x14ac:dyDescent="0.2">
      <c r="B365" s="41"/>
      <c r="C365" s="377" t="s">
        <v>227</v>
      </c>
      <c r="D365" s="377"/>
      <c r="E365" s="377"/>
      <c r="F365" s="377"/>
      <c r="G365" s="377"/>
      <c r="H365" s="377"/>
      <c r="I365" s="377"/>
      <c r="J365" s="377"/>
      <c r="K365" s="377"/>
      <c r="L365" s="377"/>
      <c r="M365" s="12"/>
      <c r="N365" s="12"/>
      <c r="O365" s="12"/>
      <c r="P365" s="12"/>
      <c r="S365" s="53"/>
    </row>
    <row r="366" spans="2:19" ht="39" x14ac:dyDescent="0.2">
      <c r="B366" s="41"/>
      <c r="C366" s="388" t="s">
        <v>164</v>
      </c>
      <c r="D366" s="385"/>
      <c r="E366" s="385"/>
      <c r="F366" s="122" t="s">
        <v>228</v>
      </c>
      <c r="G366" s="122" t="s">
        <v>69</v>
      </c>
      <c r="H366" s="122" t="s">
        <v>229</v>
      </c>
      <c r="I366" s="122" t="s">
        <v>230</v>
      </c>
      <c r="J366" s="122" t="s">
        <v>231</v>
      </c>
      <c r="K366" s="122" t="s">
        <v>232</v>
      </c>
      <c r="L366" s="123" t="s">
        <v>6</v>
      </c>
      <c r="M366" s="12"/>
      <c r="N366" s="12"/>
      <c r="O366" s="12"/>
      <c r="P366" s="12"/>
      <c r="S366" s="53"/>
    </row>
    <row r="367" spans="2:19" x14ac:dyDescent="0.2">
      <c r="B367" s="41"/>
      <c r="C367" s="378" t="s">
        <v>167</v>
      </c>
      <c r="D367" s="379"/>
      <c r="E367" s="379"/>
      <c r="F367" s="110">
        <f>GETPIVOTDATA("Net Dwellings",Pivot!$B$356,"Ward_Name",C367)</f>
        <v>3</v>
      </c>
      <c r="G367" s="110">
        <f>GETPIVOTDATA("Net Dwellings",Pivot!$E$356,"Ward_Name",C367)</f>
        <v>0</v>
      </c>
      <c r="H367" s="110">
        <v>0</v>
      </c>
      <c r="I367" s="110">
        <f>GETPIVOTDATA("Net Dwellings",Pivot!$B$387,"Ward_Name",C367)</f>
        <v>0</v>
      </c>
      <c r="J367" s="110">
        <f>GETPIVOTDATA("Net Dwellings",Pivot!$K$388,"Ward_Name",C367)</f>
        <v>5</v>
      </c>
      <c r="K367" s="110">
        <v>0</v>
      </c>
      <c r="L367" s="124">
        <f>SUM(F367:K367)</f>
        <v>8</v>
      </c>
      <c r="M367" s="12"/>
      <c r="N367" s="12"/>
      <c r="O367" s="12"/>
      <c r="P367" s="12"/>
      <c r="S367" s="53"/>
    </row>
    <row r="368" spans="2:19" ht="12.75" customHeight="1" x14ac:dyDescent="0.2">
      <c r="B368" s="41"/>
      <c r="C368" s="378" t="s">
        <v>149</v>
      </c>
      <c r="D368" s="379"/>
      <c r="E368" s="379"/>
      <c r="F368" s="110">
        <f>GETPIVOTDATA("Net Dwellings",Pivot!$B$356,"Ward_Name",C368)</f>
        <v>2</v>
      </c>
      <c r="G368" s="110">
        <f>GETPIVOTDATA("Net Dwellings",Pivot!$E$356,"Ward_Name",C368)</f>
        <v>11</v>
      </c>
      <c r="H368" s="110">
        <f>GETPIVOTDATA("Net Dwellings",Pivot!$H$356,"Ward_Name",C368)</f>
        <v>3</v>
      </c>
      <c r="I368" s="110">
        <f>GETPIVOTDATA("Net Dwellings",Pivot!$B$387,"Ward_Name",C368)</f>
        <v>14</v>
      </c>
      <c r="J368" s="110">
        <f>GETPIVOTDATA("Net Dwellings",Pivot!$K$388,"Ward_Name",C368)</f>
        <v>15</v>
      </c>
      <c r="K368" s="110">
        <v>0</v>
      </c>
      <c r="L368" s="124">
        <f t="shared" ref="L368:L384" si="29">SUM(F368:K368)</f>
        <v>45</v>
      </c>
      <c r="M368" s="12"/>
      <c r="N368" s="12"/>
      <c r="O368" s="12"/>
      <c r="P368" s="12"/>
      <c r="S368" s="53"/>
    </row>
    <row r="369" spans="2:19" x14ac:dyDescent="0.2">
      <c r="B369" s="41"/>
      <c r="C369" s="378" t="s">
        <v>168</v>
      </c>
      <c r="D369" s="379"/>
      <c r="E369" s="379"/>
      <c r="F369" s="110">
        <f>GETPIVOTDATA("Net Dwellings",Pivot!$B$356,"Ward_Name",C369)</f>
        <v>39</v>
      </c>
      <c r="G369" s="110">
        <f>GETPIVOTDATA("Net Dwellings",Pivot!$E$356,"Ward_Name",C369)</f>
        <v>13</v>
      </c>
      <c r="H369" s="110">
        <f>GETPIVOTDATA("Net Dwellings",Pivot!$H$356,"Ward_Name",C369)</f>
        <v>5</v>
      </c>
      <c r="I369" s="110">
        <v>0</v>
      </c>
      <c r="J369" s="110">
        <f>GETPIVOTDATA("Net Dwellings",Pivot!$K$388,"Ward_Name",C369)</f>
        <v>31</v>
      </c>
      <c r="K369" s="110">
        <f>GETPIVOTDATA("Sum of 2025–2035 Total",Pivot!$B$431,"Ward_Name",C369)</f>
        <v>100</v>
      </c>
      <c r="L369" s="124">
        <f t="shared" si="29"/>
        <v>188</v>
      </c>
      <c r="M369" s="12"/>
      <c r="N369" s="12"/>
      <c r="O369" s="12"/>
      <c r="P369" s="12"/>
      <c r="S369" s="53"/>
    </row>
    <row r="370" spans="2:19" x14ac:dyDescent="0.2">
      <c r="B370" s="41"/>
      <c r="C370" s="380" t="s">
        <v>169</v>
      </c>
      <c r="D370" s="380"/>
      <c r="E370" s="378"/>
      <c r="F370" s="110">
        <f>GETPIVOTDATA("Net Dwellings",Pivot!$B$356,"Ward_Name",C370)</f>
        <v>264</v>
      </c>
      <c r="G370" s="110">
        <f>GETPIVOTDATA("Net Dwellings",Pivot!$E$356,"Ward_Name",C370)</f>
        <v>2</v>
      </c>
      <c r="H370" s="110">
        <f>GETPIVOTDATA("Net Dwellings",Pivot!$H$356,"Ward_Name",C370)</f>
        <v>0</v>
      </c>
      <c r="I370" s="110">
        <v>0</v>
      </c>
      <c r="J370" s="110">
        <v>0</v>
      </c>
      <c r="K370" s="110">
        <v>0</v>
      </c>
      <c r="L370" s="124">
        <f t="shared" si="29"/>
        <v>266</v>
      </c>
      <c r="M370" s="12"/>
      <c r="N370" s="12"/>
      <c r="O370" s="12"/>
      <c r="P370" s="12"/>
      <c r="S370" s="53"/>
    </row>
    <row r="371" spans="2:19" x14ac:dyDescent="0.2">
      <c r="B371" s="41"/>
      <c r="C371" s="378" t="s">
        <v>170</v>
      </c>
      <c r="D371" s="379"/>
      <c r="E371" s="379"/>
      <c r="F371" s="110">
        <f>GETPIVOTDATA("Net Dwellings",Pivot!$B$356,"Ward_Name",C371)</f>
        <v>2</v>
      </c>
      <c r="G371" s="110">
        <f>GETPIVOTDATA("Net Dwellings",Pivot!$E$356,"Ward_Name",C371)</f>
        <v>3</v>
      </c>
      <c r="H371" s="110">
        <f>GETPIVOTDATA("Net Dwellings",Pivot!$H$356,"Ward_Name",C371)</f>
        <v>7</v>
      </c>
      <c r="I371" s="110">
        <f>GETPIVOTDATA("Net Dwellings",Pivot!$B$387,"Ward_Name",C371)</f>
        <v>2</v>
      </c>
      <c r="J371" s="110">
        <f>GETPIVOTDATA("Net Dwellings",Pivot!$K$388,"Ward_Name",C371)</f>
        <v>3</v>
      </c>
      <c r="K371" s="110">
        <v>0</v>
      </c>
      <c r="L371" s="124">
        <f t="shared" si="29"/>
        <v>17</v>
      </c>
      <c r="M371" s="12"/>
      <c r="N371" s="12"/>
      <c r="O371" s="12"/>
      <c r="P371" s="12"/>
      <c r="S371" s="53"/>
    </row>
    <row r="372" spans="2:19" x14ac:dyDescent="0.2">
      <c r="B372" s="41"/>
      <c r="C372" s="378" t="s">
        <v>171</v>
      </c>
      <c r="D372" s="379"/>
      <c r="E372" s="379"/>
      <c r="F372" s="110">
        <f>GETPIVOTDATA("Net Dwellings",Pivot!$B$356,"Ward_Name",C372)</f>
        <v>1</v>
      </c>
      <c r="G372" s="110">
        <f>GETPIVOTDATA("Net Dwellings",Pivot!$E$356,"Ward_Name",C372)</f>
        <v>1</v>
      </c>
      <c r="H372" s="110">
        <v>0</v>
      </c>
      <c r="I372" s="110">
        <f>GETPIVOTDATA("Net Dwellings",Pivot!$B$387,"Ward_Name",C372)</f>
        <v>1</v>
      </c>
      <c r="J372" s="110">
        <v>0</v>
      </c>
      <c r="K372" s="110">
        <v>0</v>
      </c>
      <c r="L372" s="124">
        <f t="shared" si="29"/>
        <v>3</v>
      </c>
      <c r="M372" s="12"/>
      <c r="N372" s="12"/>
      <c r="O372" s="12"/>
      <c r="P372" s="12"/>
      <c r="S372" s="53"/>
    </row>
    <row r="373" spans="2:19" x14ac:dyDescent="0.2">
      <c r="B373" s="41"/>
      <c r="C373" s="378" t="s">
        <v>172</v>
      </c>
      <c r="D373" s="379"/>
      <c r="E373" s="379"/>
      <c r="F373" s="110">
        <f>GETPIVOTDATA("Net Dwellings",Pivot!$B$356,"Ward_Name",C373)</f>
        <v>17</v>
      </c>
      <c r="G373" s="110">
        <f>GETPIVOTDATA("Net Dwellings",Pivot!$E$356,"Ward_Name",C373)</f>
        <v>21</v>
      </c>
      <c r="H373" s="110">
        <f>GETPIVOTDATA("Net Dwellings",Pivot!$H$356,"Ward_Name",C373)</f>
        <v>8</v>
      </c>
      <c r="I373" s="110">
        <f>GETPIVOTDATA("Net Dwellings",Pivot!$B$387,"Ward_Name",C373)</f>
        <v>71</v>
      </c>
      <c r="J373" s="110">
        <f>GETPIVOTDATA("Net Dwellings",Pivot!$K$388,"Ward_Name",C373)</f>
        <v>1</v>
      </c>
      <c r="K373" s="110">
        <v>0</v>
      </c>
      <c r="L373" s="124">
        <f t="shared" si="29"/>
        <v>118</v>
      </c>
      <c r="M373" s="12"/>
      <c r="N373" s="12"/>
      <c r="O373" s="12"/>
      <c r="P373" s="12"/>
      <c r="S373" s="53"/>
    </row>
    <row r="374" spans="2:19" x14ac:dyDescent="0.2">
      <c r="B374" s="41"/>
      <c r="C374" s="378" t="s">
        <v>173</v>
      </c>
      <c r="D374" s="379"/>
      <c r="E374" s="379"/>
      <c r="F374" s="110">
        <f>GETPIVOTDATA("Net Dwellings",Pivot!$B$356,"Ward_Name",C374)</f>
        <v>5</v>
      </c>
      <c r="G374" s="110">
        <f>GETPIVOTDATA("Net Dwellings",Pivot!$E$356,"Ward_Name",C374)</f>
        <v>2</v>
      </c>
      <c r="H374" s="110">
        <f>GETPIVOTDATA("Net Dwellings",Pivot!$H$356,"Ward_Name",C374)</f>
        <v>2</v>
      </c>
      <c r="I374" s="110">
        <f>GETPIVOTDATA("Net Dwellings",Pivot!$B$387,"Ward_Name",C374)</f>
        <v>2</v>
      </c>
      <c r="J374" s="110">
        <f>GETPIVOTDATA("Net Dwellings",Pivot!$K$388,"Ward_Name",C374)</f>
        <v>1</v>
      </c>
      <c r="K374" s="110">
        <v>0</v>
      </c>
      <c r="L374" s="124">
        <f t="shared" si="29"/>
        <v>12</v>
      </c>
      <c r="M374" s="12"/>
      <c r="N374" s="12"/>
      <c r="O374" s="12"/>
      <c r="P374" s="12"/>
      <c r="S374" s="53"/>
    </row>
    <row r="375" spans="2:19" x14ac:dyDescent="0.2">
      <c r="B375" s="41"/>
      <c r="C375" s="378" t="s">
        <v>174</v>
      </c>
      <c r="D375" s="379"/>
      <c r="E375" s="379"/>
      <c r="F375" s="110">
        <f>GETPIVOTDATA("Net Dwellings",Pivot!$B$356,"Ward_Name",C375)</f>
        <v>92</v>
      </c>
      <c r="G375" s="110">
        <f>GETPIVOTDATA("Net Dwellings",Pivot!$E$356,"Ward_Name",C375)</f>
        <v>1</v>
      </c>
      <c r="H375" s="110">
        <f>GETPIVOTDATA("Net Dwellings",Pivot!$H$356,"Ward_Name",C375)</f>
        <v>-2</v>
      </c>
      <c r="I375" s="110">
        <v>0</v>
      </c>
      <c r="J375" s="110">
        <f>GETPIVOTDATA("Net Dwellings",Pivot!$K$388,"Ward_Name",C375)</f>
        <v>2</v>
      </c>
      <c r="K375" s="110">
        <v>0</v>
      </c>
      <c r="L375" s="124">
        <f t="shared" si="29"/>
        <v>93</v>
      </c>
      <c r="M375" s="12"/>
      <c r="N375" s="12"/>
      <c r="O375" s="12"/>
      <c r="P375" s="12"/>
      <c r="S375" s="53"/>
    </row>
    <row r="376" spans="2:19" x14ac:dyDescent="0.2">
      <c r="B376" s="41"/>
      <c r="C376" s="378" t="s">
        <v>175</v>
      </c>
      <c r="D376" s="379"/>
      <c r="E376" s="379"/>
      <c r="F376" s="110">
        <f>GETPIVOTDATA("Net Dwellings",Pivot!$B$356,"Ward_Name",C376)</f>
        <v>15</v>
      </c>
      <c r="G376" s="110">
        <f>GETPIVOTDATA("Net Dwellings",Pivot!$E$356,"Ward_Name",C376)</f>
        <v>1</v>
      </c>
      <c r="H376" s="110">
        <v>0</v>
      </c>
      <c r="I376" s="110">
        <f>GETPIVOTDATA("Net Dwellings",Pivot!$B$387,"Ward_Name",C376)</f>
        <v>2</v>
      </c>
      <c r="J376" s="110">
        <f>GETPIVOTDATA("Net Dwellings",Pivot!$K$388,"Ward_Name",C376)</f>
        <v>2</v>
      </c>
      <c r="K376" s="110">
        <f>GETPIVOTDATA("Sum of 2025–2035 Total",Pivot!$B$431,"Ward_Name",C376)</f>
        <v>1175</v>
      </c>
      <c r="L376" s="124">
        <f t="shared" si="29"/>
        <v>1195</v>
      </c>
      <c r="M376" s="12"/>
      <c r="N376" s="12"/>
      <c r="O376" s="12"/>
      <c r="P376" s="12"/>
      <c r="S376" s="53"/>
    </row>
    <row r="377" spans="2:19" x14ac:dyDescent="0.2">
      <c r="B377" s="41"/>
      <c r="C377" s="378" t="s">
        <v>176</v>
      </c>
      <c r="D377" s="379"/>
      <c r="E377" s="379"/>
      <c r="F377" s="110">
        <f>GETPIVOTDATA("Net Dwellings",Pivot!$B$356,"Ward_Name",C377)</f>
        <v>20</v>
      </c>
      <c r="G377" s="110">
        <f>GETPIVOTDATA("Net Dwellings",Pivot!$E$356,"Ward_Name",C377)</f>
        <v>463</v>
      </c>
      <c r="H377" s="110">
        <f>GETPIVOTDATA("Net Dwellings",Pivot!$H$356,"Ward_Name",C377)</f>
        <v>76</v>
      </c>
      <c r="I377" s="110">
        <f>GETPIVOTDATA("Net Dwellings",Pivot!$B$387,"Ward_Name",C377)</f>
        <v>2</v>
      </c>
      <c r="J377" s="110">
        <f>GETPIVOTDATA("Net Dwellings",Pivot!$K$388,"Ward_Name",C377)</f>
        <v>2</v>
      </c>
      <c r="K377" s="110">
        <f>GETPIVOTDATA("Sum of 2025–2035 Total",Pivot!$B$431,"Ward_Name",C377)</f>
        <v>250</v>
      </c>
      <c r="L377" s="124">
        <f t="shared" si="29"/>
        <v>813</v>
      </c>
      <c r="M377" s="12"/>
      <c r="N377" s="12"/>
      <c r="O377" s="12"/>
      <c r="P377" s="12"/>
      <c r="S377" s="53"/>
    </row>
    <row r="378" spans="2:19" x14ac:dyDescent="0.2">
      <c r="B378" s="41"/>
      <c r="C378" s="378" t="s">
        <v>177</v>
      </c>
      <c r="D378" s="379"/>
      <c r="E378" s="379"/>
      <c r="F378" s="110">
        <f>GETPIVOTDATA("Net Dwellings",Pivot!$B$356,"Ward_Name",C378)</f>
        <v>13</v>
      </c>
      <c r="G378" s="110">
        <f>GETPIVOTDATA("Net Dwellings",Pivot!$E$356,"Ward_Name",C378)</f>
        <v>22</v>
      </c>
      <c r="H378" s="110">
        <f>GETPIVOTDATA("Net Dwellings",Pivot!$H$356,"Ward_Name",C378)</f>
        <v>13</v>
      </c>
      <c r="I378" s="110">
        <f>GETPIVOTDATA("Net Dwellings",Pivot!$B$387,"Ward_Name",C378)</f>
        <v>11</v>
      </c>
      <c r="J378" s="110">
        <f>GETPIVOTDATA("Net Dwellings",Pivot!$K$388,"Ward_Name",C378)</f>
        <v>4</v>
      </c>
      <c r="K378" s="110">
        <v>0</v>
      </c>
      <c r="L378" s="124">
        <f t="shared" si="29"/>
        <v>63</v>
      </c>
      <c r="M378" s="12"/>
      <c r="N378" s="12"/>
      <c r="O378" s="12"/>
      <c r="P378" s="12"/>
      <c r="S378" s="53"/>
    </row>
    <row r="379" spans="2:19" x14ac:dyDescent="0.2">
      <c r="B379" s="41"/>
      <c r="C379" s="378" t="s">
        <v>178</v>
      </c>
      <c r="D379" s="379"/>
      <c r="E379" s="379"/>
      <c r="F379" s="110">
        <f>GETPIVOTDATA("Net Dwellings",Pivot!$B$356,"Ward_Name",C379)</f>
        <v>130</v>
      </c>
      <c r="G379" s="110">
        <f>GETPIVOTDATA("Net Dwellings",Pivot!$E$356,"Ward_Name",C379)</f>
        <v>7</v>
      </c>
      <c r="H379" s="110">
        <v>0</v>
      </c>
      <c r="I379" s="110">
        <f>GETPIVOTDATA("Net Dwellings",Pivot!$B$387,"Ward_Name",C379)</f>
        <v>7</v>
      </c>
      <c r="J379" s="110">
        <f>GETPIVOTDATA("Net Dwellings",Pivot!$K$388,"Ward_Name",C379)</f>
        <v>9</v>
      </c>
      <c r="K379" s="110">
        <v>0</v>
      </c>
      <c r="L379" s="124">
        <f t="shared" si="29"/>
        <v>153</v>
      </c>
      <c r="M379" s="12"/>
      <c r="N379" s="12"/>
      <c r="O379" s="12"/>
      <c r="P379" s="12"/>
      <c r="S379" s="53"/>
    </row>
    <row r="380" spans="2:19" x14ac:dyDescent="0.2">
      <c r="B380" s="41"/>
      <c r="C380" s="378" t="s">
        <v>179</v>
      </c>
      <c r="D380" s="379"/>
      <c r="E380" s="379"/>
      <c r="F380" s="110">
        <f>GETPIVOTDATA("Net Dwellings",Pivot!$B$356,"Ward_Name",C380)</f>
        <v>214</v>
      </c>
      <c r="G380" s="110">
        <f>GETPIVOTDATA("Net Dwellings",Pivot!$E$356,"Ward_Name",C380)</f>
        <v>4</v>
      </c>
      <c r="H380" s="110">
        <f>GETPIVOTDATA("Net Dwellings",Pivot!$H$356,"Ward_Name",C380)</f>
        <v>1</v>
      </c>
      <c r="I380" s="110">
        <f>GETPIVOTDATA("Net Dwellings",Pivot!$B$387,"Ward_Name",C380)</f>
        <v>-2</v>
      </c>
      <c r="J380" s="110">
        <f>GETPIVOTDATA("Net Dwellings",Pivot!$K$388,"Ward_Name",C380)</f>
        <v>7</v>
      </c>
      <c r="K380" s="110">
        <v>0</v>
      </c>
      <c r="L380" s="124">
        <f t="shared" si="29"/>
        <v>224</v>
      </c>
      <c r="M380" s="12"/>
      <c r="N380" s="12"/>
      <c r="O380" s="12"/>
      <c r="P380" s="12"/>
      <c r="S380" s="53"/>
    </row>
    <row r="381" spans="2:19" x14ac:dyDescent="0.2">
      <c r="B381" s="41"/>
      <c r="C381" s="378" t="s">
        <v>152</v>
      </c>
      <c r="D381" s="379"/>
      <c r="E381" s="379"/>
      <c r="F381" s="110">
        <f>GETPIVOTDATA("Net Dwellings",Pivot!$B$356,"Ward_Name",C381)</f>
        <v>18</v>
      </c>
      <c r="G381" s="110">
        <f>GETPIVOTDATA("Net Dwellings",Pivot!$E$356,"Ward_Name",C381)</f>
        <v>4</v>
      </c>
      <c r="H381" s="110">
        <f>GETPIVOTDATA("Net Dwellings",Pivot!$H$356,"Ward_Name",C381)</f>
        <v>2</v>
      </c>
      <c r="I381" s="110">
        <f>GETPIVOTDATA("Net Dwellings",Pivot!$B$387,"Ward_Name",C381)</f>
        <v>-1</v>
      </c>
      <c r="J381" s="110">
        <f>GETPIVOTDATA("Net Dwellings",Pivot!$K$388,"Ward_Name",C381)</f>
        <v>17</v>
      </c>
      <c r="K381" s="110">
        <f>GETPIVOTDATA("Sum of 2025–2035 Total",Pivot!$B$431,"Ward_Name",C381)</f>
        <v>40</v>
      </c>
      <c r="L381" s="124">
        <f t="shared" si="29"/>
        <v>80</v>
      </c>
      <c r="M381" s="12"/>
      <c r="N381" s="12"/>
      <c r="O381" s="12"/>
      <c r="P381" s="12"/>
      <c r="S381" s="53"/>
    </row>
    <row r="382" spans="2:19" x14ac:dyDescent="0.2">
      <c r="B382" s="41"/>
      <c r="C382" s="378" t="s">
        <v>180</v>
      </c>
      <c r="D382" s="379"/>
      <c r="E382" s="379"/>
      <c r="F382" s="110">
        <f>GETPIVOTDATA("Net Dwellings",Pivot!$B$356,"Ward_Name",C382)</f>
        <v>46</v>
      </c>
      <c r="G382" s="110">
        <f>GETPIVOTDATA("Net Dwellings",Pivot!$E$356,"Ward_Name",C382)</f>
        <v>48</v>
      </c>
      <c r="H382" s="110">
        <f>GETPIVOTDATA("Net Dwellings",Pivot!$H$356,"Ward_Name",C382)</f>
        <v>5</v>
      </c>
      <c r="I382" s="110">
        <f>GETPIVOTDATA("Net Dwellings",Pivot!$B$387,"Ward_Name",C382)</f>
        <v>16</v>
      </c>
      <c r="J382" s="110">
        <f>GETPIVOTDATA("Net Dwellings",Pivot!$K$388,"Ward_Name",C382)</f>
        <v>13</v>
      </c>
      <c r="K382" s="110">
        <f>GETPIVOTDATA("Sum of 2025–2035 Total",Pivot!$B$431,"Ward_Name",C382)</f>
        <v>20</v>
      </c>
      <c r="L382" s="124">
        <f t="shared" si="29"/>
        <v>148</v>
      </c>
      <c r="M382" s="12"/>
      <c r="N382" s="12"/>
      <c r="O382" s="12"/>
      <c r="P382" s="12"/>
      <c r="S382" s="53"/>
    </row>
    <row r="383" spans="2:19" x14ac:dyDescent="0.2">
      <c r="B383" s="41"/>
      <c r="C383" s="378" t="s">
        <v>181</v>
      </c>
      <c r="D383" s="379"/>
      <c r="E383" s="379"/>
      <c r="F383" s="110">
        <f>GETPIVOTDATA("Net Dwellings",Pivot!$B$356,"Ward_Name",C383)</f>
        <v>4</v>
      </c>
      <c r="G383" s="110">
        <f>GETPIVOTDATA("Net Dwellings",Pivot!$E$356,"Ward_Name",C383)</f>
        <v>3</v>
      </c>
      <c r="H383" s="110">
        <v>0</v>
      </c>
      <c r="I383" s="110">
        <f>GETPIVOTDATA("Net Dwellings",Pivot!$B$387,"Ward_Name",C383)</f>
        <v>-5</v>
      </c>
      <c r="J383" s="110">
        <f>GETPIVOTDATA("Net Dwellings",Pivot!$K$388,"Ward_Name",C383)</f>
        <v>3</v>
      </c>
      <c r="K383" s="110">
        <v>0</v>
      </c>
      <c r="L383" s="124">
        <f t="shared" si="29"/>
        <v>5</v>
      </c>
      <c r="M383" s="12"/>
      <c r="N383" s="12"/>
      <c r="O383" s="12"/>
      <c r="P383" s="12"/>
      <c r="S383" s="53"/>
    </row>
    <row r="384" spans="2:19" x14ac:dyDescent="0.2">
      <c r="B384" s="41"/>
      <c r="C384" s="378" t="s">
        <v>156</v>
      </c>
      <c r="D384" s="379"/>
      <c r="E384" s="379"/>
      <c r="F384" s="110">
        <f>GETPIVOTDATA("Net Dwellings",Pivot!$B$356,"Ward_Name",C384)</f>
        <v>7</v>
      </c>
      <c r="G384" s="110">
        <f>GETPIVOTDATA("Net Dwellings",Pivot!$E$356,"Ward_Name",C384)</f>
        <v>1</v>
      </c>
      <c r="H384" s="110">
        <v>0</v>
      </c>
      <c r="I384" s="110">
        <v>0</v>
      </c>
      <c r="J384" s="110">
        <f>GETPIVOTDATA("Net Dwellings",Pivot!$K$388,"Ward_Name",C384)</f>
        <v>21</v>
      </c>
      <c r="K384" s="110">
        <f>GETPIVOTDATA("Sum of 2025–2035 Total",Pivot!$B$431,"Ward_Name",C384)</f>
        <v>20</v>
      </c>
      <c r="L384" s="124">
        <f t="shared" si="29"/>
        <v>49</v>
      </c>
      <c r="M384" s="12"/>
      <c r="N384" s="12"/>
      <c r="O384" s="12"/>
      <c r="P384" s="12"/>
      <c r="S384" s="53"/>
    </row>
    <row r="385" spans="2:19" x14ac:dyDescent="0.2">
      <c r="B385" s="41"/>
      <c r="C385" s="374" t="s">
        <v>233</v>
      </c>
      <c r="D385" s="375"/>
      <c r="E385" s="375"/>
      <c r="F385" s="110">
        <v>0</v>
      </c>
      <c r="G385" s="110">
        <v>0</v>
      </c>
      <c r="H385" s="110">
        <v>0</v>
      </c>
      <c r="I385" s="110">
        <v>0</v>
      </c>
      <c r="J385" s="110">
        <v>0</v>
      </c>
      <c r="K385" s="110">
        <f>GETPIVOTDATA("Sum of 2025–2035 Total",Pivot!$B$431,"Ward_Name","N/A")</f>
        <v>2056</v>
      </c>
      <c r="L385" s="124">
        <f>SUM(F385:K385)</f>
        <v>2056</v>
      </c>
      <c r="M385" s="12"/>
      <c r="N385" s="12"/>
      <c r="O385" s="12"/>
      <c r="P385" s="12"/>
      <c r="S385" s="53"/>
    </row>
    <row r="386" spans="2:19" x14ac:dyDescent="0.2">
      <c r="B386" s="41"/>
      <c r="C386" s="376" t="s">
        <v>6</v>
      </c>
      <c r="D386" s="376"/>
      <c r="E386" s="376"/>
      <c r="F386" s="111">
        <f t="shared" ref="F386" si="30">SUM(F367:F385)</f>
        <v>892</v>
      </c>
      <c r="G386" s="111">
        <f>SUM(G367:G385)</f>
        <v>607</v>
      </c>
      <c r="H386" s="111">
        <f>SUM(H367:H385)</f>
        <v>120</v>
      </c>
      <c r="I386" s="111">
        <f t="shared" ref="I386" si="31">SUM(I367:I385)</f>
        <v>120</v>
      </c>
      <c r="J386" s="111">
        <f>SUM(J367:J385)</f>
        <v>136</v>
      </c>
      <c r="K386" s="111">
        <f>SUM(K367:K385)</f>
        <v>3661</v>
      </c>
      <c r="L386" s="111">
        <f>SUM(L367:L385)</f>
        <v>5536</v>
      </c>
      <c r="M386" s="125"/>
      <c r="N386" s="12"/>
      <c r="O386" s="12"/>
      <c r="P386" s="12"/>
      <c r="S386" s="53"/>
    </row>
    <row r="387" spans="2:19" x14ac:dyDescent="0.2">
      <c r="B387" s="6"/>
      <c r="M387" s="12"/>
      <c r="N387" s="12"/>
      <c r="O387" s="12"/>
      <c r="P387" s="12"/>
      <c r="Q387" s="12"/>
      <c r="S387" s="53"/>
    </row>
    <row r="388" spans="2:19" x14ac:dyDescent="0.2">
      <c r="B388" s="6"/>
      <c r="M388" s="12"/>
      <c r="N388" s="12"/>
      <c r="O388" s="12"/>
      <c r="P388" s="12"/>
      <c r="Q388" s="12"/>
      <c r="S388" s="53"/>
    </row>
    <row r="389" spans="2:19" x14ac:dyDescent="0.2">
      <c r="B389" s="47"/>
      <c r="C389" s="66"/>
      <c r="D389" s="66"/>
      <c r="E389" s="66"/>
      <c r="F389" s="66"/>
      <c r="G389" s="66"/>
      <c r="H389" s="66"/>
      <c r="I389" s="66"/>
      <c r="J389" s="66"/>
      <c r="K389" s="66"/>
      <c r="L389" s="66"/>
      <c r="M389" s="65"/>
      <c r="N389" s="65"/>
      <c r="O389" s="65"/>
      <c r="P389" s="65"/>
      <c r="Q389" s="66"/>
      <c r="R389" s="66"/>
      <c r="S389" s="67"/>
    </row>
    <row r="390" spans="2:19" x14ac:dyDescent="0.2">
      <c r="B390" s="51"/>
      <c r="C390" s="4"/>
      <c r="D390" s="4"/>
      <c r="E390" s="4"/>
      <c r="F390" s="4"/>
      <c r="G390" s="4"/>
      <c r="H390" s="4"/>
      <c r="I390" s="4"/>
      <c r="J390" s="4"/>
      <c r="K390" s="4"/>
      <c r="L390" s="4"/>
      <c r="M390" s="4"/>
      <c r="N390" s="4"/>
      <c r="O390" s="4"/>
      <c r="P390" s="4"/>
      <c r="Q390" s="4"/>
      <c r="R390" s="4"/>
      <c r="S390" s="68"/>
    </row>
    <row r="391" spans="2:19" x14ac:dyDescent="0.2">
      <c r="B391" s="6"/>
      <c r="C391" s="126" t="s">
        <v>236</v>
      </c>
      <c r="D391" s="20" t="s">
        <v>235</v>
      </c>
      <c r="E391" s="120"/>
      <c r="F391" s="120"/>
      <c r="G391" s="120"/>
      <c r="H391" s="120"/>
      <c r="I391" s="120"/>
      <c r="J391" s="120"/>
      <c r="K391" s="16"/>
      <c r="L391" s="16"/>
      <c r="M391" s="121"/>
      <c r="S391" s="53"/>
    </row>
    <row r="392" spans="2:19" ht="12.75" customHeight="1" x14ac:dyDescent="0.2">
      <c r="B392" s="6"/>
      <c r="C392" s="377" t="s">
        <v>227</v>
      </c>
      <c r="D392" s="377"/>
      <c r="E392" s="377"/>
      <c r="F392" s="377"/>
      <c r="G392" s="377"/>
      <c r="H392" s="377"/>
      <c r="I392" s="377"/>
      <c r="J392" s="377"/>
      <c r="K392" s="377"/>
      <c r="L392" s="377"/>
      <c r="S392" s="53"/>
    </row>
    <row r="393" spans="2:19" ht="39" x14ac:dyDescent="0.2">
      <c r="B393" s="6"/>
      <c r="C393" s="385" t="s">
        <v>189</v>
      </c>
      <c r="D393" s="385"/>
      <c r="E393" s="385"/>
      <c r="F393" s="122" t="s">
        <v>228</v>
      </c>
      <c r="G393" s="122" t="s">
        <v>69</v>
      </c>
      <c r="H393" s="122" t="s">
        <v>229</v>
      </c>
      <c r="I393" s="122" t="s">
        <v>230</v>
      </c>
      <c r="J393" s="122" t="s">
        <v>231</v>
      </c>
      <c r="K393" s="122" t="s">
        <v>232</v>
      </c>
      <c r="L393" s="123" t="s">
        <v>6</v>
      </c>
      <c r="S393" s="53"/>
    </row>
    <row r="394" spans="2:19" x14ac:dyDescent="0.2">
      <c r="B394" s="6"/>
      <c r="C394" s="373" t="s">
        <v>190</v>
      </c>
      <c r="D394" s="373"/>
      <c r="E394" s="373"/>
      <c r="F394" s="110">
        <f>GETPIVOTDATA("Net Dwellings",Pivot!$B$456,"Area Name","Barnes and East Sheen")</f>
        <v>26</v>
      </c>
      <c r="G394" s="110">
        <f>GETPIVOTDATA("Net Dwellings",Pivot!$E$456,"Area Name",C394)</f>
        <v>12</v>
      </c>
      <c r="H394" s="110">
        <f>GETPIVOTDATA("Net Dwellings",Pivot!$H$456,"Area Name",C394)</f>
        <v>3</v>
      </c>
      <c r="I394" s="110">
        <f>GETPIVOTDATA("Net Dwellings",Pivot!$B$477,"Area Name",C394)</f>
        <v>16</v>
      </c>
      <c r="J394" s="110">
        <f>GETPIVOTDATA("Net Dwellings",Pivot!$H$477,"Area Name",C394)</f>
        <v>22</v>
      </c>
      <c r="K394" s="110">
        <f>GETPIVOTDATA("Sum of 2025–2035 Total",Pivot!$B$537,"Area Name",C394)</f>
        <v>1175</v>
      </c>
      <c r="L394" s="124">
        <f>SUM(F394:K394)</f>
        <v>1254</v>
      </c>
      <c r="S394" s="53"/>
    </row>
    <row r="395" spans="2:19" x14ac:dyDescent="0.2">
      <c r="B395" s="6"/>
      <c r="C395" s="373" t="s">
        <v>191</v>
      </c>
      <c r="D395" s="373" t="s">
        <v>191</v>
      </c>
      <c r="E395" s="373" t="s">
        <v>191</v>
      </c>
      <c r="F395" s="110">
        <f>GETPIVOTDATA("Net Dwellings",Pivot!$B$456,"Area Name",C395)</f>
        <v>264</v>
      </c>
      <c r="G395" s="110">
        <f>GETPIVOTDATA("Net Dwellings",Pivot!$E$456,"Area Name",C395)</f>
        <v>2</v>
      </c>
      <c r="H395" s="110">
        <f>GETPIVOTDATA("Net Dwellings",Pivot!$H$456,"Area Name",C395)</f>
        <v>0</v>
      </c>
      <c r="I395" s="110">
        <v>0</v>
      </c>
      <c r="J395" s="110">
        <v>0</v>
      </c>
      <c r="K395" s="110">
        <v>0</v>
      </c>
      <c r="L395" s="124">
        <f t="shared" ref="L395:L399" si="32">SUM(F395:K395)</f>
        <v>266</v>
      </c>
      <c r="S395" s="53"/>
    </row>
    <row r="396" spans="2:19" x14ac:dyDescent="0.2">
      <c r="B396" s="6"/>
      <c r="C396" s="373" t="s">
        <v>150</v>
      </c>
      <c r="D396" s="373" t="s">
        <v>150</v>
      </c>
      <c r="E396" s="373" t="s">
        <v>150</v>
      </c>
      <c r="F396" s="110">
        <f>GETPIVOTDATA("Net Dwellings",Pivot!$B$456,"Area Name",C396)</f>
        <v>119</v>
      </c>
      <c r="G396" s="110">
        <f>GETPIVOTDATA("Net Dwellings",Pivot!$E$456,"Area Name",C396)</f>
        <v>486</v>
      </c>
      <c r="H396" s="110">
        <f>GETPIVOTDATA("Net Dwellings",Pivot!$H$456,"Area Name",C396)</f>
        <v>87</v>
      </c>
      <c r="I396" s="110">
        <f>GETPIVOTDATA("Net Dwellings",Pivot!$B$477,"Area Name",C396)</f>
        <v>13</v>
      </c>
      <c r="J396" s="110">
        <f>GETPIVOTDATA("Net Dwellings",Pivot!$H$477,"Area Name",C396)</f>
        <v>8</v>
      </c>
      <c r="K396" s="110">
        <f>GETPIVOTDATA("Sum of 2025–2035 Total",Pivot!$B$537,"Area Name",C396)</f>
        <v>250</v>
      </c>
      <c r="L396" s="124">
        <f t="shared" si="32"/>
        <v>963</v>
      </c>
      <c r="S396" s="53"/>
    </row>
    <row r="397" spans="2:19" x14ac:dyDescent="0.2">
      <c r="B397" s="6"/>
      <c r="C397" s="373" t="s">
        <v>192</v>
      </c>
      <c r="D397" s="373" t="s">
        <v>192</v>
      </c>
      <c r="E397" s="373" t="s">
        <v>192</v>
      </c>
      <c r="F397" s="110">
        <f>GETPIVOTDATA("Net Dwellings",Pivot!$B$456,"Area Name",C397)</f>
        <v>77</v>
      </c>
      <c r="G397" s="110">
        <f>GETPIVOTDATA("Net Dwellings",Pivot!$E$456,"Area Name",C397)</f>
        <v>42</v>
      </c>
      <c r="H397" s="110">
        <f>GETPIVOTDATA("Net Dwellings",Pivot!$H$456,"Area Name",C397)</f>
        <v>22</v>
      </c>
      <c r="I397" s="110">
        <f>GETPIVOTDATA("Net Dwellings",Pivot!$B$477,"Area Name",C397)</f>
        <v>73</v>
      </c>
      <c r="J397" s="110">
        <f>GETPIVOTDATA("Net Dwellings",Pivot!$H$477,"Area Name",C397)</f>
        <v>52</v>
      </c>
      <c r="K397" s="110">
        <f>GETPIVOTDATA("Sum of 2025–2035 Total",Pivot!$B$537,"Area Name",C397)</f>
        <v>140</v>
      </c>
      <c r="L397" s="124">
        <f t="shared" si="32"/>
        <v>406</v>
      </c>
      <c r="S397" s="53"/>
    </row>
    <row r="398" spans="2:19" x14ac:dyDescent="0.2">
      <c r="B398" s="6"/>
      <c r="C398" s="373" t="s">
        <v>154</v>
      </c>
      <c r="D398" s="373" t="s">
        <v>154</v>
      </c>
      <c r="E398" s="373" t="s">
        <v>154</v>
      </c>
      <c r="F398" s="110">
        <f>GETPIVOTDATA("Net Dwellings",Pivot!$B$456,"Area Name",C398)</f>
        <v>394</v>
      </c>
      <c r="G398" s="110">
        <f>GETPIVOTDATA("Net Dwellings",Pivot!$E$456,"Area Name",C398)</f>
        <v>62</v>
      </c>
      <c r="H398" s="110">
        <f>GETPIVOTDATA("Net Dwellings",Pivot!$H$456,"Area Name",C398)</f>
        <v>6</v>
      </c>
      <c r="I398" s="110">
        <f>GETPIVOTDATA("Net Dwellings",Pivot!$B$477,"Area Name",C398)</f>
        <v>16</v>
      </c>
      <c r="J398" s="110">
        <f>GETPIVOTDATA("Net Dwellings",Pivot!$H$477,"Area Name",C398)</f>
        <v>32</v>
      </c>
      <c r="K398" s="110">
        <f>GETPIVOTDATA("Sum of 2025–2035 Total",Pivot!$B$537,"Area Name",C398)</f>
        <v>20</v>
      </c>
      <c r="L398" s="124">
        <f t="shared" si="32"/>
        <v>530</v>
      </c>
      <c r="S398" s="53"/>
    </row>
    <row r="399" spans="2:19" x14ac:dyDescent="0.2">
      <c r="B399" s="6"/>
      <c r="C399" s="373" t="s">
        <v>156</v>
      </c>
      <c r="D399" s="373" t="s">
        <v>156</v>
      </c>
      <c r="E399" s="373" t="s">
        <v>156</v>
      </c>
      <c r="F399" s="110">
        <f>GETPIVOTDATA("Net Dwellings",Pivot!$B$456,"Area Name",C399)</f>
        <v>12</v>
      </c>
      <c r="G399" s="110">
        <f>GETPIVOTDATA("Net Dwellings",Pivot!$E$456,"Area Name",C399)</f>
        <v>3</v>
      </c>
      <c r="H399" s="110">
        <f>GETPIVOTDATA("Net Dwellings",Pivot!$H$456,"Area Name",C399)</f>
        <v>2</v>
      </c>
      <c r="I399" s="110">
        <f>GETPIVOTDATA("Net Dwellings",Pivot!$B$477,"Area Name",C399)</f>
        <v>2</v>
      </c>
      <c r="J399" s="110">
        <f>GETPIVOTDATA("Net Dwellings",Pivot!$H$477,"Area Name",C399)</f>
        <v>22</v>
      </c>
      <c r="K399" s="110">
        <f>GETPIVOTDATA("Sum of 2025–2035 Total",Pivot!$B$537,"Area Name",C399)</f>
        <v>20</v>
      </c>
      <c r="L399" s="124">
        <f t="shared" si="32"/>
        <v>61</v>
      </c>
      <c r="S399" s="53"/>
    </row>
    <row r="400" spans="2:19" x14ac:dyDescent="0.2">
      <c r="B400" s="6"/>
      <c r="C400" s="375" t="s">
        <v>233</v>
      </c>
      <c r="D400" s="375"/>
      <c r="E400" s="375"/>
      <c r="F400" s="110">
        <v>0</v>
      </c>
      <c r="G400" s="110">
        <v>0</v>
      </c>
      <c r="H400" s="110">
        <v>0</v>
      </c>
      <c r="I400" s="110">
        <v>0</v>
      </c>
      <c r="J400" s="110">
        <v>0</v>
      </c>
      <c r="K400" s="110">
        <f>GETPIVOTDATA("Sum of 2025–2035 Total",Pivot!$B$431,"Ward_Name","N/A")</f>
        <v>2056</v>
      </c>
      <c r="L400" s="124">
        <f>SUM(F400:K400)</f>
        <v>2056</v>
      </c>
      <c r="S400" s="53"/>
    </row>
    <row r="401" spans="2:19" x14ac:dyDescent="0.2">
      <c r="B401" s="6"/>
      <c r="C401" s="376" t="s">
        <v>6</v>
      </c>
      <c r="D401" s="376"/>
      <c r="E401" s="376"/>
      <c r="F401" s="111">
        <f>SUM(F394:F399)</f>
        <v>892</v>
      </c>
      <c r="G401" s="111">
        <f t="shared" ref="G401:J401" si="33">SUM(G394:G399)</f>
        <v>607</v>
      </c>
      <c r="H401" s="111">
        <f t="shared" si="33"/>
        <v>120</v>
      </c>
      <c r="I401" s="111">
        <f t="shared" si="33"/>
        <v>120</v>
      </c>
      <c r="J401" s="111">
        <f t="shared" si="33"/>
        <v>136</v>
      </c>
      <c r="K401" s="111">
        <f>SUM(K394:K400)</f>
        <v>3661</v>
      </c>
      <c r="L401" s="111">
        <f>SUM(L394:L400)</f>
        <v>5536</v>
      </c>
      <c r="S401" s="53"/>
    </row>
    <row r="402" spans="2:19" x14ac:dyDescent="0.2">
      <c r="B402" s="6"/>
      <c r="C402" s="234" t="s">
        <v>193</v>
      </c>
      <c r="D402" s="25"/>
      <c r="E402" s="25"/>
      <c r="F402" s="25"/>
      <c r="G402" s="25"/>
      <c r="H402" s="25"/>
      <c r="I402" s="25"/>
      <c r="J402" s="25"/>
      <c r="K402" s="25"/>
      <c r="L402" s="25"/>
      <c r="S402" s="53"/>
    </row>
    <row r="403" spans="2:19" x14ac:dyDescent="0.2">
      <c r="B403" s="6"/>
      <c r="S403" s="53"/>
    </row>
    <row r="404" spans="2:19" x14ac:dyDescent="0.2">
      <c r="B404" s="6"/>
      <c r="S404" s="53"/>
    </row>
    <row r="405" spans="2:19" x14ac:dyDescent="0.2">
      <c r="B405" s="6"/>
      <c r="S405" s="53"/>
    </row>
    <row r="406" spans="2:19" x14ac:dyDescent="0.2">
      <c r="B406" s="6"/>
      <c r="S406" s="53"/>
    </row>
    <row r="407" spans="2:19" ht="12.75" customHeight="1" x14ac:dyDescent="0.2">
      <c r="B407" s="6"/>
      <c r="C407" s="126" t="s">
        <v>238</v>
      </c>
      <c r="D407" s="20" t="s">
        <v>237</v>
      </c>
      <c r="E407" s="120"/>
      <c r="F407" s="120"/>
      <c r="G407" s="120"/>
      <c r="H407" s="120"/>
      <c r="I407" s="120"/>
      <c r="J407" s="120"/>
      <c r="K407" s="16"/>
      <c r="L407" s="16"/>
      <c r="M407" s="121"/>
      <c r="S407" s="53"/>
    </row>
    <row r="408" spans="2:19" x14ac:dyDescent="0.2">
      <c r="B408" s="6"/>
      <c r="C408" s="377" t="s">
        <v>227</v>
      </c>
      <c r="D408" s="377"/>
      <c r="E408" s="377"/>
      <c r="F408" s="377"/>
      <c r="G408" s="377"/>
      <c r="H408" s="377"/>
      <c r="I408" s="377"/>
      <c r="J408" s="377"/>
      <c r="K408" s="377"/>
      <c r="L408" s="377"/>
      <c r="S408" s="53"/>
    </row>
    <row r="409" spans="2:19" ht="39" x14ac:dyDescent="0.2">
      <c r="B409" s="6"/>
      <c r="C409" s="385" t="s">
        <v>196</v>
      </c>
      <c r="D409" s="385"/>
      <c r="E409" s="385"/>
      <c r="F409" s="122" t="s">
        <v>228</v>
      </c>
      <c r="G409" s="122" t="s">
        <v>69</v>
      </c>
      <c r="H409" s="122" t="s">
        <v>229</v>
      </c>
      <c r="I409" s="122" t="s">
        <v>230</v>
      </c>
      <c r="J409" s="122" t="s">
        <v>231</v>
      </c>
      <c r="K409" s="122" t="s">
        <v>232</v>
      </c>
      <c r="L409" s="123" t="s">
        <v>6</v>
      </c>
      <c r="S409" s="53"/>
    </row>
    <row r="410" spans="2:19" x14ac:dyDescent="0.2">
      <c r="B410" s="6"/>
      <c r="C410" s="373" t="s">
        <v>167</v>
      </c>
      <c r="D410" s="373"/>
      <c r="E410" s="373"/>
      <c r="F410" s="110">
        <f>GETPIVOTDATA("Net Dwellings",Pivot!$B$499,"Place_Based_Strategies",C410)</f>
        <v>16</v>
      </c>
      <c r="G410" s="110">
        <f>GETPIVOTDATA("Net Dwellings",Pivot!$E$499,"Place_Based_Strategies",C410)</f>
        <v>1</v>
      </c>
      <c r="H410" s="110">
        <v>0</v>
      </c>
      <c r="I410" s="110">
        <f>GETPIVOTDATA("Net Dwellings",Pivot!$B$518,"Place_Based_Strategies",C410)</f>
        <v>2</v>
      </c>
      <c r="J410" s="110">
        <f>GETPIVOTDATA("Net Dwellings",Pivot!$H$520,"Place_Based_Strategies",C410)</f>
        <v>6</v>
      </c>
      <c r="K410" s="110">
        <v>0</v>
      </c>
      <c r="L410" s="124">
        <f>SUM(F410:K410)</f>
        <v>25</v>
      </c>
      <c r="S410" s="53"/>
    </row>
    <row r="411" spans="2:19" x14ac:dyDescent="0.2">
      <c r="B411" s="6"/>
      <c r="C411" s="373" t="s">
        <v>197</v>
      </c>
      <c r="D411" s="373"/>
      <c r="E411" s="373"/>
      <c r="F411" s="110">
        <f>GETPIVOTDATA("Net Dwellings",Pivot!$B$499,"Place_Based_Strategies",C411)</f>
        <v>264</v>
      </c>
      <c r="G411" s="110">
        <f>GETPIVOTDATA("Net Dwellings",Pivot!$E$499,"Place_Based_Strategies",C411)</f>
        <v>2</v>
      </c>
      <c r="H411" s="110">
        <f>GETPIVOTDATA("Net Dwellings",Pivot!$H$500,"Place_Based_Strategies",C411)</f>
        <v>0</v>
      </c>
      <c r="I411" s="110">
        <v>0</v>
      </c>
      <c r="J411" s="110">
        <v>0</v>
      </c>
      <c r="K411" s="110">
        <v>0</v>
      </c>
      <c r="L411" s="124">
        <f t="shared" ref="L411:L419" si="34">SUM(F411:K411)</f>
        <v>266</v>
      </c>
      <c r="S411" s="53"/>
    </row>
    <row r="412" spans="2:19" x14ac:dyDescent="0.2">
      <c r="B412" s="6"/>
      <c r="C412" s="373" t="s">
        <v>198</v>
      </c>
      <c r="D412" s="373"/>
      <c r="E412" s="373"/>
      <c r="F412" s="110">
        <f>GETPIVOTDATA("Net Dwellings",Pivot!$B$499,"Place_Based_Strategies",C412)</f>
        <v>3</v>
      </c>
      <c r="G412" s="110">
        <f>GETPIVOTDATA("Net Dwellings",Pivot!$E$499,"Place_Based_Strategies",C412)</f>
        <v>14</v>
      </c>
      <c r="H412" s="110">
        <f>GETPIVOTDATA("Net Dwellings",Pivot!$H$500,"Place_Based_Strategies",C412)</f>
        <v>11</v>
      </c>
      <c r="I412" s="110">
        <f>GETPIVOTDATA("Net Dwellings",Pivot!$B$518,"Place_Based_Strategies",C412)</f>
        <v>3</v>
      </c>
      <c r="J412" s="110">
        <f>GETPIVOTDATA("Net Dwellings",Pivot!$H$520,"Place_Based_Strategies",C412)</f>
        <v>34</v>
      </c>
      <c r="K412" s="110">
        <f>GETPIVOTDATA("Sum of 2025–2035 Total",Pivot!$B$551,"Place_Based_Strategies",C412)</f>
        <v>100</v>
      </c>
      <c r="L412" s="124">
        <f t="shared" si="34"/>
        <v>165</v>
      </c>
      <c r="S412" s="53"/>
    </row>
    <row r="413" spans="2:19" x14ac:dyDescent="0.2">
      <c r="B413" s="6"/>
      <c r="C413" s="373" t="s">
        <v>174</v>
      </c>
      <c r="D413" s="373"/>
      <c r="E413" s="373"/>
      <c r="F413" s="110">
        <f>GETPIVOTDATA("Net Dwellings",Pivot!$B$499,"Place_Based_Strategies",C413)</f>
        <v>92</v>
      </c>
      <c r="G413" s="110">
        <f>GETPIVOTDATA("Net Dwellings",Pivot!$E$499,"Place_Based_Strategies",C413)</f>
        <v>1</v>
      </c>
      <c r="H413" s="110">
        <f>GETPIVOTDATA("Net Dwellings",Pivot!$H$500,"Place_Based_Strategies",C413)</f>
        <v>-2</v>
      </c>
      <c r="I413" s="110">
        <v>0</v>
      </c>
      <c r="J413" s="110">
        <f>GETPIVOTDATA("Net Dwellings",Pivot!$H$520,"Place_Based_Strategies",C413)</f>
        <v>2</v>
      </c>
      <c r="K413" s="110">
        <v>0</v>
      </c>
      <c r="L413" s="124">
        <f t="shared" si="34"/>
        <v>93</v>
      </c>
      <c r="S413" s="53"/>
    </row>
    <row r="414" spans="2:19" x14ac:dyDescent="0.2">
      <c r="B414" s="6"/>
      <c r="C414" s="373" t="s">
        <v>199</v>
      </c>
      <c r="D414" s="373"/>
      <c r="E414" s="373"/>
      <c r="F414" s="110">
        <f>GETPIVOTDATA("Net Dwellings",Pivot!$B$499,"Place_Based_Strategies",C414)</f>
        <v>10</v>
      </c>
      <c r="G414" s="110">
        <f>GETPIVOTDATA("Net Dwellings",Pivot!$E$499,"Place_Based_Strategies",C414)</f>
        <v>20</v>
      </c>
      <c r="H414" s="110">
        <f>GETPIVOTDATA("Net Dwellings",Pivot!$H$500,"Place_Based_Strategies",C414)</f>
        <v>7</v>
      </c>
      <c r="I414" s="110">
        <f>GETPIVOTDATA("Net Dwellings",Pivot!$B$518,"Place_Based_Strategies",C414)</f>
        <v>16</v>
      </c>
      <c r="J414" s="110">
        <f>GETPIVOTDATA("Net Dwellings",Pivot!$H$520,"Place_Based_Strategies",C414)</f>
        <v>16</v>
      </c>
      <c r="K414" s="110">
        <f>GETPIVOTDATA("Sum of 2025–2035 Total",Pivot!$B$551,"Place_Based_Strategies",C414)</f>
        <v>1175</v>
      </c>
      <c r="L414" s="124">
        <f t="shared" si="34"/>
        <v>1244</v>
      </c>
      <c r="S414" s="53"/>
    </row>
    <row r="415" spans="2:19" ht="12.75" customHeight="1" x14ac:dyDescent="0.2">
      <c r="B415" s="6"/>
      <c r="C415" s="373" t="s">
        <v>200</v>
      </c>
      <c r="D415" s="373"/>
      <c r="E415" s="373"/>
      <c r="F415" s="110">
        <f>GETPIVOTDATA("Net Dwellings",Pivot!$B$499,"Place_Based_Strategies",C415)</f>
        <v>27</v>
      </c>
      <c r="G415" s="110">
        <f>GETPIVOTDATA("Net Dwellings",Pivot!$E$499,"Place_Based_Strategies",C415)</f>
        <v>476</v>
      </c>
      <c r="H415" s="110">
        <f>GETPIVOTDATA("Net Dwellings",Pivot!$H$500,"Place_Based_Strategies",C415)</f>
        <v>85</v>
      </c>
      <c r="I415" s="110">
        <f>GETPIVOTDATA("Net Dwellings",Pivot!$B$518,"Place_Based_Strategies",C415)</f>
        <v>11</v>
      </c>
      <c r="J415" s="110">
        <f>GETPIVOTDATA("Net Dwellings",Pivot!$H$520,"Place_Based_Strategies",C415)</f>
        <v>6</v>
      </c>
      <c r="K415" s="110">
        <f>GETPIVOTDATA("Sum of 2025–2035 Total",Pivot!$B$551,"Place_Based_Strategies",C415)</f>
        <v>250</v>
      </c>
      <c r="L415" s="124">
        <f t="shared" si="34"/>
        <v>855</v>
      </c>
      <c r="S415" s="53"/>
    </row>
    <row r="416" spans="2:19" ht="12.75" customHeight="1" x14ac:dyDescent="0.2">
      <c r="B416" s="6"/>
      <c r="C416" s="373" t="s">
        <v>201</v>
      </c>
      <c r="D416" s="373"/>
      <c r="E416" s="373"/>
      <c r="F416" s="110">
        <f>GETPIVOTDATA("Net Dwellings",Pivot!$B$499,"Place_Based_Strategies",C416)</f>
        <v>74</v>
      </c>
      <c r="G416" s="110">
        <f>GETPIVOTDATA("Net Dwellings",Pivot!$E$499,"Place_Based_Strategies",C416)</f>
        <v>28</v>
      </c>
      <c r="H416" s="110">
        <f>GETPIVOTDATA("Net Dwellings",Pivot!$H$500,"Place_Based_Strategies",C416)</f>
        <v>11</v>
      </c>
      <c r="I416" s="110">
        <f>GETPIVOTDATA("Net Dwellings",Pivot!$B$518,"Place_Based_Strategies",C416)</f>
        <v>70</v>
      </c>
      <c r="J416" s="110">
        <f>GETPIVOTDATA("Net Dwellings",Pivot!$H$520,"Place_Based_Strategies",C416)</f>
        <v>18</v>
      </c>
      <c r="K416" s="110">
        <f>GETPIVOTDATA("Sum of 2025–2035 Total",Pivot!$B$551,"Place_Based_Strategies",C416)</f>
        <v>40</v>
      </c>
      <c r="L416" s="124">
        <f t="shared" si="34"/>
        <v>241</v>
      </c>
      <c r="S416" s="53"/>
    </row>
    <row r="417" spans="2:19" x14ac:dyDescent="0.2">
      <c r="B417" s="6"/>
      <c r="C417" s="373" t="s">
        <v>202</v>
      </c>
      <c r="D417" s="373"/>
      <c r="E417" s="373"/>
      <c r="F417" s="110">
        <f>GETPIVOTDATA("Net Dwellings",Pivot!$B$499,"Place_Based_Strategies",C417)</f>
        <v>394</v>
      </c>
      <c r="G417" s="110">
        <f>GETPIVOTDATA("Net Dwellings",Pivot!$E$499,"Place_Based_Strategies",C417)</f>
        <v>62</v>
      </c>
      <c r="H417" s="110">
        <f>GETPIVOTDATA("Net Dwellings",Pivot!$H$500,"Place_Based_Strategies",C417)</f>
        <v>6</v>
      </c>
      <c r="I417" s="110">
        <f>GETPIVOTDATA("Net Dwellings",Pivot!$B$518,"Place_Based_Strategies",C417)</f>
        <v>16</v>
      </c>
      <c r="J417" s="110">
        <f>GETPIVOTDATA("Net Dwellings",Pivot!$H$520,"Place_Based_Strategies",C417)</f>
        <v>32</v>
      </c>
      <c r="K417" s="110">
        <f>GETPIVOTDATA("Sum of 2025–2035 Total",Pivot!$B$551,"Place_Based_Strategies",C417)</f>
        <v>20</v>
      </c>
      <c r="L417" s="124">
        <f t="shared" si="34"/>
        <v>530</v>
      </c>
      <c r="S417" s="53"/>
    </row>
    <row r="418" spans="2:19" x14ac:dyDescent="0.2">
      <c r="B418" s="6"/>
      <c r="C418" s="373" t="s">
        <v>203</v>
      </c>
      <c r="D418" s="373"/>
      <c r="E418" s="373"/>
      <c r="F418" s="110">
        <f>GETPIVOTDATA("Net Dwellings",Pivot!$B$499,"Place_Based_Strategies",C418)</f>
        <v>12</v>
      </c>
      <c r="G418" s="110">
        <f>GETPIVOTDATA("Net Dwellings",Pivot!$E$499,"Place_Based_Strategies",C418)</f>
        <v>3</v>
      </c>
      <c r="H418" s="110">
        <f>GETPIVOTDATA("Net Dwellings",Pivot!$H$500,"Place_Based_Strategies",C418)</f>
        <v>2</v>
      </c>
      <c r="I418" s="110">
        <f>GETPIVOTDATA("Net Dwellings",Pivot!$B$518,"Place_Based_Strategies",C418)</f>
        <v>2</v>
      </c>
      <c r="J418" s="110">
        <f>GETPIVOTDATA("Net Dwellings",Pivot!$H$520,"Place_Based_Strategies",C418)</f>
        <v>22</v>
      </c>
      <c r="K418" s="110">
        <f>GETPIVOTDATA("Sum of 2025–2035 Total",Pivot!$B$551,"Place_Based_Strategies",C418)</f>
        <v>20</v>
      </c>
      <c r="L418" s="124">
        <f t="shared" si="34"/>
        <v>61</v>
      </c>
      <c r="S418" s="53"/>
    </row>
    <row r="419" spans="2:19" ht="12.75" customHeight="1" x14ac:dyDescent="0.2">
      <c r="B419" s="6"/>
      <c r="C419" s="373" t="s">
        <v>233</v>
      </c>
      <c r="D419" s="373"/>
      <c r="E419" s="373"/>
      <c r="F419" s="110">
        <v>0</v>
      </c>
      <c r="G419" s="110">
        <v>0</v>
      </c>
      <c r="H419" s="110">
        <v>0</v>
      </c>
      <c r="I419" s="110">
        <v>0</v>
      </c>
      <c r="J419" s="110">
        <v>0</v>
      </c>
      <c r="K419" s="110">
        <f>GETPIVOTDATA("Sum of 2025–2035 Total",Pivot!$B$431,"Ward_Name","N/A")</f>
        <v>2056</v>
      </c>
      <c r="L419" s="124">
        <f t="shared" si="34"/>
        <v>2056</v>
      </c>
      <c r="S419" s="53"/>
    </row>
    <row r="420" spans="2:19" x14ac:dyDescent="0.2">
      <c r="B420" s="6"/>
      <c r="C420" s="376" t="s">
        <v>6</v>
      </c>
      <c r="D420" s="376"/>
      <c r="E420" s="376"/>
      <c r="F420" s="111">
        <f>SUM(F410:F419)</f>
        <v>892</v>
      </c>
      <c r="G420" s="111">
        <f t="shared" ref="G420:K420" si="35">SUM(G410:G419)</f>
        <v>607</v>
      </c>
      <c r="H420" s="111">
        <f t="shared" si="35"/>
        <v>120</v>
      </c>
      <c r="I420" s="111">
        <f t="shared" si="35"/>
        <v>120</v>
      </c>
      <c r="J420" s="111">
        <f t="shared" si="35"/>
        <v>136</v>
      </c>
      <c r="K420" s="111">
        <f t="shared" si="35"/>
        <v>3661</v>
      </c>
      <c r="L420" s="111">
        <f>SUM(F420:K420)</f>
        <v>5536</v>
      </c>
      <c r="S420" s="53"/>
    </row>
    <row r="421" spans="2:19" x14ac:dyDescent="0.2">
      <c r="B421" s="6"/>
      <c r="C421" s="234" t="s">
        <v>204</v>
      </c>
      <c r="D421" s="233"/>
      <c r="S421" s="53"/>
    </row>
    <row r="422" spans="2:19" x14ac:dyDescent="0.2">
      <c r="B422" s="6"/>
      <c r="S422" s="53"/>
    </row>
    <row r="423" spans="2:19" x14ac:dyDescent="0.2">
      <c r="B423" s="47"/>
      <c r="C423" s="66"/>
      <c r="D423" s="66"/>
      <c r="E423" s="66"/>
      <c r="F423" s="66"/>
      <c r="G423" s="66"/>
      <c r="H423" s="66"/>
      <c r="I423" s="66"/>
      <c r="J423" s="66"/>
      <c r="K423" s="66"/>
      <c r="L423" s="66"/>
      <c r="M423" s="66"/>
      <c r="N423" s="66"/>
      <c r="O423" s="66"/>
      <c r="P423" s="66"/>
      <c r="Q423" s="66"/>
      <c r="R423" s="66"/>
      <c r="S423" s="67"/>
    </row>
    <row r="424" spans="2:19" x14ac:dyDescent="0.2">
      <c r="B424" s="51"/>
      <c r="C424" s="4"/>
      <c r="D424" s="4"/>
      <c r="E424" s="4"/>
      <c r="F424" s="4"/>
      <c r="G424" s="4"/>
      <c r="H424" s="4"/>
      <c r="I424" s="4"/>
      <c r="J424" s="4"/>
      <c r="K424" s="4"/>
      <c r="L424" s="4"/>
      <c r="M424" s="4"/>
      <c r="N424" s="4"/>
      <c r="O424" s="4"/>
      <c r="P424" s="4"/>
      <c r="Q424" s="4"/>
      <c r="R424" s="4"/>
      <c r="S424" s="68"/>
    </row>
    <row r="425" spans="2:19" x14ac:dyDescent="0.2">
      <c r="B425" s="6"/>
      <c r="S425" s="53"/>
    </row>
    <row r="426" spans="2:19" x14ac:dyDescent="0.2">
      <c r="B426" s="6"/>
      <c r="C426" s="126" t="s">
        <v>242</v>
      </c>
      <c r="D426" s="20" t="s">
        <v>239</v>
      </c>
      <c r="E426" s="25"/>
      <c r="S426" s="53"/>
    </row>
    <row r="427" spans="2:19" ht="29.25" x14ac:dyDescent="0.2">
      <c r="B427" s="6"/>
      <c r="C427" s="122" t="s">
        <v>80</v>
      </c>
      <c r="D427" s="122" t="s">
        <v>240</v>
      </c>
      <c r="E427" s="122" t="s">
        <v>241</v>
      </c>
      <c r="S427" s="53"/>
    </row>
    <row r="428" spans="2:19" x14ac:dyDescent="0.2">
      <c r="B428" s="6"/>
      <c r="C428" s="253" t="s">
        <v>89</v>
      </c>
      <c r="D428" s="253">
        <v>20</v>
      </c>
      <c r="E428" s="253">
        <v>457</v>
      </c>
      <c r="S428" s="53"/>
    </row>
    <row r="429" spans="2:19" x14ac:dyDescent="0.2">
      <c r="B429" s="6"/>
      <c r="C429" s="253" t="s">
        <v>90</v>
      </c>
      <c r="D429" s="253">
        <v>27</v>
      </c>
      <c r="E429" s="253">
        <v>286</v>
      </c>
      <c r="S429" s="53"/>
    </row>
    <row r="430" spans="2:19" x14ac:dyDescent="0.2">
      <c r="B430" s="6"/>
      <c r="C430" s="253" t="s">
        <v>91</v>
      </c>
      <c r="D430" s="253">
        <v>36</v>
      </c>
      <c r="E430" s="253">
        <v>593</v>
      </c>
      <c r="S430" s="53"/>
    </row>
    <row r="431" spans="2:19" x14ac:dyDescent="0.2">
      <c r="B431" s="6"/>
      <c r="C431" s="253" t="s">
        <v>92</v>
      </c>
      <c r="D431" s="253">
        <v>41</v>
      </c>
      <c r="E431" s="253">
        <v>570</v>
      </c>
      <c r="S431" s="53"/>
    </row>
    <row r="432" spans="2:19" x14ac:dyDescent="0.2">
      <c r="B432" s="6"/>
      <c r="C432" s="253" t="s">
        <v>93</v>
      </c>
      <c r="D432" s="253">
        <v>21</v>
      </c>
      <c r="E432" s="253">
        <v>140</v>
      </c>
      <c r="S432" s="53"/>
    </row>
    <row r="433" spans="2:19" x14ac:dyDescent="0.2">
      <c r="B433" s="6"/>
      <c r="C433" s="253" t="s">
        <v>94</v>
      </c>
      <c r="D433" s="253">
        <v>132</v>
      </c>
      <c r="E433" s="253">
        <v>777</v>
      </c>
      <c r="S433" s="53"/>
    </row>
    <row r="434" spans="2:19" x14ac:dyDescent="0.2">
      <c r="B434" s="6"/>
      <c r="C434" s="253" t="s">
        <v>95</v>
      </c>
      <c r="D434" s="253">
        <v>23</v>
      </c>
      <c r="E434" s="253">
        <v>991</v>
      </c>
      <c r="S434" s="53"/>
    </row>
    <row r="435" spans="2:19" x14ac:dyDescent="0.2">
      <c r="B435" s="6"/>
      <c r="C435" s="253" t="s">
        <v>96</v>
      </c>
      <c r="D435" s="253">
        <v>-4</v>
      </c>
      <c r="E435" s="253">
        <v>567</v>
      </c>
      <c r="S435" s="53"/>
    </row>
    <row r="436" spans="2:19" x14ac:dyDescent="0.2">
      <c r="B436" s="6"/>
      <c r="C436" s="253" t="s">
        <v>97</v>
      </c>
      <c r="D436" s="253">
        <v>5</v>
      </c>
      <c r="E436" s="253">
        <v>648</v>
      </c>
      <c r="S436" s="53"/>
    </row>
    <row r="437" spans="2:19" x14ac:dyDescent="0.2">
      <c r="B437" s="6"/>
      <c r="C437" s="253" t="s">
        <v>98</v>
      </c>
      <c r="D437" s="253">
        <v>72</v>
      </c>
      <c r="E437" s="253">
        <v>570</v>
      </c>
      <c r="S437" s="53"/>
    </row>
    <row r="438" spans="2:19" x14ac:dyDescent="0.2">
      <c r="B438" s="6"/>
      <c r="C438" s="253" t="s">
        <v>99</v>
      </c>
      <c r="D438" s="253">
        <v>14</v>
      </c>
      <c r="E438" s="253">
        <v>221</v>
      </c>
      <c r="S438" s="53"/>
    </row>
    <row r="439" spans="2:19" x14ac:dyDescent="0.2">
      <c r="B439" s="6"/>
      <c r="C439" s="253" t="s">
        <v>100</v>
      </c>
      <c r="D439" s="253">
        <v>25</v>
      </c>
      <c r="E439" s="253">
        <v>244</v>
      </c>
      <c r="S439" s="53"/>
    </row>
    <row r="440" spans="2:19" x14ac:dyDescent="0.2">
      <c r="B440" s="6"/>
      <c r="C440" s="253" t="s">
        <v>101</v>
      </c>
      <c r="D440" s="253">
        <v>25</v>
      </c>
      <c r="E440" s="253">
        <v>434</v>
      </c>
      <c r="S440" s="53"/>
    </row>
    <row r="441" spans="2:19" x14ac:dyDescent="0.2">
      <c r="B441" s="6"/>
      <c r="C441" s="253" t="s">
        <v>8</v>
      </c>
      <c r="D441" s="253">
        <v>78</v>
      </c>
      <c r="E441" s="253">
        <v>169</v>
      </c>
      <c r="S441" s="53"/>
    </row>
    <row r="442" spans="2:19" x14ac:dyDescent="0.2">
      <c r="B442" s="6"/>
      <c r="C442" s="253" t="s">
        <v>9</v>
      </c>
      <c r="D442" s="253">
        <v>16</v>
      </c>
      <c r="E442" s="253">
        <v>749</v>
      </c>
      <c r="S442" s="53"/>
    </row>
    <row r="443" spans="2:19" x14ac:dyDescent="0.2">
      <c r="B443" s="6"/>
      <c r="C443" s="253" t="s">
        <v>102</v>
      </c>
      <c r="D443" s="253">
        <v>129</v>
      </c>
      <c r="E443" s="253">
        <v>128</v>
      </c>
      <c r="S443" s="53"/>
    </row>
    <row r="444" spans="2:19" x14ac:dyDescent="0.2">
      <c r="B444" s="6"/>
      <c r="C444" s="254" t="s">
        <v>11</v>
      </c>
      <c r="D444" s="254">
        <v>36</v>
      </c>
      <c r="E444" s="254">
        <v>804</v>
      </c>
      <c r="S444" s="53"/>
    </row>
    <row r="445" spans="2:19" x14ac:dyDescent="0.2">
      <c r="B445" s="6"/>
      <c r="C445" s="255" t="s">
        <v>6</v>
      </c>
      <c r="D445" s="255">
        <f>SUM(D428:D444)</f>
        <v>696</v>
      </c>
      <c r="E445" s="255">
        <f>SUM(E428:E444)</f>
        <v>8348</v>
      </c>
      <c r="S445" s="53"/>
    </row>
    <row r="446" spans="2:19" x14ac:dyDescent="0.2">
      <c r="B446" s="6"/>
      <c r="S446" s="53"/>
    </row>
    <row r="447" spans="2:19" x14ac:dyDescent="0.2">
      <c r="B447" s="6"/>
      <c r="S447" s="53"/>
    </row>
    <row r="448" spans="2:19" x14ac:dyDescent="0.2">
      <c r="B448" s="90"/>
      <c r="C448" s="25"/>
      <c r="D448" s="25"/>
      <c r="E448" s="25"/>
      <c r="F448" s="25"/>
      <c r="G448" s="25"/>
      <c r="H448" s="25"/>
      <c r="I448" s="25"/>
      <c r="J448" s="25"/>
      <c r="K448" s="25"/>
      <c r="L448" s="25"/>
      <c r="M448" s="25"/>
      <c r="N448" s="25"/>
      <c r="O448" s="25"/>
      <c r="P448" s="25"/>
      <c r="Q448" s="25"/>
      <c r="R448" s="25"/>
      <c r="S448" s="91"/>
    </row>
    <row r="449" spans="2:19" ht="12.75" customHeight="1" x14ac:dyDescent="0.2">
      <c r="B449" s="90"/>
      <c r="C449" s="25"/>
      <c r="D449" s="25"/>
      <c r="E449" s="25"/>
      <c r="F449" s="25"/>
      <c r="G449" s="25"/>
      <c r="H449" s="25"/>
      <c r="I449" s="25"/>
      <c r="J449" s="25"/>
      <c r="K449" s="25"/>
      <c r="L449" s="25"/>
      <c r="M449" s="25"/>
      <c r="N449" s="25"/>
      <c r="O449" s="25"/>
      <c r="P449" s="25"/>
      <c r="Q449" s="25"/>
      <c r="R449" s="25"/>
      <c r="S449" s="91"/>
    </row>
    <row r="450" spans="2:19" ht="12.75" customHeight="1" x14ac:dyDescent="0.2">
      <c r="B450" s="90"/>
      <c r="C450" s="20" t="s">
        <v>1789</v>
      </c>
      <c r="D450" s="20" t="s">
        <v>243</v>
      </c>
      <c r="E450" s="25"/>
      <c r="F450" s="25"/>
      <c r="G450" s="25"/>
      <c r="H450" s="25"/>
      <c r="I450" s="25"/>
      <c r="J450" s="25"/>
      <c r="K450" s="25"/>
      <c r="L450" s="25"/>
      <c r="M450" s="25"/>
      <c r="N450" s="25"/>
      <c r="O450" s="25"/>
      <c r="P450" s="25"/>
      <c r="Q450" s="25"/>
      <c r="R450" s="25"/>
      <c r="S450" s="91"/>
    </row>
    <row r="451" spans="2:19" ht="12.75" customHeight="1" x14ac:dyDescent="0.2">
      <c r="B451" s="90"/>
      <c r="C451" s="235"/>
      <c r="D451" s="381" t="s">
        <v>244</v>
      </c>
      <c r="E451" s="382"/>
      <c r="F451" s="382"/>
      <c r="G451" s="382"/>
      <c r="H451" s="382"/>
      <c r="I451" s="382"/>
      <c r="J451" s="382"/>
      <c r="K451" s="382"/>
      <c r="L451" s="383"/>
      <c r="M451" s="25"/>
      <c r="N451" s="25"/>
      <c r="O451" s="25"/>
      <c r="P451" s="25"/>
      <c r="Q451" s="25"/>
      <c r="R451" s="25"/>
      <c r="S451" s="91"/>
    </row>
    <row r="452" spans="2:19" ht="12.75" customHeight="1" x14ac:dyDescent="0.2">
      <c r="B452" s="90"/>
      <c r="C452" s="236" t="s">
        <v>80</v>
      </c>
      <c r="D452" s="237" t="s">
        <v>245</v>
      </c>
      <c r="E452" s="237" t="s">
        <v>246</v>
      </c>
      <c r="F452" s="237" t="s">
        <v>247</v>
      </c>
      <c r="G452" s="236" t="s">
        <v>248</v>
      </c>
      <c r="H452" s="236" t="s">
        <v>249</v>
      </c>
      <c r="I452" s="236" t="s">
        <v>250</v>
      </c>
      <c r="J452" s="236" t="s">
        <v>251</v>
      </c>
      <c r="K452" s="236" t="s">
        <v>252</v>
      </c>
      <c r="L452" s="236" t="s">
        <v>253</v>
      </c>
      <c r="M452" s="243"/>
      <c r="N452" s="25"/>
      <c r="O452" s="25"/>
      <c r="P452" s="25"/>
      <c r="Q452" s="25"/>
      <c r="R452" s="25"/>
      <c r="S452" s="91"/>
    </row>
    <row r="453" spans="2:19" ht="12.75" customHeight="1" x14ac:dyDescent="0.2">
      <c r="B453" s="90"/>
      <c r="C453" s="228" t="s">
        <v>86</v>
      </c>
      <c r="D453" s="228">
        <v>1.4</v>
      </c>
      <c r="E453" s="228">
        <v>1.7</v>
      </c>
      <c r="F453" s="228">
        <v>2.2999999999999998</v>
      </c>
      <c r="G453" s="228">
        <v>3.8</v>
      </c>
      <c r="H453" s="228">
        <v>2.7</v>
      </c>
      <c r="I453" s="238"/>
      <c r="J453" s="238"/>
      <c r="K453" s="228">
        <v>1.8</v>
      </c>
      <c r="L453" s="228">
        <v>3.2</v>
      </c>
      <c r="M453" s="244"/>
      <c r="N453" s="25"/>
      <c r="O453" s="25"/>
      <c r="P453" s="25"/>
      <c r="Q453" s="25"/>
      <c r="R453" s="25"/>
      <c r="S453" s="91"/>
    </row>
    <row r="454" spans="2:19" ht="12.75" customHeight="1" x14ac:dyDescent="0.2">
      <c r="B454" s="90"/>
      <c r="C454" s="228" t="s">
        <v>87</v>
      </c>
      <c r="D454" s="228">
        <v>1.6</v>
      </c>
      <c r="E454" s="228">
        <v>1.6</v>
      </c>
      <c r="F454" s="228">
        <v>1.2</v>
      </c>
      <c r="G454" s="238"/>
      <c r="H454" s="228">
        <v>2</v>
      </c>
      <c r="I454" s="228">
        <v>2.4</v>
      </c>
      <c r="J454" s="238"/>
      <c r="K454" s="238"/>
      <c r="L454" s="238"/>
      <c r="M454" s="244"/>
      <c r="N454" s="25"/>
      <c r="O454" s="25"/>
      <c r="P454" s="25"/>
      <c r="Q454" s="25"/>
      <c r="R454" s="25"/>
      <c r="S454" s="91"/>
    </row>
    <row r="455" spans="2:19" ht="12.75" customHeight="1" x14ac:dyDescent="0.2">
      <c r="B455" s="90"/>
      <c r="C455" s="228" t="s">
        <v>88</v>
      </c>
      <c r="D455" s="228">
        <v>1.8</v>
      </c>
      <c r="E455" s="228">
        <v>2.2000000000000002</v>
      </c>
      <c r="F455" s="228">
        <v>2.6</v>
      </c>
      <c r="G455" s="228">
        <v>2.2999999999999998</v>
      </c>
      <c r="H455" s="238"/>
      <c r="I455" s="228">
        <v>3</v>
      </c>
      <c r="J455" s="238"/>
      <c r="K455" s="238"/>
      <c r="L455" s="228">
        <v>7.1</v>
      </c>
      <c r="M455" s="244"/>
      <c r="N455" s="25"/>
      <c r="O455" s="25"/>
      <c r="P455" s="25"/>
      <c r="Q455" s="25"/>
      <c r="R455" s="25"/>
      <c r="S455" s="91"/>
    </row>
    <row r="456" spans="2:19" ht="12.75" customHeight="1" x14ac:dyDescent="0.2">
      <c r="B456" s="90"/>
      <c r="C456" s="253" t="s">
        <v>89</v>
      </c>
      <c r="D456" s="228">
        <v>1.6</v>
      </c>
      <c r="E456" s="228">
        <v>2.2000000000000002</v>
      </c>
      <c r="F456" s="228">
        <v>3.7</v>
      </c>
      <c r="G456" s="228">
        <v>1.6</v>
      </c>
      <c r="H456" s="238"/>
      <c r="I456" s="238"/>
      <c r="J456" s="238"/>
      <c r="K456" s="238"/>
      <c r="L456" s="238"/>
      <c r="M456" s="244"/>
      <c r="N456" s="25"/>
      <c r="O456" s="25"/>
      <c r="P456" s="25"/>
      <c r="Q456" s="25"/>
      <c r="R456" s="25"/>
      <c r="S456" s="91"/>
    </row>
    <row r="457" spans="2:19" ht="12.75" customHeight="1" x14ac:dyDescent="0.2">
      <c r="B457" s="90"/>
      <c r="C457" s="253" t="s">
        <v>90</v>
      </c>
      <c r="D457" s="228">
        <v>1.7</v>
      </c>
      <c r="E457" s="228">
        <v>2.1</v>
      </c>
      <c r="F457" s="228">
        <v>1.2</v>
      </c>
      <c r="G457" s="228">
        <v>5.3</v>
      </c>
      <c r="H457" s="238"/>
      <c r="I457" s="238"/>
      <c r="J457" s="228">
        <v>2.6</v>
      </c>
      <c r="K457" s="238"/>
      <c r="L457" s="228">
        <v>7.1</v>
      </c>
      <c r="M457" s="244"/>
      <c r="N457" s="25"/>
      <c r="O457" s="25"/>
      <c r="P457" s="25"/>
      <c r="Q457" s="25"/>
      <c r="R457" s="25"/>
      <c r="S457" s="91"/>
    </row>
    <row r="458" spans="2:19" ht="12.75" customHeight="1" x14ac:dyDescent="0.2">
      <c r="B458" s="90"/>
      <c r="C458" s="253" t="s">
        <v>91</v>
      </c>
      <c r="D458" s="228">
        <v>1.8</v>
      </c>
      <c r="E458" s="228">
        <v>2.2999999999999998</v>
      </c>
      <c r="F458" s="238"/>
      <c r="G458" s="238"/>
      <c r="H458" s="238"/>
      <c r="I458" s="238"/>
      <c r="J458" s="238"/>
      <c r="K458" s="238"/>
      <c r="L458" s="238"/>
      <c r="M458" s="244"/>
      <c r="N458" s="25"/>
      <c r="O458" s="25"/>
      <c r="P458" s="25"/>
      <c r="Q458" s="25"/>
      <c r="R458" s="25"/>
      <c r="S458" s="91"/>
    </row>
    <row r="459" spans="2:19" ht="12.75" customHeight="1" x14ac:dyDescent="0.2">
      <c r="B459" s="90"/>
      <c r="C459" s="253" t="s">
        <v>92</v>
      </c>
      <c r="D459" s="228">
        <v>1.9</v>
      </c>
      <c r="E459" s="228">
        <v>2.9</v>
      </c>
      <c r="F459" s="228">
        <v>2.9</v>
      </c>
      <c r="G459" s="238"/>
      <c r="H459" s="228">
        <v>2.5</v>
      </c>
      <c r="I459" s="238"/>
      <c r="J459" s="238"/>
      <c r="K459" s="228">
        <v>1.8</v>
      </c>
      <c r="L459" s="228">
        <v>4.5</v>
      </c>
      <c r="M459" s="244"/>
      <c r="N459" s="25"/>
      <c r="O459" s="25"/>
      <c r="P459" s="25"/>
      <c r="Q459" s="25"/>
      <c r="R459" s="25"/>
      <c r="S459" s="91"/>
    </row>
    <row r="460" spans="2:19" ht="12.75" customHeight="1" x14ac:dyDescent="0.2">
      <c r="B460" s="90"/>
      <c r="C460" s="253" t="s">
        <v>93</v>
      </c>
      <c r="D460" s="228">
        <v>2</v>
      </c>
      <c r="E460" s="228">
        <v>3.7</v>
      </c>
      <c r="F460" s="228">
        <v>4</v>
      </c>
      <c r="G460" s="238"/>
      <c r="H460" s="228">
        <v>4.5999999999999996</v>
      </c>
      <c r="I460" s="238"/>
      <c r="J460" s="238"/>
      <c r="K460" s="238"/>
      <c r="L460" s="238"/>
      <c r="M460" s="244"/>
      <c r="N460" s="25"/>
      <c r="O460" s="25"/>
      <c r="P460" s="25"/>
      <c r="Q460" s="25"/>
      <c r="R460" s="25"/>
      <c r="S460" s="91"/>
    </row>
    <row r="461" spans="2:19" ht="12.75" customHeight="1" x14ac:dyDescent="0.2">
      <c r="B461" s="90"/>
      <c r="C461" s="253" t="s">
        <v>94</v>
      </c>
      <c r="D461" s="228">
        <v>1.9</v>
      </c>
      <c r="E461" s="228">
        <v>1.7</v>
      </c>
      <c r="F461" s="228">
        <v>3</v>
      </c>
      <c r="G461" s="238"/>
      <c r="H461" s="238"/>
      <c r="I461" s="238"/>
      <c r="J461" s="238"/>
      <c r="K461" s="228">
        <v>3.8</v>
      </c>
      <c r="L461" s="238"/>
      <c r="M461" s="244"/>
      <c r="N461" s="25"/>
      <c r="O461" s="25"/>
      <c r="P461" s="25"/>
      <c r="Q461" s="25"/>
      <c r="R461" s="25"/>
      <c r="S461" s="91"/>
    </row>
    <row r="462" spans="2:19" ht="12.75" customHeight="1" x14ac:dyDescent="0.2">
      <c r="B462" s="90"/>
      <c r="C462" s="253" t="s">
        <v>95</v>
      </c>
      <c r="D462" s="228">
        <v>1.8</v>
      </c>
      <c r="E462" s="228">
        <v>2.2000000000000002</v>
      </c>
      <c r="F462" s="228">
        <v>1.2</v>
      </c>
      <c r="G462" s="238"/>
      <c r="H462" s="228">
        <v>4.3</v>
      </c>
      <c r="I462" s="228">
        <v>1.4</v>
      </c>
      <c r="J462" s="238"/>
      <c r="K462" s="238"/>
      <c r="L462" s="238"/>
      <c r="M462" s="244"/>
      <c r="N462" s="25"/>
      <c r="O462" s="25"/>
      <c r="P462" s="25"/>
      <c r="Q462" s="25"/>
      <c r="R462" s="25"/>
      <c r="S462" s="91"/>
    </row>
    <row r="463" spans="2:19" ht="12.75" customHeight="1" x14ac:dyDescent="0.2">
      <c r="B463" s="90"/>
      <c r="C463" s="253" t="s">
        <v>96</v>
      </c>
      <c r="D463" s="228">
        <v>1.9</v>
      </c>
      <c r="E463" s="228">
        <v>3.3</v>
      </c>
      <c r="F463" s="238"/>
      <c r="G463" s="238"/>
      <c r="H463" s="228">
        <v>2.2999999999999998</v>
      </c>
      <c r="I463" s="228">
        <v>2.2000000000000002</v>
      </c>
      <c r="J463" s="238"/>
      <c r="K463" s="238"/>
      <c r="L463" s="238"/>
      <c r="M463" s="244"/>
      <c r="N463" s="25"/>
      <c r="O463" s="25"/>
      <c r="P463" s="25"/>
      <c r="Q463" s="25"/>
      <c r="R463" s="25"/>
      <c r="S463" s="91"/>
    </row>
    <row r="464" spans="2:19" ht="12.75" customHeight="1" x14ac:dyDescent="0.2">
      <c r="B464" s="90"/>
      <c r="C464" s="253" t="s">
        <v>97</v>
      </c>
      <c r="D464" s="228">
        <v>2.2000000000000002</v>
      </c>
      <c r="E464" s="228">
        <v>3.3</v>
      </c>
      <c r="F464" s="228">
        <v>3.7</v>
      </c>
      <c r="G464" s="238"/>
      <c r="H464" s="228">
        <v>2.2999999999999998</v>
      </c>
      <c r="I464" s="238"/>
      <c r="J464" s="238"/>
      <c r="K464" s="238"/>
      <c r="L464" s="228">
        <v>3.2</v>
      </c>
      <c r="M464" s="244"/>
      <c r="N464" s="25"/>
      <c r="O464" s="25"/>
      <c r="P464" s="25"/>
      <c r="Q464" s="25"/>
      <c r="R464" s="25"/>
      <c r="S464" s="91"/>
    </row>
    <row r="465" spans="2:19" ht="12.75" customHeight="1" x14ac:dyDescent="0.2">
      <c r="B465" s="90"/>
      <c r="C465" s="253" t="s">
        <v>98</v>
      </c>
      <c r="D465" s="228">
        <v>1.7</v>
      </c>
      <c r="E465" s="228">
        <v>4.3</v>
      </c>
      <c r="F465" s="238"/>
      <c r="G465" s="238"/>
      <c r="H465" s="238"/>
      <c r="I465" s="238"/>
      <c r="J465" s="228">
        <v>3</v>
      </c>
      <c r="K465" s="228">
        <v>3.8</v>
      </c>
      <c r="L465" s="228">
        <v>3.3</v>
      </c>
      <c r="M465" s="244"/>
      <c r="N465" s="25"/>
      <c r="O465" s="25"/>
      <c r="P465" s="25"/>
      <c r="Q465" s="25"/>
      <c r="R465" s="25"/>
      <c r="S465" s="91"/>
    </row>
    <row r="466" spans="2:19" ht="12.75" customHeight="1" x14ac:dyDescent="0.2">
      <c r="B466" s="90"/>
      <c r="C466" s="253" t="s">
        <v>99</v>
      </c>
      <c r="D466" s="228">
        <v>2.2000000000000002</v>
      </c>
      <c r="E466" s="228">
        <v>2.2999999999999998</v>
      </c>
      <c r="F466" s="238"/>
      <c r="G466" s="228">
        <v>2.7</v>
      </c>
      <c r="H466" s="238"/>
      <c r="I466" s="238"/>
      <c r="J466" s="238"/>
      <c r="K466" s="238"/>
      <c r="L466" s="238"/>
      <c r="M466" s="244"/>
      <c r="N466" s="25"/>
      <c r="O466" s="25"/>
      <c r="P466" s="25"/>
      <c r="Q466" s="25"/>
      <c r="R466" s="25"/>
      <c r="S466" s="91"/>
    </row>
    <row r="467" spans="2:19" ht="12.75" customHeight="1" x14ac:dyDescent="0.2">
      <c r="B467" s="90"/>
      <c r="C467" s="253" t="s">
        <v>100</v>
      </c>
      <c r="D467" s="228">
        <v>2</v>
      </c>
      <c r="E467" s="228">
        <v>2.4</v>
      </c>
      <c r="F467" s="238"/>
      <c r="G467" s="238"/>
      <c r="H467" s="228">
        <v>3.7</v>
      </c>
      <c r="I467" s="238"/>
      <c r="J467" s="228">
        <v>2.1</v>
      </c>
      <c r="K467" s="238"/>
      <c r="L467" s="228">
        <v>5.9</v>
      </c>
      <c r="M467" s="244"/>
      <c r="N467" s="25"/>
      <c r="O467" s="25"/>
      <c r="P467" s="25"/>
      <c r="Q467" s="25"/>
      <c r="R467" s="25"/>
      <c r="S467" s="91"/>
    </row>
    <row r="468" spans="2:19" ht="12.75" customHeight="1" x14ac:dyDescent="0.2">
      <c r="B468" s="90"/>
      <c r="C468" s="253" t="s">
        <v>101</v>
      </c>
      <c r="D468" s="228">
        <v>2.4</v>
      </c>
      <c r="E468" s="228">
        <v>3.2</v>
      </c>
      <c r="F468" s="238"/>
      <c r="G468" s="238"/>
      <c r="H468" s="228">
        <v>2.9</v>
      </c>
      <c r="I468" s="238"/>
      <c r="J468" s="238"/>
      <c r="K468" s="238"/>
      <c r="L468" s="238"/>
      <c r="M468" s="244"/>
      <c r="N468" s="25"/>
      <c r="O468" s="25"/>
      <c r="P468" s="25"/>
      <c r="Q468" s="25"/>
      <c r="R468" s="25"/>
      <c r="S468" s="91"/>
    </row>
    <row r="469" spans="2:19" ht="12.75" customHeight="1" x14ac:dyDescent="0.2">
      <c r="B469" s="90"/>
      <c r="C469" s="253" t="s">
        <v>8</v>
      </c>
      <c r="D469" s="228">
        <v>2.2999999999999998</v>
      </c>
      <c r="E469" s="228">
        <v>2</v>
      </c>
      <c r="F469" s="228">
        <v>2.6</v>
      </c>
      <c r="G469" s="238"/>
      <c r="H469" s="228">
        <v>4.8</v>
      </c>
      <c r="I469" s="238"/>
      <c r="J469" s="238"/>
      <c r="K469" s="238"/>
      <c r="L469" s="228">
        <v>10</v>
      </c>
      <c r="M469" s="244"/>
      <c r="N469" s="25"/>
      <c r="O469" s="25"/>
      <c r="P469" s="25"/>
      <c r="Q469" s="25"/>
      <c r="R469" s="25"/>
      <c r="S469" s="91"/>
    </row>
    <row r="470" spans="2:19" ht="12.75" customHeight="1" x14ac:dyDescent="0.2">
      <c r="B470" s="90"/>
      <c r="C470" s="253" t="s">
        <v>9</v>
      </c>
      <c r="D470" s="228">
        <v>2.5</v>
      </c>
      <c r="E470" s="228">
        <v>2.2999999999999998</v>
      </c>
      <c r="F470" s="238"/>
      <c r="G470" s="238"/>
      <c r="H470" s="238"/>
      <c r="I470" s="238"/>
      <c r="J470" s="238"/>
      <c r="K470" s="238"/>
      <c r="L470" s="238"/>
      <c r="M470" s="244"/>
      <c r="N470" s="25"/>
      <c r="O470" s="25"/>
      <c r="P470" s="25"/>
      <c r="Q470" s="25"/>
      <c r="R470" s="25"/>
      <c r="S470" s="91"/>
    </row>
    <row r="471" spans="2:19" ht="12.75" customHeight="1" x14ac:dyDescent="0.2">
      <c r="B471" s="90"/>
      <c r="C471" s="253" t="s">
        <v>102</v>
      </c>
      <c r="D471" s="127">
        <v>2.4660821917808224</v>
      </c>
      <c r="E471" s="127">
        <v>2.5520547945205481</v>
      </c>
      <c r="F471" s="127">
        <v>2.3013698630136985</v>
      </c>
      <c r="G471" s="127">
        <v>1.4219178082191781</v>
      </c>
      <c r="H471" s="127">
        <v>5.4739726027397255</v>
      </c>
      <c r="I471" s="127"/>
      <c r="J471" s="127"/>
      <c r="K471" s="127"/>
      <c r="L471" s="127"/>
      <c r="M471" s="244"/>
      <c r="N471" s="25"/>
      <c r="O471" s="25"/>
      <c r="P471" s="25"/>
      <c r="Q471" s="25"/>
      <c r="R471" s="25"/>
      <c r="S471" s="91"/>
    </row>
    <row r="472" spans="2:19" ht="12.75" customHeight="1" x14ac:dyDescent="0.2">
      <c r="B472" s="90"/>
      <c r="C472" s="254" t="s">
        <v>11</v>
      </c>
      <c r="D472" s="127">
        <f>GETPIVOTDATA("approval to completion",Pivot!$B$565,"Site size","1 to 4")</f>
        <v>1.9221004566210049</v>
      </c>
      <c r="E472" s="127">
        <f>GETPIVOTDATA("approval to completion",Pivot!$B$565,"Site size","5 to 9")</f>
        <v>2.0584474885844748</v>
      </c>
      <c r="F472" s="127"/>
      <c r="G472" s="127"/>
      <c r="H472" s="127"/>
      <c r="I472" s="127"/>
      <c r="J472" s="127"/>
      <c r="K472" s="127"/>
      <c r="L472" s="127"/>
      <c r="M472" s="244"/>
      <c r="N472" s="25"/>
      <c r="O472" s="25"/>
      <c r="P472" s="25"/>
      <c r="Q472" s="25"/>
      <c r="R472" s="25"/>
      <c r="S472" s="91"/>
    </row>
    <row r="473" spans="2:19" ht="12.75" customHeight="1" x14ac:dyDescent="0.2">
      <c r="B473" s="90"/>
      <c r="C473" s="236" t="s">
        <v>254</v>
      </c>
      <c r="D473" s="239">
        <f>AVERAGE(D453:D472)</f>
        <v>1.954409132420091</v>
      </c>
      <c r="E473" s="239">
        <f t="shared" ref="E473:L473" si="36">AVERAGE(E453:E472)</f>
        <v>2.5155251141552513</v>
      </c>
      <c r="F473" s="239">
        <f t="shared" si="36"/>
        <v>2.5584474885844748</v>
      </c>
      <c r="G473" s="239">
        <f t="shared" si="36"/>
        <v>2.8536529680365295</v>
      </c>
      <c r="H473" s="239">
        <f t="shared" si="36"/>
        <v>3.4158156911581572</v>
      </c>
      <c r="I473" s="239">
        <f t="shared" si="36"/>
        <v>2.25</v>
      </c>
      <c r="J473" s="239">
        <f t="shared" si="36"/>
        <v>2.5666666666666664</v>
      </c>
      <c r="K473" s="239">
        <f t="shared" si="36"/>
        <v>2.8</v>
      </c>
      <c r="L473" s="239">
        <f t="shared" si="36"/>
        <v>5.5374999999999996</v>
      </c>
      <c r="M473" s="244"/>
      <c r="N473" s="25"/>
      <c r="O473" s="25"/>
      <c r="P473" s="25"/>
      <c r="Q473" s="25"/>
      <c r="R473" s="25"/>
      <c r="S473" s="91"/>
    </row>
    <row r="474" spans="2:19" x14ac:dyDescent="0.2">
      <c r="B474" s="90"/>
      <c r="C474" s="25"/>
      <c r="D474" s="25"/>
      <c r="E474" s="25"/>
      <c r="F474" s="25"/>
      <c r="G474" s="25"/>
      <c r="H474" s="25"/>
      <c r="I474" s="25"/>
      <c r="J474" s="25"/>
      <c r="K474" s="25"/>
      <c r="L474" s="25"/>
      <c r="M474" s="25"/>
      <c r="N474" s="25"/>
      <c r="O474" s="25"/>
      <c r="P474" s="25"/>
      <c r="Q474" s="25"/>
      <c r="R474" s="25"/>
      <c r="S474" s="91"/>
    </row>
    <row r="475" spans="2:19" x14ac:dyDescent="0.2">
      <c r="B475" s="90"/>
      <c r="C475" s="25"/>
      <c r="D475" s="25"/>
      <c r="E475" s="25"/>
      <c r="F475" s="25"/>
      <c r="G475" s="25"/>
      <c r="H475" s="25"/>
      <c r="I475" s="25"/>
      <c r="J475" s="25"/>
      <c r="K475" s="25"/>
      <c r="L475" s="25"/>
      <c r="M475" s="25"/>
      <c r="N475" s="25"/>
      <c r="O475" s="25"/>
      <c r="P475" s="25"/>
      <c r="Q475" s="25"/>
      <c r="R475" s="25"/>
      <c r="S475" s="91"/>
    </row>
    <row r="476" spans="2:19" x14ac:dyDescent="0.2">
      <c r="B476" s="90"/>
      <c r="C476" s="25"/>
      <c r="D476" s="25"/>
      <c r="E476" s="25"/>
      <c r="F476" s="25"/>
      <c r="G476" s="25"/>
      <c r="H476" s="25"/>
      <c r="I476" s="25"/>
      <c r="J476" s="25"/>
      <c r="K476" s="25"/>
      <c r="L476" s="25"/>
      <c r="M476" s="25"/>
      <c r="N476" s="25"/>
      <c r="O476" s="25"/>
      <c r="P476" s="25"/>
      <c r="Q476" s="25"/>
      <c r="R476" s="25"/>
      <c r="S476" s="91"/>
    </row>
    <row r="477" spans="2:19" x14ac:dyDescent="0.2">
      <c r="B477" s="240"/>
      <c r="C477" s="241"/>
      <c r="D477" s="241"/>
      <c r="E477" s="241"/>
      <c r="F477" s="241"/>
      <c r="G477" s="241"/>
      <c r="H477" s="241"/>
      <c r="I477" s="241"/>
      <c r="J477" s="241"/>
      <c r="K477" s="241"/>
      <c r="L477" s="241"/>
      <c r="M477" s="241"/>
      <c r="N477" s="241"/>
      <c r="O477" s="241"/>
      <c r="P477" s="241"/>
      <c r="Q477" s="241"/>
      <c r="R477" s="241"/>
      <c r="S477" s="242"/>
    </row>
  </sheetData>
  <mergeCells count="327">
    <mergeCell ref="C12:M12"/>
    <mergeCell ref="D13:L13"/>
    <mergeCell ref="D14:L14"/>
    <mergeCell ref="D15:L15"/>
    <mergeCell ref="B2:S3"/>
    <mergeCell ref="C6:F7"/>
    <mergeCell ref="G6:G7"/>
    <mergeCell ref="L6:L7"/>
    <mergeCell ref="C8:F8"/>
    <mergeCell ref="D20:J20"/>
    <mergeCell ref="K20:L20"/>
    <mergeCell ref="D21:J21"/>
    <mergeCell ref="K21:L21"/>
    <mergeCell ref="D22:J22"/>
    <mergeCell ref="K22:L22"/>
    <mergeCell ref="D16:J16"/>
    <mergeCell ref="K16:L16"/>
    <mergeCell ref="D17:L17"/>
    <mergeCell ref="D18:L18"/>
    <mergeCell ref="D19:J19"/>
    <mergeCell ref="K19:L19"/>
    <mergeCell ref="C35:G35"/>
    <mergeCell ref="H35:I35"/>
    <mergeCell ref="K35:P35"/>
    <mergeCell ref="Q35:R35"/>
    <mergeCell ref="C36:G36"/>
    <mergeCell ref="H36:I36"/>
    <mergeCell ref="K36:P36"/>
    <mergeCell ref="Q36:R36"/>
    <mergeCell ref="D26:J26"/>
    <mergeCell ref="K26:L26"/>
    <mergeCell ref="D27:J27"/>
    <mergeCell ref="K27:L27"/>
    <mergeCell ref="D28:J28"/>
    <mergeCell ref="K28:L28"/>
    <mergeCell ref="D29:J29"/>
    <mergeCell ref="K29:L29"/>
    <mergeCell ref="D30:J30"/>
    <mergeCell ref="K30:L30"/>
    <mergeCell ref="C39:G39"/>
    <mergeCell ref="H39:I39"/>
    <mergeCell ref="K39:P39"/>
    <mergeCell ref="Q39:R39"/>
    <mergeCell ref="C40:G40"/>
    <mergeCell ref="H40:I40"/>
    <mergeCell ref="K40:P40"/>
    <mergeCell ref="Q40:R40"/>
    <mergeCell ref="C37:G37"/>
    <mergeCell ref="H37:I37"/>
    <mergeCell ref="K37:P37"/>
    <mergeCell ref="Q37:R37"/>
    <mergeCell ref="C38:G38"/>
    <mergeCell ref="H38:I38"/>
    <mergeCell ref="K38:P38"/>
    <mergeCell ref="Q38:R38"/>
    <mergeCell ref="C43:G43"/>
    <mergeCell ref="H43:I43"/>
    <mergeCell ref="K43:P43"/>
    <mergeCell ref="Q43:R43"/>
    <mergeCell ref="K44:P44"/>
    <mergeCell ref="Q44:R44"/>
    <mergeCell ref="C41:G41"/>
    <mergeCell ref="H41:I41"/>
    <mergeCell ref="K41:P41"/>
    <mergeCell ref="Q41:R41"/>
    <mergeCell ref="C42:G42"/>
    <mergeCell ref="H42:I42"/>
    <mergeCell ref="K42:P42"/>
    <mergeCell ref="Q42:R42"/>
    <mergeCell ref="C113:D113"/>
    <mergeCell ref="E113:F113"/>
    <mergeCell ref="G113:H113"/>
    <mergeCell ref="C114:D114"/>
    <mergeCell ref="E114:F114"/>
    <mergeCell ref="G114:H114"/>
    <mergeCell ref="C80:C81"/>
    <mergeCell ref="D80:E80"/>
    <mergeCell ref="F80:G80"/>
    <mergeCell ref="H80:H81"/>
    <mergeCell ref="C106:D106"/>
    <mergeCell ref="C109:D109"/>
    <mergeCell ref="C107:D107"/>
    <mergeCell ref="C108:D108"/>
    <mergeCell ref="C117:D117"/>
    <mergeCell ref="E117:F117"/>
    <mergeCell ref="G117:H117"/>
    <mergeCell ref="C118:D118"/>
    <mergeCell ref="E118:F118"/>
    <mergeCell ref="G118:H118"/>
    <mergeCell ref="C115:D115"/>
    <mergeCell ref="E115:F115"/>
    <mergeCell ref="G115:H115"/>
    <mergeCell ref="C116:D116"/>
    <mergeCell ref="E116:F116"/>
    <mergeCell ref="G116:H116"/>
    <mergeCell ref="K142:L142"/>
    <mergeCell ref="M142:N142"/>
    <mergeCell ref="C143:D143"/>
    <mergeCell ref="E143:F143"/>
    <mergeCell ref="G143:H143"/>
    <mergeCell ref="I143:J143"/>
    <mergeCell ref="K143:L143"/>
    <mergeCell ref="M143:N143"/>
    <mergeCell ref="C119:D119"/>
    <mergeCell ref="E119:F119"/>
    <mergeCell ref="G119:H119"/>
    <mergeCell ref="I119:J119"/>
    <mergeCell ref="C142:D142"/>
    <mergeCell ref="E142:F142"/>
    <mergeCell ref="G142:H142"/>
    <mergeCell ref="I142:J142"/>
    <mergeCell ref="C145:D145"/>
    <mergeCell ref="E145:F145"/>
    <mergeCell ref="G145:H145"/>
    <mergeCell ref="I145:J145"/>
    <mergeCell ref="K145:L145"/>
    <mergeCell ref="M145:N145"/>
    <mergeCell ref="C144:D144"/>
    <mergeCell ref="E144:F144"/>
    <mergeCell ref="G144:H144"/>
    <mergeCell ref="I144:J144"/>
    <mergeCell ref="K144:L144"/>
    <mergeCell ref="M144:N144"/>
    <mergeCell ref="C147:D147"/>
    <mergeCell ref="E147:F147"/>
    <mergeCell ref="G147:H147"/>
    <mergeCell ref="I147:J147"/>
    <mergeCell ref="K147:L147"/>
    <mergeCell ref="M147:N147"/>
    <mergeCell ref="C146:D146"/>
    <mergeCell ref="E146:F146"/>
    <mergeCell ref="G146:H146"/>
    <mergeCell ref="I146:J146"/>
    <mergeCell ref="K146:L146"/>
    <mergeCell ref="M146:N146"/>
    <mergeCell ref="C149:D149"/>
    <mergeCell ref="E149:F149"/>
    <mergeCell ref="G149:H149"/>
    <mergeCell ref="I149:J149"/>
    <mergeCell ref="K149:L149"/>
    <mergeCell ref="M149:N149"/>
    <mergeCell ref="C148:D148"/>
    <mergeCell ref="E148:F148"/>
    <mergeCell ref="G148:H148"/>
    <mergeCell ref="I148:J148"/>
    <mergeCell ref="K148:L148"/>
    <mergeCell ref="M148:N148"/>
    <mergeCell ref="C150:D150"/>
    <mergeCell ref="E150:F150"/>
    <mergeCell ref="G150:H150"/>
    <mergeCell ref="I150:J150"/>
    <mergeCell ref="K150:L150"/>
    <mergeCell ref="M150:N150"/>
    <mergeCell ref="C151:D151"/>
    <mergeCell ref="E151:F151"/>
    <mergeCell ref="G151:H151"/>
    <mergeCell ref="I151:J151"/>
    <mergeCell ref="K151:L151"/>
    <mergeCell ref="M151:N151"/>
    <mergeCell ref="C153:D153"/>
    <mergeCell ref="E153:F153"/>
    <mergeCell ref="G153:H153"/>
    <mergeCell ref="I153:J153"/>
    <mergeCell ref="K153:L153"/>
    <mergeCell ref="M153:N153"/>
    <mergeCell ref="C152:D152"/>
    <mergeCell ref="E152:F152"/>
    <mergeCell ref="G152:H152"/>
    <mergeCell ref="I152:J152"/>
    <mergeCell ref="K152:L152"/>
    <mergeCell ref="M152:N152"/>
    <mergeCell ref="C208:D208"/>
    <mergeCell ref="I208:J208"/>
    <mergeCell ref="C209:D209"/>
    <mergeCell ref="I209:J209"/>
    <mergeCell ref="C210:D210"/>
    <mergeCell ref="I210:J210"/>
    <mergeCell ref="C205:D205"/>
    <mergeCell ref="I205:J205"/>
    <mergeCell ref="C206:D206"/>
    <mergeCell ref="I206:J206"/>
    <mergeCell ref="C207:D207"/>
    <mergeCell ref="I207:J207"/>
    <mergeCell ref="C219:E219"/>
    <mergeCell ref="C220:E220"/>
    <mergeCell ref="C221:E221"/>
    <mergeCell ref="C222:E222"/>
    <mergeCell ref="C223:E223"/>
    <mergeCell ref="C224:E224"/>
    <mergeCell ref="C211:D211"/>
    <mergeCell ref="I211:J211"/>
    <mergeCell ref="I212:J212"/>
    <mergeCell ref="C216:E216"/>
    <mergeCell ref="C217:E217"/>
    <mergeCell ref="C218:E218"/>
    <mergeCell ref="C231:E231"/>
    <mergeCell ref="C232:E232"/>
    <mergeCell ref="C233:E233"/>
    <mergeCell ref="C234:E234"/>
    <mergeCell ref="C235:E235"/>
    <mergeCell ref="C242:E242"/>
    <mergeCell ref="C225:E225"/>
    <mergeCell ref="C226:E226"/>
    <mergeCell ref="C227:E227"/>
    <mergeCell ref="C228:E228"/>
    <mergeCell ref="C229:E229"/>
    <mergeCell ref="C230:E230"/>
    <mergeCell ref="C249:E249"/>
    <mergeCell ref="C250:E250"/>
    <mergeCell ref="C251:E251"/>
    <mergeCell ref="C252:E252"/>
    <mergeCell ref="C253:E253"/>
    <mergeCell ref="C254:E254"/>
    <mergeCell ref="C243:E243"/>
    <mergeCell ref="C244:E244"/>
    <mergeCell ref="C245:E245"/>
    <mergeCell ref="C246:E246"/>
    <mergeCell ref="C247:E247"/>
    <mergeCell ref="C248:E248"/>
    <mergeCell ref="C261:E261"/>
    <mergeCell ref="C266:E266"/>
    <mergeCell ref="C267:E267"/>
    <mergeCell ref="C268:E268"/>
    <mergeCell ref="C269:E269"/>
    <mergeCell ref="C270:E270"/>
    <mergeCell ref="C255:E255"/>
    <mergeCell ref="C256:E256"/>
    <mergeCell ref="C257:E257"/>
    <mergeCell ref="C258:E258"/>
    <mergeCell ref="C259:E259"/>
    <mergeCell ref="C260:E260"/>
    <mergeCell ref="C285:E285"/>
    <mergeCell ref="C286:E286"/>
    <mergeCell ref="C287:E287"/>
    <mergeCell ref="C288:E288"/>
    <mergeCell ref="C289:E289"/>
    <mergeCell ref="C290:E290"/>
    <mergeCell ref="C271:E271"/>
    <mergeCell ref="C272:E272"/>
    <mergeCell ref="C273:E273"/>
    <mergeCell ref="C282:E282"/>
    <mergeCell ref="C283:E283"/>
    <mergeCell ref="C284:E284"/>
    <mergeCell ref="C302:E302"/>
    <mergeCell ref="C303:E303"/>
    <mergeCell ref="C304:E304"/>
    <mergeCell ref="C305:E305"/>
    <mergeCell ref="C306:E306"/>
    <mergeCell ref="C307:E307"/>
    <mergeCell ref="C291:E291"/>
    <mergeCell ref="C292:E292"/>
    <mergeCell ref="C298:E298"/>
    <mergeCell ref="C299:E299"/>
    <mergeCell ref="C300:E300"/>
    <mergeCell ref="C301:E301"/>
    <mergeCell ref="C327:D328"/>
    <mergeCell ref="C332:D332"/>
    <mergeCell ref="C333:D334"/>
    <mergeCell ref="C335:D336"/>
    <mergeCell ref="C337:D338"/>
    <mergeCell ref="C339:D340"/>
    <mergeCell ref="C308:E308"/>
    <mergeCell ref="C318:D318"/>
    <mergeCell ref="C319:D320"/>
    <mergeCell ref="C321:D322"/>
    <mergeCell ref="C323:D324"/>
    <mergeCell ref="C325:D326"/>
    <mergeCell ref="C356:D357"/>
    <mergeCell ref="C365:L365"/>
    <mergeCell ref="C366:E366"/>
    <mergeCell ref="C367:E367"/>
    <mergeCell ref="C368:E368"/>
    <mergeCell ref="C369:E369"/>
    <mergeCell ref="C341:D342"/>
    <mergeCell ref="C347:D347"/>
    <mergeCell ref="C348:D349"/>
    <mergeCell ref="C350:D351"/>
    <mergeCell ref="C352:D353"/>
    <mergeCell ref="C354:D355"/>
    <mergeCell ref="C420:E420"/>
    <mergeCell ref="D451:L451"/>
    <mergeCell ref="H6:K6"/>
    <mergeCell ref="C411:E411"/>
    <mergeCell ref="C412:E412"/>
    <mergeCell ref="C413:E413"/>
    <mergeCell ref="C414:E414"/>
    <mergeCell ref="C415:E415"/>
    <mergeCell ref="C416:E416"/>
    <mergeCell ref="C399:E399"/>
    <mergeCell ref="C400:E400"/>
    <mergeCell ref="C401:E401"/>
    <mergeCell ref="C408:L408"/>
    <mergeCell ref="C409:E409"/>
    <mergeCell ref="C410:E410"/>
    <mergeCell ref="C393:E393"/>
    <mergeCell ref="C394:E394"/>
    <mergeCell ref="C395:E395"/>
    <mergeCell ref="C396:E396"/>
    <mergeCell ref="C397:E397"/>
    <mergeCell ref="C398:E398"/>
    <mergeCell ref="C382:E382"/>
    <mergeCell ref="C383:E383"/>
    <mergeCell ref="C384:E384"/>
    <mergeCell ref="D24:J24"/>
    <mergeCell ref="D25:J25"/>
    <mergeCell ref="D23:J23"/>
    <mergeCell ref="K23:L23"/>
    <mergeCell ref="K24:L24"/>
    <mergeCell ref="K25:L25"/>
    <mergeCell ref="C417:E417"/>
    <mergeCell ref="C418:E418"/>
    <mergeCell ref="C419:E419"/>
    <mergeCell ref="C385:E385"/>
    <mergeCell ref="C386:E386"/>
    <mergeCell ref="C392:L392"/>
    <mergeCell ref="C376:E376"/>
    <mergeCell ref="C377:E377"/>
    <mergeCell ref="C378:E378"/>
    <mergeCell ref="C379:E379"/>
    <mergeCell ref="C380:E380"/>
    <mergeCell ref="C381:E381"/>
    <mergeCell ref="C370:E370"/>
    <mergeCell ref="C371:E371"/>
    <mergeCell ref="C372:E372"/>
    <mergeCell ref="C373:E373"/>
    <mergeCell ref="C374:E374"/>
    <mergeCell ref="C375:E375"/>
  </mergeCells>
  <phoneticPr fontId="31" type="noConversion"/>
  <conditionalFormatting sqref="D453:L472">
    <cfRule type="colorScale" priority="1">
      <colorScale>
        <cfvo type="min"/>
        <cfvo type="percentile" val="50"/>
        <cfvo type="max"/>
        <color rgb="FF63BE7B"/>
        <color rgb="FFFFEB84"/>
        <color rgb="FFF8696B"/>
      </colorScale>
    </cfRule>
  </conditionalFormatting>
  <printOptions horizontalCentered="1"/>
  <pageMargins left="0.23622047244094491" right="0.23622047244094491" top="0.35433070866141736" bottom="0.39370078740157483" header="0.31496062992125984" footer="0.31496062992125984"/>
  <pageSetup paperSize="9" scale="73" fitToHeight="0" orientation="landscape" r:id="rId1"/>
  <headerFooter alignWithMargins="0"/>
  <rowBreaks count="10" manualBreakCount="10">
    <brk id="47" min="1" max="18" man="1"/>
    <brk id="75" min="1" max="18" man="1"/>
    <brk id="139" min="1" max="18" man="1"/>
    <brk id="198" min="1" max="18" man="1"/>
    <brk id="238" min="1" max="18" man="1"/>
    <brk id="263" max="16383" man="1"/>
    <brk id="313" min="1" max="18" man="1"/>
    <brk id="360" min="1" max="18" man="1"/>
    <brk id="389" min="1" max="18" man="1"/>
    <brk id="423" min="1" max="18" man="1"/>
  </rowBreaks>
  <ignoredErrors>
    <ignoredError sqref="M17:M18 M15" formulaRange="1"/>
    <ignoredError sqref="E102 G102 E323:I327 J320 E351:I356 E335:I338 H350:I350 E350:G350 E340:I341 H339:I339 E339 F339:G339" formula="1"/>
    <ignoredError sqref="F452" twoDigitTextYea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E364"/>
  <sheetViews>
    <sheetView zoomScale="90" zoomScaleNormal="90" workbookViewId="0">
      <pane ySplit="1" topLeftCell="A2" activePane="bottomLeft" state="frozen"/>
      <selection pane="bottomLeft"/>
    </sheetView>
  </sheetViews>
  <sheetFormatPr defaultColWidth="9.140625" defaultRowHeight="15" x14ac:dyDescent="0.25"/>
  <cols>
    <col min="1" max="1" width="16.7109375" style="129" customWidth="1"/>
    <col min="2" max="2" width="13.140625" style="129" customWidth="1"/>
    <col min="3" max="3" width="14.7109375" style="129" customWidth="1"/>
    <col min="4" max="6" width="12.28515625" style="129" customWidth="1"/>
    <col min="7" max="8" width="9.28515625" style="313" customWidth="1"/>
    <col min="9" max="9" width="12.28515625" style="129" customWidth="1"/>
    <col min="10" max="10" width="49.7109375" style="129" bestFit="1" customWidth="1"/>
    <col min="11" max="11" width="17" style="129" customWidth="1"/>
    <col min="12" max="12" width="9.42578125" style="129" customWidth="1"/>
    <col min="13" max="13" width="11.28515625" style="129" customWidth="1"/>
    <col min="14" max="14" width="10.85546875" style="129" customWidth="1"/>
    <col min="15" max="15" width="46.140625" style="129" customWidth="1"/>
    <col min="16" max="16" width="59" style="129" customWidth="1"/>
    <col min="17" max="17" width="13.28515625" style="129" customWidth="1"/>
    <col min="18" max="18" width="16" style="129" customWidth="1"/>
    <col min="19" max="26" width="10.28515625" style="129" customWidth="1"/>
    <col min="27" max="27" width="10" style="129" customWidth="1"/>
    <col min="28" max="28" width="10.42578125" style="313" customWidth="1"/>
    <col min="29" max="36" width="10.28515625" style="129" customWidth="1"/>
    <col min="37" max="45" width="9.42578125" style="129" customWidth="1"/>
    <col min="46" max="46" width="11.5703125" style="129" customWidth="1"/>
    <col min="47" max="47" width="11.5703125" style="313" customWidth="1"/>
    <col min="48" max="64" width="10.28515625" style="129" customWidth="1"/>
    <col min="65" max="66" width="11.5703125" style="129" customWidth="1"/>
    <col min="67" max="68" width="10.28515625" style="129" customWidth="1"/>
    <col min="69" max="69" width="11.7109375" style="129" customWidth="1"/>
    <col min="70" max="71" width="9.85546875" style="129" customWidth="1"/>
    <col min="72" max="72" width="36.28515625" style="129" bestFit="1" customWidth="1"/>
    <col min="73" max="73" width="28.28515625" style="129" bestFit="1" customWidth="1"/>
    <col min="74" max="74" width="18.42578125" style="129" customWidth="1"/>
    <col min="75" max="75" width="21.140625" style="129" customWidth="1"/>
    <col min="76" max="76" width="21.42578125" style="129" customWidth="1"/>
    <col min="77" max="81" width="18.42578125" style="129" customWidth="1"/>
    <col min="82" max="82" width="40.5703125" style="129" bestFit="1" customWidth="1"/>
    <col min="83" max="83" width="14.5703125" style="129" bestFit="1" customWidth="1"/>
    <col min="84" max="16384" width="9.140625" style="129"/>
  </cols>
  <sheetData>
    <row r="1" spans="1:83" s="248" customFormat="1" ht="45" x14ac:dyDescent="0.25">
      <c r="A1" s="304" t="s">
        <v>270</v>
      </c>
      <c r="B1" s="305" t="s">
        <v>271</v>
      </c>
      <c r="C1" s="305" t="s">
        <v>272</v>
      </c>
      <c r="D1" s="305" t="s">
        <v>273</v>
      </c>
      <c r="E1" s="305" t="s">
        <v>274</v>
      </c>
      <c r="F1" s="305" t="s">
        <v>275</v>
      </c>
      <c r="G1" s="305" t="s">
        <v>276</v>
      </c>
      <c r="H1" s="305" t="s">
        <v>277</v>
      </c>
      <c r="I1" s="305" t="s">
        <v>278</v>
      </c>
      <c r="J1" s="305" t="s">
        <v>279</v>
      </c>
      <c r="K1" s="305" t="s">
        <v>280</v>
      </c>
      <c r="L1" s="305" t="s">
        <v>255</v>
      </c>
      <c r="M1" s="305" t="s">
        <v>281</v>
      </c>
      <c r="N1" s="305" t="s">
        <v>282</v>
      </c>
      <c r="O1" s="305" t="s">
        <v>283</v>
      </c>
      <c r="P1" s="305" t="s">
        <v>284</v>
      </c>
      <c r="Q1" s="306" t="s">
        <v>285</v>
      </c>
      <c r="R1" s="304" t="s">
        <v>286</v>
      </c>
      <c r="S1" s="304" t="s">
        <v>287</v>
      </c>
      <c r="T1" s="304" t="s">
        <v>288</v>
      </c>
      <c r="U1" s="304" t="s">
        <v>289</v>
      </c>
      <c r="V1" s="304" t="s">
        <v>290</v>
      </c>
      <c r="W1" s="304" t="s">
        <v>291</v>
      </c>
      <c r="X1" s="304" t="s">
        <v>292</v>
      </c>
      <c r="Y1" s="304" t="s">
        <v>293</v>
      </c>
      <c r="Z1" s="304" t="s">
        <v>294</v>
      </c>
      <c r="AA1" s="246" t="s">
        <v>295</v>
      </c>
      <c r="AB1" s="305" t="s">
        <v>296</v>
      </c>
      <c r="AC1" s="304" t="s">
        <v>297</v>
      </c>
      <c r="AD1" s="304" t="s">
        <v>298</v>
      </c>
      <c r="AE1" s="304" t="s">
        <v>299</v>
      </c>
      <c r="AF1" s="304" t="s">
        <v>300</v>
      </c>
      <c r="AG1" s="304" t="s">
        <v>301</v>
      </c>
      <c r="AH1" s="304" t="s">
        <v>302</v>
      </c>
      <c r="AI1" s="304" t="s">
        <v>303</v>
      </c>
      <c r="AJ1" s="304" t="s">
        <v>304</v>
      </c>
      <c r="AK1" s="307" t="s">
        <v>305</v>
      </c>
      <c r="AL1" s="304" t="s">
        <v>306</v>
      </c>
      <c r="AM1" s="304" t="s">
        <v>307</v>
      </c>
      <c r="AN1" s="304" t="s">
        <v>308</v>
      </c>
      <c r="AO1" s="304" t="s">
        <v>309</v>
      </c>
      <c r="AP1" s="304" t="s">
        <v>310</v>
      </c>
      <c r="AQ1" s="304" t="s">
        <v>311</v>
      </c>
      <c r="AR1" s="304" t="s">
        <v>312</v>
      </c>
      <c r="AS1" s="304" t="s">
        <v>313</v>
      </c>
      <c r="AT1" s="307" t="s">
        <v>314</v>
      </c>
      <c r="AU1" s="305" t="s">
        <v>315</v>
      </c>
      <c r="AV1" s="246" t="s">
        <v>316</v>
      </c>
      <c r="AW1" s="247" t="s">
        <v>317</v>
      </c>
      <c r="AX1" s="247" t="s">
        <v>318</v>
      </c>
      <c r="AY1" s="248" t="s">
        <v>319</v>
      </c>
      <c r="AZ1" s="248" t="s">
        <v>320</v>
      </c>
      <c r="BA1" s="249" t="s">
        <v>321</v>
      </c>
      <c r="BB1" s="248" t="s">
        <v>322</v>
      </c>
      <c r="BC1" s="248" t="s">
        <v>323</v>
      </c>
      <c r="BD1" s="248" t="s">
        <v>324</v>
      </c>
      <c r="BE1" s="248" t="s">
        <v>325</v>
      </c>
      <c r="BF1" s="249" t="s">
        <v>326</v>
      </c>
      <c r="BG1" s="248" t="s">
        <v>327</v>
      </c>
      <c r="BH1" s="248" t="s">
        <v>328</v>
      </c>
      <c r="BI1" s="248" t="s">
        <v>329</v>
      </c>
      <c r="BJ1" s="248" t="s">
        <v>330</v>
      </c>
      <c r="BK1" s="248" t="s">
        <v>331</v>
      </c>
      <c r="BL1" s="249" t="s">
        <v>332</v>
      </c>
      <c r="BM1" s="304" t="s">
        <v>333</v>
      </c>
      <c r="BN1" s="304" t="s">
        <v>334</v>
      </c>
      <c r="BO1" s="304" t="s">
        <v>335</v>
      </c>
      <c r="BP1" s="304" t="s">
        <v>336</v>
      </c>
      <c r="BQ1" s="304" t="s">
        <v>337</v>
      </c>
      <c r="BR1" s="248" t="s">
        <v>338</v>
      </c>
      <c r="BS1" s="248" t="s">
        <v>339</v>
      </c>
      <c r="BT1" s="304" t="s">
        <v>340</v>
      </c>
      <c r="BU1" s="304" t="s">
        <v>341</v>
      </c>
      <c r="BV1" s="304" t="s">
        <v>342</v>
      </c>
      <c r="BW1" s="304" t="s">
        <v>343</v>
      </c>
      <c r="BX1" s="304" t="s">
        <v>344</v>
      </c>
      <c r="BY1" s="304" t="s">
        <v>345</v>
      </c>
      <c r="BZ1" s="304" t="s">
        <v>346</v>
      </c>
      <c r="CA1" s="304" t="s">
        <v>347</v>
      </c>
      <c r="CB1" s="304" t="s">
        <v>348</v>
      </c>
      <c r="CC1" s="304" t="s">
        <v>349</v>
      </c>
      <c r="CD1" s="304" t="s">
        <v>350</v>
      </c>
      <c r="CE1" s="308" t="s">
        <v>159</v>
      </c>
    </row>
    <row r="2" spans="1:83" x14ac:dyDescent="0.25">
      <c r="A2" s="129" t="s">
        <v>351</v>
      </c>
      <c r="B2" s="129" t="s">
        <v>352</v>
      </c>
      <c r="C2" s="129" t="s">
        <v>353</v>
      </c>
      <c r="D2" s="309">
        <v>42801</v>
      </c>
      <c r="E2" s="309">
        <v>43897</v>
      </c>
      <c r="F2" s="309">
        <v>43891</v>
      </c>
      <c r="G2" s="310"/>
      <c r="H2" s="310"/>
      <c r="I2" s="309">
        <v>45747</v>
      </c>
      <c r="J2" s="248" t="s">
        <v>354</v>
      </c>
      <c r="K2" s="311" t="s">
        <v>268</v>
      </c>
      <c r="M2" s="191">
        <f t="shared" ref="M2:M33" si="0">(I2-D2)/365</f>
        <v>8.0712328767123296</v>
      </c>
      <c r="N2" s="306" t="s">
        <v>355</v>
      </c>
      <c r="O2" s="129" t="s">
        <v>356</v>
      </c>
      <c r="P2" s="129" t="s">
        <v>357</v>
      </c>
      <c r="Q2" s="129" t="s">
        <v>358</v>
      </c>
      <c r="AA2" s="312">
        <f t="shared" ref="AA2:AA65" si="1">SUM(S2:Z2)</f>
        <v>0</v>
      </c>
      <c r="AE2" s="129">
        <v>1</v>
      </c>
      <c r="AK2" s="312">
        <f t="shared" ref="AK2:AK65" si="2">SUM(AC2:AJ2)</f>
        <v>1</v>
      </c>
      <c r="AL2" s="129">
        <f t="shared" ref="AL2:AL65" si="3">AC2-S2</f>
        <v>0</v>
      </c>
      <c r="AM2" s="129">
        <f t="shared" ref="AM2:AM65" si="4">AD2-T2</f>
        <v>0</v>
      </c>
      <c r="AN2" s="129">
        <f t="shared" ref="AN2:AN65" si="5">AE2-U2</f>
        <v>1</v>
      </c>
      <c r="AO2" s="129">
        <f t="shared" ref="AO2:AO65" si="6">AF2-V2</f>
        <v>0</v>
      </c>
      <c r="AP2" s="129">
        <f t="shared" ref="AP2:AP65" si="7">AG2-W2</f>
        <v>0</v>
      </c>
      <c r="AQ2" s="129">
        <f t="shared" ref="AQ2:AQ65" si="8">AH2-X2</f>
        <v>0</v>
      </c>
      <c r="AR2" s="129">
        <f t="shared" ref="AR2:AR65" si="9">AI2-Y2</f>
        <v>0</v>
      </c>
      <c r="AS2" s="129">
        <f t="shared" ref="AS2:AS65" si="10">AJ2-Z2</f>
        <v>0</v>
      </c>
      <c r="AT2" s="312">
        <f t="shared" ref="AT2:AT65" si="11">AK2-AA2</f>
        <v>1</v>
      </c>
      <c r="AV2" s="312">
        <f t="shared" ref="AV2:AV33" si="12">AT2</f>
        <v>1</v>
      </c>
      <c r="BA2" s="314"/>
      <c r="BF2" s="314"/>
      <c r="BL2" s="314"/>
      <c r="BM2" s="129">
        <f t="shared" ref="BM2:BM33" si="13">SUM(AW2:BA2)</f>
        <v>0</v>
      </c>
      <c r="BN2" s="129">
        <f t="shared" ref="BN2:BN33" si="14">SUM(AW2:BF2)</f>
        <v>0</v>
      </c>
      <c r="BR2" s="129">
        <v>513432</v>
      </c>
      <c r="BS2" s="129">
        <v>173849</v>
      </c>
      <c r="BT2" s="129" t="s">
        <v>156</v>
      </c>
      <c r="BU2" s="129" t="s">
        <v>156</v>
      </c>
      <c r="CC2" s="129" t="s">
        <v>359</v>
      </c>
      <c r="CD2" s="129" t="s">
        <v>203</v>
      </c>
      <c r="CE2" s="313"/>
    </row>
    <row r="3" spans="1:83" x14ac:dyDescent="0.25">
      <c r="A3" s="129" t="s">
        <v>360</v>
      </c>
      <c r="B3" s="129" t="s">
        <v>352</v>
      </c>
      <c r="C3" s="129" t="s">
        <v>353</v>
      </c>
      <c r="D3" s="309">
        <v>43433</v>
      </c>
      <c r="E3" s="309">
        <v>44814</v>
      </c>
      <c r="F3" s="309">
        <v>44718</v>
      </c>
      <c r="G3" s="310"/>
      <c r="H3" s="310"/>
      <c r="I3" s="309">
        <v>45747</v>
      </c>
      <c r="J3" s="248" t="s">
        <v>354</v>
      </c>
      <c r="K3" s="311" t="s">
        <v>268</v>
      </c>
      <c r="M3" s="191">
        <f t="shared" si="0"/>
        <v>6.3397260273972602</v>
      </c>
      <c r="N3" s="306" t="s">
        <v>355</v>
      </c>
      <c r="O3" s="129" t="s">
        <v>361</v>
      </c>
      <c r="P3" s="129" t="s">
        <v>362</v>
      </c>
      <c r="Q3" s="129" t="s">
        <v>363</v>
      </c>
      <c r="AA3" s="312">
        <f t="shared" si="1"/>
        <v>0</v>
      </c>
      <c r="AD3" s="129">
        <v>2</v>
      </c>
      <c r="AK3" s="312">
        <f t="shared" si="2"/>
        <v>2</v>
      </c>
      <c r="AL3" s="129">
        <f t="shared" si="3"/>
        <v>0</v>
      </c>
      <c r="AM3" s="129">
        <f t="shared" si="4"/>
        <v>2</v>
      </c>
      <c r="AN3" s="129">
        <f t="shared" si="5"/>
        <v>0</v>
      </c>
      <c r="AO3" s="129">
        <f t="shared" si="6"/>
        <v>0</v>
      </c>
      <c r="AP3" s="129">
        <f t="shared" si="7"/>
        <v>0</v>
      </c>
      <c r="AQ3" s="129">
        <f t="shared" si="8"/>
        <v>0</v>
      </c>
      <c r="AR3" s="129">
        <f t="shared" si="9"/>
        <v>0</v>
      </c>
      <c r="AS3" s="129">
        <f t="shared" si="10"/>
        <v>0</v>
      </c>
      <c r="AT3" s="312">
        <f t="shared" si="11"/>
        <v>2</v>
      </c>
      <c r="AV3" s="312">
        <f t="shared" si="12"/>
        <v>2</v>
      </c>
      <c r="BA3" s="314"/>
      <c r="BF3" s="314"/>
      <c r="BL3" s="314"/>
      <c r="BM3" s="129">
        <f t="shared" si="13"/>
        <v>0</v>
      </c>
      <c r="BN3" s="129">
        <f t="shared" si="14"/>
        <v>0</v>
      </c>
      <c r="BR3" s="129">
        <v>513221</v>
      </c>
      <c r="BS3" s="129">
        <v>170897</v>
      </c>
      <c r="BT3" s="129" t="s">
        <v>171</v>
      </c>
      <c r="BU3" s="129" t="s">
        <v>192</v>
      </c>
      <c r="CD3" s="129" t="s">
        <v>198</v>
      </c>
      <c r="CE3" s="313" t="s">
        <v>359</v>
      </c>
    </row>
    <row r="4" spans="1:83" x14ac:dyDescent="0.25">
      <c r="A4" s="129" t="s">
        <v>364</v>
      </c>
      <c r="B4" s="129" t="s">
        <v>352</v>
      </c>
      <c r="C4" s="129" t="s">
        <v>353</v>
      </c>
      <c r="D4" s="309">
        <v>43698</v>
      </c>
      <c r="E4" s="309">
        <v>44794</v>
      </c>
      <c r="F4" s="309">
        <v>44805</v>
      </c>
      <c r="G4" s="310"/>
      <c r="H4" s="310"/>
      <c r="I4" s="309">
        <v>45566</v>
      </c>
      <c r="J4" s="248" t="s">
        <v>354</v>
      </c>
      <c r="K4" s="311" t="s">
        <v>268</v>
      </c>
      <c r="M4" s="191">
        <f t="shared" si="0"/>
        <v>5.117808219178082</v>
      </c>
      <c r="N4" s="306" t="s">
        <v>355</v>
      </c>
      <c r="O4" s="129" t="s">
        <v>365</v>
      </c>
      <c r="P4" s="129" t="s">
        <v>366</v>
      </c>
      <c r="Q4" s="129" t="s">
        <v>367</v>
      </c>
      <c r="T4" s="129">
        <v>1</v>
      </c>
      <c r="AA4" s="312">
        <f t="shared" si="1"/>
        <v>1</v>
      </c>
      <c r="AF4" s="129">
        <v>1</v>
      </c>
      <c r="AK4" s="312">
        <f t="shared" si="2"/>
        <v>1</v>
      </c>
      <c r="AL4" s="129">
        <f t="shared" si="3"/>
        <v>0</v>
      </c>
      <c r="AM4" s="129">
        <f t="shared" si="4"/>
        <v>-1</v>
      </c>
      <c r="AN4" s="129">
        <f t="shared" si="5"/>
        <v>0</v>
      </c>
      <c r="AO4" s="129">
        <f t="shared" si="6"/>
        <v>1</v>
      </c>
      <c r="AP4" s="129">
        <f t="shared" si="7"/>
        <v>0</v>
      </c>
      <c r="AQ4" s="129">
        <f t="shared" si="8"/>
        <v>0</v>
      </c>
      <c r="AR4" s="129">
        <f t="shared" si="9"/>
        <v>0</v>
      </c>
      <c r="AS4" s="129">
        <f t="shared" si="10"/>
        <v>0</v>
      </c>
      <c r="AT4" s="312">
        <f t="shared" si="11"/>
        <v>0</v>
      </c>
      <c r="AV4" s="312">
        <f t="shared" si="12"/>
        <v>0</v>
      </c>
      <c r="BA4" s="314"/>
      <c r="BF4" s="314"/>
      <c r="BL4" s="314"/>
      <c r="BM4" s="129">
        <f t="shared" si="13"/>
        <v>0</v>
      </c>
      <c r="BN4" s="129">
        <f t="shared" si="14"/>
        <v>0</v>
      </c>
      <c r="BR4" s="129">
        <v>515806</v>
      </c>
      <c r="BS4" s="129">
        <v>172455</v>
      </c>
      <c r="BT4" s="129" t="s">
        <v>178</v>
      </c>
      <c r="BU4" s="129" t="s">
        <v>154</v>
      </c>
      <c r="CC4" s="129" t="s">
        <v>359</v>
      </c>
      <c r="CD4" s="129" t="s">
        <v>202</v>
      </c>
      <c r="CE4" s="313"/>
    </row>
    <row r="5" spans="1:83" x14ac:dyDescent="0.25">
      <c r="A5" s="129" t="s">
        <v>368</v>
      </c>
      <c r="B5" s="129" t="s">
        <v>369</v>
      </c>
      <c r="C5" s="248" t="s">
        <v>370</v>
      </c>
      <c r="D5" s="309">
        <v>43738</v>
      </c>
      <c r="E5" s="309">
        <v>44834</v>
      </c>
      <c r="F5" s="309">
        <v>43878</v>
      </c>
      <c r="G5" s="310"/>
      <c r="H5" s="310"/>
      <c r="I5" s="315">
        <v>45747</v>
      </c>
      <c r="J5" s="129" t="s">
        <v>354</v>
      </c>
      <c r="K5" s="311" t="s">
        <v>268</v>
      </c>
      <c r="M5" s="191">
        <f t="shared" si="0"/>
        <v>5.5041095890410956</v>
      </c>
      <c r="N5" s="306" t="s">
        <v>355</v>
      </c>
      <c r="O5" s="129" t="s">
        <v>371</v>
      </c>
      <c r="P5" s="129" t="s">
        <v>372</v>
      </c>
      <c r="Q5" s="129" t="s">
        <v>373</v>
      </c>
      <c r="AA5" s="312">
        <f t="shared" si="1"/>
        <v>0</v>
      </c>
      <c r="AD5" s="129">
        <v>4</v>
      </c>
      <c r="AK5" s="312">
        <f t="shared" si="2"/>
        <v>4</v>
      </c>
      <c r="AL5" s="129">
        <f t="shared" si="3"/>
        <v>0</v>
      </c>
      <c r="AM5" s="129">
        <f t="shared" si="4"/>
        <v>4</v>
      </c>
      <c r="AN5" s="129">
        <f t="shared" si="5"/>
        <v>0</v>
      </c>
      <c r="AO5" s="129">
        <f t="shared" si="6"/>
        <v>0</v>
      </c>
      <c r="AP5" s="129">
        <f t="shared" si="7"/>
        <v>0</v>
      </c>
      <c r="AQ5" s="129">
        <f t="shared" si="8"/>
        <v>0</v>
      </c>
      <c r="AR5" s="129">
        <f t="shared" si="9"/>
        <v>0</v>
      </c>
      <c r="AS5" s="129">
        <f t="shared" si="10"/>
        <v>0</v>
      </c>
      <c r="AT5" s="312">
        <f t="shared" si="11"/>
        <v>4</v>
      </c>
      <c r="AV5" s="312">
        <f t="shared" si="12"/>
        <v>4</v>
      </c>
      <c r="BA5" s="314"/>
      <c r="BF5" s="314"/>
      <c r="BL5" s="314"/>
      <c r="BM5" s="129">
        <f t="shared" si="13"/>
        <v>0</v>
      </c>
      <c r="BN5" s="129">
        <f t="shared" si="14"/>
        <v>0</v>
      </c>
      <c r="BR5" s="129">
        <v>516843</v>
      </c>
      <c r="BS5" s="129">
        <v>174266</v>
      </c>
      <c r="BT5" s="129" t="s">
        <v>179</v>
      </c>
      <c r="BU5" s="129" t="s">
        <v>154</v>
      </c>
      <c r="BX5" s="129" t="s">
        <v>374</v>
      </c>
      <c r="BY5" s="129" t="s">
        <v>359</v>
      </c>
      <c r="CA5" s="129" t="s">
        <v>375</v>
      </c>
      <c r="CB5" s="129" t="s">
        <v>359</v>
      </c>
      <c r="CC5" s="129" t="s">
        <v>359</v>
      </c>
      <c r="CD5" s="129" t="s">
        <v>202</v>
      </c>
      <c r="CE5" s="313"/>
    </row>
    <row r="6" spans="1:83" x14ac:dyDescent="0.25">
      <c r="A6" s="129" t="s">
        <v>376</v>
      </c>
      <c r="B6" s="129" t="s">
        <v>377</v>
      </c>
      <c r="C6" s="129" t="s">
        <v>353</v>
      </c>
      <c r="D6" s="309">
        <v>43957</v>
      </c>
      <c r="E6" s="309">
        <v>45052</v>
      </c>
      <c r="F6" s="309">
        <v>44986</v>
      </c>
      <c r="G6" s="310"/>
      <c r="H6" s="310"/>
      <c r="I6" s="309">
        <v>45512</v>
      </c>
      <c r="J6" s="248" t="s">
        <v>354</v>
      </c>
      <c r="K6" s="311" t="s">
        <v>268</v>
      </c>
      <c r="M6" s="191">
        <f t="shared" si="0"/>
        <v>4.2602739726027394</v>
      </c>
      <c r="N6" s="306" t="s">
        <v>355</v>
      </c>
      <c r="O6" s="129" t="s">
        <v>378</v>
      </c>
      <c r="P6" s="129" t="s">
        <v>379</v>
      </c>
      <c r="Q6" s="129" t="s">
        <v>380</v>
      </c>
      <c r="AA6" s="312">
        <f t="shared" si="1"/>
        <v>0</v>
      </c>
      <c r="AC6" s="129">
        <v>2</v>
      </c>
      <c r="AK6" s="312">
        <f t="shared" si="2"/>
        <v>2</v>
      </c>
      <c r="AL6" s="129">
        <f t="shared" si="3"/>
        <v>2</v>
      </c>
      <c r="AM6" s="129">
        <f t="shared" si="4"/>
        <v>0</v>
      </c>
      <c r="AN6" s="129">
        <f t="shared" si="5"/>
        <v>0</v>
      </c>
      <c r="AO6" s="129">
        <f t="shared" si="6"/>
        <v>0</v>
      </c>
      <c r="AP6" s="129">
        <f t="shared" si="7"/>
        <v>0</v>
      </c>
      <c r="AQ6" s="129">
        <f t="shared" si="8"/>
        <v>0</v>
      </c>
      <c r="AR6" s="129">
        <f t="shared" si="9"/>
        <v>0</v>
      </c>
      <c r="AS6" s="129">
        <f t="shared" si="10"/>
        <v>0</v>
      </c>
      <c r="AT6" s="312">
        <f t="shared" si="11"/>
        <v>2</v>
      </c>
      <c r="AV6" s="312">
        <f t="shared" si="12"/>
        <v>2</v>
      </c>
      <c r="BA6" s="314"/>
      <c r="BF6" s="314"/>
      <c r="BL6" s="314"/>
      <c r="BM6" s="129">
        <f t="shared" si="13"/>
        <v>0</v>
      </c>
      <c r="BN6" s="129">
        <f t="shared" si="14"/>
        <v>0</v>
      </c>
      <c r="BR6" s="129">
        <v>514218</v>
      </c>
      <c r="BS6" s="129">
        <v>173596</v>
      </c>
      <c r="BT6" s="129" t="s">
        <v>156</v>
      </c>
      <c r="BU6" s="129" t="s">
        <v>156</v>
      </c>
      <c r="BV6" s="129" t="s">
        <v>156</v>
      </c>
      <c r="CC6" s="129" t="s">
        <v>359</v>
      </c>
      <c r="CD6" s="129" t="s">
        <v>203</v>
      </c>
      <c r="CE6" s="313"/>
    </row>
    <row r="7" spans="1:83" x14ac:dyDescent="0.25">
      <c r="A7" s="129" t="s">
        <v>381</v>
      </c>
      <c r="B7" s="129" t="s">
        <v>382</v>
      </c>
      <c r="C7" s="129" t="s">
        <v>353</v>
      </c>
      <c r="D7" s="309">
        <v>44000</v>
      </c>
      <c r="E7" s="309">
        <v>45095</v>
      </c>
      <c r="F7" s="309">
        <v>45061</v>
      </c>
      <c r="G7" s="310"/>
      <c r="H7" s="310"/>
      <c r="I7" s="309">
        <v>45455</v>
      </c>
      <c r="J7" s="248" t="s">
        <v>354</v>
      </c>
      <c r="K7" s="311" t="s">
        <v>268</v>
      </c>
      <c r="M7" s="191">
        <f t="shared" si="0"/>
        <v>3.9863013698630136</v>
      </c>
      <c r="N7" s="306" t="s">
        <v>355</v>
      </c>
      <c r="O7" s="129" t="s">
        <v>383</v>
      </c>
      <c r="P7" s="129" t="s">
        <v>384</v>
      </c>
      <c r="Q7" s="129" t="s">
        <v>385</v>
      </c>
      <c r="S7" s="129">
        <v>1</v>
      </c>
      <c r="T7" s="129">
        <v>1</v>
      </c>
      <c r="AA7" s="312">
        <f t="shared" si="1"/>
        <v>2</v>
      </c>
      <c r="AC7" s="129">
        <v>4</v>
      </c>
      <c r="AK7" s="312">
        <f t="shared" si="2"/>
        <v>4</v>
      </c>
      <c r="AL7" s="129">
        <f t="shared" si="3"/>
        <v>3</v>
      </c>
      <c r="AM7" s="129">
        <f t="shared" si="4"/>
        <v>-1</v>
      </c>
      <c r="AN7" s="129">
        <f t="shared" si="5"/>
        <v>0</v>
      </c>
      <c r="AO7" s="129">
        <f t="shared" si="6"/>
        <v>0</v>
      </c>
      <c r="AP7" s="129">
        <f t="shared" si="7"/>
        <v>0</v>
      </c>
      <c r="AQ7" s="129">
        <f t="shared" si="8"/>
        <v>0</v>
      </c>
      <c r="AR7" s="129">
        <f t="shared" si="9"/>
        <v>0</v>
      </c>
      <c r="AS7" s="129">
        <f t="shared" si="10"/>
        <v>0</v>
      </c>
      <c r="AT7" s="312">
        <f t="shared" si="11"/>
        <v>2</v>
      </c>
      <c r="AV7" s="312">
        <f t="shared" si="12"/>
        <v>2</v>
      </c>
      <c r="BA7" s="314"/>
      <c r="BF7" s="314"/>
      <c r="BL7" s="314"/>
      <c r="BM7" s="129">
        <f t="shared" si="13"/>
        <v>0</v>
      </c>
      <c r="BN7" s="129">
        <f t="shared" si="14"/>
        <v>0</v>
      </c>
      <c r="BR7" s="129">
        <v>516259</v>
      </c>
      <c r="BS7" s="129">
        <v>173377</v>
      </c>
      <c r="BT7" s="129" t="s">
        <v>180</v>
      </c>
      <c r="BU7" s="129" t="s">
        <v>154</v>
      </c>
      <c r="BV7" s="129" t="s">
        <v>154</v>
      </c>
      <c r="CA7" s="129" t="s">
        <v>386</v>
      </c>
      <c r="CB7" s="129" t="s">
        <v>359</v>
      </c>
      <c r="CC7" s="129" t="s">
        <v>359</v>
      </c>
      <c r="CD7" s="129" t="s">
        <v>202</v>
      </c>
      <c r="CE7" s="313"/>
    </row>
    <row r="8" spans="1:83" x14ac:dyDescent="0.25">
      <c r="A8" s="129" t="s">
        <v>387</v>
      </c>
      <c r="B8" s="129" t="s">
        <v>352</v>
      </c>
      <c r="C8" s="129" t="s">
        <v>353</v>
      </c>
      <c r="D8" s="309">
        <v>44020</v>
      </c>
      <c r="E8" s="309">
        <v>45115</v>
      </c>
      <c r="F8" s="309">
        <v>44082</v>
      </c>
      <c r="G8" s="310"/>
      <c r="H8" s="310"/>
      <c r="I8" s="309">
        <v>45454</v>
      </c>
      <c r="J8" s="248" t="s">
        <v>354</v>
      </c>
      <c r="K8" s="311" t="s">
        <v>268</v>
      </c>
      <c r="M8" s="191">
        <f t="shared" si="0"/>
        <v>3.9287671232876713</v>
      </c>
      <c r="N8" s="306" t="s">
        <v>355</v>
      </c>
      <c r="O8" s="129" t="s">
        <v>388</v>
      </c>
      <c r="P8" s="129" t="s">
        <v>389</v>
      </c>
      <c r="Q8" s="129" t="s">
        <v>390</v>
      </c>
      <c r="AA8" s="312">
        <f t="shared" si="1"/>
        <v>0</v>
      </c>
      <c r="AD8" s="129">
        <v>1</v>
      </c>
      <c r="AK8" s="312">
        <f t="shared" si="2"/>
        <v>1</v>
      </c>
      <c r="AL8" s="129">
        <f t="shared" si="3"/>
        <v>0</v>
      </c>
      <c r="AM8" s="129">
        <f t="shared" si="4"/>
        <v>1</v>
      </c>
      <c r="AN8" s="129">
        <f t="shared" si="5"/>
        <v>0</v>
      </c>
      <c r="AO8" s="129">
        <f t="shared" si="6"/>
        <v>0</v>
      </c>
      <c r="AP8" s="129">
        <f t="shared" si="7"/>
        <v>0</v>
      </c>
      <c r="AQ8" s="129">
        <f t="shared" si="8"/>
        <v>0</v>
      </c>
      <c r="AR8" s="129">
        <f t="shared" si="9"/>
        <v>0</v>
      </c>
      <c r="AS8" s="129">
        <f t="shared" si="10"/>
        <v>0</v>
      </c>
      <c r="AT8" s="312">
        <f t="shared" si="11"/>
        <v>1</v>
      </c>
      <c r="AV8" s="312">
        <f t="shared" si="12"/>
        <v>1</v>
      </c>
      <c r="BA8" s="314"/>
      <c r="BF8" s="314"/>
      <c r="BL8" s="314"/>
      <c r="BM8" s="129">
        <f t="shared" si="13"/>
        <v>0</v>
      </c>
      <c r="BN8" s="129">
        <f t="shared" si="14"/>
        <v>0</v>
      </c>
      <c r="BR8" s="129">
        <v>521729</v>
      </c>
      <c r="BS8" s="129">
        <v>176011</v>
      </c>
      <c r="BT8" s="129" t="s">
        <v>175</v>
      </c>
      <c r="BU8" s="129" t="s">
        <v>190</v>
      </c>
      <c r="CA8" s="129" t="s">
        <v>391</v>
      </c>
      <c r="CB8" s="129" t="s">
        <v>359</v>
      </c>
      <c r="CC8" s="129" t="s">
        <v>359</v>
      </c>
      <c r="CD8" s="129" t="s">
        <v>167</v>
      </c>
      <c r="CE8" s="313"/>
    </row>
    <row r="9" spans="1:83" x14ac:dyDescent="0.25">
      <c r="A9" s="129" t="s">
        <v>392</v>
      </c>
      <c r="B9" s="129" t="s">
        <v>369</v>
      </c>
      <c r="C9" s="129" t="s">
        <v>353</v>
      </c>
      <c r="D9" s="309">
        <v>44106</v>
      </c>
      <c r="E9" s="309">
        <v>45201</v>
      </c>
      <c r="F9" s="309">
        <v>45170</v>
      </c>
      <c r="G9" s="310"/>
      <c r="H9" s="310"/>
      <c r="I9" s="309">
        <v>45505</v>
      </c>
      <c r="J9" s="248" t="s">
        <v>354</v>
      </c>
      <c r="K9" s="311" t="s">
        <v>268</v>
      </c>
      <c r="M9" s="191">
        <f t="shared" si="0"/>
        <v>3.8328767123287673</v>
      </c>
      <c r="N9" s="306" t="s">
        <v>355</v>
      </c>
      <c r="O9" s="129" t="s">
        <v>393</v>
      </c>
      <c r="P9" s="129" t="s">
        <v>394</v>
      </c>
      <c r="Q9" s="129" t="s">
        <v>395</v>
      </c>
      <c r="AA9" s="312">
        <f t="shared" si="1"/>
        <v>0</v>
      </c>
      <c r="AF9" s="129">
        <v>1</v>
      </c>
      <c r="AK9" s="312">
        <f t="shared" si="2"/>
        <v>1</v>
      </c>
      <c r="AL9" s="129">
        <f t="shared" si="3"/>
        <v>0</v>
      </c>
      <c r="AM9" s="129">
        <f t="shared" si="4"/>
        <v>0</v>
      </c>
      <c r="AN9" s="129">
        <f t="shared" si="5"/>
        <v>0</v>
      </c>
      <c r="AO9" s="129">
        <f t="shared" si="6"/>
        <v>1</v>
      </c>
      <c r="AP9" s="129">
        <f t="shared" si="7"/>
        <v>0</v>
      </c>
      <c r="AQ9" s="129">
        <f t="shared" si="8"/>
        <v>0</v>
      </c>
      <c r="AR9" s="129">
        <f t="shared" si="9"/>
        <v>0</v>
      </c>
      <c r="AS9" s="129">
        <f t="shared" si="10"/>
        <v>0</v>
      </c>
      <c r="AT9" s="312">
        <f t="shared" si="11"/>
        <v>1</v>
      </c>
      <c r="AV9" s="312">
        <f t="shared" si="12"/>
        <v>1</v>
      </c>
      <c r="BA9" s="314"/>
      <c r="BF9" s="314"/>
      <c r="BL9" s="314"/>
      <c r="BM9" s="129">
        <f t="shared" si="13"/>
        <v>0</v>
      </c>
      <c r="BN9" s="129">
        <f t="shared" si="14"/>
        <v>0</v>
      </c>
      <c r="BR9" s="129">
        <v>513956</v>
      </c>
      <c r="BS9" s="129">
        <v>171140</v>
      </c>
      <c r="BT9" s="129" t="s">
        <v>168</v>
      </c>
      <c r="BU9" s="129" t="s">
        <v>192</v>
      </c>
      <c r="CD9" s="129" t="s">
        <v>198</v>
      </c>
      <c r="CE9" s="313"/>
    </row>
    <row r="10" spans="1:83" x14ac:dyDescent="0.25">
      <c r="A10" s="129" t="s">
        <v>396</v>
      </c>
      <c r="B10" s="129" t="s">
        <v>352</v>
      </c>
      <c r="C10" s="129" t="s">
        <v>353</v>
      </c>
      <c r="D10" s="309">
        <v>44371</v>
      </c>
      <c r="E10" s="309">
        <v>45467</v>
      </c>
      <c r="F10" s="309">
        <v>45139</v>
      </c>
      <c r="G10" s="310"/>
      <c r="H10" s="310"/>
      <c r="I10" s="309">
        <v>45747</v>
      </c>
      <c r="J10" s="248" t="s">
        <v>354</v>
      </c>
      <c r="K10" s="311" t="s">
        <v>268</v>
      </c>
      <c r="M10" s="191">
        <f t="shared" si="0"/>
        <v>3.7698630136986302</v>
      </c>
      <c r="N10" s="306" t="s">
        <v>355</v>
      </c>
      <c r="O10" s="129" t="s">
        <v>397</v>
      </c>
      <c r="P10" s="129" t="s">
        <v>398</v>
      </c>
      <c r="Q10" s="129" t="s">
        <v>399</v>
      </c>
      <c r="AA10" s="312">
        <f t="shared" si="1"/>
        <v>0</v>
      </c>
      <c r="AE10" s="129">
        <v>1</v>
      </c>
      <c r="AK10" s="312">
        <f t="shared" si="2"/>
        <v>1</v>
      </c>
      <c r="AL10" s="129">
        <f t="shared" si="3"/>
        <v>0</v>
      </c>
      <c r="AM10" s="129">
        <f t="shared" si="4"/>
        <v>0</v>
      </c>
      <c r="AN10" s="129">
        <f t="shared" si="5"/>
        <v>1</v>
      </c>
      <c r="AO10" s="129">
        <f t="shared" si="6"/>
        <v>0</v>
      </c>
      <c r="AP10" s="129">
        <f t="shared" si="7"/>
        <v>0</v>
      </c>
      <c r="AQ10" s="129">
        <f t="shared" si="8"/>
        <v>0</v>
      </c>
      <c r="AR10" s="129">
        <f t="shared" si="9"/>
        <v>0</v>
      </c>
      <c r="AS10" s="129">
        <f t="shared" si="10"/>
        <v>0</v>
      </c>
      <c r="AT10" s="312">
        <f t="shared" si="11"/>
        <v>1</v>
      </c>
      <c r="AV10" s="312">
        <f t="shared" si="12"/>
        <v>1</v>
      </c>
      <c r="BA10" s="314"/>
      <c r="BF10" s="314"/>
      <c r="BL10" s="314"/>
      <c r="BM10" s="129">
        <f t="shared" si="13"/>
        <v>0</v>
      </c>
      <c r="BN10" s="129">
        <f t="shared" si="14"/>
        <v>0</v>
      </c>
      <c r="BR10" s="129">
        <v>513279</v>
      </c>
      <c r="BS10" s="129">
        <v>171614</v>
      </c>
      <c r="BT10" s="129" t="s">
        <v>171</v>
      </c>
      <c r="BU10" s="129" t="s">
        <v>192</v>
      </c>
      <c r="CD10" s="129" t="s">
        <v>198</v>
      </c>
      <c r="CE10" s="313" t="s">
        <v>359</v>
      </c>
    </row>
    <row r="11" spans="1:83" x14ac:dyDescent="0.25">
      <c r="A11" s="129" t="s">
        <v>400</v>
      </c>
      <c r="B11" s="129" t="s">
        <v>377</v>
      </c>
      <c r="C11" s="129" t="s">
        <v>353</v>
      </c>
      <c r="D11" s="309">
        <v>44239</v>
      </c>
      <c r="E11" s="309">
        <v>45334</v>
      </c>
      <c r="F11" s="309">
        <v>45201</v>
      </c>
      <c r="G11" s="310"/>
      <c r="H11" s="310"/>
      <c r="I11" s="309">
        <v>45747</v>
      </c>
      <c r="J11" s="248" t="s">
        <v>354</v>
      </c>
      <c r="K11" s="311" t="s">
        <v>268</v>
      </c>
      <c r="M11" s="191">
        <f t="shared" si="0"/>
        <v>4.1315068493150688</v>
      </c>
      <c r="N11" s="306" t="s">
        <v>355</v>
      </c>
      <c r="O11" s="129" t="s">
        <v>401</v>
      </c>
      <c r="P11" s="129" t="s">
        <v>402</v>
      </c>
      <c r="Q11" s="129" t="s">
        <v>403</v>
      </c>
      <c r="AA11" s="312">
        <f t="shared" si="1"/>
        <v>0</v>
      </c>
      <c r="AC11" s="129">
        <v>1</v>
      </c>
      <c r="AK11" s="312">
        <f t="shared" si="2"/>
        <v>1</v>
      </c>
      <c r="AL11" s="129">
        <f t="shared" si="3"/>
        <v>1</v>
      </c>
      <c r="AM11" s="129">
        <f t="shared" si="4"/>
        <v>0</v>
      </c>
      <c r="AN11" s="129">
        <f t="shared" si="5"/>
        <v>0</v>
      </c>
      <c r="AO11" s="129">
        <f t="shared" si="6"/>
        <v>0</v>
      </c>
      <c r="AP11" s="129">
        <f t="shared" si="7"/>
        <v>0</v>
      </c>
      <c r="AQ11" s="129">
        <f t="shared" si="8"/>
        <v>0</v>
      </c>
      <c r="AR11" s="129">
        <f t="shared" si="9"/>
        <v>0</v>
      </c>
      <c r="AS11" s="129">
        <f t="shared" si="10"/>
        <v>0</v>
      </c>
      <c r="AT11" s="312">
        <f t="shared" si="11"/>
        <v>1</v>
      </c>
      <c r="AV11" s="312">
        <f t="shared" si="12"/>
        <v>1</v>
      </c>
      <c r="BA11" s="314"/>
      <c r="BF11" s="314"/>
      <c r="BL11" s="314"/>
      <c r="BM11" s="129">
        <f t="shared" si="13"/>
        <v>0</v>
      </c>
      <c r="BN11" s="129">
        <f t="shared" si="14"/>
        <v>0</v>
      </c>
      <c r="BR11" s="129">
        <v>514515</v>
      </c>
      <c r="BS11" s="129">
        <v>171261</v>
      </c>
      <c r="BT11" s="129" t="s">
        <v>168</v>
      </c>
      <c r="BU11" s="129" t="s">
        <v>192</v>
      </c>
      <c r="BX11" s="129" t="s">
        <v>404</v>
      </c>
      <c r="BY11" s="129" t="s">
        <v>359</v>
      </c>
      <c r="CC11" s="129" t="s">
        <v>359</v>
      </c>
      <c r="CD11" s="129" t="s">
        <v>198</v>
      </c>
      <c r="CE11" s="313"/>
    </row>
    <row r="12" spans="1:83" x14ac:dyDescent="0.25">
      <c r="A12" s="129" t="s">
        <v>405</v>
      </c>
      <c r="B12" s="129" t="s">
        <v>352</v>
      </c>
      <c r="C12" s="129" t="s">
        <v>353</v>
      </c>
      <c r="D12" s="309">
        <v>44497</v>
      </c>
      <c r="E12" s="309">
        <v>45593</v>
      </c>
      <c r="F12" s="309">
        <v>44855</v>
      </c>
      <c r="G12" s="310"/>
      <c r="H12" s="310"/>
      <c r="I12" s="309">
        <v>45532</v>
      </c>
      <c r="J12" s="248" t="s">
        <v>354</v>
      </c>
      <c r="K12" s="311" t="s">
        <v>268</v>
      </c>
      <c r="M12" s="191">
        <f t="shared" si="0"/>
        <v>2.8356164383561642</v>
      </c>
      <c r="N12" s="306" t="s">
        <v>355</v>
      </c>
      <c r="O12" s="129" t="s">
        <v>406</v>
      </c>
      <c r="P12" s="129" t="s">
        <v>407</v>
      </c>
      <c r="Q12" s="129" t="s">
        <v>408</v>
      </c>
      <c r="U12" s="129">
        <v>1</v>
      </c>
      <c r="AA12" s="312">
        <f t="shared" si="1"/>
        <v>1</v>
      </c>
      <c r="AG12" s="129">
        <v>1</v>
      </c>
      <c r="AK12" s="312">
        <f t="shared" si="2"/>
        <v>1</v>
      </c>
      <c r="AL12" s="129">
        <f t="shared" si="3"/>
        <v>0</v>
      </c>
      <c r="AM12" s="129">
        <f t="shared" si="4"/>
        <v>0</v>
      </c>
      <c r="AN12" s="129">
        <f t="shared" si="5"/>
        <v>-1</v>
      </c>
      <c r="AO12" s="129">
        <f t="shared" si="6"/>
        <v>0</v>
      </c>
      <c r="AP12" s="129">
        <f t="shared" si="7"/>
        <v>1</v>
      </c>
      <c r="AQ12" s="129">
        <f t="shared" si="8"/>
        <v>0</v>
      </c>
      <c r="AR12" s="129">
        <f t="shared" si="9"/>
        <v>0</v>
      </c>
      <c r="AS12" s="129">
        <f t="shared" si="10"/>
        <v>0</v>
      </c>
      <c r="AT12" s="312">
        <f t="shared" si="11"/>
        <v>0</v>
      </c>
      <c r="AV12" s="312">
        <f t="shared" si="12"/>
        <v>0</v>
      </c>
      <c r="BA12" s="314"/>
      <c r="BF12" s="314"/>
      <c r="BL12" s="314"/>
      <c r="BM12" s="129">
        <f t="shared" si="13"/>
        <v>0</v>
      </c>
      <c r="BN12" s="129">
        <f t="shared" si="14"/>
        <v>0</v>
      </c>
      <c r="BR12" s="129">
        <v>513562</v>
      </c>
      <c r="BS12" s="129">
        <v>170238</v>
      </c>
      <c r="BT12" s="129" t="s">
        <v>170</v>
      </c>
      <c r="BU12" s="129" t="s">
        <v>192</v>
      </c>
      <c r="CC12" s="129" t="s">
        <v>359</v>
      </c>
      <c r="CD12" s="129" t="s">
        <v>198</v>
      </c>
      <c r="CE12" s="313"/>
    </row>
    <row r="13" spans="1:83" x14ac:dyDescent="0.25">
      <c r="A13" s="129" t="s">
        <v>409</v>
      </c>
      <c r="B13" s="129" t="s">
        <v>352</v>
      </c>
      <c r="C13" s="129" t="s">
        <v>353</v>
      </c>
      <c r="D13" s="309">
        <v>44328</v>
      </c>
      <c r="E13" s="309">
        <v>45424</v>
      </c>
      <c r="F13" s="309">
        <v>44593</v>
      </c>
      <c r="G13" s="310"/>
      <c r="H13" s="310"/>
      <c r="I13" s="309">
        <v>45597</v>
      </c>
      <c r="J13" s="248" t="s">
        <v>354</v>
      </c>
      <c r="K13" s="311" t="s">
        <v>268</v>
      </c>
      <c r="M13" s="191">
        <f t="shared" si="0"/>
        <v>3.4767123287671233</v>
      </c>
      <c r="N13" s="306" t="s">
        <v>355</v>
      </c>
      <c r="O13" s="129" t="s">
        <v>410</v>
      </c>
      <c r="P13" s="129" t="s">
        <v>411</v>
      </c>
      <c r="Q13" s="129" t="s">
        <v>412</v>
      </c>
      <c r="T13" s="129">
        <v>1</v>
      </c>
      <c r="AA13" s="312">
        <f t="shared" si="1"/>
        <v>1</v>
      </c>
      <c r="AG13" s="129">
        <v>1</v>
      </c>
      <c r="AK13" s="312">
        <f t="shared" si="2"/>
        <v>1</v>
      </c>
      <c r="AL13" s="129">
        <f t="shared" si="3"/>
        <v>0</v>
      </c>
      <c r="AM13" s="129">
        <f t="shared" si="4"/>
        <v>-1</v>
      </c>
      <c r="AN13" s="129">
        <f t="shared" si="5"/>
        <v>0</v>
      </c>
      <c r="AO13" s="129">
        <f t="shared" si="6"/>
        <v>0</v>
      </c>
      <c r="AP13" s="129">
        <f t="shared" si="7"/>
        <v>1</v>
      </c>
      <c r="AQ13" s="129">
        <f t="shared" si="8"/>
        <v>0</v>
      </c>
      <c r="AR13" s="129">
        <f t="shared" si="9"/>
        <v>0</v>
      </c>
      <c r="AS13" s="129">
        <f t="shared" si="10"/>
        <v>0</v>
      </c>
      <c r="AT13" s="312">
        <f t="shared" si="11"/>
        <v>0</v>
      </c>
      <c r="AV13" s="312">
        <f t="shared" si="12"/>
        <v>0</v>
      </c>
      <c r="BA13" s="314"/>
      <c r="BF13" s="314"/>
      <c r="BL13" s="314"/>
      <c r="BM13" s="129">
        <f t="shared" si="13"/>
        <v>0</v>
      </c>
      <c r="BN13" s="129">
        <f t="shared" si="14"/>
        <v>0</v>
      </c>
      <c r="BR13" s="129">
        <v>513278</v>
      </c>
      <c r="BS13" s="129">
        <v>170135</v>
      </c>
      <c r="BT13" s="129" t="s">
        <v>170</v>
      </c>
      <c r="BU13" s="129" t="s">
        <v>192</v>
      </c>
      <c r="CC13" s="129" t="s">
        <v>359</v>
      </c>
      <c r="CD13" s="129" t="s">
        <v>198</v>
      </c>
      <c r="CE13" s="313"/>
    </row>
    <row r="14" spans="1:83" x14ac:dyDescent="0.25">
      <c r="A14" s="129" t="s">
        <v>413</v>
      </c>
      <c r="B14" s="129" t="s">
        <v>369</v>
      </c>
      <c r="C14" s="248" t="s">
        <v>370</v>
      </c>
      <c r="D14" s="309">
        <v>44335</v>
      </c>
      <c r="E14" s="309">
        <v>45431</v>
      </c>
      <c r="F14" s="309">
        <v>45324</v>
      </c>
      <c r="G14" s="310"/>
      <c r="H14" s="310"/>
      <c r="I14" s="309">
        <v>45430</v>
      </c>
      <c r="J14" s="248" t="s">
        <v>354</v>
      </c>
      <c r="K14" s="311" t="s">
        <v>268</v>
      </c>
      <c r="M14" s="191">
        <f t="shared" si="0"/>
        <v>3</v>
      </c>
      <c r="N14" s="306" t="s">
        <v>355</v>
      </c>
      <c r="O14" s="129" t="s">
        <v>414</v>
      </c>
      <c r="P14" s="129" t="s">
        <v>415</v>
      </c>
      <c r="Q14" s="129" t="s">
        <v>416</v>
      </c>
      <c r="AA14" s="312">
        <f t="shared" si="1"/>
        <v>0</v>
      </c>
      <c r="AC14" s="129">
        <v>3</v>
      </c>
      <c r="AD14" s="129">
        <v>1</v>
      </c>
      <c r="AK14" s="312">
        <f t="shared" si="2"/>
        <v>4</v>
      </c>
      <c r="AL14" s="129">
        <f t="shared" si="3"/>
        <v>3</v>
      </c>
      <c r="AM14" s="129">
        <f t="shared" si="4"/>
        <v>1</v>
      </c>
      <c r="AN14" s="129">
        <f t="shared" si="5"/>
        <v>0</v>
      </c>
      <c r="AO14" s="129">
        <f t="shared" si="6"/>
        <v>0</v>
      </c>
      <c r="AP14" s="129">
        <f t="shared" si="7"/>
        <v>0</v>
      </c>
      <c r="AQ14" s="129">
        <f t="shared" si="8"/>
        <v>0</v>
      </c>
      <c r="AR14" s="129">
        <f t="shared" si="9"/>
        <v>0</v>
      </c>
      <c r="AS14" s="129">
        <f t="shared" si="10"/>
        <v>0</v>
      </c>
      <c r="AT14" s="312">
        <f t="shared" si="11"/>
        <v>4</v>
      </c>
      <c r="AV14" s="312">
        <f t="shared" si="12"/>
        <v>4</v>
      </c>
      <c r="BA14" s="314"/>
      <c r="BF14" s="314"/>
      <c r="BL14" s="314"/>
      <c r="BM14" s="129">
        <f t="shared" si="13"/>
        <v>0</v>
      </c>
      <c r="BN14" s="129">
        <f t="shared" si="14"/>
        <v>0</v>
      </c>
      <c r="BR14" s="129">
        <v>515975</v>
      </c>
      <c r="BS14" s="129">
        <v>173091</v>
      </c>
      <c r="BT14" s="129" t="s">
        <v>178</v>
      </c>
      <c r="BU14" s="129" t="s">
        <v>154</v>
      </c>
      <c r="BV14" s="129" t="s">
        <v>154</v>
      </c>
      <c r="CC14" s="129" t="s">
        <v>359</v>
      </c>
      <c r="CD14" s="129" t="s">
        <v>202</v>
      </c>
      <c r="CE14" s="313"/>
    </row>
    <row r="15" spans="1:83" x14ac:dyDescent="0.25">
      <c r="A15" s="129" t="s">
        <v>417</v>
      </c>
      <c r="B15" s="129" t="s">
        <v>382</v>
      </c>
      <c r="C15" s="129" t="s">
        <v>353</v>
      </c>
      <c r="D15" s="309">
        <v>44973</v>
      </c>
      <c r="E15" s="309">
        <v>46069</v>
      </c>
      <c r="F15" s="309">
        <v>45078</v>
      </c>
      <c r="G15" s="310"/>
      <c r="H15" s="310"/>
      <c r="I15" s="315">
        <v>45747</v>
      </c>
      <c r="J15" s="129" t="s">
        <v>354</v>
      </c>
      <c r="K15" s="311" t="s">
        <v>268</v>
      </c>
      <c r="M15" s="191">
        <f t="shared" si="0"/>
        <v>2.1205479452054794</v>
      </c>
      <c r="N15" s="306" t="s">
        <v>355</v>
      </c>
      <c r="O15" s="129" t="s">
        <v>418</v>
      </c>
      <c r="P15" s="129" t="s">
        <v>419</v>
      </c>
      <c r="Q15" s="129" t="s">
        <v>420</v>
      </c>
      <c r="AA15" s="312">
        <f t="shared" si="1"/>
        <v>0</v>
      </c>
      <c r="AE15" s="129">
        <v>2</v>
      </c>
      <c r="AK15" s="312">
        <f t="shared" si="2"/>
        <v>2</v>
      </c>
      <c r="AL15" s="129">
        <f t="shared" si="3"/>
        <v>0</v>
      </c>
      <c r="AM15" s="129">
        <f t="shared" si="4"/>
        <v>0</v>
      </c>
      <c r="AN15" s="129">
        <f t="shared" si="5"/>
        <v>2</v>
      </c>
      <c r="AO15" s="129">
        <f t="shared" si="6"/>
        <v>0</v>
      </c>
      <c r="AP15" s="129">
        <f t="shared" si="7"/>
        <v>0</v>
      </c>
      <c r="AQ15" s="129">
        <f t="shared" si="8"/>
        <v>0</v>
      </c>
      <c r="AR15" s="129">
        <f t="shared" si="9"/>
        <v>0</v>
      </c>
      <c r="AS15" s="129">
        <f t="shared" si="10"/>
        <v>0</v>
      </c>
      <c r="AT15" s="312">
        <f t="shared" si="11"/>
        <v>2</v>
      </c>
      <c r="AV15" s="312">
        <f t="shared" si="12"/>
        <v>2</v>
      </c>
      <c r="BA15" s="314"/>
      <c r="BF15" s="314"/>
      <c r="BL15" s="314"/>
      <c r="BM15" s="129">
        <f t="shared" si="13"/>
        <v>0</v>
      </c>
      <c r="BN15" s="129">
        <f t="shared" si="14"/>
        <v>0</v>
      </c>
      <c r="BR15" s="129">
        <v>513825</v>
      </c>
      <c r="BS15" s="129">
        <v>169567</v>
      </c>
      <c r="BT15" s="129" t="s">
        <v>170</v>
      </c>
      <c r="BU15" s="129" t="s">
        <v>192</v>
      </c>
      <c r="CA15" s="129" t="s">
        <v>421</v>
      </c>
      <c r="CB15" s="129" t="s">
        <v>359</v>
      </c>
      <c r="CC15" s="129" t="s">
        <v>359</v>
      </c>
      <c r="CD15" s="129" t="s">
        <v>198</v>
      </c>
      <c r="CE15" s="313"/>
    </row>
    <row r="16" spans="1:83" x14ac:dyDescent="0.25">
      <c r="A16" s="129" t="s">
        <v>422</v>
      </c>
      <c r="B16" s="129" t="s">
        <v>369</v>
      </c>
      <c r="C16" s="248" t="s">
        <v>370</v>
      </c>
      <c r="D16" s="309">
        <v>44403</v>
      </c>
      <c r="E16" s="309">
        <v>46166</v>
      </c>
      <c r="F16" s="309">
        <v>45278</v>
      </c>
      <c r="G16" s="310"/>
      <c r="H16" s="310"/>
      <c r="I16" s="309">
        <v>45498</v>
      </c>
      <c r="J16" s="248" t="s">
        <v>354</v>
      </c>
      <c r="K16" s="311" t="s">
        <v>268</v>
      </c>
      <c r="M16" s="191">
        <f t="shared" si="0"/>
        <v>3</v>
      </c>
      <c r="N16" s="306" t="s">
        <v>355</v>
      </c>
      <c r="O16" s="129" t="s">
        <v>423</v>
      </c>
      <c r="P16" s="129" t="s">
        <v>424</v>
      </c>
      <c r="Q16" s="129" t="s">
        <v>425</v>
      </c>
      <c r="AA16" s="312">
        <f t="shared" si="1"/>
        <v>0</v>
      </c>
      <c r="AC16" s="129">
        <v>2</v>
      </c>
      <c r="AD16" s="129">
        <v>1</v>
      </c>
      <c r="AK16" s="312">
        <f t="shared" si="2"/>
        <v>3</v>
      </c>
      <c r="AL16" s="129">
        <f t="shared" si="3"/>
        <v>2</v>
      </c>
      <c r="AM16" s="129">
        <f t="shared" si="4"/>
        <v>1</v>
      </c>
      <c r="AN16" s="129">
        <f t="shared" si="5"/>
        <v>0</v>
      </c>
      <c r="AO16" s="129">
        <f t="shared" si="6"/>
        <v>0</v>
      </c>
      <c r="AP16" s="129">
        <f t="shared" si="7"/>
        <v>0</v>
      </c>
      <c r="AQ16" s="129">
        <f t="shared" si="8"/>
        <v>0</v>
      </c>
      <c r="AR16" s="129">
        <f t="shared" si="9"/>
        <v>0</v>
      </c>
      <c r="AS16" s="129">
        <f t="shared" si="10"/>
        <v>0</v>
      </c>
      <c r="AT16" s="312">
        <f t="shared" si="11"/>
        <v>3</v>
      </c>
      <c r="AV16" s="312">
        <f t="shared" si="12"/>
        <v>3</v>
      </c>
      <c r="BA16" s="314"/>
      <c r="BF16" s="314"/>
      <c r="BL16" s="314"/>
      <c r="BM16" s="129">
        <f t="shared" si="13"/>
        <v>0</v>
      </c>
      <c r="BN16" s="129">
        <f t="shared" si="14"/>
        <v>0</v>
      </c>
      <c r="BR16" s="129">
        <v>518108</v>
      </c>
      <c r="BS16" s="129">
        <v>175469</v>
      </c>
      <c r="BT16" s="129" t="s">
        <v>176</v>
      </c>
      <c r="BU16" s="129" t="s">
        <v>150</v>
      </c>
      <c r="CA16" s="129" t="s">
        <v>426</v>
      </c>
      <c r="CB16" s="129" t="s">
        <v>359</v>
      </c>
      <c r="CC16" s="129" t="s">
        <v>359</v>
      </c>
      <c r="CD16" s="129" t="s">
        <v>200</v>
      </c>
      <c r="CE16" s="313"/>
    </row>
    <row r="17" spans="1:83" x14ac:dyDescent="0.25">
      <c r="A17" s="129" t="s">
        <v>427</v>
      </c>
      <c r="B17" s="129" t="s">
        <v>352</v>
      </c>
      <c r="C17" s="129" t="s">
        <v>353</v>
      </c>
      <c r="D17" s="309">
        <v>44783</v>
      </c>
      <c r="E17" s="309">
        <v>45879</v>
      </c>
      <c r="F17" s="309">
        <v>45215</v>
      </c>
      <c r="G17" s="310"/>
      <c r="H17" s="310"/>
      <c r="I17" s="309">
        <v>45694</v>
      </c>
      <c r="J17" s="248" t="s">
        <v>354</v>
      </c>
      <c r="K17" s="311" t="s">
        <v>268</v>
      </c>
      <c r="M17" s="191">
        <f t="shared" si="0"/>
        <v>2.495890410958904</v>
      </c>
      <c r="N17" s="306" t="s">
        <v>355</v>
      </c>
      <c r="O17" s="129" t="s">
        <v>428</v>
      </c>
      <c r="P17" s="129" t="s">
        <v>429</v>
      </c>
      <c r="Q17" s="129" t="s">
        <v>430</v>
      </c>
      <c r="W17" s="129">
        <v>1</v>
      </c>
      <c r="AA17" s="312">
        <f t="shared" si="1"/>
        <v>1</v>
      </c>
      <c r="AG17" s="129">
        <v>1</v>
      </c>
      <c r="AK17" s="312">
        <f t="shared" si="2"/>
        <v>1</v>
      </c>
      <c r="AL17" s="129">
        <f t="shared" si="3"/>
        <v>0</v>
      </c>
      <c r="AM17" s="129">
        <f t="shared" si="4"/>
        <v>0</v>
      </c>
      <c r="AN17" s="129">
        <f t="shared" si="5"/>
        <v>0</v>
      </c>
      <c r="AO17" s="129">
        <f t="shared" si="6"/>
        <v>0</v>
      </c>
      <c r="AP17" s="129">
        <f t="shared" si="7"/>
        <v>0</v>
      </c>
      <c r="AQ17" s="129">
        <f t="shared" si="8"/>
        <v>0</v>
      </c>
      <c r="AR17" s="129">
        <f t="shared" si="9"/>
        <v>0</v>
      </c>
      <c r="AS17" s="129">
        <f t="shared" si="10"/>
        <v>0</v>
      </c>
      <c r="AT17" s="312">
        <f t="shared" si="11"/>
        <v>0</v>
      </c>
      <c r="AV17" s="312">
        <f t="shared" si="12"/>
        <v>0</v>
      </c>
      <c r="BA17" s="314"/>
      <c r="BF17" s="314"/>
      <c r="BL17" s="314"/>
      <c r="BM17" s="129">
        <f t="shared" si="13"/>
        <v>0</v>
      </c>
      <c r="BN17" s="129">
        <f t="shared" si="14"/>
        <v>0</v>
      </c>
      <c r="BR17" s="129">
        <v>519892</v>
      </c>
      <c r="BS17" s="129">
        <v>174721</v>
      </c>
      <c r="BT17" s="129" t="s">
        <v>149</v>
      </c>
      <c r="BU17" s="129" t="s">
        <v>190</v>
      </c>
      <c r="CC17" s="129" t="s">
        <v>359</v>
      </c>
      <c r="CD17" s="129" t="s">
        <v>199</v>
      </c>
      <c r="CE17" s="313"/>
    </row>
    <row r="18" spans="1:83" x14ac:dyDescent="0.25">
      <c r="A18" s="129" t="s">
        <v>431</v>
      </c>
      <c r="B18" s="129" t="s">
        <v>369</v>
      </c>
      <c r="C18" s="129" t="s">
        <v>353</v>
      </c>
      <c r="D18" s="309">
        <v>44659</v>
      </c>
      <c r="E18" s="309">
        <v>45755</v>
      </c>
      <c r="F18" s="309">
        <v>45135</v>
      </c>
      <c r="G18" s="310"/>
      <c r="H18" s="310"/>
      <c r="I18" s="309">
        <v>45513</v>
      </c>
      <c r="J18" s="248" t="s">
        <v>354</v>
      </c>
      <c r="K18" s="129" t="s">
        <v>260</v>
      </c>
      <c r="M18" s="191">
        <f t="shared" si="0"/>
        <v>2.3397260273972602</v>
      </c>
      <c r="N18" s="306" t="s">
        <v>355</v>
      </c>
      <c r="O18" s="129" t="s">
        <v>432</v>
      </c>
      <c r="P18" s="129" t="s">
        <v>433</v>
      </c>
      <c r="Q18" s="129" t="s">
        <v>434</v>
      </c>
      <c r="AA18" s="312">
        <f t="shared" si="1"/>
        <v>0</v>
      </c>
      <c r="AB18" s="313" t="s">
        <v>359</v>
      </c>
      <c r="AC18" s="129">
        <v>4</v>
      </c>
      <c r="AK18" s="312">
        <f t="shared" si="2"/>
        <v>4</v>
      </c>
      <c r="AL18" s="129">
        <f t="shared" si="3"/>
        <v>4</v>
      </c>
      <c r="AM18" s="129">
        <f t="shared" si="4"/>
        <v>0</v>
      </c>
      <c r="AN18" s="129">
        <f t="shared" si="5"/>
        <v>0</v>
      </c>
      <c r="AO18" s="129">
        <f t="shared" si="6"/>
        <v>0</v>
      </c>
      <c r="AP18" s="129">
        <f t="shared" si="7"/>
        <v>0</v>
      </c>
      <c r="AQ18" s="129">
        <f t="shared" si="8"/>
        <v>0</v>
      </c>
      <c r="AR18" s="129">
        <f t="shared" si="9"/>
        <v>0</v>
      </c>
      <c r="AS18" s="129">
        <f t="shared" si="10"/>
        <v>0</v>
      </c>
      <c r="AT18" s="312">
        <f t="shared" si="11"/>
        <v>4</v>
      </c>
      <c r="AV18" s="312">
        <f t="shared" si="12"/>
        <v>4</v>
      </c>
      <c r="BA18" s="314"/>
      <c r="BF18" s="314"/>
      <c r="BL18" s="314"/>
      <c r="BM18" s="129">
        <f t="shared" si="13"/>
        <v>0</v>
      </c>
      <c r="BN18" s="129">
        <f t="shared" si="14"/>
        <v>0</v>
      </c>
      <c r="BP18" s="129" t="s">
        <v>359</v>
      </c>
      <c r="BR18" s="129">
        <v>516114</v>
      </c>
      <c r="BS18" s="129">
        <v>173184</v>
      </c>
      <c r="BT18" s="129" t="s">
        <v>180</v>
      </c>
      <c r="BU18" s="129" t="s">
        <v>154</v>
      </c>
      <c r="BV18" s="129" t="s">
        <v>154</v>
      </c>
      <c r="CC18" s="129" t="s">
        <v>359</v>
      </c>
      <c r="CD18" s="129" t="s">
        <v>202</v>
      </c>
      <c r="CE18" s="313"/>
    </row>
    <row r="19" spans="1:83" x14ac:dyDescent="0.25">
      <c r="A19" s="129" t="s">
        <v>435</v>
      </c>
      <c r="B19" s="129" t="s">
        <v>352</v>
      </c>
      <c r="C19" s="129" t="s">
        <v>353</v>
      </c>
      <c r="D19" s="309">
        <v>44785</v>
      </c>
      <c r="E19" s="309">
        <v>45881</v>
      </c>
      <c r="F19" s="309">
        <v>45261</v>
      </c>
      <c r="G19" s="310"/>
      <c r="H19" s="310"/>
      <c r="I19" s="309">
        <v>45747</v>
      </c>
      <c r="J19" s="248" t="s">
        <v>354</v>
      </c>
      <c r="K19" s="311" t="s">
        <v>268</v>
      </c>
      <c r="M19" s="191">
        <f t="shared" si="0"/>
        <v>2.6356164383561644</v>
      </c>
      <c r="N19" s="306" t="s">
        <v>436</v>
      </c>
      <c r="O19" s="129" t="s">
        <v>437</v>
      </c>
      <c r="P19" s="129" t="s">
        <v>438</v>
      </c>
      <c r="Q19" s="129" t="s">
        <v>358</v>
      </c>
      <c r="T19" s="129">
        <v>1</v>
      </c>
      <c r="U19" s="129">
        <v>1</v>
      </c>
      <c r="W19" s="129">
        <v>1</v>
      </c>
      <c r="AA19" s="312">
        <f t="shared" si="1"/>
        <v>3</v>
      </c>
      <c r="AE19" s="129">
        <v>6</v>
      </c>
      <c r="AF19" s="129">
        <v>2</v>
      </c>
      <c r="AK19" s="312">
        <f t="shared" si="2"/>
        <v>8</v>
      </c>
      <c r="AL19" s="129">
        <f t="shared" si="3"/>
        <v>0</v>
      </c>
      <c r="AM19" s="129">
        <f t="shared" si="4"/>
        <v>-1</v>
      </c>
      <c r="AN19" s="129">
        <f t="shared" si="5"/>
        <v>5</v>
      </c>
      <c r="AO19" s="129">
        <f t="shared" si="6"/>
        <v>2</v>
      </c>
      <c r="AP19" s="129">
        <f t="shared" si="7"/>
        <v>-1</v>
      </c>
      <c r="AQ19" s="129">
        <f t="shared" si="8"/>
        <v>0</v>
      </c>
      <c r="AR19" s="129">
        <f t="shared" si="9"/>
        <v>0</v>
      </c>
      <c r="AS19" s="129">
        <f t="shared" si="10"/>
        <v>0</v>
      </c>
      <c r="AT19" s="312">
        <f t="shared" si="11"/>
        <v>5</v>
      </c>
      <c r="AV19" s="312">
        <f t="shared" si="12"/>
        <v>5</v>
      </c>
      <c r="BA19" s="314"/>
      <c r="BF19" s="314"/>
      <c r="BL19" s="314"/>
      <c r="BM19" s="129">
        <f t="shared" si="13"/>
        <v>0</v>
      </c>
      <c r="BN19" s="129">
        <f t="shared" si="14"/>
        <v>0</v>
      </c>
      <c r="BR19" s="129">
        <v>513356</v>
      </c>
      <c r="BS19" s="129">
        <v>173823</v>
      </c>
      <c r="BT19" s="129" t="s">
        <v>156</v>
      </c>
      <c r="BU19" s="129" t="s">
        <v>156</v>
      </c>
      <c r="CC19" s="129" t="s">
        <v>359</v>
      </c>
      <c r="CD19" s="129" t="s">
        <v>203</v>
      </c>
      <c r="CE19" s="313" t="s">
        <v>359</v>
      </c>
    </row>
    <row r="20" spans="1:83" x14ac:dyDescent="0.25">
      <c r="A20" s="129" t="s">
        <v>439</v>
      </c>
      <c r="B20" s="129" t="s">
        <v>352</v>
      </c>
      <c r="C20" s="129" t="s">
        <v>353</v>
      </c>
      <c r="D20" s="309">
        <v>44594</v>
      </c>
      <c r="E20" s="309">
        <v>45690</v>
      </c>
      <c r="F20" s="309">
        <v>45180</v>
      </c>
      <c r="G20" s="310"/>
      <c r="H20" s="310"/>
      <c r="I20" s="309">
        <v>45642</v>
      </c>
      <c r="J20" s="248" t="s">
        <v>354</v>
      </c>
      <c r="K20" s="311" t="s">
        <v>268</v>
      </c>
      <c r="M20" s="191">
        <f t="shared" si="0"/>
        <v>2.871232876712329</v>
      </c>
      <c r="N20" s="306" t="s">
        <v>355</v>
      </c>
      <c r="O20" s="129" t="s">
        <v>440</v>
      </c>
      <c r="P20" s="129" t="s">
        <v>441</v>
      </c>
      <c r="Q20" s="129" t="s">
        <v>442</v>
      </c>
      <c r="AA20" s="312">
        <f t="shared" si="1"/>
        <v>0</v>
      </c>
      <c r="AE20" s="129">
        <v>3</v>
      </c>
      <c r="AK20" s="312">
        <f t="shared" si="2"/>
        <v>3</v>
      </c>
      <c r="AL20" s="129">
        <f t="shared" si="3"/>
        <v>0</v>
      </c>
      <c r="AM20" s="129">
        <f t="shared" si="4"/>
        <v>0</v>
      </c>
      <c r="AN20" s="129">
        <f t="shared" si="5"/>
        <v>3</v>
      </c>
      <c r="AO20" s="129">
        <f t="shared" si="6"/>
        <v>0</v>
      </c>
      <c r="AP20" s="129">
        <f t="shared" si="7"/>
        <v>0</v>
      </c>
      <c r="AQ20" s="129">
        <f t="shared" si="8"/>
        <v>0</v>
      </c>
      <c r="AR20" s="129">
        <f t="shared" si="9"/>
        <v>0</v>
      </c>
      <c r="AS20" s="129">
        <f t="shared" si="10"/>
        <v>0</v>
      </c>
      <c r="AT20" s="312">
        <f t="shared" si="11"/>
        <v>3</v>
      </c>
      <c r="AV20" s="312">
        <f t="shared" si="12"/>
        <v>3</v>
      </c>
      <c r="BA20" s="314"/>
      <c r="BF20" s="314"/>
      <c r="BL20" s="314"/>
      <c r="BM20" s="129">
        <f t="shared" si="13"/>
        <v>0</v>
      </c>
      <c r="BN20" s="129">
        <f t="shared" si="14"/>
        <v>0</v>
      </c>
      <c r="BR20" s="129">
        <v>513958</v>
      </c>
      <c r="BS20" s="129">
        <v>171178</v>
      </c>
      <c r="BT20" s="129" t="s">
        <v>168</v>
      </c>
      <c r="BU20" s="129" t="s">
        <v>192</v>
      </c>
      <c r="CD20" s="129" t="s">
        <v>198</v>
      </c>
      <c r="CE20" s="313"/>
    </row>
    <row r="21" spans="1:83" x14ac:dyDescent="0.25">
      <c r="A21" s="129" t="s">
        <v>443</v>
      </c>
      <c r="B21" s="129" t="s">
        <v>369</v>
      </c>
      <c r="C21" s="248" t="s">
        <v>370</v>
      </c>
      <c r="D21" s="309">
        <v>44582</v>
      </c>
      <c r="E21" s="309">
        <v>45678</v>
      </c>
      <c r="F21" s="309">
        <v>44936</v>
      </c>
      <c r="G21" s="310"/>
      <c r="H21" s="310"/>
      <c r="I21" s="309">
        <v>45635</v>
      </c>
      <c r="J21" s="248" t="s">
        <v>354</v>
      </c>
      <c r="K21" s="311" t="s">
        <v>268</v>
      </c>
      <c r="M21" s="191">
        <f t="shared" si="0"/>
        <v>2.8849315068493149</v>
      </c>
      <c r="N21" s="306" t="s">
        <v>355</v>
      </c>
      <c r="O21" s="129" t="s">
        <v>444</v>
      </c>
      <c r="P21" s="129" t="s">
        <v>445</v>
      </c>
      <c r="Q21" s="129" t="s">
        <v>446</v>
      </c>
      <c r="AA21" s="312">
        <f t="shared" si="1"/>
        <v>0</v>
      </c>
      <c r="AC21" s="129">
        <v>1</v>
      </c>
      <c r="AK21" s="312">
        <f t="shared" si="2"/>
        <v>1</v>
      </c>
      <c r="AL21" s="129">
        <f t="shared" si="3"/>
        <v>1</v>
      </c>
      <c r="AM21" s="129">
        <f t="shared" si="4"/>
        <v>0</v>
      </c>
      <c r="AN21" s="129">
        <f t="shared" si="5"/>
        <v>0</v>
      </c>
      <c r="AO21" s="129">
        <f t="shared" si="6"/>
        <v>0</v>
      </c>
      <c r="AP21" s="129">
        <f t="shared" si="7"/>
        <v>0</v>
      </c>
      <c r="AQ21" s="129">
        <f t="shared" si="8"/>
        <v>0</v>
      </c>
      <c r="AR21" s="129">
        <f t="shared" si="9"/>
        <v>0</v>
      </c>
      <c r="AS21" s="129">
        <f t="shared" si="10"/>
        <v>0</v>
      </c>
      <c r="AT21" s="312">
        <f t="shared" si="11"/>
        <v>1</v>
      </c>
      <c r="AV21" s="312">
        <f t="shared" si="12"/>
        <v>1</v>
      </c>
      <c r="BA21" s="314"/>
      <c r="BF21" s="314"/>
      <c r="BL21" s="314"/>
      <c r="BM21" s="129">
        <f t="shared" si="13"/>
        <v>0</v>
      </c>
      <c r="BN21" s="129">
        <f t="shared" si="14"/>
        <v>0</v>
      </c>
      <c r="BR21" s="129">
        <v>521328</v>
      </c>
      <c r="BS21" s="129">
        <v>175496</v>
      </c>
      <c r="BT21" s="129" t="s">
        <v>175</v>
      </c>
      <c r="BU21" s="129" t="s">
        <v>190</v>
      </c>
      <c r="CC21" s="129" t="s">
        <v>359</v>
      </c>
      <c r="CD21" s="129" t="s">
        <v>199</v>
      </c>
      <c r="CE21" s="313"/>
    </row>
    <row r="22" spans="1:83" x14ac:dyDescent="0.25">
      <c r="A22" s="129" t="s">
        <v>447</v>
      </c>
      <c r="B22" s="129" t="s">
        <v>369</v>
      </c>
      <c r="C22" s="248" t="s">
        <v>370</v>
      </c>
      <c r="D22" s="309">
        <v>44644</v>
      </c>
      <c r="E22" s="309">
        <v>45740</v>
      </c>
      <c r="F22" s="309">
        <v>44936</v>
      </c>
      <c r="G22" s="310"/>
      <c r="H22" s="310"/>
      <c r="I22" s="309">
        <v>45632</v>
      </c>
      <c r="J22" s="248" t="s">
        <v>354</v>
      </c>
      <c r="K22" s="311" t="s">
        <v>268</v>
      </c>
      <c r="M22" s="191">
        <f t="shared" si="0"/>
        <v>2.7068493150684931</v>
      </c>
      <c r="N22" s="306" t="s">
        <v>355</v>
      </c>
      <c r="O22" s="129" t="s">
        <v>448</v>
      </c>
      <c r="P22" s="129" t="s">
        <v>449</v>
      </c>
      <c r="Q22" s="129" t="s">
        <v>446</v>
      </c>
      <c r="AA22" s="312">
        <f t="shared" si="1"/>
        <v>0</v>
      </c>
      <c r="AD22" s="129">
        <v>1</v>
      </c>
      <c r="AK22" s="312">
        <f t="shared" si="2"/>
        <v>1</v>
      </c>
      <c r="AL22" s="129">
        <f t="shared" si="3"/>
        <v>0</v>
      </c>
      <c r="AM22" s="129">
        <f t="shared" si="4"/>
        <v>1</v>
      </c>
      <c r="AN22" s="129">
        <f t="shared" si="5"/>
        <v>0</v>
      </c>
      <c r="AO22" s="129">
        <f t="shared" si="6"/>
        <v>0</v>
      </c>
      <c r="AP22" s="129">
        <f t="shared" si="7"/>
        <v>0</v>
      </c>
      <c r="AQ22" s="129">
        <f t="shared" si="8"/>
        <v>0</v>
      </c>
      <c r="AR22" s="129">
        <f t="shared" si="9"/>
        <v>0</v>
      </c>
      <c r="AS22" s="129">
        <f t="shared" si="10"/>
        <v>0</v>
      </c>
      <c r="AT22" s="312">
        <f t="shared" si="11"/>
        <v>1</v>
      </c>
      <c r="AV22" s="312">
        <f t="shared" si="12"/>
        <v>1</v>
      </c>
      <c r="BA22" s="314"/>
      <c r="BF22" s="314"/>
      <c r="BL22" s="314"/>
      <c r="BM22" s="129">
        <f t="shared" si="13"/>
        <v>0</v>
      </c>
      <c r="BN22" s="129">
        <f t="shared" si="14"/>
        <v>0</v>
      </c>
      <c r="BR22" s="129">
        <v>521328</v>
      </c>
      <c r="BS22" s="129">
        <v>175496</v>
      </c>
      <c r="BT22" s="129" t="s">
        <v>175</v>
      </c>
      <c r="BU22" s="129" t="s">
        <v>190</v>
      </c>
      <c r="CC22" s="129" t="s">
        <v>359</v>
      </c>
      <c r="CD22" s="129" t="s">
        <v>199</v>
      </c>
      <c r="CE22" s="313"/>
    </row>
    <row r="23" spans="1:83" x14ac:dyDescent="0.25">
      <c r="A23" s="129" t="s">
        <v>450</v>
      </c>
      <c r="B23" s="129" t="s">
        <v>352</v>
      </c>
      <c r="C23" s="129" t="s">
        <v>353</v>
      </c>
      <c r="D23" s="309">
        <v>44760</v>
      </c>
      <c r="E23" s="309">
        <v>46264</v>
      </c>
      <c r="F23" s="309">
        <v>45474</v>
      </c>
      <c r="G23" s="310" t="s">
        <v>359</v>
      </c>
      <c r="H23" s="310"/>
      <c r="I23" s="309">
        <v>45689</v>
      </c>
      <c r="J23" s="248" t="s">
        <v>354</v>
      </c>
      <c r="K23" s="311" t="s">
        <v>268</v>
      </c>
      <c r="M23" s="191">
        <f t="shared" si="0"/>
        <v>2.5452054794520547</v>
      </c>
      <c r="N23" s="306" t="s">
        <v>355</v>
      </c>
      <c r="O23" s="129" t="s">
        <v>451</v>
      </c>
      <c r="P23" s="129" t="s">
        <v>452</v>
      </c>
      <c r="Q23" s="129" t="s">
        <v>453</v>
      </c>
      <c r="AA23" s="312">
        <f t="shared" si="1"/>
        <v>0</v>
      </c>
      <c r="AE23" s="129">
        <v>1</v>
      </c>
      <c r="AK23" s="312">
        <f t="shared" si="2"/>
        <v>1</v>
      </c>
      <c r="AL23" s="129">
        <f t="shared" si="3"/>
        <v>0</v>
      </c>
      <c r="AM23" s="129">
        <f t="shared" si="4"/>
        <v>0</v>
      </c>
      <c r="AN23" s="129">
        <f t="shared" si="5"/>
        <v>1</v>
      </c>
      <c r="AO23" s="129">
        <f t="shared" si="6"/>
        <v>0</v>
      </c>
      <c r="AP23" s="129">
        <f t="shared" si="7"/>
        <v>0</v>
      </c>
      <c r="AQ23" s="129">
        <f t="shared" si="8"/>
        <v>0</v>
      </c>
      <c r="AR23" s="129">
        <f t="shared" si="9"/>
        <v>0</v>
      </c>
      <c r="AS23" s="129">
        <f t="shared" si="10"/>
        <v>0</v>
      </c>
      <c r="AT23" s="312">
        <f t="shared" si="11"/>
        <v>1</v>
      </c>
      <c r="AV23" s="312">
        <f t="shared" si="12"/>
        <v>1</v>
      </c>
      <c r="BA23" s="314"/>
      <c r="BF23" s="314"/>
      <c r="BL23" s="314"/>
      <c r="BM23" s="129">
        <f t="shared" si="13"/>
        <v>0</v>
      </c>
      <c r="BN23" s="129">
        <f t="shared" si="14"/>
        <v>0</v>
      </c>
      <c r="BR23" s="129">
        <v>516377</v>
      </c>
      <c r="BS23" s="129">
        <v>174907</v>
      </c>
      <c r="BT23" s="129" t="s">
        <v>179</v>
      </c>
      <c r="BU23" s="129" t="s">
        <v>154</v>
      </c>
      <c r="CC23" s="129" t="s">
        <v>359</v>
      </c>
      <c r="CD23" s="129" t="s">
        <v>202</v>
      </c>
      <c r="CE23" s="313"/>
    </row>
    <row r="24" spans="1:83" x14ac:dyDescent="0.25">
      <c r="A24" s="129" t="s">
        <v>454</v>
      </c>
      <c r="B24" s="129" t="s">
        <v>352</v>
      </c>
      <c r="C24" s="129" t="s">
        <v>353</v>
      </c>
      <c r="D24" s="309">
        <v>44964</v>
      </c>
      <c r="E24" s="309">
        <v>46060</v>
      </c>
      <c r="F24" s="309">
        <v>45200</v>
      </c>
      <c r="G24" s="310"/>
      <c r="H24" s="310"/>
      <c r="I24" s="309">
        <v>45747</v>
      </c>
      <c r="J24" s="248" t="s">
        <v>354</v>
      </c>
      <c r="K24" s="311" t="s">
        <v>268</v>
      </c>
      <c r="M24" s="191">
        <f t="shared" si="0"/>
        <v>2.1452054794520548</v>
      </c>
      <c r="N24" s="306" t="s">
        <v>355</v>
      </c>
      <c r="O24" s="129" t="s">
        <v>455</v>
      </c>
      <c r="P24" s="129" t="s">
        <v>456</v>
      </c>
      <c r="Q24" s="129" t="s">
        <v>457</v>
      </c>
      <c r="AA24" s="312">
        <f t="shared" si="1"/>
        <v>0</v>
      </c>
      <c r="AF24" s="129">
        <v>1</v>
      </c>
      <c r="AK24" s="312">
        <f t="shared" si="2"/>
        <v>1</v>
      </c>
      <c r="AL24" s="129">
        <f t="shared" si="3"/>
        <v>0</v>
      </c>
      <c r="AM24" s="129">
        <f t="shared" si="4"/>
        <v>0</v>
      </c>
      <c r="AN24" s="129">
        <f t="shared" si="5"/>
        <v>0</v>
      </c>
      <c r="AO24" s="129">
        <f t="shared" si="6"/>
        <v>1</v>
      </c>
      <c r="AP24" s="129">
        <f t="shared" si="7"/>
        <v>0</v>
      </c>
      <c r="AQ24" s="129">
        <f t="shared" si="8"/>
        <v>0</v>
      </c>
      <c r="AR24" s="129">
        <f t="shared" si="9"/>
        <v>0</v>
      </c>
      <c r="AS24" s="129">
        <f t="shared" si="10"/>
        <v>0</v>
      </c>
      <c r="AT24" s="312">
        <f t="shared" si="11"/>
        <v>1</v>
      </c>
      <c r="AV24" s="312">
        <f t="shared" si="12"/>
        <v>1</v>
      </c>
      <c r="BA24" s="314"/>
      <c r="BF24" s="314"/>
      <c r="BL24" s="314"/>
      <c r="BM24" s="129">
        <f t="shared" si="13"/>
        <v>0</v>
      </c>
      <c r="BN24" s="129">
        <f t="shared" si="14"/>
        <v>0</v>
      </c>
      <c r="BR24" s="129">
        <v>513292</v>
      </c>
      <c r="BS24" s="129">
        <v>170919</v>
      </c>
      <c r="BT24" s="129" t="s">
        <v>171</v>
      </c>
      <c r="BU24" s="129" t="s">
        <v>192</v>
      </c>
      <c r="CD24" s="129" t="s">
        <v>198</v>
      </c>
      <c r="CE24" s="313" t="s">
        <v>359</v>
      </c>
    </row>
    <row r="25" spans="1:83" x14ac:dyDescent="0.25">
      <c r="A25" s="129" t="s">
        <v>458</v>
      </c>
      <c r="B25" s="129" t="s">
        <v>352</v>
      </c>
      <c r="C25" s="129" t="s">
        <v>353</v>
      </c>
      <c r="D25" s="309">
        <v>45175</v>
      </c>
      <c r="E25" s="309">
        <v>46271</v>
      </c>
      <c r="F25" s="309">
        <v>45261</v>
      </c>
      <c r="G25" s="310"/>
      <c r="H25" s="310"/>
      <c r="I25" s="309">
        <v>45626</v>
      </c>
      <c r="J25" s="248" t="s">
        <v>354</v>
      </c>
      <c r="K25" s="311" t="s">
        <v>268</v>
      </c>
      <c r="M25" s="191">
        <f t="shared" si="0"/>
        <v>1.2356164383561643</v>
      </c>
      <c r="N25" s="306" t="s">
        <v>355</v>
      </c>
      <c r="O25" s="129" t="s">
        <v>459</v>
      </c>
      <c r="P25" s="129" t="s">
        <v>460</v>
      </c>
      <c r="Q25" s="129" t="s">
        <v>461</v>
      </c>
      <c r="AA25" s="312">
        <f t="shared" si="1"/>
        <v>0</v>
      </c>
      <c r="AD25" s="129">
        <v>1</v>
      </c>
      <c r="AK25" s="312">
        <f t="shared" si="2"/>
        <v>1</v>
      </c>
      <c r="AL25" s="129">
        <f t="shared" si="3"/>
        <v>0</v>
      </c>
      <c r="AM25" s="129">
        <f t="shared" si="4"/>
        <v>1</v>
      </c>
      <c r="AN25" s="129">
        <f t="shared" si="5"/>
        <v>0</v>
      </c>
      <c r="AO25" s="129">
        <f t="shared" si="6"/>
        <v>0</v>
      </c>
      <c r="AP25" s="129">
        <f t="shared" si="7"/>
        <v>0</v>
      </c>
      <c r="AQ25" s="129">
        <f t="shared" si="8"/>
        <v>0</v>
      </c>
      <c r="AR25" s="129">
        <f t="shared" si="9"/>
        <v>0</v>
      </c>
      <c r="AS25" s="129">
        <f t="shared" si="10"/>
        <v>0</v>
      </c>
      <c r="AT25" s="312">
        <f t="shared" si="11"/>
        <v>1</v>
      </c>
      <c r="AV25" s="312">
        <f t="shared" si="12"/>
        <v>1</v>
      </c>
      <c r="BA25" s="314"/>
      <c r="BF25" s="314"/>
      <c r="BL25" s="314"/>
      <c r="BM25" s="129">
        <f t="shared" si="13"/>
        <v>0</v>
      </c>
      <c r="BN25" s="129">
        <f t="shared" si="14"/>
        <v>0</v>
      </c>
      <c r="BR25" s="129">
        <v>515447</v>
      </c>
      <c r="BS25" s="129">
        <v>173212</v>
      </c>
      <c r="BT25" s="129" t="s">
        <v>178</v>
      </c>
      <c r="BU25" s="129" t="s">
        <v>154</v>
      </c>
      <c r="CA25" s="129" t="s">
        <v>462</v>
      </c>
      <c r="CB25" s="129" t="s">
        <v>359</v>
      </c>
      <c r="CC25" s="129" t="s">
        <v>359</v>
      </c>
      <c r="CD25" s="129" t="s">
        <v>202</v>
      </c>
      <c r="CE25" s="313" t="s">
        <v>359</v>
      </c>
    </row>
    <row r="26" spans="1:83" x14ac:dyDescent="0.25">
      <c r="A26" s="129" t="s">
        <v>463</v>
      </c>
      <c r="B26" s="129" t="s">
        <v>352</v>
      </c>
      <c r="C26" s="129" t="s">
        <v>353</v>
      </c>
      <c r="D26" s="309">
        <v>44782</v>
      </c>
      <c r="E26" s="309">
        <v>45878</v>
      </c>
      <c r="F26" s="309">
        <v>45108</v>
      </c>
      <c r="G26" s="310"/>
      <c r="H26" s="310"/>
      <c r="I26" s="309">
        <v>45533</v>
      </c>
      <c r="J26" s="248" t="s">
        <v>354</v>
      </c>
      <c r="K26" s="311" t="s">
        <v>268</v>
      </c>
      <c r="M26" s="191">
        <f t="shared" si="0"/>
        <v>2.0575342465753423</v>
      </c>
      <c r="N26" s="306" t="s">
        <v>355</v>
      </c>
      <c r="O26" s="129" t="s">
        <v>464</v>
      </c>
      <c r="P26" s="129" t="s">
        <v>465</v>
      </c>
      <c r="Q26" s="129" t="s">
        <v>466</v>
      </c>
      <c r="V26" s="129">
        <v>1</v>
      </c>
      <c r="AA26" s="312">
        <f t="shared" si="1"/>
        <v>1</v>
      </c>
      <c r="AG26" s="129">
        <v>1</v>
      </c>
      <c r="AK26" s="312">
        <f t="shared" si="2"/>
        <v>1</v>
      </c>
      <c r="AL26" s="129">
        <f t="shared" si="3"/>
        <v>0</v>
      </c>
      <c r="AM26" s="129">
        <f t="shared" si="4"/>
        <v>0</v>
      </c>
      <c r="AN26" s="129">
        <f t="shared" si="5"/>
        <v>0</v>
      </c>
      <c r="AO26" s="129">
        <f t="shared" si="6"/>
        <v>-1</v>
      </c>
      <c r="AP26" s="129">
        <f t="shared" si="7"/>
        <v>1</v>
      </c>
      <c r="AQ26" s="129">
        <f t="shared" si="8"/>
        <v>0</v>
      </c>
      <c r="AR26" s="129">
        <f t="shared" si="9"/>
        <v>0</v>
      </c>
      <c r="AS26" s="129">
        <f t="shared" si="10"/>
        <v>0</v>
      </c>
      <c r="AT26" s="312">
        <f t="shared" si="11"/>
        <v>0</v>
      </c>
      <c r="AV26" s="312">
        <f t="shared" si="12"/>
        <v>0</v>
      </c>
      <c r="BA26" s="314"/>
      <c r="BF26" s="314"/>
      <c r="BL26" s="314"/>
      <c r="BM26" s="129">
        <f t="shared" si="13"/>
        <v>0</v>
      </c>
      <c r="BN26" s="129">
        <f t="shared" si="14"/>
        <v>0</v>
      </c>
      <c r="BR26" s="129">
        <v>517549</v>
      </c>
      <c r="BS26" s="129">
        <v>172179</v>
      </c>
      <c r="BT26" s="129" t="s">
        <v>169</v>
      </c>
      <c r="BU26" s="129" t="s">
        <v>191</v>
      </c>
      <c r="CA26" s="129" t="s">
        <v>467</v>
      </c>
      <c r="CB26" s="129" t="s">
        <v>359</v>
      </c>
      <c r="CD26" s="129" t="s">
        <v>197</v>
      </c>
      <c r="CE26" s="313"/>
    </row>
    <row r="27" spans="1:83" x14ac:dyDescent="0.25">
      <c r="A27" s="129" t="s">
        <v>468</v>
      </c>
      <c r="B27" s="129" t="s">
        <v>352</v>
      </c>
      <c r="C27" s="129" t="s">
        <v>353</v>
      </c>
      <c r="D27" s="309">
        <v>45036</v>
      </c>
      <c r="E27" s="309">
        <v>46132</v>
      </c>
      <c r="F27" s="309">
        <v>45231</v>
      </c>
      <c r="G27" s="310"/>
      <c r="H27" s="310"/>
      <c r="I27" s="309">
        <v>45688</v>
      </c>
      <c r="J27" s="248" t="s">
        <v>354</v>
      </c>
      <c r="K27" s="311" t="s">
        <v>268</v>
      </c>
      <c r="M27" s="191">
        <f t="shared" si="0"/>
        <v>1.7863013698630137</v>
      </c>
      <c r="N27" s="306" t="s">
        <v>355</v>
      </c>
      <c r="O27" s="129" t="s">
        <v>469</v>
      </c>
      <c r="P27" s="129" t="s">
        <v>470</v>
      </c>
      <c r="Q27" s="129" t="s">
        <v>471</v>
      </c>
      <c r="U27" s="129">
        <v>1</v>
      </c>
      <c r="AA27" s="312">
        <f t="shared" si="1"/>
        <v>1</v>
      </c>
      <c r="AE27" s="129">
        <v>2</v>
      </c>
      <c r="AK27" s="312">
        <f t="shared" si="2"/>
        <v>2</v>
      </c>
      <c r="AL27" s="129">
        <f t="shared" si="3"/>
        <v>0</v>
      </c>
      <c r="AM27" s="129">
        <f t="shared" si="4"/>
        <v>0</v>
      </c>
      <c r="AN27" s="129">
        <f t="shared" si="5"/>
        <v>1</v>
      </c>
      <c r="AO27" s="129">
        <f t="shared" si="6"/>
        <v>0</v>
      </c>
      <c r="AP27" s="129">
        <f t="shared" si="7"/>
        <v>0</v>
      </c>
      <c r="AQ27" s="129">
        <f t="shared" si="8"/>
        <v>0</v>
      </c>
      <c r="AR27" s="129">
        <f t="shared" si="9"/>
        <v>0</v>
      </c>
      <c r="AS27" s="129">
        <f t="shared" si="10"/>
        <v>0</v>
      </c>
      <c r="AT27" s="312">
        <f t="shared" si="11"/>
        <v>1</v>
      </c>
      <c r="AV27" s="312">
        <f t="shared" si="12"/>
        <v>1</v>
      </c>
      <c r="BA27" s="314"/>
      <c r="BF27" s="314"/>
      <c r="BL27" s="314"/>
      <c r="BM27" s="129">
        <f t="shared" si="13"/>
        <v>0</v>
      </c>
      <c r="BN27" s="129">
        <f t="shared" si="14"/>
        <v>0</v>
      </c>
      <c r="BR27" s="129">
        <v>516560</v>
      </c>
      <c r="BS27" s="129">
        <v>173850</v>
      </c>
      <c r="BT27" s="129" t="s">
        <v>180</v>
      </c>
      <c r="BU27" s="129" t="s">
        <v>154</v>
      </c>
      <c r="CC27" s="129" t="s">
        <v>359</v>
      </c>
      <c r="CD27" s="129" t="s">
        <v>202</v>
      </c>
      <c r="CE27" s="313" t="s">
        <v>359</v>
      </c>
    </row>
    <row r="28" spans="1:83" x14ac:dyDescent="0.25">
      <c r="A28" s="129" t="s">
        <v>472</v>
      </c>
      <c r="B28" s="129" t="s">
        <v>352</v>
      </c>
      <c r="C28" s="129" t="s">
        <v>353</v>
      </c>
      <c r="D28" s="309">
        <v>44904</v>
      </c>
      <c r="E28" s="309">
        <v>46000</v>
      </c>
      <c r="F28" s="309">
        <v>45320</v>
      </c>
      <c r="G28" s="310"/>
      <c r="H28" s="310"/>
      <c r="I28" s="309">
        <v>45747</v>
      </c>
      <c r="J28" s="248" t="s">
        <v>354</v>
      </c>
      <c r="K28" s="311" t="s">
        <v>268</v>
      </c>
      <c r="M28" s="191">
        <f t="shared" si="0"/>
        <v>2.3095890410958906</v>
      </c>
      <c r="N28" s="306" t="s">
        <v>355</v>
      </c>
      <c r="O28" s="129" t="s">
        <v>473</v>
      </c>
      <c r="P28" s="129" t="s">
        <v>474</v>
      </c>
      <c r="Q28" s="129" t="s">
        <v>475</v>
      </c>
      <c r="U28" s="129">
        <v>1</v>
      </c>
      <c r="AA28" s="312">
        <f t="shared" si="1"/>
        <v>1</v>
      </c>
      <c r="AF28" s="129">
        <v>2</v>
      </c>
      <c r="AK28" s="312">
        <f t="shared" si="2"/>
        <v>2</v>
      </c>
      <c r="AL28" s="129">
        <f t="shared" si="3"/>
        <v>0</v>
      </c>
      <c r="AM28" s="129">
        <f t="shared" si="4"/>
        <v>0</v>
      </c>
      <c r="AN28" s="129">
        <f t="shared" si="5"/>
        <v>-1</v>
      </c>
      <c r="AO28" s="129">
        <f t="shared" si="6"/>
        <v>2</v>
      </c>
      <c r="AP28" s="129">
        <f t="shared" si="7"/>
        <v>0</v>
      </c>
      <c r="AQ28" s="129">
        <f t="shared" si="8"/>
        <v>0</v>
      </c>
      <c r="AR28" s="129">
        <f t="shared" si="9"/>
        <v>0</v>
      </c>
      <c r="AS28" s="129">
        <f t="shared" si="10"/>
        <v>0</v>
      </c>
      <c r="AT28" s="312">
        <f t="shared" si="11"/>
        <v>1</v>
      </c>
      <c r="AV28" s="312">
        <f t="shared" si="12"/>
        <v>1</v>
      </c>
      <c r="BA28" s="314"/>
      <c r="BF28" s="314"/>
      <c r="BL28" s="314"/>
      <c r="BM28" s="129">
        <f t="shared" si="13"/>
        <v>0</v>
      </c>
      <c r="BN28" s="129">
        <f t="shared" si="14"/>
        <v>0</v>
      </c>
      <c r="BR28" s="129">
        <v>516303</v>
      </c>
      <c r="BS28" s="129">
        <v>170784</v>
      </c>
      <c r="BT28" s="129" t="s">
        <v>152</v>
      </c>
      <c r="BU28" s="129" t="s">
        <v>192</v>
      </c>
      <c r="CC28" s="129" t="s">
        <v>359</v>
      </c>
      <c r="CD28" s="129" t="s">
        <v>201</v>
      </c>
      <c r="CE28" s="313"/>
    </row>
    <row r="29" spans="1:83" x14ac:dyDescent="0.25">
      <c r="A29" s="129" t="s">
        <v>476</v>
      </c>
      <c r="B29" s="129" t="s">
        <v>352</v>
      </c>
      <c r="C29" s="129" t="s">
        <v>353</v>
      </c>
      <c r="D29" s="309">
        <v>44945</v>
      </c>
      <c r="E29" s="309">
        <v>46041</v>
      </c>
      <c r="F29" s="309">
        <v>45222</v>
      </c>
      <c r="G29" s="310"/>
      <c r="H29" s="310"/>
      <c r="I29" s="309">
        <v>45614</v>
      </c>
      <c r="J29" s="248" t="s">
        <v>354</v>
      </c>
      <c r="K29" s="129" t="s">
        <v>260</v>
      </c>
      <c r="M29" s="191">
        <f t="shared" si="0"/>
        <v>1.832876712328767</v>
      </c>
      <c r="N29" s="306" t="s">
        <v>436</v>
      </c>
      <c r="O29" s="129" t="s">
        <v>477</v>
      </c>
      <c r="P29" s="129" t="s">
        <v>478</v>
      </c>
      <c r="Q29" s="129" t="s">
        <v>479</v>
      </c>
      <c r="AA29" s="312">
        <f t="shared" si="1"/>
        <v>0</v>
      </c>
      <c r="AB29" s="313" t="s">
        <v>359</v>
      </c>
      <c r="AC29" s="129">
        <v>5</v>
      </c>
      <c r="AK29" s="312">
        <f t="shared" si="2"/>
        <v>5</v>
      </c>
      <c r="AL29" s="129">
        <f t="shared" si="3"/>
        <v>5</v>
      </c>
      <c r="AM29" s="129">
        <f t="shared" si="4"/>
        <v>0</v>
      </c>
      <c r="AN29" s="129">
        <f t="shared" si="5"/>
        <v>0</v>
      </c>
      <c r="AO29" s="129">
        <f t="shared" si="6"/>
        <v>0</v>
      </c>
      <c r="AP29" s="129">
        <f t="shared" si="7"/>
        <v>0</v>
      </c>
      <c r="AQ29" s="129">
        <f t="shared" si="8"/>
        <v>0</v>
      </c>
      <c r="AR29" s="129">
        <f t="shared" si="9"/>
        <v>0</v>
      </c>
      <c r="AS29" s="129">
        <f t="shared" si="10"/>
        <v>0</v>
      </c>
      <c r="AT29" s="312">
        <f t="shared" si="11"/>
        <v>5</v>
      </c>
      <c r="AV29" s="312">
        <f t="shared" si="12"/>
        <v>5</v>
      </c>
      <c r="BA29" s="314"/>
      <c r="BF29" s="314"/>
      <c r="BL29" s="314"/>
      <c r="BM29" s="129">
        <f t="shared" si="13"/>
        <v>0</v>
      </c>
      <c r="BN29" s="129">
        <f t="shared" si="14"/>
        <v>0</v>
      </c>
      <c r="BR29" s="129">
        <v>518758</v>
      </c>
      <c r="BS29" s="129">
        <v>175172</v>
      </c>
      <c r="BT29" s="129" t="s">
        <v>176</v>
      </c>
      <c r="BU29" s="129" t="s">
        <v>150</v>
      </c>
      <c r="CA29" s="129" t="s">
        <v>480</v>
      </c>
      <c r="CB29" s="129" t="s">
        <v>359</v>
      </c>
      <c r="CC29" s="129" t="s">
        <v>359</v>
      </c>
      <c r="CD29" s="129" t="s">
        <v>200</v>
      </c>
      <c r="CE29" s="313"/>
    </row>
    <row r="30" spans="1:83" x14ac:dyDescent="0.25">
      <c r="A30" s="129" t="s">
        <v>481</v>
      </c>
      <c r="B30" s="129" t="s">
        <v>482</v>
      </c>
      <c r="C30" s="248" t="s">
        <v>370</v>
      </c>
      <c r="D30" s="309">
        <v>44820</v>
      </c>
      <c r="E30" s="309">
        <v>45916</v>
      </c>
      <c r="F30" s="309">
        <v>45307</v>
      </c>
      <c r="G30" s="310"/>
      <c r="H30" s="310"/>
      <c r="I30" s="309">
        <v>45588</v>
      </c>
      <c r="J30" s="248" t="s">
        <v>354</v>
      </c>
      <c r="K30" s="311" t="s">
        <v>268</v>
      </c>
      <c r="M30" s="191">
        <f t="shared" si="0"/>
        <v>2.1041095890410957</v>
      </c>
      <c r="N30" s="306" t="s">
        <v>355</v>
      </c>
      <c r="O30" s="129" t="s">
        <v>483</v>
      </c>
      <c r="P30" s="129" t="s">
        <v>484</v>
      </c>
      <c r="Q30" s="129" t="s">
        <v>485</v>
      </c>
      <c r="AA30" s="312">
        <f t="shared" si="1"/>
        <v>0</v>
      </c>
      <c r="AC30" s="129">
        <v>2</v>
      </c>
      <c r="AK30" s="312">
        <f t="shared" si="2"/>
        <v>2</v>
      </c>
      <c r="AL30" s="129">
        <f t="shared" si="3"/>
        <v>2</v>
      </c>
      <c r="AM30" s="129">
        <f t="shared" si="4"/>
        <v>0</v>
      </c>
      <c r="AN30" s="129">
        <f t="shared" si="5"/>
        <v>0</v>
      </c>
      <c r="AO30" s="129">
        <f t="shared" si="6"/>
        <v>0</v>
      </c>
      <c r="AP30" s="129">
        <f t="shared" si="7"/>
        <v>0</v>
      </c>
      <c r="AQ30" s="129">
        <f t="shared" si="8"/>
        <v>0</v>
      </c>
      <c r="AR30" s="129">
        <f t="shared" si="9"/>
        <v>0</v>
      </c>
      <c r="AS30" s="129">
        <f t="shared" si="10"/>
        <v>0</v>
      </c>
      <c r="AT30" s="312">
        <f t="shared" si="11"/>
        <v>2</v>
      </c>
      <c r="AV30" s="312">
        <f t="shared" si="12"/>
        <v>2</v>
      </c>
      <c r="BA30" s="314"/>
      <c r="BF30" s="314"/>
      <c r="BL30" s="314"/>
      <c r="BM30" s="129">
        <f t="shared" si="13"/>
        <v>0</v>
      </c>
      <c r="BN30" s="129">
        <f t="shared" si="14"/>
        <v>0</v>
      </c>
      <c r="BR30" s="129">
        <v>517628</v>
      </c>
      <c r="BS30" s="129">
        <v>174828</v>
      </c>
      <c r="BT30" s="129" t="s">
        <v>177</v>
      </c>
      <c r="BU30" s="129" t="s">
        <v>150</v>
      </c>
      <c r="CA30" s="129" t="s">
        <v>486</v>
      </c>
      <c r="CB30" s="129" t="s">
        <v>359</v>
      </c>
      <c r="CC30" s="129" t="s">
        <v>359</v>
      </c>
      <c r="CD30" s="129" t="s">
        <v>200</v>
      </c>
      <c r="CE30" s="313"/>
    </row>
    <row r="31" spans="1:83" x14ac:dyDescent="0.25">
      <c r="A31" s="129" t="s">
        <v>487</v>
      </c>
      <c r="B31" s="129" t="s">
        <v>369</v>
      </c>
      <c r="C31" s="248" t="s">
        <v>370</v>
      </c>
      <c r="D31" s="309">
        <v>44820</v>
      </c>
      <c r="E31" s="309">
        <v>45916</v>
      </c>
      <c r="F31" s="309">
        <v>45307</v>
      </c>
      <c r="G31" s="310"/>
      <c r="H31" s="310"/>
      <c r="I31" s="309">
        <v>45588</v>
      </c>
      <c r="J31" s="248" t="s">
        <v>354</v>
      </c>
      <c r="K31" s="311" t="s">
        <v>268</v>
      </c>
      <c r="M31" s="191">
        <f t="shared" si="0"/>
        <v>2.1041095890410957</v>
      </c>
      <c r="N31" s="306" t="s">
        <v>355</v>
      </c>
      <c r="O31" s="129" t="s">
        <v>488</v>
      </c>
      <c r="P31" s="129" t="s">
        <v>489</v>
      </c>
      <c r="Q31" s="129" t="s">
        <v>485</v>
      </c>
      <c r="AA31" s="312">
        <f t="shared" si="1"/>
        <v>0</v>
      </c>
      <c r="AC31" s="129">
        <v>1</v>
      </c>
      <c r="AK31" s="312">
        <f t="shared" si="2"/>
        <v>1</v>
      </c>
      <c r="AL31" s="129">
        <f t="shared" si="3"/>
        <v>1</v>
      </c>
      <c r="AM31" s="129">
        <f t="shared" si="4"/>
        <v>0</v>
      </c>
      <c r="AN31" s="129">
        <f t="shared" si="5"/>
        <v>0</v>
      </c>
      <c r="AO31" s="129">
        <f t="shared" si="6"/>
        <v>0</v>
      </c>
      <c r="AP31" s="129">
        <f t="shared" si="7"/>
        <v>0</v>
      </c>
      <c r="AQ31" s="129">
        <f t="shared" si="8"/>
        <v>0</v>
      </c>
      <c r="AR31" s="129">
        <f t="shared" si="9"/>
        <v>0</v>
      </c>
      <c r="AS31" s="129">
        <f t="shared" si="10"/>
        <v>0</v>
      </c>
      <c r="AT31" s="312">
        <f t="shared" si="11"/>
        <v>1</v>
      </c>
      <c r="AV31" s="312">
        <f t="shared" si="12"/>
        <v>1</v>
      </c>
      <c r="BA31" s="314"/>
      <c r="BF31" s="314"/>
      <c r="BL31" s="314"/>
      <c r="BM31" s="129">
        <f t="shared" si="13"/>
        <v>0</v>
      </c>
      <c r="BN31" s="129">
        <f t="shared" si="14"/>
        <v>0</v>
      </c>
      <c r="BR31" s="129">
        <v>517621</v>
      </c>
      <c r="BS31" s="129">
        <v>174819</v>
      </c>
      <c r="BT31" s="129" t="s">
        <v>177</v>
      </c>
      <c r="BU31" s="129" t="s">
        <v>150</v>
      </c>
      <c r="CA31" s="129" t="s">
        <v>486</v>
      </c>
      <c r="CB31" s="129" t="s">
        <v>359</v>
      </c>
      <c r="CC31" s="129" t="s">
        <v>359</v>
      </c>
      <c r="CD31" s="129" t="s">
        <v>200</v>
      </c>
      <c r="CE31" s="313"/>
    </row>
    <row r="32" spans="1:83" x14ac:dyDescent="0.25">
      <c r="A32" s="129" t="s">
        <v>490</v>
      </c>
      <c r="B32" s="129" t="s">
        <v>482</v>
      </c>
      <c r="C32" s="129" t="s">
        <v>353</v>
      </c>
      <c r="D32" s="309">
        <v>44881</v>
      </c>
      <c r="E32" s="309">
        <v>45977</v>
      </c>
      <c r="F32" s="309">
        <v>44935</v>
      </c>
      <c r="G32" s="310"/>
      <c r="H32" s="310"/>
      <c r="I32" s="309">
        <v>45727</v>
      </c>
      <c r="J32" s="248" t="s">
        <v>354</v>
      </c>
      <c r="K32" s="311" t="s">
        <v>268</v>
      </c>
      <c r="M32" s="191">
        <f t="shared" si="0"/>
        <v>2.3178082191780822</v>
      </c>
      <c r="N32" s="306" t="s">
        <v>355</v>
      </c>
      <c r="O32" s="129" t="s">
        <v>491</v>
      </c>
      <c r="P32" s="129" t="s">
        <v>492</v>
      </c>
      <c r="Q32" s="129" t="s">
        <v>493</v>
      </c>
      <c r="U32" s="129">
        <v>1</v>
      </c>
      <c r="W32" s="129">
        <v>1</v>
      </c>
      <c r="AA32" s="312">
        <f t="shared" si="1"/>
        <v>2</v>
      </c>
      <c r="AJ32" s="129">
        <v>1</v>
      </c>
      <c r="AK32" s="312">
        <f t="shared" si="2"/>
        <v>1</v>
      </c>
      <c r="AL32" s="129">
        <f t="shared" si="3"/>
        <v>0</v>
      </c>
      <c r="AM32" s="129">
        <f t="shared" si="4"/>
        <v>0</v>
      </c>
      <c r="AN32" s="129">
        <f t="shared" si="5"/>
        <v>-1</v>
      </c>
      <c r="AO32" s="129">
        <f t="shared" si="6"/>
        <v>0</v>
      </c>
      <c r="AP32" s="129">
        <f t="shared" si="7"/>
        <v>-1</v>
      </c>
      <c r="AQ32" s="129">
        <f t="shared" si="8"/>
        <v>0</v>
      </c>
      <c r="AR32" s="129">
        <f t="shared" si="9"/>
        <v>0</v>
      </c>
      <c r="AS32" s="129">
        <f t="shared" si="10"/>
        <v>1</v>
      </c>
      <c r="AT32" s="312">
        <f t="shared" si="11"/>
        <v>-1</v>
      </c>
      <c r="AV32" s="312">
        <f t="shared" si="12"/>
        <v>-1</v>
      </c>
      <c r="BA32" s="314"/>
      <c r="BF32" s="314"/>
      <c r="BL32" s="314"/>
      <c r="BM32" s="129">
        <f t="shared" si="13"/>
        <v>0</v>
      </c>
      <c r="BN32" s="129">
        <f t="shared" si="14"/>
        <v>0</v>
      </c>
      <c r="BR32" s="129">
        <v>518652</v>
      </c>
      <c r="BS32" s="129">
        <v>175923</v>
      </c>
      <c r="BT32" s="129" t="s">
        <v>176</v>
      </c>
      <c r="BU32" s="129" t="s">
        <v>150</v>
      </c>
      <c r="CA32" s="129" t="s">
        <v>494</v>
      </c>
      <c r="CB32" s="129" t="s">
        <v>359</v>
      </c>
      <c r="CC32" s="129" t="s">
        <v>359</v>
      </c>
      <c r="CD32" s="129" t="s">
        <v>174</v>
      </c>
      <c r="CE32" s="313"/>
    </row>
    <row r="33" spans="1:83" x14ac:dyDescent="0.25">
      <c r="A33" s="129" t="s">
        <v>495</v>
      </c>
      <c r="B33" s="129" t="s">
        <v>369</v>
      </c>
      <c r="C33" s="248" t="s">
        <v>370</v>
      </c>
      <c r="D33" s="309">
        <v>44893</v>
      </c>
      <c r="E33" s="309">
        <v>45981</v>
      </c>
      <c r="F33" s="309">
        <v>45307</v>
      </c>
      <c r="G33" s="310"/>
      <c r="H33" s="310"/>
      <c r="I33" s="309">
        <v>45588</v>
      </c>
      <c r="J33" s="248" t="s">
        <v>354</v>
      </c>
      <c r="K33" s="311" t="s">
        <v>268</v>
      </c>
      <c r="M33" s="191">
        <f t="shared" si="0"/>
        <v>1.904109589041096</v>
      </c>
      <c r="N33" s="306" t="s">
        <v>355</v>
      </c>
      <c r="O33" s="129" t="s">
        <v>496</v>
      </c>
      <c r="P33" s="129" t="s">
        <v>497</v>
      </c>
      <c r="Q33" s="129" t="s">
        <v>498</v>
      </c>
      <c r="AA33" s="312">
        <f t="shared" si="1"/>
        <v>0</v>
      </c>
      <c r="AC33" s="129">
        <v>1</v>
      </c>
      <c r="AK33" s="312">
        <f t="shared" si="2"/>
        <v>1</v>
      </c>
      <c r="AL33" s="129">
        <f t="shared" si="3"/>
        <v>1</v>
      </c>
      <c r="AM33" s="129">
        <f t="shared" si="4"/>
        <v>0</v>
      </c>
      <c r="AN33" s="129">
        <f t="shared" si="5"/>
        <v>0</v>
      </c>
      <c r="AO33" s="129">
        <f t="shared" si="6"/>
        <v>0</v>
      </c>
      <c r="AP33" s="129">
        <f t="shared" si="7"/>
        <v>0</v>
      </c>
      <c r="AQ33" s="129">
        <f t="shared" si="8"/>
        <v>0</v>
      </c>
      <c r="AR33" s="129">
        <f t="shared" si="9"/>
        <v>0</v>
      </c>
      <c r="AS33" s="129">
        <f t="shared" si="10"/>
        <v>0</v>
      </c>
      <c r="AT33" s="312">
        <f t="shared" si="11"/>
        <v>1</v>
      </c>
      <c r="AV33" s="312">
        <f t="shared" si="12"/>
        <v>1</v>
      </c>
      <c r="BA33" s="314"/>
      <c r="BF33" s="314"/>
      <c r="BL33" s="314"/>
      <c r="BM33" s="129">
        <f t="shared" si="13"/>
        <v>0</v>
      </c>
      <c r="BN33" s="129">
        <f t="shared" si="14"/>
        <v>0</v>
      </c>
      <c r="BR33" s="129">
        <v>517638</v>
      </c>
      <c r="BS33" s="129">
        <v>174846</v>
      </c>
      <c r="BT33" s="129" t="s">
        <v>177</v>
      </c>
      <c r="BU33" s="129" t="s">
        <v>150</v>
      </c>
      <c r="CA33" s="129" t="s">
        <v>486</v>
      </c>
      <c r="CB33" s="129" t="s">
        <v>359</v>
      </c>
      <c r="CC33" s="129" t="s">
        <v>359</v>
      </c>
      <c r="CD33" s="129" t="s">
        <v>200</v>
      </c>
      <c r="CE33" s="313"/>
    </row>
    <row r="34" spans="1:83" x14ac:dyDescent="0.25">
      <c r="A34" s="129" t="s">
        <v>499</v>
      </c>
      <c r="B34" s="129" t="s">
        <v>377</v>
      </c>
      <c r="C34" s="129" t="s">
        <v>353</v>
      </c>
      <c r="D34" s="309">
        <v>45352</v>
      </c>
      <c r="E34" s="309">
        <v>46447</v>
      </c>
      <c r="F34" s="309">
        <v>45474</v>
      </c>
      <c r="G34" s="310" t="s">
        <v>359</v>
      </c>
      <c r="H34" s="310"/>
      <c r="I34" s="309">
        <v>45747</v>
      </c>
      <c r="J34" s="248" t="s">
        <v>354</v>
      </c>
      <c r="K34" s="311" t="s">
        <v>268</v>
      </c>
      <c r="M34" s="191">
        <f t="shared" ref="M34:M64" si="15">(I34-D34)/365</f>
        <v>1.0821917808219179</v>
      </c>
      <c r="N34" s="306" t="s">
        <v>355</v>
      </c>
      <c r="O34" s="129" t="s">
        <v>500</v>
      </c>
      <c r="P34" s="129" t="s">
        <v>402</v>
      </c>
      <c r="Q34" s="129" t="s">
        <v>403</v>
      </c>
      <c r="AA34" s="312">
        <f t="shared" si="1"/>
        <v>0</v>
      </c>
      <c r="AC34" s="129">
        <v>2</v>
      </c>
      <c r="AK34" s="312">
        <f t="shared" si="2"/>
        <v>2</v>
      </c>
      <c r="AL34" s="129">
        <f t="shared" si="3"/>
        <v>2</v>
      </c>
      <c r="AM34" s="129">
        <f t="shared" si="4"/>
        <v>0</v>
      </c>
      <c r="AN34" s="129">
        <f t="shared" si="5"/>
        <v>0</v>
      </c>
      <c r="AO34" s="129">
        <f t="shared" si="6"/>
        <v>0</v>
      </c>
      <c r="AP34" s="129">
        <f t="shared" si="7"/>
        <v>0</v>
      </c>
      <c r="AQ34" s="129">
        <f t="shared" si="8"/>
        <v>0</v>
      </c>
      <c r="AR34" s="129">
        <f t="shared" si="9"/>
        <v>0</v>
      </c>
      <c r="AS34" s="129">
        <f t="shared" si="10"/>
        <v>0</v>
      </c>
      <c r="AT34" s="312">
        <f t="shared" si="11"/>
        <v>2</v>
      </c>
      <c r="AV34" s="312">
        <f t="shared" ref="AV34:AV64" si="16">AT34</f>
        <v>2</v>
      </c>
      <c r="BA34" s="314"/>
      <c r="BF34" s="314"/>
      <c r="BL34" s="314"/>
      <c r="BM34" s="129">
        <f t="shared" ref="BM34:BM65" si="17">SUM(AW34:BA34)</f>
        <v>0</v>
      </c>
      <c r="BN34" s="129">
        <f t="shared" ref="BN34:BN65" si="18">SUM(AW34:BF34)</f>
        <v>0</v>
      </c>
      <c r="BR34" s="129">
        <v>514515</v>
      </c>
      <c r="BS34" s="129">
        <v>171261</v>
      </c>
      <c r="BT34" s="129" t="s">
        <v>168</v>
      </c>
      <c r="BU34" s="129" t="s">
        <v>192</v>
      </c>
      <c r="BX34" s="129" t="s">
        <v>404</v>
      </c>
      <c r="BY34" s="129" t="s">
        <v>359</v>
      </c>
      <c r="CC34" s="129" t="s">
        <v>359</v>
      </c>
      <c r="CD34" s="129" t="s">
        <v>198</v>
      </c>
      <c r="CE34" s="313"/>
    </row>
    <row r="35" spans="1:83" x14ac:dyDescent="0.25">
      <c r="A35" s="129" t="s">
        <v>501</v>
      </c>
      <c r="B35" s="129" t="s">
        <v>369</v>
      </c>
      <c r="C35" s="248" t="s">
        <v>370</v>
      </c>
      <c r="D35" s="309">
        <v>44952</v>
      </c>
      <c r="E35" s="309">
        <v>46048</v>
      </c>
      <c r="F35" s="309">
        <v>45307</v>
      </c>
      <c r="G35" s="310"/>
      <c r="H35" s="310"/>
      <c r="I35" s="309">
        <v>45588</v>
      </c>
      <c r="J35" s="248" t="s">
        <v>354</v>
      </c>
      <c r="K35" s="311" t="s">
        <v>268</v>
      </c>
      <c r="M35" s="191">
        <f t="shared" si="15"/>
        <v>1.7424657534246575</v>
      </c>
      <c r="N35" s="306" t="s">
        <v>355</v>
      </c>
      <c r="O35" s="129" t="s">
        <v>502</v>
      </c>
      <c r="P35" s="129" t="s">
        <v>503</v>
      </c>
      <c r="Q35" s="129" t="s">
        <v>485</v>
      </c>
      <c r="AA35" s="312">
        <f t="shared" si="1"/>
        <v>0</v>
      </c>
      <c r="AC35" s="129">
        <v>2</v>
      </c>
      <c r="AK35" s="312">
        <f t="shared" si="2"/>
        <v>2</v>
      </c>
      <c r="AL35" s="129">
        <f t="shared" si="3"/>
        <v>2</v>
      </c>
      <c r="AM35" s="129">
        <f t="shared" si="4"/>
        <v>0</v>
      </c>
      <c r="AN35" s="129">
        <f t="shared" si="5"/>
        <v>0</v>
      </c>
      <c r="AO35" s="129">
        <f t="shared" si="6"/>
        <v>0</v>
      </c>
      <c r="AP35" s="129">
        <f t="shared" si="7"/>
        <v>0</v>
      </c>
      <c r="AQ35" s="129">
        <f t="shared" si="8"/>
        <v>0</v>
      </c>
      <c r="AR35" s="129">
        <f t="shared" si="9"/>
        <v>0</v>
      </c>
      <c r="AS35" s="129">
        <f t="shared" si="10"/>
        <v>0</v>
      </c>
      <c r="AT35" s="312">
        <f t="shared" si="11"/>
        <v>2</v>
      </c>
      <c r="AV35" s="312">
        <f t="shared" si="16"/>
        <v>2</v>
      </c>
      <c r="BA35" s="314"/>
      <c r="BF35" s="314"/>
      <c r="BL35" s="314"/>
      <c r="BM35" s="129">
        <f t="shared" si="17"/>
        <v>0</v>
      </c>
      <c r="BN35" s="129">
        <f t="shared" si="18"/>
        <v>0</v>
      </c>
      <c r="BR35" s="129">
        <v>517631</v>
      </c>
      <c r="BS35" s="129">
        <v>174833</v>
      </c>
      <c r="BT35" s="129" t="s">
        <v>177</v>
      </c>
      <c r="BU35" s="129" t="s">
        <v>150</v>
      </c>
      <c r="CA35" s="129" t="s">
        <v>486</v>
      </c>
      <c r="CB35" s="129" t="s">
        <v>359</v>
      </c>
      <c r="CC35" s="129" t="s">
        <v>359</v>
      </c>
      <c r="CD35" s="129" t="s">
        <v>200</v>
      </c>
      <c r="CE35" s="313"/>
    </row>
    <row r="36" spans="1:83" x14ac:dyDescent="0.25">
      <c r="A36" s="129" t="s">
        <v>504</v>
      </c>
      <c r="B36" s="129" t="s">
        <v>369</v>
      </c>
      <c r="C36" s="248" t="s">
        <v>370</v>
      </c>
      <c r="D36" s="309">
        <v>44998</v>
      </c>
      <c r="E36" s="309">
        <v>46094</v>
      </c>
      <c r="F36" s="309">
        <v>45299</v>
      </c>
      <c r="G36" s="310"/>
      <c r="H36" s="310"/>
      <c r="I36" s="309">
        <v>45503</v>
      </c>
      <c r="J36" s="248" t="s">
        <v>354</v>
      </c>
      <c r="K36" s="311" t="s">
        <v>268</v>
      </c>
      <c r="M36" s="191">
        <f t="shared" si="15"/>
        <v>1.3835616438356164</v>
      </c>
      <c r="N36" s="306" t="s">
        <v>355</v>
      </c>
      <c r="O36" s="129" t="s">
        <v>505</v>
      </c>
      <c r="P36" s="129" t="s">
        <v>506</v>
      </c>
      <c r="Q36" s="129" t="s">
        <v>507</v>
      </c>
      <c r="AA36" s="312">
        <f t="shared" si="1"/>
        <v>0</v>
      </c>
      <c r="AC36" s="129">
        <v>2</v>
      </c>
      <c r="AK36" s="312">
        <f t="shared" si="2"/>
        <v>2</v>
      </c>
      <c r="AL36" s="129">
        <f t="shared" si="3"/>
        <v>2</v>
      </c>
      <c r="AM36" s="129">
        <f t="shared" si="4"/>
        <v>0</v>
      </c>
      <c r="AN36" s="129">
        <f t="shared" si="5"/>
        <v>0</v>
      </c>
      <c r="AO36" s="129">
        <f t="shared" si="6"/>
        <v>0</v>
      </c>
      <c r="AP36" s="129">
        <f t="shared" si="7"/>
        <v>0</v>
      </c>
      <c r="AQ36" s="129">
        <f t="shared" si="8"/>
        <v>0</v>
      </c>
      <c r="AR36" s="129">
        <f t="shared" si="9"/>
        <v>0</v>
      </c>
      <c r="AS36" s="129">
        <f t="shared" si="10"/>
        <v>0</v>
      </c>
      <c r="AT36" s="312">
        <f t="shared" si="11"/>
        <v>2</v>
      </c>
      <c r="AV36" s="312">
        <f t="shared" si="16"/>
        <v>2</v>
      </c>
      <c r="BA36" s="314"/>
      <c r="BF36" s="314"/>
      <c r="BL36" s="314"/>
      <c r="BM36" s="129">
        <f t="shared" si="17"/>
        <v>0</v>
      </c>
      <c r="BN36" s="129">
        <f t="shared" si="18"/>
        <v>0</v>
      </c>
      <c r="BR36" s="129">
        <v>516335</v>
      </c>
      <c r="BS36" s="129">
        <v>173355</v>
      </c>
      <c r="BT36" s="129" t="s">
        <v>180</v>
      </c>
      <c r="BU36" s="129" t="s">
        <v>154</v>
      </c>
      <c r="BV36" s="129" t="s">
        <v>154</v>
      </c>
      <c r="CA36" s="129" t="s">
        <v>386</v>
      </c>
      <c r="CB36" s="129" t="s">
        <v>359</v>
      </c>
      <c r="CC36" s="129" t="s">
        <v>359</v>
      </c>
      <c r="CD36" s="129" t="s">
        <v>202</v>
      </c>
      <c r="CE36" s="313"/>
    </row>
    <row r="37" spans="1:83" x14ac:dyDescent="0.25">
      <c r="A37" s="129" t="s">
        <v>508</v>
      </c>
      <c r="B37" s="129" t="s">
        <v>352</v>
      </c>
      <c r="C37" s="129" t="s">
        <v>353</v>
      </c>
      <c r="D37" s="309">
        <v>45013</v>
      </c>
      <c r="E37" s="309">
        <v>45565</v>
      </c>
      <c r="F37" s="309">
        <v>45231</v>
      </c>
      <c r="G37" s="310"/>
      <c r="H37" s="310"/>
      <c r="I37" s="309">
        <v>45627</v>
      </c>
      <c r="J37" s="248" t="s">
        <v>354</v>
      </c>
      <c r="K37" s="311" t="s">
        <v>268</v>
      </c>
      <c r="M37" s="191">
        <f t="shared" si="15"/>
        <v>1.6821917808219178</v>
      </c>
      <c r="N37" s="306" t="s">
        <v>355</v>
      </c>
      <c r="O37" s="129" t="s">
        <v>509</v>
      </c>
      <c r="P37" s="129" t="s">
        <v>510</v>
      </c>
      <c r="Q37" s="129" t="s">
        <v>511</v>
      </c>
      <c r="W37" s="129">
        <v>1</v>
      </c>
      <c r="AA37" s="312">
        <f t="shared" si="1"/>
        <v>1</v>
      </c>
      <c r="AH37" s="129">
        <v>1</v>
      </c>
      <c r="AK37" s="312">
        <f t="shared" si="2"/>
        <v>1</v>
      </c>
      <c r="AL37" s="129">
        <f t="shared" si="3"/>
        <v>0</v>
      </c>
      <c r="AM37" s="129">
        <f t="shared" si="4"/>
        <v>0</v>
      </c>
      <c r="AN37" s="129">
        <f t="shared" si="5"/>
        <v>0</v>
      </c>
      <c r="AO37" s="129">
        <f t="shared" si="6"/>
        <v>0</v>
      </c>
      <c r="AP37" s="129">
        <f t="shared" si="7"/>
        <v>-1</v>
      </c>
      <c r="AQ37" s="129">
        <f t="shared" si="8"/>
        <v>1</v>
      </c>
      <c r="AR37" s="129">
        <f t="shared" si="9"/>
        <v>0</v>
      </c>
      <c r="AS37" s="129">
        <f t="shared" si="10"/>
        <v>0</v>
      </c>
      <c r="AT37" s="312">
        <f t="shared" si="11"/>
        <v>0</v>
      </c>
      <c r="AV37" s="312">
        <f t="shared" si="16"/>
        <v>0</v>
      </c>
      <c r="BA37" s="314"/>
      <c r="BF37" s="314"/>
      <c r="BL37" s="314"/>
      <c r="BM37" s="129">
        <f t="shared" si="17"/>
        <v>0</v>
      </c>
      <c r="BN37" s="129">
        <f t="shared" si="18"/>
        <v>0</v>
      </c>
      <c r="BR37" s="129">
        <v>519305</v>
      </c>
      <c r="BS37" s="129">
        <v>176468</v>
      </c>
      <c r="BT37" s="129" t="s">
        <v>174</v>
      </c>
      <c r="BU37" s="129" t="s">
        <v>150</v>
      </c>
      <c r="CC37" s="129" t="s">
        <v>359</v>
      </c>
      <c r="CD37" s="129" t="s">
        <v>174</v>
      </c>
      <c r="CE37" s="313"/>
    </row>
    <row r="38" spans="1:83" x14ac:dyDescent="0.25">
      <c r="A38" s="129" t="s">
        <v>512</v>
      </c>
      <c r="B38" s="129" t="s">
        <v>369</v>
      </c>
      <c r="C38" s="129" t="s">
        <v>353</v>
      </c>
      <c r="D38" s="309">
        <v>45100</v>
      </c>
      <c r="E38" s="309">
        <v>46196</v>
      </c>
      <c r="F38" s="309">
        <v>45257</v>
      </c>
      <c r="G38" s="310"/>
      <c r="H38" s="310"/>
      <c r="I38" s="309">
        <v>45441</v>
      </c>
      <c r="J38" s="248" t="s">
        <v>354</v>
      </c>
      <c r="K38" s="311" t="s">
        <v>268</v>
      </c>
      <c r="M38" s="191">
        <f t="shared" si="15"/>
        <v>0.9342465753424658</v>
      </c>
      <c r="N38" s="306" t="s">
        <v>355</v>
      </c>
      <c r="O38" s="129" t="s">
        <v>513</v>
      </c>
      <c r="P38" s="129" t="s">
        <v>514</v>
      </c>
      <c r="Q38" s="129" t="s">
        <v>515</v>
      </c>
      <c r="T38" s="129">
        <v>1</v>
      </c>
      <c r="AA38" s="312">
        <f t="shared" si="1"/>
        <v>1</v>
      </c>
      <c r="AK38" s="312">
        <f t="shared" si="2"/>
        <v>0</v>
      </c>
      <c r="AL38" s="129">
        <f t="shared" si="3"/>
        <v>0</v>
      </c>
      <c r="AM38" s="129">
        <f t="shared" si="4"/>
        <v>-1</v>
      </c>
      <c r="AN38" s="129">
        <f t="shared" si="5"/>
        <v>0</v>
      </c>
      <c r="AO38" s="129">
        <f t="shared" si="6"/>
        <v>0</v>
      </c>
      <c r="AP38" s="129">
        <f t="shared" si="7"/>
        <v>0</v>
      </c>
      <c r="AQ38" s="129">
        <f t="shared" si="8"/>
        <v>0</v>
      </c>
      <c r="AR38" s="129">
        <f t="shared" si="9"/>
        <v>0</v>
      </c>
      <c r="AS38" s="129">
        <f t="shared" si="10"/>
        <v>0</v>
      </c>
      <c r="AT38" s="312">
        <f t="shared" si="11"/>
        <v>-1</v>
      </c>
      <c r="AV38" s="312">
        <f t="shared" si="16"/>
        <v>-1</v>
      </c>
      <c r="BA38" s="314"/>
      <c r="BF38" s="314"/>
      <c r="BL38" s="314"/>
      <c r="BM38" s="129">
        <f t="shared" si="17"/>
        <v>0</v>
      </c>
      <c r="BN38" s="129">
        <f t="shared" si="18"/>
        <v>0</v>
      </c>
      <c r="BR38" s="129">
        <v>515689</v>
      </c>
      <c r="BS38" s="129">
        <v>170740</v>
      </c>
      <c r="BT38" s="129" t="s">
        <v>152</v>
      </c>
      <c r="BU38" s="129" t="s">
        <v>192</v>
      </c>
      <c r="CC38" s="129" t="s">
        <v>359</v>
      </c>
      <c r="CD38" s="129" t="s">
        <v>201</v>
      </c>
      <c r="CE38" s="313"/>
    </row>
    <row r="39" spans="1:83" x14ac:dyDescent="0.25">
      <c r="A39" s="129" t="s">
        <v>516</v>
      </c>
      <c r="B39" s="129" t="s">
        <v>482</v>
      </c>
      <c r="C39" s="129" t="s">
        <v>353</v>
      </c>
      <c r="D39" s="309">
        <v>45315</v>
      </c>
      <c r="E39" s="309">
        <v>46411</v>
      </c>
      <c r="F39" s="309">
        <v>45383</v>
      </c>
      <c r="G39" s="310" t="s">
        <v>359</v>
      </c>
      <c r="H39" s="310"/>
      <c r="I39" s="309">
        <v>45657</v>
      </c>
      <c r="J39" s="248" t="s">
        <v>354</v>
      </c>
      <c r="K39" s="311" t="s">
        <v>268</v>
      </c>
      <c r="M39" s="191">
        <f t="shared" si="15"/>
        <v>0.93698630136986305</v>
      </c>
      <c r="N39" s="306" t="s">
        <v>355</v>
      </c>
      <c r="O39" s="129" t="s">
        <v>517</v>
      </c>
      <c r="P39" s="129" t="s">
        <v>518</v>
      </c>
      <c r="Q39" s="129" t="s">
        <v>519</v>
      </c>
      <c r="V39" s="129">
        <v>1</v>
      </c>
      <c r="AA39" s="312">
        <f t="shared" si="1"/>
        <v>1</v>
      </c>
      <c r="AD39" s="129">
        <v>2</v>
      </c>
      <c r="AK39" s="312">
        <f t="shared" si="2"/>
        <v>2</v>
      </c>
      <c r="AL39" s="129">
        <f t="shared" si="3"/>
        <v>0</v>
      </c>
      <c r="AM39" s="129">
        <f t="shared" si="4"/>
        <v>2</v>
      </c>
      <c r="AN39" s="129">
        <f t="shared" si="5"/>
        <v>0</v>
      </c>
      <c r="AO39" s="129">
        <f t="shared" si="6"/>
        <v>-1</v>
      </c>
      <c r="AP39" s="129">
        <f t="shared" si="7"/>
        <v>0</v>
      </c>
      <c r="AQ39" s="129">
        <f t="shared" si="8"/>
        <v>0</v>
      </c>
      <c r="AR39" s="129">
        <f t="shared" si="9"/>
        <v>0</v>
      </c>
      <c r="AS39" s="129">
        <f t="shared" si="10"/>
        <v>0</v>
      </c>
      <c r="AT39" s="312">
        <f t="shared" si="11"/>
        <v>1</v>
      </c>
      <c r="AV39" s="312">
        <f t="shared" si="16"/>
        <v>1</v>
      </c>
      <c r="BA39" s="314"/>
      <c r="BF39" s="314"/>
      <c r="BL39" s="314"/>
      <c r="BM39" s="129">
        <f t="shared" si="17"/>
        <v>0</v>
      </c>
      <c r="BN39" s="129">
        <f t="shared" si="18"/>
        <v>0</v>
      </c>
      <c r="BR39" s="129">
        <v>515669</v>
      </c>
      <c r="BS39" s="129">
        <v>173146</v>
      </c>
      <c r="BT39" s="129" t="s">
        <v>178</v>
      </c>
      <c r="BU39" s="129" t="s">
        <v>154</v>
      </c>
      <c r="BV39" s="129" t="s">
        <v>154</v>
      </c>
      <c r="CC39" s="129" t="s">
        <v>359</v>
      </c>
      <c r="CD39" s="129" t="s">
        <v>202</v>
      </c>
      <c r="CE39" s="313"/>
    </row>
    <row r="40" spans="1:83" x14ac:dyDescent="0.25">
      <c r="A40" s="129" t="s">
        <v>520</v>
      </c>
      <c r="B40" s="129" t="s">
        <v>369</v>
      </c>
      <c r="C40" s="129" t="s">
        <v>353</v>
      </c>
      <c r="D40" s="309">
        <v>45155</v>
      </c>
      <c r="E40" s="309">
        <v>46251</v>
      </c>
      <c r="F40" s="309">
        <v>45369</v>
      </c>
      <c r="G40" s="310"/>
      <c r="H40" s="310"/>
      <c r="I40" s="309">
        <v>45588</v>
      </c>
      <c r="J40" s="248" t="s">
        <v>354</v>
      </c>
      <c r="K40" s="311" t="s">
        <v>268</v>
      </c>
      <c r="M40" s="191">
        <f t="shared" si="15"/>
        <v>1.1863013698630136</v>
      </c>
      <c r="N40" s="306" t="s">
        <v>355</v>
      </c>
      <c r="O40" s="129" t="s">
        <v>521</v>
      </c>
      <c r="P40" s="129" t="s">
        <v>503</v>
      </c>
      <c r="Q40" s="129" t="s">
        <v>485</v>
      </c>
      <c r="AA40" s="312">
        <f t="shared" si="1"/>
        <v>0</v>
      </c>
      <c r="AC40" s="129">
        <v>1</v>
      </c>
      <c r="AK40" s="312">
        <f t="shared" si="2"/>
        <v>1</v>
      </c>
      <c r="AL40" s="129">
        <f t="shared" si="3"/>
        <v>1</v>
      </c>
      <c r="AM40" s="129">
        <f t="shared" si="4"/>
        <v>0</v>
      </c>
      <c r="AN40" s="129">
        <f t="shared" si="5"/>
        <v>0</v>
      </c>
      <c r="AO40" s="129">
        <f t="shared" si="6"/>
        <v>0</v>
      </c>
      <c r="AP40" s="129">
        <f t="shared" si="7"/>
        <v>0</v>
      </c>
      <c r="AQ40" s="129">
        <f t="shared" si="8"/>
        <v>0</v>
      </c>
      <c r="AR40" s="129">
        <f t="shared" si="9"/>
        <v>0</v>
      </c>
      <c r="AS40" s="129">
        <f t="shared" si="10"/>
        <v>0</v>
      </c>
      <c r="AT40" s="312">
        <f t="shared" si="11"/>
        <v>1</v>
      </c>
      <c r="AV40" s="312">
        <f t="shared" si="16"/>
        <v>1</v>
      </c>
      <c r="BA40" s="314"/>
      <c r="BF40" s="314"/>
      <c r="BL40" s="314"/>
      <c r="BM40" s="129">
        <f t="shared" si="17"/>
        <v>0</v>
      </c>
      <c r="BN40" s="129">
        <f t="shared" si="18"/>
        <v>0</v>
      </c>
      <c r="BR40" s="129">
        <v>517631</v>
      </c>
      <c r="BS40" s="129">
        <v>174833</v>
      </c>
      <c r="BT40" s="129" t="s">
        <v>177</v>
      </c>
      <c r="BU40" s="129" t="s">
        <v>150</v>
      </c>
      <c r="CA40" s="129" t="s">
        <v>486</v>
      </c>
      <c r="CB40" s="129" t="s">
        <v>359</v>
      </c>
      <c r="CC40" s="129" t="s">
        <v>359</v>
      </c>
      <c r="CD40" s="129" t="s">
        <v>200</v>
      </c>
      <c r="CE40" s="313"/>
    </row>
    <row r="41" spans="1:83" x14ac:dyDescent="0.25">
      <c r="A41" s="129" t="s">
        <v>522</v>
      </c>
      <c r="B41" s="129" t="s">
        <v>369</v>
      </c>
      <c r="C41" s="248" t="s">
        <v>370</v>
      </c>
      <c r="D41" s="309">
        <v>45124</v>
      </c>
      <c r="E41" s="309">
        <v>46220</v>
      </c>
      <c r="F41" s="309">
        <v>45124</v>
      </c>
      <c r="G41" s="310"/>
      <c r="H41" s="310"/>
      <c r="I41" s="309">
        <v>45747</v>
      </c>
      <c r="J41" s="248" t="s">
        <v>354</v>
      </c>
      <c r="K41" s="311" t="s">
        <v>268</v>
      </c>
      <c r="M41" s="191">
        <f t="shared" si="15"/>
        <v>1.7068493150684931</v>
      </c>
      <c r="N41" s="306" t="s">
        <v>436</v>
      </c>
      <c r="O41" s="129" t="s">
        <v>523</v>
      </c>
      <c r="P41" s="129" t="s">
        <v>524</v>
      </c>
      <c r="Q41" s="129" t="s">
        <v>525</v>
      </c>
      <c r="AA41" s="312">
        <f t="shared" si="1"/>
        <v>0</v>
      </c>
      <c r="AC41" s="129">
        <v>4</v>
      </c>
      <c r="AD41" s="129">
        <v>1</v>
      </c>
      <c r="AK41" s="312">
        <f t="shared" si="2"/>
        <v>5</v>
      </c>
      <c r="AL41" s="129">
        <f t="shared" si="3"/>
        <v>4</v>
      </c>
      <c r="AM41" s="129">
        <f t="shared" si="4"/>
        <v>1</v>
      </c>
      <c r="AN41" s="129">
        <f t="shared" si="5"/>
        <v>0</v>
      </c>
      <c r="AO41" s="129">
        <f t="shared" si="6"/>
        <v>0</v>
      </c>
      <c r="AP41" s="129">
        <f t="shared" si="7"/>
        <v>0</v>
      </c>
      <c r="AQ41" s="129">
        <f t="shared" si="8"/>
        <v>0</v>
      </c>
      <c r="AR41" s="129">
        <f t="shared" si="9"/>
        <v>0</v>
      </c>
      <c r="AS41" s="129">
        <f t="shared" si="10"/>
        <v>0</v>
      </c>
      <c r="AT41" s="312">
        <f t="shared" si="11"/>
        <v>5</v>
      </c>
      <c r="AV41" s="312">
        <f t="shared" si="16"/>
        <v>5</v>
      </c>
      <c r="BA41" s="314"/>
      <c r="BF41" s="314"/>
      <c r="BL41" s="314"/>
      <c r="BM41" s="129">
        <f t="shared" si="17"/>
        <v>0</v>
      </c>
      <c r="BN41" s="129">
        <f t="shared" si="18"/>
        <v>0</v>
      </c>
      <c r="BR41" s="129">
        <v>517458</v>
      </c>
      <c r="BS41" s="129">
        <v>169588</v>
      </c>
      <c r="BT41" s="129" t="s">
        <v>172</v>
      </c>
      <c r="BU41" s="129" t="s">
        <v>192</v>
      </c>
      <c r="BX41" s="129" t="s">
        <v>526</v>
      </c>
      <c r="BY41" s="129" t="s">
        <v>359</v>
      </c>
      <c r="CA41" s="129" t="s">
        <v>527</v>
      </c>
      <c r="CB41" s="129" t="s">
        <v>359</v>
      </c>
      <c r="CC41" s="129" t="s">
        <v>359</v>
      </c>
      <c r="CD41" s="129" t="s">
        <v>201</v>
      </c>
      <c r="CE41" s="313"/>
    </row>
    <row r="42" spans="1:83" x14ac:dyDescent="0.25">
      <c r="A42" s="129" t="s">
        <v>528</v>
      </c>
      <c r="B42" s="129" t="s">
        <v>369</v>
      </c>
      <c r="C42" s="248" t="s">
        <v>370</v>
      </c>
      <c r="D42" s="309">
        <v>45131</v>
      </c>
      <c r="E42" s="309">
        <v>46227</v>
      </c>
      <c r="F42" s="309">
        <v>45323</v>
      </c>
      <c r="G42" s="310"/>
      <c r="H42" s="310"/>
      <c r="I42" s="309">
        <v>45533</v>
      </c>
      <c r="J42" s="248" t="s">
        <v>354</v>
      </c>
      <c r="K42" s="311" t="s">
        <v>268</v>
      </c>
      <c r="M42" s="191">
        <f t="shared" si="15"/>
        <v>1.1013698630136985</v>
      </c>
      <c r="N42" s="306" t="s">
        <v>355</v>
      </c>
      <c r="O42" s="129" t="s">
        <v>529</v>
      </c>
      <c r="P42" s="129" t="s">
        <v>530</v>
      </c>
      <c r="Q42" s="129" t="s">
        <v>531</v>
      </c>
      <c r="AA42" s="312">
        <f t="shared" si="1"/>
        <v>0</v>
      </c>
      <c r="AC42" s="129">
        <v>2</v>
      </c>
      <c r="AD42" s="129">
        <v>1</v>
      </c>
      <c r="AK42" s="312">
        <f t="shared" si="2"/>
        <v>3</v>
      </c>
      <c r="AL42" s="129">
        <f t="shared" si="3"/>
        <v>2</v>
      </c>
      <c r="AM42" s="129">
        <f t="shared" si="4"/>
        <v>1</v>
      </c>
      <c r="AN42" s="129">
        <f t="shared" si="5"/>
        <v>0</v>
      </c>
      <c r="AO42" s="129">
        <f t="shared" si="6"/>
        <v>0</v>
      </c>
      <c r="AP42" s="129">
        <f t="shared" si="7"/>
        <v>0</v>
      </c>
      <c r="AQ42" s="129">
        <f t="shared" si="8"/>
        <v>0</v>
      </c>
      <c r="AR42" s="129">
        <f t="shared" si="9"/>
        <v>0</v>
      </c>
      <c r="AS42" s="129">
        <f t="shared" si="10"/>
        <v>0</v>
      </c>
      <c r="AT42" s="312">
        <f t="shared" si="11"/>
        <v>3</v>
      </c>
      <c r="AV42" s="312">
        <f t="shared" si="16"/>
        <v>3</v>
      </c>
      <c r="BA42" s="314"/>
      <c r="BF42" s="314"/>
      <c r="BL42" s="314"/>
      <c r="BM42" s="129">
        <f t="shared" si="17"/>
        <v>0</v>
      </c>
      <c r="BN42" s="129">
        <f t="shared" si="18"/>
        <v>0</v>
      </c>
      <c r="BR42" s="129">
        <v>515664</v>
      </c>
      <c r="BS42" s="129">
        <v>171121</v>
      </c>
      <c r="BT42" s="129" t="s">
        <v>152</v>
      </c>
      <c r="BU42" s="129" t="s">
        <v>192</v>
      </c>
      <c r="CA42" s="129" t="s">
        <v>532</v>
      </c>
      <c r="CB42" s="129" t="s">
        <v>359</v>
      </c>
      <c r="CC42" s="129" t="s">
        <v>359</v>
      </c>
      <c r="CD42" s="129" t="s">
        <v>201</v>
      </c>
      <c r="CE42" s="313"/>
    </row>
    <row r="43" spans="1:83" x14ac:dyDescent="0.25">
      <c r="A43" s="129" t="s">
        <v>533</v>
      </c>
      <c r="B43" s="129" t="s">
        <v>369</v>
      </c>
      <c r="C43" s="129" t="s">
        <v>534</v>
      </c>
      <c r="D43" s="309">
        <v>45211</v>
      </c>
      <c r="E43" s="309">
        <v>46307</v>
      </c>
      <c r="F43" s="309">
        <v>45323</v>
      </c>
      <c r="G43" s="310"/>
      <c r="H43" s="310"/>
      <c r="I43" s="309">
        <v>45440</v>
      </c>
      <c r="J43" s="248" t="s">
        <v>354</v>
      </c>
      <c r="K43" s="311" t="s">
        <v>268</v>
      </c>
      <c r="M43" s="191">
        <f t="shared" si="15"/>
        <v>0.62739726027397258</v>
      </c>
      <c r="N43" s="306" t="s">
        <v>355</v>
      </c>
      <c r="O43" s="129" t="s">
        <v>535</v>
      </c>
      <c r="P43" s="129" t="s">
        <v>536</v>
      </c>
      <c r="Q43" s="129" t="s">
        <v>537</v>
      </c>
      <c r="U43" s="129">
        <v>1</v>
      </c>
      <c r="AA43" s="312">
        <f t="shared" si="1"/>
        <v>1</v>
      </c>
      <c r="AE43" s="129">
        <v>1</v>
      </c>
      <c r="AK43" s="312">
        <f t="shared" si="2"/>
        <v>1</v>
      </c>
      <c r="AL43" s="129">
        <f t="shared" si="3"/>
        <v>0</v>
      </c>
      <c r="AM43" s="129">
        <f t="shared" si="4"/>
        <v>0</v>
      </c>
      <c r="AN43" s="129">
        <f t="shared" si="5"/>
        <v>0</v>
      </c>
      <c r="AO43" s="129">
        <f t="shared" si="6"/>
        <v>0</v>
      </c>
      <c r="AP43" s="129">
        <f t="shared" si="7"/>
        <v>0</v>
      </c>
      <c r="AQ43" s="129">
        <f t="shared" si="8"/>
        <v>0</v>
      </c>
      <c r="AR43" s="129">
        <f t="shared" si="9"/>
        <v>0</v>
      </c>
      <c r="AS43" s="129">
        <f t="shared" si="10"/>
        <v>0</v>
      </c>
      <c r="AT43" s="312">
        <f t="shared" si="11"/>
        <v>0</v>
      </c>
      <c r="AV43" s="312">
        <f t="shared" si="16"/>
        <v>0</v>
      </c>
      <c r="BA43" s="314"/>
      <c r="BF43" s="314"/>
      <c r="BL43" s="314"/>
      <c r="BM43" s="129">
        <f t="shared" si="17"/>
        <v>0</v>
      </c>
      <c r="BN43" s="129">
        <f t="shared" si="18"/>
        <v>0</v>
      </c>
      <c r="BQ43" s="129" t="s">
        <v>359</v>
      </c>
      <c r="BR43" s="129">
        <v>513121</v>
      </c>
      <c r="BS43" s="129">
        <v>173691</v>
      </c>
      <c r="BT43" s="129" t="s">
        <v>173</v>
      </c>
      <c r="BU43" s="129" t="s">
        <v>156</v>
      </c>
      <c r="CD43" s="129" t="s">
        <v>203</v>
      </c>
      <c r="CE43" s="313"/>
    </row>
    <row r="44" spans="1:83" x14ac:dyDescent="0.25">
      <c r="A44" s="129" t="s">
        <v>538</v>
      </c>
      <c r="B44" s="129" t="s">
        <v>369</v>
      </c>
      <c r="C44" s="248" t="s">
        <v>370</v>
      </c>
      <c r="D44" s="309">
        <v>45145</v>
      </c>
      <c r="E44" s="309">
        <v>46241</v>
      </c>
      <c r="F44" s="309">
        <v>45495</v>
      </c>
      <c r="G44" s="310" t="s">
        <v>359</v>
      </c>
      <c r="H44" s="310"/>
      <c r="I44" s="309">
        <v>45717</v>
      </c>
      <c r="J44" s="248" t="s">
        <v>354</v>
      </c>
      <c r="K44" s="311" t="s">
        <v>268</v>
      </c>
      <c r="M44" s="191">
        <f t="shared" si="15"/>
        <v>1.5671232876712329</v>
      </c>
      <c r="N44" s="306" t="s">
        <v>355</v>
      </c>
      <c r="O44" s="129" t="s">
        <v>539</v>
      </c>
      <c r="P44" s="129" t="s">
        <v>540</v>
      </c>
      <c r="Q44" s="129" t="s">
        <v>541</v>
      </c>
      <c r="AA44" s="312">
        <f t="shared" si="1"/>
        <v>0</v>
      </c>
      <c r="AD44" s="129">
        <v>1</v>
      </c>
      <c r="AK44" s="312">
        <f t="shared" si="2"/>
        <v>1</v>
      </c>
      <c r="AL44" s="129">
        <f t="shared" si="3"/>
        <v>0</v>
      </c>
      <c r="AM44" s="129">
        <f t="shared" si="4"/>
        <v>1</v>
      </c>
      <c r="AN44" s="129">
        <f t="shared" si="5"/>
        <v>0</v>
      </c>
      <c r="AO44" s="129">
        <f t="shared" si="6"/>
        <v>0</v>
      </c>
      <c r="AP44" s="129">
        <f t="shared" si="7"/>
        <v>0</v>
      </c>
      <c r="AQ44" s="129">
        <f t="shared" si="8"/>
        <v>0</v>
      </c>
      <c r="AR44" s="129">
        <f t="shared" si="9"/>
        <v>0</v>
      </c>
      <c r="AS44" s="129">
        <f t="shared" si="10"/>
        <v>0</v>
      </c>
      <c r="AT44" s="312">
        <f t="shared" si="11"/>
        <v>1</v>
      </c>
      <c r="AV44" s="312">
        <f t="shared" si="16"/>
        <v>1</v>
      </c>
      <c r="BA44" s="314"/>
      <c r="BF44" s="314"/>
      <c r="BL44" s="314"/>
      <c r="BM44" s="129">
        <f t="shared" si="17"/>
        <v>0</v>
      </c>
      <c r="BN44" s="129">
        <f t="shared" si="18"/>
        <v>0</v>
      </c>
      <c r="BR44" s="129">
        <v>515085</v>
      </c>
      <c r="BS44" s="129">
        <v>172681</v>
      </c>
      <c r="BT44" s="129" t="s">
        <v>181</v>
      </c>
      <c r="BU44" s="129" t="s">
        <v>154</v>
      </c>
      <c r="BX44" s="129" t="s">
        <v>542</v>
      </c>
      <c r="BY44" s="129" t="s">
        <v>359</v>
      </c>
      <c r="CC44" s="129" t="s">
        <v>359</v>
      </c>
      <c r="CD44" s="129" t="s">
        <v>202</v>
      </c>
      <c r="CE44" s="313"/>
    </row>
    <row r="45" spans="1:83" x14ac:dyDescent="0.25">
      <c r="A45" s="129" t="s">
        <v>543</v>
      </c>
      <c r="B45" s="129" t="s">
        <v>369</v>
      </c>
      <c r="C45" s="248" t="s">
        <v>370</v>
      </c>
      <c r="D45" s="309">
        <v>45167</v>
      </c>
      <c r="E45" s="309">
        <v>46263</v>
      </c>
      <c r="F45" s="309">
        <v>45323</v>
      </c>
      <c r="G45" s="310"/>
      <c r="H45" s="310"/>
      <c r="I45" s="309">
        <v>45533</v>
      </c>
      <c r="J45" s="248" t="s">
        <v>354</v>
      </c>
      <c r="K45" s="311" t="s">
        <v>268</v>
      </c>
      <c r="M45" s="191">
        <f t="shared" si="15"/>
        <v>1.0027397260273974</v>
      </c>
      <c r="N45" s="306" t="s">
        <v>355</v>
      </c>
      <c r="O45" s="129" t="s">
        <v>544</v>
      </c>
      <c r="P45" s="129" t="s">
        <v>530</v>
      </c>
      <c r="Q45" s="129" t="s">
        <v>531</v>
      </c>
      <c r="AA45" s="312">
        <f t="shared" si="1"/>
        <v>0</v>
      </c>
      <c r="AC45" s="129">
        <v>4</v>
      </c>
      <c r="AK45" s="312">
        <f t="shared" si="2"/>
        <v>4</v>
      </c>
      <c r="AL45" s="129">
        <f t="shared" si="3"/>
        <v>4</v>
      </c>
      <c r="AM45" s="129">
        <f t="shared" si="4"/>
        <v>0</v>
      </c>
      <c r="AN45" s="129">
        <f t="shared" si="5"/>
        <v>0</v>
      </c>
      <c r="AO45" s="129">
        <f t="shared" si="6"/>
        <v>0</v>
      </c>
      <c r="AP45" s="129">
        <f t="shared" si="7"/>
        <v>0</v>
      </c>
      <c r="AQ45" s="129">
        <f t="shared" si="8"/>
        <v>0</v>
      </c>
      <c r="AR45" s="129">
        <f t="shared" si="9"/>
        <v>0</v>
      </c>
      <c r="AS45" s="129">
        <f t="shared" si="10"/>
        <v>0</v>
      </c>
      <c r="AT45" s="312">
        <f t="shared" si="11"/>
        <v>4</v>
      </c>
      <c r="AV45" s="312">
        <f t="shared" si="16"/>
        <v>4</v>
      </c>
      <c r="BA45" s="314"/>
      <c r="BF45" s="314"/>
      <c r="BL45" s="314"/>
      <c r="BM45" s="129">
        <f t="shared" si="17"/>
        <v>0</v>
      </c>
      <c r="BN45" s="129">
        <f t="shared" si="18"/>
        <v>0</v>
      </c>
      <c r="BR45" s="129">
        <v>515664</v>
      </c>
      <c r="BS45" s="129">
        <v>171121</v>
      </c>
      <c r="BT45" s="129" t="s">
        <v>152</v>
      </c>
      <c r="BU45" s="129" t="s">
        <v>192</v>
      </c>
      <c r="CA45" s="129" t="s">
        <v>532</v>
      </c>
      <c r="CB45" s="129" t="s">
        <v>359</v>
      </c>
      <c r="CC45" s="129" t="s">
        <v>359</v>
      </c>
      <c r="CD45" s="129" t="s">
        <v>201</v>
      </c>
      <c r="CE45" s="313"/>
    </row>
    <row r="46" spans="1:83" x14ac:dyDescent="0.25">
      <c r="A46" s="129" t="s">
        <v>545</v>
      </c>
      <c r="B46" s="129" t="s">
        <v>369</v>
      </c>
      <c r="C46" s="248" t="s">
        <v>370</v>
      </c>
      <c r="D46" s="309">
        <v>45167</v>
      </c>
      <c r="E46" s="309">
        <v>46263</v>
      </c>
      <c r="F46" s="309">
        <v>45323</v>
      </c>
      <c r="G46" s="310"/>
      <c r="H46" s="310"/>
      <c r="I46" s="309">
        <v>45533</v>
      </c>
      <c r="J46" s="248" t="s">
        <v>354</v>
      </c>
      <c r="K46" s="311" t="s">
        <v>268</v>
      </c>
      <c r="M46" s="191">
        <f t="shared" si="15"/>
        <v>1.0027397260273974</v>
      </c>
      <c r="N46" s="306" t="s">
        <v>355</v>
      </c>
      <c r="O46" s="129" t="s">
        <v>546</v>
      </c>
      <c r="P46" s="129" t="s">
        <v>530</v>
      </c>
      <c r="Q46" s="129" t="s">
        <v>531</v>
      </c>
      <c r="AA46" s="312">
        <f t="shared" si="1"/>
        <v>0</v>
      </c>
      <c r="AC46" s="129">
        <v>1</v>
      </c>
      <c r="AK46" s="312">
        <f t="shared" si="2"/>
        <v>1</v>
      </c>
      <c r="AL46" s="129">
        <f t="shared" si="3"/>
        <v>1</v>
      </c>
      <c r="AM46" s="129">
        <f t="shared" si="4"/>
        <v>0</v>
      </c>
      <c r="AN46" s="129">
        <f t="shared" si="5"/>
        <v>0</v>
      </c>
      <c r="AO46" s="129">
        <f t="shared" si="6"/>
        <v>0</v>
      </c>
      <c r="AP46" s="129">
        <f t="shared" si="7"/>
        <v>0</v>
      </c>
      <c r="AQ46" s="129">
        <f t="shared" si="8"/>
        <v>0</v>
      </c>
      <c r="AR46" s="129">
        <f t="shared" si="9"/>
        <v>0</v>
      </c>
      <c r="AS46" s="129">
        <f t="shared" si="10"/>
        <v>0</v>
      </c>
      <c r="AT46" s="312">
        <f t="shared" si="11"/>
        <v>1</v>
      </c>
      <c r="AV46" s="312">
        <f t="shared" si="16"/>
        <v>1</v>
      </c>
      <c r="BA46" s="314"/>
      <c r="BF46" s="314"/>
      <c r="BL46" s="314"/>
      <c r="BM46" s="129">
        <f t="shared" si="17"/>
        <v>0</v>
      </c>
      <c r="BN46" s="129">
        <f t="shared" si="18"/>
        <v>0</v>
      </c>
      <c r="BR46" s="129">
        <v>515664</v>
      </c>
      <c r="BS46" s="129">
        <v>171121</v>
      </c>
      <c r="BT46" s="129" t="s">
        <v>152</v>
      </c>
      <c r="BU46" s="129" t="s">
        <v>192</v>
      </c>
      <c r="CA46" s="129" t="s">
        <v>532</v>
      </c>
      <c r="CB46" s="129" t="s">
        <v>359</v>
      </c>
      <c r="CC46" s="129" t="s">
        <v>359</v>
      </c>
      <c r="CD46" s="129" t="s">
        <v>201</v>
      </c>
      <c r="CE46" s="313"/>
    </row>
    <row r="47" spans="1:83" x14ac:dyDescent="0.25">
      <c r="A47" s="129" t="s">
        <v>547</v>
      </c>
      <c r="B47" s="129" t="s">
        <v>369</v>
      </c>
      <c r="C47" s="129" t="s">
        <v>353</v>
      </c>
      <c r="D47" s="309">
        <v>45405</v>
      </c>
      <c r="E47" s="309">
        <v>46500</v>
      </c>
      <c r="F47" s="309">
        <v>45446</v>
      </c>
      <c r="G47" s="310" t="s">
        <v>359</v>
      </c>
      <c r="H47" s="310" t="s">
        <v>359</v>
      </c>
      <c r="I47" s="309">
        <v>45747</v>
      </c>
      <c r="J47" s="248" t="s">
        <v>354</v>
      </c>
      <c r="K47" s="311" t="s">
        <v>268</v>
      </c>
      <c r="M47" s="191">
        <f t="shared" si="15"/>
        <v>0.93698630136986305</v>
      </c>
      <c r="N47" s="306" t="s">
        <v>355</v>
      </c>
      <c r="O47" s="129" t="s">
        <v>548</v>
      </c>
      <c r="P47" s="129" t="s">
        <v>549</v>
      </c>
      <c r="Q47" s="129" t="s">
        <v>550</v>
      </c>
      <c r="AA47" s="312">
        <f t="shared" si="1"/>
        <v>0</v>
      </c>
      <c r="AD47" s="129">
        <v>1</v>
      </c>
      <c r="AK47" s="312">
        <f t="shared" si="2"/>
        <v>1</v>
      </c>
      <c r="AL47" s="129">
        <f t="shared" si="3"/>
        <v>0</v>
      </c>
      <c r="AM47" s="129">
        <f t="shared" si="4"/>
        <v>1</v>
      </c>
      <c r="AN47" s="129">
        <f t="shared" si="5"/>
        <v>0</v>
      </c>
      <c r="AO47" s="129">
        <f t="shared" si="6"/>
        <v>0</v>
      </c>
      <c r="AP47" s="129">
        <f t="shared" si="7"/>
        <v>0</v>
      </c>
      <c r="AQ47" s="129">
        <f t="shared" si="8"/>
        <v>0</v>
      </c>
      <c r="AR47" s="129">
        <f t="shared" si="9"/>
        <v>0</v>
      </c>
      <c r="AS47" s="129">
        <f t="shared" si="10"/>
        <v>0</v>
      </c>
      <c r="AT47" s="312">
        <f t="shared" si="11"/>
        <v>1</v>
      </c>
      <c r="AV47" s="312">
        <f t="shared" si="16"/>
        <v>1</v>
      </c>
      <c r="BA47" s="314"/>
      <c r="BF47" s="314"/>
      <c r="BL47" s="314"/>
      <c r="BM47" s="129">
        <f t="shared" si="17"/>
        <v>0</v>
      </c>
      <c r="BN47" s="129">
        <f t="shared" si="18"/>
        <v>0</v>
      </c>
      <c r="BR47" s="129">
        <v>513028</v>
      </c>
      <c r="BS47" s="129">
        <v>170481</v>
      </c>
      <c r="BT47" s="129" t="s">
        <v>170</v>
      </c>
      <c r="BU47" s="129" t="s">
        <v>192</v>
      </c>
      <c r="CC47" s="129" t="s">
        <v>359</v>
      </c>
      <c r="CD47" s="129" t="s">
        <v>198</v>
      </c>
      <c r="CE47" s="313"/>
    </row>
    <row r="48" spans="1:83" x14ac:dyDescent="0.25">
      <c r="A48" s="129" t="s">
        <v>551</v>
      </c>
      <c r="B48" s="129" t="s">
        <v>482</v>
      </c>
      <c r="C48" s="129" t="s">
        <v>353</v>
      </c>
      <c r="D48" s="309">
        <v>45359</v>
      </c>
      <c r="E48" s="309">
        <v>46454</v>
      </c>
      <c r="F48" s="309">
        <v>45330</v>
      </c>
      <c r="G48" s="310"/>
      <c r="H48" s="310"/>
      <c r="I48" s="309">
        <v>45562</v>
      </c>
      <c r="J48" s="248" t="s">
        <v>354</v>
      </c>
      <c r="K48" s="311" t="s">
        <v>268</v>
      </c>
      <c r="M48" s="191">
        <f t="shared" si="15"/>
        <v>0.55616438356164388</v>
      </c>
      <c r="N48" s="306" t="s">
        <v>355</v>
      </c>
      <c r="O48" s="129" t="s">
        <v>552</v>
      </c>
      <c r="P48" s="129" t="s">
        <v>553</v>
      </c>
      <c r="Q48" s="129" t="s">
        <v>554</v>
      </c>
      <c r="S48" s="129">
        <v>2</v>
      </c>
      <c r="AA48" s="312">
        <f t="shared" si="1"/>
        <v>2</v>
      </c>
      <c r="AD48" s="129">
        <v>1</v>
      </c>
      <c r="AK48" s="312">
        <f t="shared" si="2"/>
        <v>1</v>
      </c>
      <c r="AL48" s="129">
        <f t="shared" si="3"/>
        <v>-2</v>
      </c>
      <c r="AM48" s="129">
        <f t="shared" si="4"/>
        <v>1</v>
      </c>
      <c r="AN48" s="129">
        <f t="shared" si="5"/>
        <v>0</v>
      </c>
      <c r="AO48" s="129">
        <f t="shared" si="6"/>
        <v>0</v>
      </c>
      <c r="AP48" s="129">
        <f t="shared" si="7"/>
        <v>0</v>
      </c>
      <c r="AQ48" s="129">
        <f t="shared" si="8"/>
        <v>0</v>
      </c>
      <c r="AR48" s="129">
        <f t="shared" si="9"/>
        <v>0</v>
      </c>
      <c r="AS48" s="129">
        <f t="shared" si="10"/>
        <v>0</v>
      </c>
      <c r="AT48" s="312">
        <f t="shared" si="11"/>
        <v>-1</v>
      </c>
      <c r="AV48" s="312">
        <f t="shared" si="16"/>
        <v>-1</v>
      </c>
      <c r="BA48" s="314"/>
      <c r="BF48" s="314"/>
      <c r="BL48" s="314"/>
      <c r="BM48" s="129">
        <f t="shared" si="17"/>
        <v>0</v>
      </c>
      <c r="BN48" s="129">
        <f t="shared" si="18"/>
        <v>0</v>
      </c>
      <c r="BR48" s="129">
        <v>517170</v>
      </c>
      <c r="BS48" s="129">
        <v>174144</v>
      </c>
      <c r="BT48" s="129" t="s">
        <v>180</v>
      </c>
      <c r="BU48" s="129" t="s">
        <v>154</v>
      </c>
      <c r="CC48" s="129" t="s">
        <v>359</v>
      </c>
      <c r="CD48" s="129" t="s">
        <v>202</v>
      </c>
      <c r="CE48" s="313"/>
    </row>
    <row r="49" spans="1:83" x14ac:dyDescent="0.25">
      <c r="A49" s="129" t="s">
        <v>555</v>
      </c>
      <c r="B49" s="129" t="s">
        <v>482</v>
      </c>
      <c r="C49" s="129" t="s">
        <v>556</v>
      </c>
      <c r="D49" s="309">
        <v>45469</v>
      </c>
      <c r="E49" s="309">
        <v>46564</v>
      </c>
      <c r="F49" s="309">
        <v>45469</v>
      </c>
      <c r="G49" s="310" t="s">
        <v>359</v>
      </c>
      <c r="H49" s="310" t="s">
        <v>359</v>
      </c>
      <c r="I49" s="309">
        <v>45469</v>
      </c>
      <c r="J49" s="248" t="s">
        <v>354</v>
      </c>
      <c r="K49" s="311" t="s">
        <v>268</v>
      </c>
      <c r="M49" s="191">
        <f t="shared" si="15"/>
        <v>0</v>
      </c>
      <c r="N49" s="306" t="s">
        <v>355</v>
      </c>
      <c r="O49" s="129" t="s">
        <v>557</v>
      </c>
      <c r="P49" s="129" t="s">
        <v>558</v>
      </c>
      <c r="Q49" s="129" t="s">
        <v>559</v>
      </c>
      <c r="T49" s="129">
        <v>1</v>
      </c>
      <c r="U49" s="129">
        <v>1</v>
      </c>
      <c r="AA49" s="312">
        <f t="shared" si="1"/>
        <v>2</v>
      </c>
      <c r="AC49" s="129">
        <v>1</v>
      </c>
      <c r="AD49" s="129">
        <v>1</v>
      </c>
      <c r="AE49" s="129">
        <v>1</v>
      </c>
      <c r="AK49" s="312">
        <f t="shared" si="2"/>
        <v>3</v>
      </c>
      <c r="AL49" s="129">
        <f t="shared" si="3"/>
        <v>1</v>
      </c>
      <c r="AM49" s="129">
        <f t="shared" si="4"/>
        <v>0</v>
      </c>
      <c r="AN49" s="129">
        <f t="shared" si="5"/>
        <v>0</v>
      </c>
      <c r="AO49" s="129">
        <f t="shared" si="6"/>
        <v>0</v>
      </c>
      <c r="AP49" s="129">
        <f t="shared" si="7"/>
        <v>0</v>
      </c>
      <c r="AQ49" s="129">
        <f t="shared" si="8"/>
        <v>0</v>
      </c>
      <c r="AR49" s="129">
        <f t="shared" si="9"/>
        <v>0</v>
      </c>
      <c r="AS49" s="129">
        <f t="shared" si="10"/>
        <v>0</v>
      </c>
      <c r="AT49" s="312">
        <f t="shared" si="11"/>
        <v>1</v>
      </c>
      <c r="AV49" s="312">
        <f t="shared" si="16"/>
        <v>1</v>
      </c>
      <c r="BA49" s="314"/>
      <c r="BF49" s="314"/>
      <c r="BL49" s="314"/>
      <c r="BM49" s="129">
        <f t="shared" si="17"/>
        <v>0</v>
      </c>
      <c r="BN49" s="129">
        <f t="shared" si="18"/>
        <v>0</v>
      </c>
      <c r="BR49" s="129">
        <v>513041</v>
      </c>
      <c r="BS49" s="129">
        <v>174128</v>
      </c>
      <c r="BT49" s="129" t="s">
        <v>173</v>
      </c>
      <c r="BU49" s="129" t="s">
        <v>156</v>
      </c>
      <c r="CD49" s="129" t="s">
        <v>203</v>
      </c>
      <c r="CE49" s="313"/>
    </row>
    <row r="50" spans="1:83" x14ac:dyDescent="0.25">
      <c r="A50" s="129" t="s">
        <v>560</v>
      </c>
      <c r="B50" s="129" t="s">
        <v>482</v>
      </c>
      <c r="C50" s="129" t="s">
        <v>556</v>
      </c>
      <c r="D50" s="309">
        <v>45394</v>
      </c>
      <c r="E50" s="309">
        <v>46489</v>
      </c>
      <c r="F50" s="309">
        <v>45394</v>
      </c>
      <c r="G50" s="310" t="s">
        <v>359</v>
      </c>
      <c r="H50" s="310" t="s">
        <v>359</v>
      </c>
      <c r="I50" s="309">
        <v>45394</v>
      </c>
      <c r="J50" s="248" t="s">
        <v>354</v>
      </c>
      <c r="K50" s="311" t="s">
        <v>268</v>
      </c>
      <c r="M50" s="191">
        <f t="shared" si="15"/>
        <v>0</v>
      </c>
      <c r="N50" s="306" t="s">
        <v>355</v>
      </c>
      <c r="O50" s="129" t="s">
        <v>561</v>
      </c>
      <c r="P50" s="129" t="s">
        <v>562</v>
      </c>
      <c r="Q50" s="129" t="s">
        <v>554</v>
      </c>
      <c r="T50" s="129">
        <v>2</v>
      </c>
      <c r="AA50" s="312">
        <f t="shared" si="1"/>
        <v>2</v>
      </c>
      <c r="AE50" s="129">
        <v>1</v>
      </c>
      <c r="AK50" s="312">
        <f t="shared" si="2"/>
        <v>1</v>
      </c>
      <c r="AL50" s="129">
        <f t="shared" si="3"/>
        <v>0</v>
      </c>
      <c r="AM50" s="129">
        <f t="shared" si="4"/>
        <v>-2</v>
      </c>
      <c r="AN50" s="129">
        <f t="shared" si="5"/>
        <v>1</v>
      </c>
      <c r="AO50" s="129">
        <f t="shared" si="6"/>
        <v>0</v>
      </c>
      <c r="AP50" s="129">
        <f t="shared" si="7"/>
        <v>0</v>
      </c>
      <c r="AQ50" s="129">
        <f t="shared" si="8"/>
        <v>0</v>
      </c>
      <c r="AR50" s="129">
        <f t="shared" si="9"/>
        <v>0</v>
      </c>
      <c r="AS50" s="129">
        <f t="shared" si="10"/>
        <v>0</v>
      </c>
      <c r="AT50" s="312">
        <f t="shared" si="11"/>
        <v>-1</v>
      </c>
      <c r="AV50" s="312">
        <f t="shared" si="16"/>
        <v>-1</v>
      </c>
      <c r="BA50" s="314"/>
      <c r="BF50" s="314"/>
      <c r="BL50" s="314"/>
      <c r="BM50" s="129">
        <f t="shared" si="17"/>
        <v>0</v>
      </c>
      <c r="BN50" s="129">
        <f t="shared" si="18"/>
        <v>0</v>
      </c>
      <c r="BR50" s="129">
        <v>517137</v>
      </c>
      <c r="BS50" s="129">
        <v>174138</v>
      </c>
      <c r="BT50" s="129" t="s">
        <v>180</v>
      </c>
      <c r="BU50" s="129" t="s">
        <v>154</v>
      </c>
      <c r="CC50" s="129" t="s">
        <v>359</v>
      </c>
      <c r="CD50" s="129" t="s">
        <v>202</v>
      </c>
      <c r="CE50" s="313"/>
    </row>
    <row r="51" spans="1:83" x14ac:dyDescent="0.25">
      <c r="A51" s="129" t="s">
        <v>563</v>
      </c>
      <c r="B51" s="129" t="s">
        <v>482</v>
      </c>
      <c r="C51" s="129" t="s">
        <v>556</v>
      </c>
      <c r="D51" s="309">
        <v>45399</v>
      </c>
      <c r="E51" s="309">
        <v>46494</v>
      </c>
      <c r="F51" s="309">
        <v>45399</v>
      </c>
      <c r="G51" s="310" t="s">
        <v>359</v>
      </c>
      <c r="H51" s="310" t="s">
        <v>359</v>
      </c>
      <c r="I51" s="309">
        <v>45399</v>
      </c>
      <c r="J51" s="248" t="s">
        <v>354</v>
      </c>
      <c r="K51" s="311" t="s">
        <v>268</v>
      </c>
      <c r="M51" s="191">
        <f t="shared" si="15"/>
        <v>0</v>
      </c>
      <c r="N51" s="306" t="s">
        <v>355</v>
      </c>
      <c r="O51" s="129" t="s">
        <v>564</v>
      </c>
      <c r="P51" s="129" t="s">
        <v>565</v>
      </c>
      <c r="Q51" s="129" t="s">
        <v>566</v>
      </c>
      <c r="T51" s="129">
        <v>1</v>
      </c>
      <c r="U51" s="129">
        <v>1</v>
      </c>
      <c r="AA51" s="312">
        <f t="shared" si="1"/>
        <v>2</v>
      </c>
      <c r="AF51" s="129">
        <v>1</v>
      </c>
      <c r="AK51" s="312">
        <f t="shared" si="2"/>
        <v>1</v>
      </c>
      <c r="AL51" s="129">
        <f t="shared" si="3"/>
        <v>0</v>
      </c>
      <c r="AM51" s="129">
        <f t="shared" si="4"/>
        <v>-1</v>
      </c>
      <c r="AN51" s="129">
        <f t="shared" si="5"/>
        <v>-1</v>
      </c>
      <c r="AO51" s="129">
        <f t="shared" si="6"/>
        <v>1</v>
      </c>
      <c r="AP51" s="129">
        <f t="shared" si="7"/>
        <v>0</v>
      </c>
      <c r="AQ51" s="129">
        <f t="shared" si="8"/>
        <v>0</v>
      </c>
      <c r="AR51" s="129">
        <f t="shared" si="9"/>
        <v>0</v>
      </c>
      <c r="AS51" s="129">
        <f t="shared" si="10"/>
        <v>0</v>
      </c>
      <c r="AT51" s="312">
        <f t="shared" si="11"/>
        <v>-1</v>
      </c>
      <c r="AV51" s="312">
        <f t="shared" si="16"/>
        <v>-1</v>
      </c>
      <c r="BA51" s="314"/>
      <c r="BF51" s="314"/>
      <c r="BL51" s="314"/>
      <c r="BM51" s="129">
        <f t="shared" si="17"/>
        <v>0</v>
      </c>
      <c r="BN51" s="129">
        <f t="shared" si="18"/>
        <v>0</v>
      </c>
      <c r="BR51" s="129">
        <v>517043</v>
      </c>
      <c r="BS51" s="129">
        <v>173946</v>
      </c>
      <c r="BT51" s="129" t="s">
        <v>180</v>
      </c>
      <c r="BU51" s="129" t="s">
        <v>154</v>
      </c>
      <c r="CA51" s="129" t="s">
        <v>567</v>
      </c>
      <c r="CB51" s="129" t="s">
        <v>359</v>
      </c>
      <c r="CC51" s="129" t="s">
        <v>359</v>
      </c>
      <c r="CD51" s="129" t="s">
        <v>202</v>
      </c>
      <c r="CE51" s="313"/>
    </row>
    <row r="52" spans="1:83" x14ac:dyDescent="0.25">
      <c r="A52" s="129" t="s">
        <v>568</v>
      </c>
      <c r="B52" s="129" t="s">
        <v>369</v>
      </c>
      <c r="C52" s="248" t="s">
        <v>370</v>
      </c>
      <c r="D52" s="309">
        <v>45446</v>
      </c>
      <c r="E52" s="309">
        <v>46541</v>
      </c>
      <c r="F52" s="315">
        <v>45505</v>
      </c>
      <c r="G52" s="310" t="s">
        <v>359</v>
      </c>
      <c r="H52" s="310" t="s">
        <v>359</v>
      </c>
      <c r="I52" s="315">
        <v>45747</v>
      </c>
      <c r="J52" s="129" t="s">
        <v>354</v>
      </c>
      <c r="K52" s="311" t="s">
        <v>268</v>
      </c>
      <c r="M52" s="191">
        <f t="shared" si="15"/>
        <v>0.8246575342465754</v>
      </c>
      <c r="N52" s="306" t="s">
        <v>355</v>
      </c>
      <c r="O52" s="129" t="s">
        <v>569</v>
      </c>
      <c r="P52" s="129" t="s">
        <v>570</v>
      </c>
      <c r="Q52" s="129" t="s">
        <v>571</v>
      </c>
      <c r="AA52" s="312">
        <f t="shared" si="1"/>
        <v>0</v>
      </c>
      <c r="AC52" s="129">
        <v>1</v>
      </c>
      <c r="AK52" s="312">
        <f t="shared" si="2"/>
        <v>1</v>
      </c>
      <c r="AL52" s="129">
        <f t="shared" si="3"/>
        <v>1</v>
      </c>
      <c r="AM52" s="129">
        <f t="shared" si="4"/>
        <v>0</v>
      </c>
      <c r="AN52" s="129">
        <f t="shared" si="5"/>
        <v>0</v>
      </c>
      <c r="AO52" s="129">
        <f t="shared" si="6"/>
        <v>0</v>
      </c>
      <c r="AP52" s="129">
        <f t="shared" si="7"/>
        <v>0</v>
      </c>
      <c r="AQ52" s="129">
        <f t="shared" si="8"/>
        <v>0</v>
      </c>
      <c r="AR52" s="129">
        <f t="shared" si="9"/>
        <v>0</v>
      </c>
      <c r="AS52" s="129">
        <f t="shared" si="10"/>
        <v>0</v>
      </c>
      <c r="AT52" s="312">
        <f t="shared" si="11"/>
        <v>1</v>
      </c>
      <c r="AV52" s="312">
        <f t="shared" si="16"/>
        <v>1</v>
      </c>
      <c r="BA52" s="314"/>
      <c r="BF52" s="314"/>
      <c r="BL52" s="314"/>
      <c r="BM52" s="129">
        <f t="shared" si="17"/>
        <v>0</v>
      </c>
      <c r="BN52" s="129">
        <f t="shared" si="18"/>
        <v>0</v>
      </c>
      <c r="BR52" s="129">
        <v>518494</v>
      </c>
      <c r="BS52" s="129">
        <v>175035</v>
      </c>
      <c r="BT52" s="129" t="s">
        <v>177</v>
      </c>
      <c r="BU52" s="129" t="s">
        <v>150</v>
      </c>
      <c r="CA52" s="129" t="s">
        <v>480</v>
      </c>
      <c r="CB52" s="129" t="s">
        <v>359</v>
      </c>
      <c r="CC52" s="129" t="s">
        <v>359</v>
      </c>
      <c r="CD52" s="129" t="s">
        <v>200</v>
      </c>
      <c r="CE52" s="313"/>
    </row>
    <row r="53" spans="1:83" x14ac:dyDescent="0.25">
      <c r="A53" s="129" t="s">
        <v>572</v>
      </c>
      <c r="B53" s="129" t="s">
        <v>369</v>
      </c>
      <c r="C53" s="248" t="s">
        <v>370</v>
      </c>
      <c r="D53" s="309">
        <v>45436</v>
      </c>
      <c r="E53" s="309">
        <v>46531</v>
      </c>
      <c r="F53" s="309">
        <v>45436</v>
      </c>
      <c r="G53" s="310" t="s">
        <v>359</v>
      </c>
      <c r="H53" s="310" t="s">
        <v>359</v>
      </c>
      <c r="I53" s="309">
        <v>45747</v>
      </c>
      <c r="J53" s="248" t="s">
        <v>354</v>
      </c>
      <c r="K53" s="311" t="s">
        <v>268</v>
      </c>
      <c r="M53" s="191">
        <f t="shared" si="15"/>
        <v>0.852054794520548</v>
      </c>
      <c r="N53" s="306" t="s">
        <v>355</v>
      </c>
      <c r="O53" s="129" t="s">
        <v>573</v>
      </c>
      <c r="P53" s="129" t="s">
        <v>574</v>
      </c>
      <c r="Q53" s="129" t="s">
        <v>575</v>
      </c>
      <c r="AA53" s="312">
        <f t="shared" si="1"/>
        <v>0</v>
      </c>
      <c r="AC53" s="129">
        <v>1</v>
      </c>
      <c r="AD53" s="129">
        <v>2</v>
      </c>
      <c r="AK53" s="312">
        <f t="shared" si="2"/>
        <v>3</v>
      </c>
      <c r="AL53" s="129">
        <f t="shared" si="3"/>
        <v>1</v>
      </c>
      <c r="AM53" s="129">
        <f t="shared" si="4"/>
        <v>2</v>
      </c>
      <c r="AN53" s="129">
        <f t="shared" si="5"/>
        <v>0</v>
      </c>
      <c r="AO53" s="129">
        <f t="shared" si="6"/>
        <v>0</v>
      </c>
      <c r="AP53" s="129">
        <f t="shared" si="7"/>
        <v>0</v>
      </c>
      <c r="AQ53" s="129">
        <f t="shared" si="8"/>
        <v>0</v>
      </c>
      <c r="AR53" s="129">
        <f t="shared" si="9"/>
        <v>0</v>
      </c>
      <c r="AS53" s="129">
        <f t="shared" si="10"/>
        <v>0</v>
      </c>
      <c r="AT53" s="312">
        <f t="shared" si="11"/>
        <v>3</v>
      </c>
      <c r="AV53" s="312">
        <f t="shared" si="16"/>
        <v>3</v>
      </c>
      <c r="BA53" s="314"/>
      <c r="BF53" s="314"/>
      <c r="BL53" s="314"/>
      <c r="BM53" s="129">
        <f t="shared" si="17"/>
        <v>0</v>
      </c>
      <c r="BN53" s="129">
        <f t="shared" si="18"/>
        <v>0</v>
      </c>
      <c r="BR53" s="129">
        <v>518633</v>
      </c>
      <c r="BS53" s="129">
        <v>175479</v>
      </c>
      <c r="BT53" s="129" t="s">
        <v>176</v>
      </c>
      <c r="BU53" s="129" t="s">
        <v>150</v>
      </c>
      <c r="CC53" s="129" t="s">
        <v>359</v>
      </c>
      <c r="CD53" s="129" t="s">
        <v>200</v>
      </c>
      <c r="CE53" s="313"/>
    </row>
    <row r="54" spans="1:83" x14ac:dyDescent="0.25">
      <c r="A54" s="129" t="s">
        <v>576</v>
      </c>
      <c r="B54" s="129" t="s">
        <v>482</v>
      </c>
      <c r="C54" s="129" t="s">
        <v>556</v>
      </c>
      <c r="D54" s="309">
        <v>45432</v>
      </c>
      <c r="E54" s="309">
        <v>46527</v>
      </c>
      <c r="F54" s="309">
        <v>45432</v>
      </c>
      <c r="G54" s="310" t="s">
        <v>359</v>
      </c>
      <c r="H54" s="310" t="s">
        <v>359</v>
      </c>
      <c r="I54" s="309">
        <v>45432</v>
      </c>
      <c r="J54" s="248" t="s">
        <v>354</v>
      </c>
      <c r="K54" s="311" t="s">
        <v>268</v>
      </c>
      <c r="M54" s="191">
        <f t="shared" si="15"/>
        <v>0</v>
      </c>
      <c r="N54" s="306" t="s">
        <v>355</v>
      </c>
      <c r="O54" s="129" t="s">
        <v>577</v>
      </c>
      <c r="P54" s="129" t="s">
        <v>578</v>
      </c>
      <c r="Q54" s="129" t="s">
        <v>579</v>
      </c>
      <c r="W54" s="129">
        <v>1</v>
      </c>
      <c r="AA54" s="312">
        <f t="shared" si="1"/>
        <v>1</v>
      </c>
      <c r="AD54" s="129">
        <v>2</v>
      </c>
      <c r="AK54" s="312">
        <f t="shared" si="2"/>
        <v>2</v>
      </c>
      <c r="AL54" s="129">
        <f t="shared" si="3"/>
        <v>0</v>
      </c>
      <c r="AM54" s="129">
        <f t="shared" si="4"/>
        <v>2</v>
      </c>
      <c r="AN54" s="129">
        <f t="shared" si="5"/>
        <v>0</v>
      </c>
      <c r="AO54" s="129">
        <f t="shared" si="6"/>
        <v>0</v>
      </c>
      <c r="AP54" s="129">
        <f t="shared" si="7"/>
        <v>-1</v>
      </c>
      <c r="AQ54" s="129">
        <f t="shared" si="8"/>
        <v>0</v>
      </c>
      <c r="AR54" s="129">
        <f t="shared" si="9"/>
        <v>0</v>
      </c>
      <c r="AS54" s="129">
        <f t="shared" si="10"/>
        <v>0</v>
      </c>
      <c r="AT54" s="312">
        <f t="shared" si="11"/>
        <v>1</v>
      </c>
      <c r="AV54" s="312">
        <f t="shared" si="16"/>
        <v>1</v>
      </c>
      <c r="BA54" s="314"/>
      <c r="BF54" s="314"/>
      <c r="BL54" s="314"/>
      <c r="BM54" s="129">
        <f t="shared" si="17"/>
        <v>0</v>
      </c>
      <c r="BN54" s="129">
        <f t="shared" si="18"/>
        <v>0</v>
      </c>
      <c r="BR54" s="129">
        <v>520190</v>
      </c>
      <c r="BS54" s="129">
        <v>175469</v>
      </c>
      <c r="BT54" s="129" t="s">
        <v>149</v>
      </c>
      <c r="BU54" s="129" t="s">
        <v>190</v>
      </c>
      <c r="CC54" s="129" t="s">
        <v>359</v>
      </c>
      <c r="CD54" s="129" t="s">
        <v>199</v>
      </c>
      <c r="CE54" s="313"/>
    </row>
    <row r="55" spans="1:83" x14ac:dyDescent="0.25">
      <c r="A55" s="129" t="s">
        <v>580</v>
      </c>
      <c r="B55" s="129" t="s">
        <v>482</v>
      </c>
      <c r="C55" s="129" t="s">
        <v>556</v>
      </c>
      <c r="D55" s="309">
        <v>45404</v>
      </c>
      <c r="E55" s="309">
        <v>46499</v>
      </c>
      <c r="F55" s="309">
        <v>45404</v>
      </c>
      <c r="G55" s="310" t="s">
        <v>359</v>
      </c>
      <c r="H55" s="310" t="s">
        <v>359</v>
      </c>
      <c r="I55" s="309">
        <v>45404</v>
      </c>
      <c r="J55" s="248" t="s">
        <v>354</v>
      </c>
      <c r="K55" s="311" t="s">
        <v>268</v>
      </c>
      <c r="M55" s="191">
        <f t="shared" si="15"/>
        <v>0</v>
      </c>
      <c r="N55" s="306" t="s">
        <v>355</v>
      </c>
      <c r="O55" s="129" t="s">
        <v>581</v>
      </c>
      <c r="P55" s="129" t="s">
        <v>582</v>
      </c>
      <c r="Q55" s="129" t="s">
        <v>583</v>
      </c>
      <c r="T55" s="129">
        <v>1</v>
      </c>
      <c r="V55" s="129">
        <v>1</v>
      </c>
      <c r="AA55" s="312">
        <f t="shared" si="1"/>
        <v>2</v>
      </c>
      <c r="AH55" s="129">
        <v>1</v>
      </c>
      <c r="AK55" s="312">
        <f t="shared" si="2"/>
        <v>1</v>
      </c>
      <c r="AL55" s="129">
        <f t="shared" si="3"/>
        <v>0</v>
      </c>
      <c r="AM55" s="129">
        <f t="shared" si="4"/>
        <v>-1</v>
      </c>
      <c r="AN55" s="129">
        <f t="shared" si="5"/>
        <v>0</v>
      </c>
      <c r="AO55" s="129">
        <f t="shared" si="6"/>
        <v>-1</v>
      </c>
      <c r="AP55" s="129">
        <f t="shared" si="7"/>
        <v>0</v>
      </c>
      <c r="AQ55" s="129">
        <f t="shared" si="8"/>
        <v>1</v>
      </c>
      <c r="AR55" s="129">
        <f t="shared" si="9"/>
        <v>0</v>
      </c>
      <c r="AS55" s="129">
        <f t="shared" si="10"/>
        <v>0</v>
      </c>
      <c r="AT55" s="312">
        <f t="shared" si="11"/>
        <v>-1</v>
      </c>
      <c r="AV55" s="312">
        <f t="shared" si="16"/>
        <v>-1</v>
      </c>
      <c r="BA55" s="314"/>
      <c r="BF55" s="314"/>
      <c r="BL55" s="314"/>
      <c r="BM55" s="129">
        <f t="shared" si="17"/>
        <v>0</v>
      </c>
      <c r="BN55" s="129">
        <f t="shared" si="18"/>
        <v>0</v>
      </c>
      <c r="BR55" s="129">
        <v>522464</v>
      </c>
      <c r="BS55" s="129">
        <v>177085</v>
      </c>
      <c r="BT55" s="129" t="s">
        <v>167</v>
      </c>
      <c r="BU55" s="129" t="s">
        <v>190</v>
      </c>
      <c r="CA55" s="129" t="s">
        <v>584</v>
      </c>
      <c r="CB55" s="129" t="s">
        <v>359</v>
      </c>
      <c r="CC55" s="129" t="s">
        <v>359</v>
      </c>
      <c r="CD55" s="129" t="s">
        <v>167</v>
      </c>
      <c r="CE55" s="313"/>
    </row>
    <row r="56" spans="1:83" x14ac:dyDescent="0.25">
      <c r="A56" s="129" t="s">
        <v>585</v>
      </c>
      <c r="B56" s="129" t="s">
        <v>482</v>
      </c>
      <c r="C56" s="129" t="s">
        <v>556</v>
      </c>
      <c r="D56" s="309">
        <v>45455</v>
      </c>
      <c r="E56" s="309">
        <v>46550</v>
      </c>
      <c r="F56" s="309">
        <v>45455</v>
      </c>
      <c r="G56" s="310" t="s">
        <v>359</v>
      </c>
      <c r="H56" s="310" t="s">
        <v>359</v>
      </c>
      <c r="I56" s="309">
        <v>45455</v>
      </c>
      <c r="J56" s="248" t="s">
        <v>354</v>
      </c>
      <c r="K56" s="311" t="s">
        <v>268</v>
      </c>
      <c r="M56" s="191">
        <f t="shared" si="15"/>
        <v>0</v>
      </c>
      <c r="N56" s="306" t="s">
        <v>355</v>
      </c>
      <c r="O56" s="129" t="s">
        <v>586</v>
      </c>
      <c r="P56" s="129" t="s">
        <v>587</v>
      </c>
      <c r="Q56" s="129" t="s">
        <v>588</v>
      </c>
      <c r="V56" s="129">
        <v>1</v>
      </c>
      <c r="AA56" s="312">
        <f t="shared" si="1"/>
        <v>1</v>
      </c>
      <c r="AE56" s="129">
        <v>2</v>
      </c>
      <c r="AK56" s="312">
        <f t="shared" si="2"/>
        <v>2</v>
      </c>
      <c r="AL56" s="129">
        <f t="shared" si="3"/>
        <v>0</v>
      </c>
      <c r="AM56" s="129">
        <f t="shared" si="4"/>
        <v>0</v>
      </c>
      <c r="AN56" s="129">
        <f t="shared" si="5"/>
        <v>2</v>
      </c>
      <c r="AO56" s="129">
        <f t="shared" si="6"/>
        <v>-1</v>
      </c>
      <c r="AP56" s="129">
        <f t="shared" si="7"/>
        <v>0</v>
      </c>
      <c r="AQ56" s="129">
        <f t="shared" si="8"/>
        <v>0</v>
      </c>
      <c r="AR56" s="129">
        <f t="shared" si="9"/>
        <v>0</v>
      </c>
      <c r="AS56" s="129">
        <f t="shared" si="10"/>
        <v>0</v>
      </c>
      <c r="AT56" s="312">
        <f t="shared" si="11"/>
        <v>1</v>
      </c>
      <c r="AV56" s="312">
        <f t="shared" si="16"/>
        <v>1</v>
      </c>
      <c r="BA56" s="314"/>
      <c r="BF56" s="314"/>
      <c r="BL56" s="314"/>
      <c r="BM56" s="129">
        <f t="shared" si="17"/>
        <v>0</v>
      </c>
      <c r="BN56" s="129">
        <f t="shared" si="18"/>
        <v>0</v>
      </c>
      <c r="BR56" s="129">
        <v>514251</v>
      </c>
      <c r="BS56" s="129">
        <v>174226</v>
      </c>
      <c r="BT56" s="129" t="s">
        <v>156</v>
      </c>
      <c r="BU56" s="129" t="s">
        <v>156</v>
      </c>
      <c r="CC56" s="129" t="s">
        <v>359</v>
      </c>
      <c r="CD56" s="129" t="s">
        <v>203</v>
      </c>
      <c r="CE56" s="313"/>
    </row>
    <row r="57" spans="1:83" x14ac:dyDescent="0.25">
      <c r="A57" s="129" t="s">
        <v>589</v>
      </c>
      <c r="B57" s="129" t="s">
        <v>369</v>
      </c>
      <c r="C57" s="248" t="s">
        <v>370</v>
      </c>
      <c r="D57" s="309">
        <v>45483</v>
      </c>
      <c r="E57" s="309">
        <v>46578</v>
      </c>
      <c r="F57" s="309">
        <v>45383</v>
      </c>
      <c r="G57" s="310" t="s">
        <v>359</v>
      </c>
      <c r="H57" s="310" t="s">
        <v>359</v>
      </c>
      <c r="I57" s="309">
        <v>45747</v>
      </c>
      <c r="J57" s="248" t="s">
        <v>354</v>
      </c>
      <c r="K57" s="311" t="s">
        <v>268</v>
      </c>
      <c r="M57" s="191">
        <f t="shared" si="15"/>
        <v>0.72328767123287674</v>
      </c>
      <c r="N57" s="306" t="s">
        <v>355</v>
      </c>
      <c r="O57" s="129" t="s">
        <v>590</v>
      </c>
      <c r="P57" s="129" t="s">
        <v>591</v>
      </c>
      <c r="Q57" s="129" t="s">
        <v>592</v>
      </c>
      <c r="AA57" s="312">
        <f t="shared" si="1"/>
        <v>0</v>
      </c>
      <c r="AC57" s="129">
        <v>1</v>
      </c>
      <c r="AD57" s="129">
        <v>2</v>
      </c>
      <c r="AK57" s="312">
        <f t="shared" si="2"/>
        <v>3</v>
      </c>
      <c r="AL57" s="129">
        <f t="shared" si="3"/>
        <v>1</v>
      </c>
      <c r="AM57" s="129">
        <f t="shared" si="4"/>
        <v>2</v>
      </c>
      <c r="AN57" s="129">
        <f t="shared" si="5"/>
        <v>0</v>
      </c>
      <c r="AO57" s="129">
        <f t="shared" si="6"/>
        <v>0</v>
      </c>
      <c r="AP57" s="129">
        <f t="shared" si="7"/>
        <v>0</v>
      </c>
      <c r="AQ57" s="129">
        <f t="shared" si="8"/>
        <v>0</v>
      </c>
      <c r="AR57" s="129">
        <f t="shared" si="9"/>
        <v>0</v>
      </c>
      <c r="AS57" s="129">
        <f t="shared" si="10"/>
        <v>0</v>
      </c>
      <c r="AT57" s="312">
        <f t="shared" si="11"/>
        <v>3</v>
      </c>
      <c r="AV57" s="312">
        <f t="shared" si="16"/>
        <v>3</v>
      </c>
      <c r="BA57" s="314"/>
      <c r="BF57" s="314"/>
      <c r="BL57" s="314"/>
      <c r="BM57" s="129">
        <f t="shared" si="17"/>
        <v>0</v>
      </c>
      <c r="BN57" s="129">
        <f t="shared" si="18"/>
        <v>0</v>
      </c>
      <c r="BR57" s="129">
        <v>515775</v>
      </c>
      <c r="BS57" s="129">
        <v>171430</v>
      </c>
      <c r="BT57" s="129" t="s">
        <v>152</v>
      </c>
      <c r="BU57" s="129" t="s">
        <v>192</v>
      </c>
      <c r="CC57" s="129" t="s">
        <v>359</v>
      </c>
      <c r="CD57" s="129" t="s">
        <v>201</v>
      </c>
      <c r="CE57" s="313"/>
    </row>
    <row r="58" spans="1:83" x14ac:dyDescent="0.25">
      <c r="A58" s="129" t="s">
        <v>593</v>
      </c>
      <c r="B58" s="129" t="s">
        <v>482</v>
      </c>
      <c r="C58" s="129" t="s">
        <v>556</v>
      </c>
      <c r="D58" s="309">
        <v>45435</v>
      </c>
      <c r="E58" s="309">
        <v>46530</v>
      </c>
      <c r="F58" s="309">
        <v>45435</v>
      </c>
      <c r="G58" s="310" t="s">
        <v>359</v>
      </c>
      <c r="H58" s="310" t="s">
        <v>359</v>
      </c>
      <c r="I58" s="309">
        <v>45435</v>
      </c>
      <c r="J58" s="248" t="s">
        <v>354</v>
      </c>
      <c r="K58" s="311" t="s">
        <v>268</v>
      </c>
      <c r="M58" s="191">
        <f t="shared" si="15"/>
        <v>0</v>
      </c>
      <c r="N58" s="306" t="s">
        <v>355</v>
      </c>
      <c r="O58" s="129" t="s">
        <v>594</v>
      </c>
      <c r="P58" s="129" t="s">
        <v>595</v>
      </c>
      <c r="Q58" s="129" t="s">
        <v>596</v>
      </c>
      <c r="S58" s="129">
        <v>1</v>
      </c>
      <c r="V58" s="129">
        <v>1</v>
      </c>
      <c r="AA58" s="312">
        <f t="shared" si="1"/>
        <v>2</v>
      </c>
      <c r="AG58" s="129">
        <v>1</v>
      </c>
      <c r="AK58" s="312">
        <f t="shared" si="2"/>
        <v>1</v>
      </c>
      <c r="AL58" s="129">
        <f t="shared" si="3"/>
        <v>-1</v>
      </c>
      <c r="AM58" s="129">
        <f t="shared" si="4"/>
        <v>0</v>
      </c>
      <c r="AN58" s="129">
        <f t="shared" si="5"/>
        <v>0</v>
      </c>
      <c r="AO58" s="129">
        <f t="shared" si="6"/>
        <v>-1</v>
      </c>
      <c r="AP58" s="129">
        <f t="shared" si="7"/>
        <v>1</v>
      </c>
      <c r="AQ58" s="129">
        <f t="shared" si="8"/>
        <v>0</v>
      </c>
      <c r="AR58" s="129">
        <f t="shared" si="9"/>
        <v>0</v>
      </c>
      <c r="AS58" s="129">
        <f t="shared" si="10"/>
        <v>0</v>
      </c>
      <c r="AT58" s="312">
        <f t="shared" si="11"/>
        <v>-1</v>
      </c>
      <c r="AV58" s="312">
        <f t="shared" si="16"/>
        <v>-1</v>
      </c>
      <c r="BA58" s="314"/>
      <c r="BF58" s="314"/>
      <c r="BL58" s="314"/>
      <c r="BM58" s="129">
        <f t="shared" si="17"/>
        <v>0</v>
      </c>
      <c r="BN58" s="129">
        <f t="shared" si="18"/>
        <v>0</v>
      </c>
      <c r="BR58" s="129">
        <v>518294</v>
      </c>
      <c r="BS58" s="129">
        <v>174078</v>
      </c>
      <c r="BT58" s="129" t="s">
        <v>169</v>
      </c>
      <c r="BU58" s="129" t="s">
        <v>191</v>
      </c>
      <c r="BW58" s="129" t="s">
        <v>151</v>
      </c>
      <c r="CA58" s="129" t="s">
        <v>597</v>
      </c>
      <c r="CB58" s="129" t="s">
        <v>359</v>
      </c>
      <c r="CC58" s="129" t="s">
        <v>359</v>
      </c>
      <c r="CD58" s="129" t="s">
        <v>200</v>
      </c>
      <c r="CE58" s="313"/>
    </row>
    <row r="59" spans="1:83" x14ac:dyDescent="0.25">
      <c r="A59" s="129" t="s">
        <v>598</v>
      </c>
      <c r="B59" s="129" t="s">
        <v>369</v>
      </c>
      <c r="C59" s="129" t="s">
        <v>556</v>
      </c>
      <c r="D59" s="309">
        <v>45489</v>
      </c>
      <c r="E59" s="309">
        <v>46584</v>
      </c>
      <c r="F59" s="309">
        <v>45489</v>
      </c>
      <c r="G59" s="310" t="s">
        <v>359</v>
      </c>
      <c r="H59" s="310" t="s">
        <v>359</v>
      </c>
      <c r="I59" s="309">
        <v>45489</v>
      </c>
      <c r="J59" s="248" t="s">
        <v>354</v>
      </c>
      <c r="K59" s="311" t="s">
        <v>268</v>
      </c>
      <c r="M59" s="191">
        <f t="shared" si="15"/>
        <v>0</v>
      </c>
      <c r="N59" s="306" t="s">
        <v>355</v>
      </c>
      <c r="O59" s="129" t="s">
        <v>599</v>
      </c>
      <c r="P59" s="129" t="s">
        <v>600</v>
      </c>
      <c r="Q59" s="129" t="s">
        <v>601</v>
      </c>
      <c r="V59" s="129">
        <v>1</v>
      </c>
      <c r="AA59" s="312">
        <f t="shared" si="1"/>
        <v>1</v>
      </c>
      <c r="AF59" s="129">
        <v>1</v>
      </c>
      <c r="AK59" s="312">
        <f t="shared" si="2"/>
        <v>1</v>
      </c>
      <c r="AL59" s="129">
        <f t="shared" si="3"/>
        <v>0</v>
      </c>
      <c r="AM59" s="129">
        <f t="shared" si="4"/>
        <v>0</v>
      </c>
      <c r="AN59" s="129">
        <f t="shared" si="5"/>
        <v>0</v>
      </c>
      <c r="AO59" s="129">
        <f t="shared" si="6"/>
        <v>0</v>
      </c>
      <c r="AP59" s="129">
        <f t="shared" si="7"/>
        <v>0</v>
      </c>
      <c r="AQ59" s="129">
        <f t="shared" si="8"/>
        <v>0</v>
      </c>
      <c r="AR59" s="129">
        <f t="shared" si="9"/>
        <v>0</v>
      </c>
      <c r="AS59" s="129">
        <f t="shared" si="10"/>
        <v>0</v>
      </c>
      <c r="AT59" s="312">
        <f t="shared" si="11"/>
        <v>0</v>
      </c>
      <c r="AV59" s="312">
        <f t="shared" si="16"/>
        <v>0</v>
      </c>
      <c r="BA59" s="314"/>
      <c r="BF59" s="314"/>
      <c r="BL59" s="314"/>
      <c r="BM59" s="129">
        <f t="shared" si="17"/>
        <v>0</v>
      </c>
      <c r="BN59" s="129">
        <f t="shared" si="18"/>
        <v>0</v>
      </c>
      <c r="BR59" s="129">
        <v>517474</v>
      </c>
      <c r="BS59" s="129">
        <v>172076</v>
      </c>
      <c r="BT59" s="129" t="s">
        <v>169</v>
      </c>
      <c r="BU59" s="129" t="s">
        <v>191</v>
      </c>
      <c r="CA59" s="129" t="s">
        <v>467</v>
      </c>
      <c r="CB59" s="129" t="s">
        <v>359</v>
      </c>
      <c r="CD59" s="129" t="s">
        <v>197</v>
      </c>
      <c r="CE59" s="313"/>
    </row>
    <row r="60" spans="1:83" x14ac:dyDescent="0.25">
      <c r="A60" s="129" t="s">
        <v>602</v>
      </c>
      <c r="B60" s="129" t="s">
        <v>369</v>
      </c>
      <c r="C60" s="129" t="s">
        <v>353</v>
      </c>
      <c r="D60" s="309">
        <v>45632</v>
      </c>
      <c r="E60" s="309">
        <v>45632</v>
      </c>
      <c r="F60" s="309">
        <v>45632</v>
      </c>
      <c r="G60" s="310" t="s">
        <v>359</v>
      </c>
      <c r="H60" s="310" t="s">
        <v>359</v>
      </c>
      <c r="I60" s="309">
        <v>45632</v>
      </c>
      <c r="J60" s="248" t="s">
        <v>354</v>
      </c>
      <c r="K60" s="311" t="s">
        <v>268</v>
      </c>
      <c r="M60" s="191">
        <f t="shared" si="15"/>
        <v>0</v>
      </c>
      <c r="N60" s="306" t="s">
        <v>355</v>
      </c>
      <c r="O60" s="129" t="s">
        <v>603</v>
      </c>
      <c r="P60" s="129" t="s">
        <v>604</v>
      </c>
      <c r="Q60" s="129" t="s">
        <v>605</v>
      </c>
      <c r="AA60" s="312">
        <f t="shared" si="1"/>
        <v>0</v>
      </c>
      <c r="AC60" s="129">
        <v>1</v>
      </c>
      <c r="AK60" s="312">
        <f t="shared" si="2"/>
        <v>1</v>
      </c>
      <c r="AL60" s="129">
        <f t="shared" si="3"/>
        <v>1</v>
      </c>
      <c r="AM60" s="129">
        <f t="shared" si="4"/>
        <v>0</v>
      </c>
      <c r="AN60" s="129">
        <f t="shared" si="5"/>
        <v>0</v>
      </c>
      <c r="AO60" s="129">
        <f t="shared" si="6"/>
        <v>0</v>
      </c>
      <c r="AP60" s="129">
        <f t="shared" si="7"/>
        <v>0</v>
      </c>
      <c r="AQ60" s="129">
        <f t="shared" si="8"/>
        <v>0</v>
      </c>
      <c r="AR60" s="129">
        <f t="shared" si="9"/>
        <v>0</v>
      </c>
      <c r="AS60" s="129">
        <f t="shared" si="10"/>
        <v>0</v>
      </c>
      <c r="AT60" s="312">
        <f t="shared" si="11"/>
        <v>1</v>
      </c>
      <c r="AV60" s="312">
        <f t="shared" si="16"/>
        <v>1</v>
      </c>
      <c r="BA60" s="314"/>
      <c r="BF60" s="314"/>
      <c r="BL60" s="314"/>
      <c r="BM60" s="129">
        <f t="shared" si="17"/>
        <v>0</v>
      </c>
      <c r="BN60" s="129">
        <f t="shared" si="18"/>
        <v>0</v>
      </c>
      <c r="BR60" s="129">
        <v>518122</v>
      </c>
      <c r="BS60" s="129">
        <v>175310</v>
      </c>
      <c r="BT60" s="129" t="s">
        <v>177</v>
      </c>
      <c r="BU60" s="129" t="s">
        <v>150</v>
      </c>
      <c r="BV60" s="129" t="s">
        <v>150</v>
      </c>
      <c r="CA60" s="129" t="s">
        <v>606</v>
      </c>
      <c r="CB60" s="129" t="s">
        <v>359</v>
      </c>
      <c r="CC60" s="129" t="s">
        <v>359</v>
      </c>
      <c r="CD60" s="129" t="s">
        <v>200</v>
      </c>
      <c r="CE60" s="313"/>
    </row>
    <row r="61" spans="1:83" x14ac:dyDescent="0.25">
      <c r="A61" s="129" t="s">
        <v>607</v>
      </c>
      <c r="B61" s="129" t="s">
        <v>369</v>
      </c>
      <c r="C61" s="129" t="s">
        <v>556</v>
      </c>
      <c r="D61" s="309">
        <v>45538</v>
      </c>
      <c r="E61" s="309">
        <v>46633</v>
      </c>
      <c r="F61" s="309">
        <v>45538</v>
      </c>
      <c r="G61" s="310" t="s">
        <v>359</v>
      </c>
      <c r="H61" s="310" t="s">
        <v>359</v>
      </c>
      <c r="I61" s="309">
        <v>45538</v>
      </c>
      <c r="J61" s="248" t="s">
        <v>354</v>
      </c>
      <c r="K61" s="311" t="s">
        <v>268</v>
      </c>
      <c r="M61" s="191">
        <f t="shared" si="15"/>
        <v>0</v>
      </c>
      <c r="N61" s="306" t="s">
        <v>355</v>
      </c>
      <c r="O61" s="129" t="s">
        <v>608</v>
      </c>
      <c r="P61" s="129" t="s">
        <v>609</v>
      </c>
      <c r="Q61" s="129" t="s">
        <v>610</v>
      </c>
      <c r="AA61" s="312">
        <f t="shared" si="1"/>
        <v>0</v>
      </c>
      <c r="AC61" s="129">
        <v>1</v>
      </c>
      <c r="AK61" s="312">
        <f t="shared" si="2"/>
        <v>1</v>
      </c>
      <c r="AL61" s="129">
        <f t="shared" si="3"/>
        <v>1</v>
      </c>
      <c r="AM61" s="129">
        <f t="shared" si="4"/>
        <v>0</v>
      </c>
      <c r="AN61" s="129">
        <f t="shared" si="5"/>
        <v>0</v>
      </c>
      <c r="AO61" s="129">
        <f t="shared" si="6"/>
        <v>0</v>
      </c>
      <c r="AP61" s="129">
        <f t="shared" si="7"/>
        <v>0</v>
      </c>
      <c r="AQ61" s="129">
        <f t="shared" si="8"/>
        <v>0</v>
      </c>
      <c r="AR61" s="129">
        <f t="shared" si="9"/>
        <v>0</v>
      </c>
      <c r="AS61" s="129">
        <f t="shared" si="10"/>
        <v>0</v>
      </c>
      <c r="AT61" s="312">
        <f t="shared" si="11"/>
        <v>1</v>
      </c>
      <c r="AV61" s="312">
        <f t="shared" si="16"/>
        <v>1</v>
      </c>
      <c r="BA61" s="314"/>
      <c r="BF61" s="314"/>
      <c r="BL61" s="314"/>
      <c r="BM61" s="129">
        <f t="shared" si="17"/>
        <v>0</v>
      </c>
      <c r="BN61" s="129">
        <f t="shared" si="18"/>
        <v>0</v>
      </c>
      <c r="BR61" s="129">
        <v>522416</v>
      </c>
      <c r="BS61" s="129">
        <v>176615</v>
      </c>
      <c r="BT61" s="129" t="s">
        <v>167</v>
      </c>
      <c r="BU61" s="129" t="s">
        <v>190</v>
      </c>
      <c r="BW61" s="129" t="s">
        <v>151</v>
      </c>
      <c r="BZ61" s="129" t="s">
        <v>611</v>
      </c>
      <c r="CA61" s="129" t="s">
        <v>612</v>
      </c>
      <c r="CB61" s="129" t="s">
        <v>359</v>
      </c>
      <c r="CC61" s="129" t="s">
        <v>359</v>
      </c>
      <c r="CD61" s="129" t="s">
        <v>167</v>
      </c>
      <c r="CE61" s="313"/>
    </row>
    <row r="62" spans="1:83" x14ac:dyDescent="0.25">
      <c r="A62" s="129" t="s">
        <v>613</v>
      </c>
      <c r="B62" s="129" t="s">
        <v>369</v>
      </c>
      <c r="C62" s="129" t="s">
        <v>556</v>
      </c>
      <c r="D62" s="309">
        <v>45574</v>
      </c>
      <c r="E62" s="309">
        <v>46669</v>
      </c>
      <c r="F62" s="309">
        <v>45574</v>
      </c>
      <c r="G62" s="310" t="s">
        <v>359</v>
      </c>
      <c r="H62" s="310" t="s">
        <v>359</v>
      </c>
      <c r="I62" s="309">
        <v>45574</v>
      </c>
      <c r="J62" s="248" t="s">
        <v>354</v>
      </c>
      <c r="K62" s="311" t="s">
        <v>268</v>
      </c>
      <c r="M62" s="191">
        <f t="shared" si="15"/>
        <v>0</v>
      </c>
      <c r="N62" s="306" t="s">
        <v>355</v>
      </c>
      <c r="O62" s="129" t="s">
        <v>614</v>
      </c>
      <c r="P62" s="129" t="s">
        <v>615</v>
      </c>
      <c r="Q62" s="129" t="s">
        <v>616</v>
      </c>
      <c r="T62" s="129">
        <v>1</v>
      </c>
      <c r="AA62" s="312">
        <f t="shared" si="1"/>
        <v>1</v>
      </c>
      <c r="AE62" s="129">
        <v>1</v>
      </c>
      <c r="AK62" s="312">
        <f t="shared" si="2"/>
        <v>1</v>
      </c>
      <c r="AL62" s="129">
        <f t="shared" si="3"/>
        <v>0</v>
      </c>
      <c r="AM62" s="129">
        <f t="shared" si="4"/>
        <v>-1</v>
      </c>
      <c r="AN62" s="129">
        <f t="shared" si="5"/>
        <v>1</v>
      </c>
      <c r="AO62" s="129">
        <f t="shared" si="6"/>
        <v>0</v>
      </c>
      <c r="AP62" s="129">
        <f t="shared" si="7"/>
        <v>0</v>
      </c>
      <c r="AQ62" s="129">
        <f t="shared" si="8"/>
        <v>0</v>
      </c>
      <c r="AR62" s="129">
        <f t="shared" si="9"/>
        <v>0</v>
      </c>
      <c r="AS62" s="129">
        <f t="shared" si="10"/>
        <v>0</v>
      </c>
      <c r="AT62" s="312">
        <f t="shared" si="11"/>
        <v>0</v>
      </c>
      <c r="AV62" s="312">
        <f t="shared" si="16"/>
        <v>0</v>
      </c>
      <c r="BA62" s="314"/>
      <c r="BF62" s="314"/>
      <c r="BL62" s="314"/>
      <c r="BM62" s="129">
        <f t="shared" si="17"/>
        <v>0</v>
      </c>
      <c r="BN62" s="129">
        <f t="shared" si="18"/>
        <v>0</v>
      </c>
      <c r="BR62" s="129">
        <v>520460</v>
      </c>
      <c r="BS62" s="129">
        <v>175643</v>
      </c>
      <c r="BT62" s="129" t="s">
        <v>149</v>
      </c>
      <c r="BU62" s="129" t="s">
        <v>190</v>
      </c>
      <c r="BV62" s="129" t="s">
        <v>149</v>
      </c>
      <c r="CA62" s="129" t="s">
        <v>617</v>
      </c>
      <c r="CB62" s="129" t="s">
        <v>359</v>
      </c>
      <c r="CC62" s="129" t="s">
        <v>359</v>
      </c>
      <c r="CD62" s="129" t="s">
        <v>199</v>
      </c>
      <c r="CE62" s="313"/>
    </row>
    <row r="63" spans="1:83" x14ac:dyDescent="0.25">
      <c r="A63" s="129" t="s">
        <v>618</v>
      </c>
      <c r="B63" s="129" t="s">
        <v>369</v>
      </c>
      <c r="C63" s="129" t="s">
        <v>556</v>
      </c>
      <c r="D63" s="309">
        <v>45656</v>
      </c>
      <c r="E63" s="309">
        <v>46751</v>
      </c>
      <c r="F63" s="309">
        <v>45656</v>
      </c>
      <c r="G63" s="310" t="s">
        <v>359</v>
      </c>
      <c r="H63" s="310" t="s">
        <v>359</v>
      </c>
      <c r="I63" s="309">
        <v>45656</v>
      </c>
      <c r="J63" s="248" t="s">
        <v>354</v>
      </c>
      <c r="K63" s="311" t="s">
        <v>268</v>
      </c>
      <c r="M63" s="191">
        <f t="shared" si="15"/>
        <v>0</v>
      </c>
      <c r="N63" s="306" t="s">
        <v>355</v>
      </c>
      <c r="O63" s="129" t="s">
        <v>608</v>
      </c>
      <c r="P63" s="129" t="s">
        <v>619</v>
      </c>
      <c r="Q63" s="129" t="s">
        <v>620</v>
      </c>
      <c r="AA63" s="312">
        <f t="shared" si="1"/>
        <v>0</v>
      </c>
      <c r="AD63" s="129">
        <v>1</v>
      </c>
      <c r="AK63" s="312">
        <f t="shared" si="2"/>
        <v>1</v>
      </c>
      <c r="AL63" s="129">
        <f t="shared" si="3"/>
        <v>0</v>
      </c>
      <c r="AM63" s="129">
        <f t="shared" si="4"/>
        <v>1</v>
      </c>
      <c r="AN63" s="129">
        <f t="shared" si="5"/>
        <v>0</v>
      </c>
      <c r="AO63" s="129">
        <f t="shared" si="6"/>
        <v>0</v>
      </c>
      <c r="AP63" s="129">
        <f t="shared" si="7"/>
        <v>0</v>
      </c>
      <c r="AQ63" s="129">
        <f t="shared" si="8"/>
        <v>0</v>
      </c>
      <c r="AR63" s="129">
        <f t="shared" si="9"/>
        <v>0</v>
      </c>
      <c r="AS63" s="129">
        <f t="shared" si="10"/>
        <v>0</v>
      </c>
      <c r="AT63" s="312">
        <f t="shared" si="11"/>
        <v>1</v>
      </c>
      <c r="AV63" s="312">
        <f t="shared" si="16"/>
        <v>1</v>
      </c>
      <c r="BA63" s="314"/>
      <c r="BF63" s="314"/>
      <c r="BL63" s="314"/>
      <c r="BM63" s="129">
        <f t="shared" si="17"/>
        <v>0</v>
      </c>
      <c r="BN63" s="129">
        <f t="shared" si="18"/>
        <v>0</v>
      </c>
      <c r="BR63" s="129">
        <v>514777</v>
      </c>
      <c r="BS63" s="129">
        <v>172631</v>
      </c>
      <c r="BT63" s="129" t="s">
        <v>181</v>
      </c>
      <c r="BU63" s="129" t="s">
        <v>154</v>
      </c>
      <c r="CC63" s="129" t="s">
        <v>359</v>
      </c>
      <c r="CD63" s="129" t="s">
        <v>202</v>
      </c>
      <c r="CE63" s="313"/>
    </row>
    <row r="64" spans="1:83" x14ac:dyDescent="0.25">
      <c r="A64" s="129" t="s">
        <v>621</v>
      </c>
      <c r="B64" s="129" t="s">
        <v>482</v>
      </c>
      <c r="C64" s="129" t="s">
        <v>556</v>
      </c>
      <c r="D64" s="309">
        <v>45714</v>
      </c>
      <c r="E64" s="309">
        <v>45714</v>
      </c>
      <c r="F64" s="309">
        <v>45714</v>
      </c>
      <c r="G64" s="310" t="s">
        <v>359</v>
      </c>
      <c r="H64" s="310" t="s">
        <v>359</v>
      </c>
      <c r="I64" s="309">
        <v>45714</v>
      </c>
      <c r="J64" s="248" t="s">
        <v>354</v>
      </c>
      <c r="K64" s="311" t="s">
        <v>268</v>
      </c>
      <c r="M64" s="191">
        <f t="shared" si="15"/>
        <v>0</v>
      </c>
      <c r="N64" s="306" t="s">
        <v>355</v>
      </c>
      <c r="O64" s="129" t="s">
        <v>622</v>
      </c>
      <c r="P64" s="129" t="s">
        <v>623</v>
      </c>
      <c r="Q64" s="129" t="s">
        <v>624</v>
      </c>
      <c r="V64" s="129">
        <v>2</v>
      </c>
      <c r="AA64" s="312">
        <f t="shared" si="1"/>
        <v>2</v>
      </c>
      <c r="AJ64" s="129">
        <v>1</v>
      </c>
      <c r="AK64" s="312">
        <f t="shared" si="2"/>
        <v>1</v>
      </c>
      <c r="AL64" s="129">
        <f t="shared" si="3"/>
        <v>0</v>
      </c>
      <c r="AM64" s="129">
        <f t="shared" si="4"/>
        <v>0</v>
      </c>
      <c r="AN64" s="129">
        <f t="shared" si="5"/>
        <v>0</v>
      </c>
      <c r="AO64" s="129">
        <f t="shared" si="6"/>
        <v>-2</v>
      </c>
      <c r="AP64" s="129">
        <f t="shared" si="7"/>
        <v>0</v>
      </c>
      <c r="AQ64" s="129">
        <f t="shared" si="8"/>
        <v>0</v>
      </c>
      <c r="AR64" s="129">
        <f t="shared" si="9"/>
        <v>0</v>
      </c>
      <c r="AS64" s="129">
        <f t="shared" si="10"/>
        <v>1</v>
      </c>
      <c r="AT64" s="312">
        <f t="shared" si="11"/>
        <v>-1</v>
      </c>
      <c r="AV64" s="312">
        <f t="shared" si="16"/>
        <v>-1</v>
      </c>
      <c r="BA64" s="314"/>
      <c r="BF64" s="314"/>
      <c r="BL64" s="314"/>
      <c r="BM64" s="129">
        <f t="shared" si="17"/>
        <v>0</v>
      </c>
      <c r="BN64" s="129">
        <f t="shared" si="18"/>
        <v>0</v>
      </c>
      <c r="BR64" s="129">
        <v>522060</v>
      </c>
      <c r="BS64" s="129">
        <v>176205</v>
      </c>
      <c r="BT64" s="129" t="s">
        <v>167</v>
      </c>
      <c r="BU64" s="129" t="s">
        <v>190</v>
      </c>
      <c r="CA64" s="129" t="s">
        <v>612</v>
      </c>
      <c r="CB64" s="129" t="s">
        <v>359</v>
      </c>
      <c r="CC64" s="129" t="s">
        <v>359</v>
      </c>
      <c r="CD64" s="129" t="s">
        <v>167</v>
      </c>
      <c r="CE64" s="313"/>
    </row>
    <row r="65" spans="1:83" x14ac:dyDescent="0.25">
      <c r="A65" s="129" t="s">
        <v>625</v>
      </c>
      <c r="B65" s="129" t="s">
        <v>369</v>
      </c>
      <c r="C65" s="129" t="s">
        <v>353</v>
      </c>
      <c r="D65" s="309">
        <v>38194</v>
      </c>
      <c r="E65" s="309">
        <v>40017</v>
      </c>
      <c r="F65" s="309">
        <v>39995</v>
      </c>
      <c r="G65" s="310"/>
      <c r="H65" s="310"/>
      <c r="J65" s="129" t="s">
        <v>266</v>
      </c>
      <c r="K65" s="311" t="s">
        <v>268</v>
      </c>
      <c r="M65" s="191"/>
      <c r="O65" s="129" t="s">
        <v>626</v>
      </c>
      <c r="P65" s="129" t="s">
        <v>627</v>
      </c>
      <c r="Q65" s="129" t="s">
        <v>628</v>
      </c>
      <c r="AA65" s="312">
        <f t="shared" si="1"/>
        <v>0</v>
      </c>
      <c r="AC65" s="129">
        <v>1</v>
      </c>
      <c r="AK65" s="312">
        <f t="shared" si="2"/>
        <v>1</v>
      </c>
      <c r="AL65" s="129">
        <f t="shared" si="3"/>
        <v>1</v>
      </c>
      <c r="AM65" s="129">
        <f t="shared" si="4"/>
        <v>0</v>
      </c>
      <c r="AN65" s="129">
        <f t="shared" si="5"/>
        <v>0</v>
      </c>
      <c r="AO65" s="129">
        <f t="shared" si="6"/>
        <v>0</v>
      </c>
      <c r="AP65" s="129">
        <f t="shared" si="7"/>
        <v>0</v>
      </c>
      <c r="AQ65" s="129">
        <f t="shared" si="8"/>
        <v>0</v>
      </c>
      <c r="AR65" s="129">
        <f t="shared" si="9"/>
        <v>0</v>
      </c>
      <c r="AS65" s="129">
        <f t="shared" si="10"/>
        <v>0</v>
      </c>
      <c r="AT65" s="312">
        <f t="shared" si="11"/>
        <v>1</v>
      </c>
      <c r="AV65" s="312"/>
      <c r="AW65" s="129">
        <v>1</v>
      </c>
      <c r="BA65" s="314"/>
      <c r="BF65" s="314"/>
      <c r="BL65" s="314"/>
      <c r="BM65" s="129">
        <f t="shared" si="17"/>
        <v>1</v>
      </c>
      <c r="BN65" s="129">
        <f t="shared" si="18"/>
        <v>1</v>
      </c>
      <c r="BR65" s="129">
        <v>517419</v>
      </c>
      <c r="BS65" s="129">
        <v>169715</v>
      </c>
      <c r="BT65" s="129" t="s">
        <v>172</v>
      </c>
      <c r="BU65" s="129" t="s">
        <v>192</v>
      </c>
      <c r="BX65" s="129" t="s">
        <v>526</v>
      </c>
      <c r="BY65" s="129" t="s">
        <v>359</v>
      </c>
      <c r="CA65" s="129" t="s">
        <v>527</v>
      </c>
      <c r="CB65" s="129" t="s">
        <v>359</v>
      </c>
      <c r="CC65" s="129" t="s">
        <v>359</v>
      </c>
      <c r="CD65" s="129" t="s">
        <v>201</v>
      </c>
      <c r="CE65" s="313"/>
    </row>
    <row r="66" spans="1:83" x14ac:dyDescent="0.25">
      <c r="A66" s="129" t="s">
        <v>629</v>
      </c>
      <c r="B66" s="129" t="s">
        <v>352</v>
      </c>
      <c r="C66" s="129" t="s">
        <v>353</v>
      </c>
      <c r="D66" s="309">
        <v>39906</v>
      </c>
      <c r="E66" s="309">
        <v>41002</v>
      </c>
      <c r="F66" s="309">
        <v>40980</v>
      </c>
      <c r="G66" s="310"/>
      <c r="H66" s="310"/>
      <c r="J66" s="129" t="s">
        <v>266</v>
      </c>
      <c r="K66" s="311" t="s">
        <v>268</v>
      </c>
      <c r="M66" s="191"/>
      <c r="O66" s="129" t="s">
        <v>630</v>
      </c>
      <c r="P66" s="129" t="s">
        <v>631</v>
      </c>
      <c r="Q66" s="129" t="s">
        <v>632</v>
      </c>
      <c r="AA66" s="312">
        <f t="shared" ref="AA66:AA129" si="19">SUM(S66:Z66)</f>
        <v>0</v>
      </c>
      <c r="AC66" s="129">
        <v>1</v>
      </c>
      <c r="AE66" s="129">
        <v>1</v>
      </c>
      <c r="AK66" s="312">
        <f t="shared" ref="AK66:AK129" si="20">SUM(AC66:AJ66)</f>
        <v>2</v>
      </c>
      <c r="AL66" s="129">
        <f t="shared" ref="AL66:AL129" si="21">AC66-S66</f>
        <v>1</v>
      </c>
      <c r="AM66" s="129">
        <f t="shared" ref="AM66:AM129" si="22">AD66-T66</f>
        <v>0</v>
      </c>
      <c r="AN66" s="129">
        <f t="shared" ref="AN66:AN129" si="23">AE66-U66</f>
        <v>1</v>
      </c>
      <c r="AO66" s="129">
        <f t="shared" ref="AO66:AO129" si="24">AF66-V66</f>
        <v>0</v>
      </c>
      <c r="AP66" s="129">
        <f t="shared" ref="AP66:AP129" si="25">AG66-W66</f>
        <v>0</v>
      </c>
      <c r="AQ66" s="129">
        <f t="shared" ref="AQ66:AQ129" si="26">AH66-X66</f>
        <v>0</v>
      </c>
      <c r="AR66" s="129">
        <f t="shared" ref="AR66:AR129" si="27">AI66-Y66</f>
        <v>0</v>
      </c>
      <c r="AS66" s="129">
        <f t="shared" ref="AS66:AS129" si="28">AJ66-Z66</f>
        <v>0</v>
      </c>
      <c r="AT66" s="312">
        <f t="shared" ref="AT66:AT129" si="29">AK66-AA66</f>
        <v>2</v>
      </c>
      <c r="AV66" s="312"/>
      <c r="AX66" s="129">
        <v>1</v>
      </c>
      <c r="AY66" s="129">
        <v>1</v>
      </c>
      <c r="BA66" s="314"/>
      <c r="BF66" s="314"/>
      <c r="BL66" s="314"/>
      <c r="BM66" s="129">
        <f t="shared" ref="BM66:BM76" si="30">SUM(AW66:BA66)</f>
        <v>2</v>
      </c>
      <c r="BN66" s="129">
        <f t="shared" ref="BN66:BN76" si="31">SUM(AW66:BF66)</f>
        <v>2</v>
      </c>
      <c r="BR66" s="129">
        <v>517877</v>
      </c>
      <c r="BS66" s="129">
        <v>172338</v>
      </c>
      <c r="BT66" s="129" t="s">
        <v>169</v>
      </c>
      <c r="BU66" s="129" t="s">
        <v>191</v>
      </c>
      <c r="CA66" s="129" t="s">
        <v>467</v>
      </c>
      <c r="CB66" s="129" t="s">
        <v>359</v>
      </c>
      <c r="CD66" s="129" t="s">
        <v>197</v>
      </c>
      <c r="CE66" s="313"/>
    </row>
    <row r="67" spans="1:83" x14ac:dyDescent="0.25">
      <c r="A67" s="129" t="s">
        <v>633</v>
      </c>
      <c r="B67" s="129" t="s">
        <v>352</v>
      </c>
      <c r="C67" s="129" t="s">
        <v>534</v>
      </c>
      <c r="D67" s="309">
        <v>40609</v>
      </c>
      <c r="E67" s="309">
        <v>41705</v>
      </c>
      <c r="F67" s="309">
        <v>40609</v>
      </c>
      <c r="G67" s="310"/>
      <c r="H67" s="310"/>
      <c r="J67" s="129" t="s">
        <v>266</v>
      </c>
      <c r="K67" s="311" t="s">
        <v>268</v>
      </c>
      <c r="L67" s="129" t="s">
        <v>634</v>
      </c>
      <c r="M67" s="191"/>
      <c r="O67" s="129" t="s">
        <v>635</v>
      </c>
      <c r="P67" s="129" t="s">
        <v>636</v>
      </c>
      <c r="Q67" s="129" t="s">
        <v>637</v>
      </c>
      <c r="AA67" s="312">
        <f t="shared" si="19"/>
        <v>0</v>
      </c>
      <c r="AC67" s="129">
        <v>4</v>
      </c>
      <c r="AD67" s="129">
        <v>7</v>
      </c>
      <c r="AK67" s="312">
        <f t="shared" si="20"/>
        <v>11</v>
      </c>
      <c r="AL67" s="129">
        <f t="shared" si="21"/>
        <v>4</v>
      </c>
      <c r="AM67" s="129">
        <f t="shared" si="22"/>
        <v>7</v>
      </c>
      <c r="AN67" s="129">
        <f t="shared" si="23"/>
        <v>0</v>
      </c>
      <c r="AO67" s="129">
        <f t="shared" si="24"/>
        <v>0</v>
      </c>
      <c r="AP67" s="129">
        <f t="shared" si="25"/>
        <v>0</v>
      </c>
      <c r="AQ67" s="129">
        <f t="shared" si="26"/>
        <v>0</v>
      </c>
      <c r="AR67" s="129">
        <f t="shared" si="27"/>
        <v>0</v>
      </c>
      <c r="AS67" s="129">
        <f t="shared" si="28"/>
        <v>0</v>
      </c>
      <c r="AT67" s="312">
        <f t="shared" si="29"/>
        <v>11</v>
      </c>
      <c r="AU67" s="313" t="s">
        <v>359</v>
      </c>
      <c r="AV67" s="312"/>
      <c r="AX67" s="129">
        <v>2.75</v>
      </c>
      <c r="AY67" s="129">
        <v>2.75</v>
      </c>
      <c r="AZ67" s="129">
        <v>2.75</v>
      </c>
      <c r="BA67" s="314">
        <v>2.75</v>
      </c>
      <c r="BF67" s="314"/>
      <c r="BL67" s="314"/>
      <c r="BM67" s="129">
        <f t="shared" si="30"/>
        <v>11</v>
      </c>
      <c r="BN67" s="129">
        <f t="shared" si="31"/>
        <v>11</v>
      </c>
      <c r="BR67" s="129">
        <v>517650</v>
      </c>
      <c r="BS67" s="129">
        <v>169624</v>
      </c>
      <c r="BT67" s="129" t="s">
        <v>172</v>
      </c>
      <c r="BU67" s="129" t="s">
        <v>192</v>
      </c>
      <c r="BW67" s="129" t="s">
        <v>151</v>
      </c>
      <c r="BX67" s="129" t="s">
        <v>526</v>
      </c>
      <c r="BY67" s="129" t="s">
        <v>359</v>
      </c>
      <c r="CA67" s="129" t="s">
        <v>527</v>
      </c>
      <c r="CB67" s="129" t="s">
        <v>359</v>
      </c>
      <c r="CC67" s="129" t="s">
        <v>359</v>
      </c>
      <c r="CD67" s="129" t="s">
        <v>201</v>
      </c>
      <c r="CE67" s="313"/>
    </row>
    <row r="68" spans="1:83" x14ac:dyDescent="0.25">
      <c r="A68" s="129" t="s">
        <v>638</v>
      </c>
      <c r="B68" s="129" t="s">
        <v>482</v>
      </c>
      <c r="C68" s="129" t="s">
        <v>353</v>
      </c>
      <c r="D68" s="309">
        <v>41486</v>
      </c>
      <c r="E68" s="309">
        <v>42582</v>
      </c>
      <c r="F68" s="309">
        <v>42565</v>
      </c>
      <c r="G68" s="310"/>
      <c r="H68" s="310"/>
      <c r="J68" s="129" t="s">
        <v>266</v>
      </c>
      <c r="K68" s="311" t="s">
        <v>268</v>
      </c>
      <c r="M68" s="191"/>
      <c r="O68" s="129" t="s">
        <v>639</v>
      </c>
      <c r="P68" s="129" t="s">
        <v>640</v>
      </c>
      <c r="Q68" s="129" t="s">
        <v>641</v>
      </c>
      <c r="S68" s="129">
        <v>1</v>
      </c>
      <c r="T68" s="129">
        <v>1</v>
      </c>
      <c r="AA68" s="312">
        <f t="shared" si="19"/>
        <v>2</v>
      </c>
      <c r="AC68" s="129">
        <v>3</v>
      </c>
      <c r="AD68" s="129">
        <v>2</v>
      </c>
      <c r="AE68" s="129">
        <v>1</v>
      </c>
      <c r="AK68" s="312">
        <f t="shared" si="20"/>
        <v>6</v>
      </c>
      <c r="AL68" s="129">
        <f t="shared" si="21"/>
        <v>2</v>
      </c>
      <c r="AM68" s="129">
        <f t="shared" si="22"/>
        <v>1</v>
      </c>
      <c r="AN68" s="129">
        <f t="shared" si="23"/>
        <v>1</v>
      </c>
      <c r="AO68" s="129">
        <f t="shared" si="24"/>
        <v>0</v>
      </c>
      <c r="AP68" s="129">
        <f t="shared" si="25"/>
        <v>0</v>
      </c>
      <c r="AQ68" s="129">
        <f t="shared" si="26"/>
        <v>0</v>
      </c>
      <c r="AR68" s="129">
        <f t="shared" si="27"/>
        <v>0</v>
      </c>
      <c r="AS68" s="129">
        <f t="shared" si="28"/>
        <v>0</v>
      </c>
      <c r="AT68" s="312">
        <f t="shared" si="29"/>
        <v>4</v>
      </c>
      <c r="AV68" s="312"/>
      <c r="AX68" s="129">
        <v>1</v>
      </c>
      <c r="AY68" s="129">
        <v>1</v>
      </c>
      <c r="AZ68" s="129">
        <v>1</v>
      </c>
      <c r="BA68" s="314">
        <v>1</v>
      </c>
      <c r="BF68" s="314"/>
      <c r="BL68" s="314"/>
      <c r="BM68" s="129">
        <f t="shared" si="30"/>
        <v>4</v>
      </c>
      <c r="BN68" s="129">
        <f t="shared" si="31"/>
        <v>4</v>
      </c>
      <c r="BR68" s="129">
        <v>513862</v>
      </c>
      <c r="BS68" s="129">
        <v>169500</v>
      </c>
      <c r="BT68" s="129" t="s">
        <v>170</v>
      </c>
      <c r="BU68" s="129" t="s">
        <v>192</v>
      </c>
      <c r="BW68" s="129" t="s">
        <v>151</v>
      </c>
      <c r="BX68" s="129" t="s">
        <v>642</v>
      </c>
      <c r="BY68" s="129" t="s">
        <v>359</v>
      </c>
      <c r="CA68" s="129" t="s">
        <v>421</v>
      </c>
      <c r="CB68" s="129" t="s">
        <v>359</v>
      </c>
      <c r="CC68" s="129" t="s">
        <v>359</v>
      </c>
      <c r="CD68" s="129" t="s">
        <v>198</v>
      </c>
      <c r="CE68" s="313"/>
    </row>
    <row r="69" spans="1:83" x14ac:dyDescent="0.25">
      <c r="A69" s="129" t="s">
        <v>643</v>
      </c>
      <c r="B69" s="129" t="s">
        <v>369</v>
      </c>
      <c r="C69" s="129" t="s">
        <v>353</v>
      </c>
      <c r="D69" s="309">
        <v>41520</v>
      </c>
      <c r="E69" s="309">
        <v>42616</v>
      </c>
      <c r="F69" s="309">
        <v>42601</v>
      </c>
      <c r="G69" s="310"/>
      <c r="H69" s="310"/>
      <c r="J69" s="129" t="s">
        <v>266</v>
      </c>
      <c r="K69" s="311" t="s">
        <v>268</v>
      </c>
      <c r="L69" s="129" t="s">
        <v>634</v>
      </c>
      <c r="M69" s="191"/>
      <c r="O69" s="129" t="s">
        <v>644</v>
      </c>
      <c r="P69" s="129" t="s">
        <v>645</v>
      </c>
      <c r="Q69" s="129" t="s">
        <v>646</v>
      </c>
      <c r="V69" s="129">
        <v>1</v>
      </c>
      <c r="AA69" s="312">
        <f t="shared" si="19"/>
        <v>1</v>
      </c>
      <c r="AF69" s="129">
        <v>1</v>
      </c>
      <c r="AK69" s="312">
        <f t="shared" si="20"/>
        <v>1</v>
      </c>
      <c r="AL69" s="129">
        <f t="shared" si="21"/>
        <v>0</v>
      </c>
      <c r="AM69" s="129">
        <f t="shared" si="22"/>
        <v>0</v>
      </c>
      <c r="AN69" s="129">
        <f t="shared" si="23"/>
        <v>0</v>
      </c>
      <c r="AO69" s="129">
        <f t="shared" si="24"/>
        <v>0</v>
      </c>
      <c r="AP69" s="129">
        <f t="shared" si="25"/>
        <v>0</v>
      </c>
      <c r="AQ69" s="129">
        <f t="shared" si="26"/>
        <v>0</v>
      </c>
      <c r="AR69" s="129">
        <f t="shared" si="27"/>
        <v>0</v>
      </c>
      <c r="AS69" s="129">
        <f t="shared" si="28"/>
        <v>0</v>
      </c>
      <c r="AT69" s="312">
        <f t="shared" si="29"/>
        <v>0</v>
      </c>
      <c r="AV69" s="312"/>
      <c r="AW69" s="129">
        <v>0</v>
      </c>
      <c r="BA69" s="314"/>
      <c r="BF69" s="314"/>
      <c r="BL69" s="314"/>
      <c r="BM69" s="129">
        <f t="shared" si="30"/>
        <v>0</v>
      </c>
      <c r="BN69" s="129">
        <f t="shared" si="31"/>
        <v>0</v>
      </c>
      <c r="BR69" s="129">
        <v>518397</v>
      </c>
      <c r="BS69" s="129">
        <v>173968</v>
      </c>
      <c r="BT69" s="129" t="s">
        <v>169</v>
      </c>
      <c r="BU69" s="129" t="s">
        <v>191</v>
      </c>
      <c r="BW69" s="129" t="s">
        <v>151</v>
      </c>
      <c r="CA69" s="129" t="s">
        <v>597</v>
      </c>
      <c r="CB69" s="129" t="s">
        <v>359</v>
      </c>
      <c r="CC69" s="129" t="s">
        <v>359</v>
      </c>
      <c r="CD69" s="129" t="s">
        <v>200</v>
      </c>
      <c r="CE69" s="313"/>
    </row>
    <row r="70" spans="1:83" x14ac:dyDescent="0.25">
      <c r="A70" s="129" t="s">
        <v>647</v>
      </c>
      <c r="B70" s="129" t="s">
        <v>369</v>
      </c>
      <c r="C70" s="248" t="s">
        <v>370</v>
      </c>
      <c r="D70" s="309">
        <v>41871</v>
      </c>
      <c r="E70" s="309">
        <v>43066</v>
      </c>
      <c r="F70" s="309">
        <v>42916</v>
      </c>
      <c r="G70" s="310"/>
      <c r="H70" s="310"/>
      <c r="J70" s="129" t="s">
        <v>266</v>
      </c>
      <c r="K70" s="311" t="s">
        <v>268</v>
      </c>
      <c r="M70" s="191"/>
      <c r="O70" s="129" t="s">
        <v>648</v>
      </c>
      <c r="P70" s="129" t="s">
        <v>649</v>
      </c>
      <c r="Q70" s="129" t="s">
        <v>650</v>
      </c>
      <c r="AA70" s="312">
        <f t="shared" si="19"/>
        <v>0</v>
      </c>
      <c r="AC70" s="129">
        <v>1</v>
      </c>
      <c r="AD70" s="129">
        <v>5</v>
      </c>
      <c r="AK70" s="312">
        <f t="shared" si="20"/>
        <v>6</v>
      </c>
      <c r="AL70" s="129">
        <f t="shared" si="21"/>
        <v>1</v>
      </c>
      <c r="AM70" s="129">
        <f t="shared" si="22"/>
        <v>5</v>
      </c>
      <c r="AN70" s="129">
        <f t="shared" si="23"/>
        <v>0</v>
      </c>
      <c r="AO70" s="129">
        <f t="shared" si="24"/>
        <v>0</v>
      </c>
      <c r="AP70" s="129">
        <f t="shared" si="25"/>
        <v>0</v>
      </c>
      <c r="AQ70" s="129">
        <f t="shared" si="26"/>
        <v>0</v>
      </c>
      <c r="AR70" s="129">
        <f t="shared" si="27"/>
        <v>0</v>
      </c>
      <c r="AS70" s="129">
        <f t="shared" si="28"/>
        <v>0</v>
      </c>
      <c r="AT70" s="312">
        <f t="shared" si="29"/>
        <v>6</v>
      </c>
      <c r="AV70" s="312"/>
      <c r="AX70" s="129">
        <v>3</v>
      </c>
      <c r="AY70" s="129">
        <v>3</v>
      </c>
      <c r="BA70" s="314"/>
      <c r="BF70" s="314"/>
      <c r="BL70" s="314"/>
      <c r="BM70" s="129">
        <f t="shared" si="30"/>
        <v>6</v>
      </c>
      <c r="BN70" s="129">
        <f t="shared" si="31"/>
        <v>6</v>
      </c>
      <c r="BR70" s="129">
        <v>515206</v>
      </c>
      <c r="BS70" s="129">
        <v>173341</v>
      </c>
      <c r="BT70" s="129" t="s">
        <v>178</v>
      </c>
      <c r="BU70" s="129" t="s">
        <v>154</v>
      </c>
      <c r="CC70" s="129" t="s">
        <v>359</v>
      </c>
      <c r="CD70" s="129" t="s">
        <v>202</v>
      </c>
      <c r="CE70" s="313"/>
    </row>
    <row r="71" spans="1:83" x14ac:dyDescent="0.25">
      <c r="A71" s="129" t="s">
        <v>651</v>
      </c>
      <c r="B71" s="129" t="s">
        <v>369</v>
      </c>
      <c r="C71" s="129" t="s">
        <v>353</v>
      </c>
      <c r="D71" s="309">
        <v>42565</v>
      </c>
      <c r="E71" s="309">
        <v>43660</v>
      </c>
      <c r="F71" s="309">
        <v>43656</v>
      </c>
      <c r="G71" s="310"/>
      <c r="H71" s="310"/>
      <c r="J71" s="129" t="s">
        <v>266</v>
      </c>
      <c r="K71" s="311" t="s">
        <v>268</v>
      </c>
      <c r="M71" s="191"/>
      <c r="O71" s="129" t="s">
        <v>652</v>
      </c>
      <c r="P71" s="129" t="s">
        <v>653</v>
      </c>
      <c r="Q71" s="129" t="s">
        <v>654</v>
      </c>
      <c r="AA71" s="312">
        <f t="shared" si="19"/>
        <v>0</v>
      </c>
      <c r="AC71" s="129">
        <v>9</v>
      </c>
      <c r="AK71" s="312">
        <f t="shared" si="20"/>
        <v>9</v>
      </c>
      <c r="AL71" s="129">
        <f t="shared" si="21"/>
        <v>9</v>
      </c>
      <c r="AM71" s="129">
        <f t="shared" si="22"/>
        <v>0</v>
      </c>
      <c r="AN71" s="129">
        <f t="shared" si="23"/>
        <v>0</v>
      </c>
      <c r="AO71" s="129">
        <f t="shared" si="24"/>
        <v>0</v>
      </c>
      <c r="AP71" s="129">
        <f t="shared" si="25"/>
        <v>0</v>
      </c>
      <c r="AQ71" s="129">
        <f t="shared" si="26"/>
        <v>0</v>
      </c>
      <c r="AR71" s="129">
        <f t="shared" si="27"/>
        <v>0</v>
      </c>
      <c r="AS71" s="129">
        <f t="shared" si="28"/>
        <v>0</v>
      </c>
      <c r="AT71" s="312">
        <f t="shared" si="29"/>
        <v>9</v>
      </c>
      <c r="AV71" s="312"/>
      <c r="AX71" s="129">
        <v>4.5</v>
      </c>
      <c r="AY71" s="129">
        <v>4.5</v>
      </c>
      <c r="BA71" s="314"/>
      <c r="BF71" s="314"/>
      <c r="BL71" s="314"/>
      <c r="BM71" s="129">
        <f t="shared" si="30"/>
        <v>9</v>
      </c>
      <c r="BN71" s="129">
        <f t="shared" si="31"/>
        <v>9</v>
      </c>
      <c r="BR71" s="129">
        <v>517924</v>
      </c>
      <c r="BS71" s="129">
        <v>174891</v>
      </c>
      <c r="BT71" s="129" t="s">
        <v>177</v>
      </c>
      <c r="BU71" s="129" t="s">
        <v>150</v>
      </c>
      <c r="BV71" s="129" t="s">
        <v>150</v>
      </c>
      <c r="CA71" s="129" t="s">
        <v>606</v>
      </c>
      <c r="CB71" s="129" t="s">
        <v>359</v>
      </c>
      <c r="CC71" s="129" t="s">
        <v>359</v>
      </c>
      <c r="CD71" s="129" t="s">
        <v>200</v>
      </c>
      <c r="CE71" s="313"/>
    </row>
    <row r="72" spans="1:83" x14ac:dyDescent="0.25">
      <c r="A72" s="129" t="s">
        <v>655</v>
      </c>
      <c r="B72" s="129" t="s">
        <v>369</v>
      </c>
      <c r="C72" s="129" t="s">
        <v>353</v>
      </c>
      <c r="D72" s="309">
        <v>43300</v>
      </c>
      <c r="E72" s="309">
        <v>44396</v>
      </c>
      <c r="F72" s="309">
        <v>44382</v>
      </c>
      <c r="G72" s="310"/>
      <c r="H72" s="310"/>
      <c r="J72" s="129" t="s">
        <v>266</v>
      </c>
      <c r="K72" s="311" t="s">
        <v>268</v>
      </c>
      <c r="M72" s="191"/>
      <c r="O72" s="129" t="s">
        <v>656</v>
      </c>
      <c r="P72" s="129" t="s">
        <v>657</v>
      </c>
      <c r="Q72" s="129" t="s">
        <v>658</v>
      </c>
      <c r="AA72" s="312">
        <f t="shared" si="19"/>
        <v>0</v>
      </c>
      <c r="AD72" s="129">
        <v>2</v>
      </c>
      <c r="AK72" s="312">
        <f t="shared" si="20"/>
        <v>2</v>
      </c>
      <c r="AL72" s="129">
        <f t="shared" si="21"/>
        <v>0</v>
      </c>
      <c r="AM72" s="129">
        <f t="shared" si="22"/>
        <v>2</v>
      </c>
      <c r="AN72" s="129">
        <f t="shared" si="23"/>
        <v>0</v>
      </c>
      <c r="AO72" s="129">
        <f t="shared" si="24"/>
        <v>0</v>
      </c>
      <c r="AP72" s="129">
        <f t="shared" si="25"/>
        <v>0</v>
      </c>
      <c r="AQ72" s="129">
        <f t="shared" si="26"/>
        <v>0</v>
      </c>
      <c r="AR72" s="129">
        <f t="shared" si="27"/>
        <v>0</v>
      </c>
      <c r="AS72" s="129">
        <f t="shared" si="28"/>
        <v>0</v>
      </c>
      <c r="AT72" s="312">
        <f t="shared" si="29"/>
        <v>2</v>
      </c>
      <c r="AV72" s="312"/>
      <c r="AX72" s="129">
        <v>1</v>
      </c>
      <c r="AY72" s="129">
        <v>1</v>
      </c>
      <c r="BA72" s="314"/>
      <c r="BF72" s="314"/>
      <c r="BL72" s="314"/>
      <c r="BM72" s="129">
        <f t="shared" si="30"/>
        <v>2</v>
      </c>
      <c r="BN72" s="129">
        <f t="shared" si="31"/>
        <v>2</v>
      </c>
      <c r="BR72" s="129">
        <v>518392</v>
      </c>
      <c r="BS72" s="129">
        <v>175032</v>
      </c>
      <c r="BT72" s="129" t="s">
        <v>177</v>
      </c>
      <c r="BU72" s="129" t="s">
        <v>150</v>
      </c>
      <c r="BX72" s="129" t="s">
        <v>659</v>
      </c>
      <c r="BY72" s="129" t="s">
        <v>359</v>
      </c>
      <c r="CA72" s="129" t="s">
        <v>480</v>
      </c>
      <c r="CB72" s="129" t="s">
        <v>359</v>
      </c>
      <c r="CC72" s="129" t="s">
        <v>359</v>
      </c>
      <c r="CD72" s="129" t="s">
        <v>200</v>
      </c>
      <c r="CE72" s="313"/>
    </row>
    <row r="73" spans="1:83" x14ac:dyDescent="0.25">
      <c r="A73" s="129" t="s">
        <v>660</v>
      </c>
      <c r="B73" s="129" t="s">
        <v>352</v>
      </c>
      <c r="C73" s="129" t="s">
        <v>353</v>
      </c>
      <c r="D73" s="309">
        <v>43041</v>
      </c>
      <c r="E73" s="309">
        <v>44654</v>
      </c>
      <c r="F73" s="309">
        <v>44636</v>
      </c>
      <c r="G73" s="310"/>
      <c r="H73" s="310"/>
      <c r="J73" s="129" t="s">
        <v>266</v>
      </c>
      <c r="K73" s="311" t="s">
        <v>268</v>
      </c>
      <c r="M73" s="191"/>
      <c r="O73" s="129" t="s">
        <v>661</v>
      </c>
      <c r="P73" s="129" t="s">
        <v>662</v>
      </c>
      <c r="Q73" s="129" t="s">
        <v>663</v>
      </c>
      <c r="S73" s="129">
        <v>3</v>
      </c>
      <c r="AA73" s="312">
        <f t="shared" si="19"/>
        <v>3</v>
      </c>
      <c r="AC73" s="129">
        <v>1</v>
      </c>
      <c r="AD73" s="129">
        <v>7</v>
      </c>
      <c r="AK73" s="312">
        <f t="shared" si="20"/>
        <v>8</v>
      </c>
      <c r="AL73" s="129">
        <f t="shared" si="21"/>
        <v>-2</v>
      </c>
      <c r="AM73" s="129">
        <f t="shared" si="22"/>
        <v>7</v>
      </c>
      <c r="AN73" s="129">
        <f t="shared" si="23"/>
        <v>0</v>
      </c>
      <c r="AO73" s="129">
        <f t="shared" si="24"/>
        <v>0</v>
      </c>
      <c r="AP73" s="129">
        <f t="shared" si="25"/>
        <v>0</v>
      </c>
      <c r="AQ73" s="129">
        <f t="shared" si="26"/>
        <v>0</v>
      </c>
      <c r="AR73" s="129">
        <f t="shared" si="27"/>
        <v>0</v>
      </c>
      <c r="AS73" s="129">
        <f t="shared" si="28"/>
        <v>0</v>
      </c>
      <c r="AT73" s="312">
        <f t="shared" si="29"/>
        <v>5</v>
      </c>
      <c r="AV73" s="312"/>
      <c r="AX73" s="129">
        <v>2.5</v>
      </c>
      <c r="AY73" s="129">
        <v>2.5</v>
      </c>
      <c r="BA73" s="314"/>
      <c r="BF73" s="314"/>
      <c r="BL73" s="314"/>
      <c r="BM73" s="129">
        <f t="shared" si="30"/>
        <v>5</v>
      </c>
      <c r="BN73" s="129">
        <f t="shared" si="31"/>
        <v>5</v>
      </c>
      <c r="BR73" s="129">
        <v>517622</v>
      </c>
      <c r="BS73" s="129">
        <v>169605</v>
      </c>
      <c r="BT73" s="129" t="s">
        <v>172</v>
      </c>
      <c r="BU73" s="129" t="s">
        <v>192</v>
      </c>
      <c r="BW73" s="129" t="s">
        <v>151</v>
      </c>
      <c r="BX73" s="129" t="s">
        <v>526</v>
      </c>
      <c r="BY73" s="129" t="s">
        <v>359</v>
      </c>
      <c r="CA73" s="129" t="s">
        <v>527</v>
      </c>
      <c r="CB73" s="129" t="s">
        <v>359</v>
      </c>
      <c r="CC73" s="129" t="s">
        <v>359</v>
      </c>
      <c r="CD73" s="129" t="s">
        <v>201</v>
      </c>
      <c r="CE73" s="313"/>
    </row>
    <row r="74" spans="1:83" x14ac:dyDescent="0.25">
      <c r="A74" s="129" t="s">
        <v>664</v>
      </c>
      <c r="B74" s="129" t="s">
        <v>352</v>
      </c>
      <c r="C74" s="129" t="s">
        <v>353</v>
      </c>
      <c r="D74" s="309">
        <v>43182</v>
      </c>
      <c r="E74" s="309">
        <v>44278</v>
      </c>
      <c r="F74" s="309">
        <v>44200</v>
      </c>
      <c r="G74" s="310"/>
      <c r="H74" s="310"/>
      <c r="J74" s="129" t="s">
        <v>266</v>
      </c>
      <c r="K74" s="311" t="s">
        <v>268</v>
      </c>
      <c r="M74" s="191"/>
      <c r="O74" s="129" t="s">
        <v>665</v>
      </c>
      <c r="P74" s="129" t="s">
        <v>666</v>
      </c>
      <c r="Q74" s="129" t="s">
        <v>667</v>
      </c>
      <c r="AA74" s="312">
        <f t="shared" si="19"/>
        <v>0</v>
      </c>
      <c r="AD74" s="129">
        <v>4</v>
      </c>
      <c r="AK74" s="312">
        <f t="shared" si="20"/>
        <v>4</v>
      </c>
      <c r="AL74" s="129">
        <f t="shared" si="21"/>
        <v>0</v>
      </c>
      <c r="AM74" s="129">
        <f t="shared" si="22"/>
        <v>4</v>
      </c>
      <c r="AN74" s="129">
        <f t="shared" si="23"/>
        <v>0</v>
      </c>
      <c r="AO74" s="129">
        <f t="shared" si="24"/>
        <v>0</v>
      </c>
      <c r="AP74" s="129">
        <f t="shared" si="25"/>
        <v>0</v>
      </c>
      <c r="AQ74" s="129">
        <f t="shared" si="26"/>
        <v>0</v>
      </c>
      <c r="AR74" s="129">
        <f t="shared" si="27"/>
        <v>0</v>
      </c>
      <c r="AS74" s="129">
        <f t="shared" si="28"/>
        <v>0</v>
      </c>
      <c r="AT74" s="312">
        <f t="shared" si="29"/>
        <v>4</v>
      </c>
      <c r="AV74" s="312"/>
      <c r="AX74" s="129">
        <v>2</v>
      </c>
      <c r="AY74" s="129">
        <v>2</v>
      </c>
      <c r="BA74" s="314"/>
      <c r="BF74" s="314"/>
      <c r="BL74" s="314"/>
      <c r="BM74" s="129">
        <f t="shared" si="30"/>
        <v>4</v>
      </c>
      <c r="BN74" s="129">
        <f t="shared" si="31"/>
        <v>4</v>
      </c>
      <c r="BR74" s="129">
        <v>514687</v>
      </c>
      <c r="BS74" s="129">
        <v>171290</v>
      </c>
      <c r="BT74" s="129" t="s">
        <v>168</v>
      </c>
      <c r="BU74" s="129" t="s">
        <v>192</v>
      </c>
      <c r="CC74" s="129" t="s">
        <v>359</v>
      </c>
      <c r="CD74" s="129" t="s">
        <v>201</v>
      </c>
      <c r="CE74" s="313"/>
    </row>
    <row r="75" spans="1:83" x14ac:dyDescent="0.25">
      <c r="A75" s="129" t="s">
        <v>668</v>
      </c>
      <c r="B75" s="129" t="s">
        <v>352</v>
      </c>
      <c r="C75" s="129" t="s">
        <v>353</v>
      </c>
      <c r="D75" s="309">
        <v>43108</v>
      </c>
      <c r="E75" s="309">
        <v>44204</v>
      </c>
      <c r="F75" s="309">
        <v>44203</v>
      </c>
      <c r="G75" s="310"/>
      <c r="H75" s="310"/>
      <c r="J75" s="129" t="s">
        <v>266</v>
      </c>
      <c r="K75" s="311" t="s">
        <v>268</v>
      </c>
      <c r="M75" s="191"/>
      <c r="O75" s="129" t="s">
        <v>669</v>
      </c>
      <c r="P75" s="129" t="s">
        <v>670</v>
      </c>
      <c r="Q75" s="129" t="s">
        <v>671</v>
      </c>
      <c r="AA75" s="312">
        <f t="shared" si="19"/>
        <v>0</v>
      </c>
      <c r="AF75" s="129">
        <v>1</v>
      </c>
      <c r="AK75" s="312">
        <f t="shared" si="20"/>
        <v>1</v>
      </c>
      <c r="AL75" s="129">
        <f t="shared" si="21"/>
        <v>0</v>
      </c>
      <c r="AM75" s="129">
        <f t="shared" si="22"/>
        <v>0</v>
      </c>
      <c r="AN75" s="129">
        <f t="shared" si="23"/>
        <v>0</v>
      </c>
      <c r="AO75" s="129">
        <f t="shared" si="24"/>
        <v>1</v>
      </c>
      <c r="AP75" s="129">
        <f t="shared" si="25"/>
        <v>0</v>
      </c>
      <c r="AQ75" s="129">
        <f t="shared" si="26"/>
        <v>0</v>
      </c>
      <c r="AR75" s="129">
        <f t="shared" si="27"/>
        <v>0</v>
      </c>
      <c r="AS75" s="129">
        <f t="shared" si="28"/>
        <v>0</v>
      </c>
      <c r="AT75" s="312">
        <f t="shared" si="29"/>
        <v>1</v>
      </c>
      <c r="AV75" s="312"/>
      <c r="AX75" s="129">
        <v>1</v>
      </c>
      <c r="BA75" s="314"/>
      <c r="BF75" s="314"/>
      <c r="BL75" s="314"/>
      <c r="BM75" s="129">
        <f t="shared" si="30"/>
        <v>1</v>
      </c>
      <c r="BN75" s="129">
        <f t="shared" si="31"/>
        <v>1</v>
      </c>
      <c r="BR75" s="129">
        <v>516399</v>
      </c>
      <c r="BS75" s="129">
        <v>171470</v>
      </c>
      <c r="BT75" s="129" t="s">
        <v>152</v>
      </c>
      <c r="BU75" s="129" t="s">
        <v>192</v>
      </c>
      <c r="CC75" s="129" t="s">
        <v>359</v>
      </c>
      <c r="CD75" s="129" t="s">
        <v>201</v>
      </c>
      <c r="CE75" s="313"/>
    </row>
    <row r="76" spans="1:83" x14ac:dyDescent="0.25">
      <c r="A76" s="129" t="s">
        <v>672</v>
      </c>
      <c r="B76" s="129" t="s">
        <v>382</v>
      </c>
      <c r="C76" s="129" t="s">
        <v>353</v>
      </c>
      <c r="D76" s="309">
        <v>44418</v>
      </c>
      <c r="E76" s="309">
        <v>45514</v>
      </c>
      <c r="F76" s="309">
        <v>45323</v>
      </c>
      <c r="G76" s="310"/>
      <c r="H76" s="310"/>
      <c r="J76" s="129" t="s">
        <v>266</v>
      </c>
      <c r="K76" s="129" t="s">
        <v>268</v>
      </c>
      <c r="M76" s="191"/>
      <c r="O76" s="129" t="s">
        <v>673</v>
      </c>
      <c r="P76" s="129" t="s">
        <v>674</v>
      </c>
      <c r="Q76" s="129" t="s">
        <v>675</v>
      </c>
      <c r="T76" s="129">
        <v>1</v>
      </c>
      <c r="AA76" s="312">
        <f t="shared" si="19"/>
        <v>1</v>
      </c>
      <c r="AC76" s="129">
        <v>2</v>
      </c>
      <c r="AK76" s="312">
        <f t="shared" si="20"/>
        <v>2</v>
      </c>
      <c r="AL76" s="129">
        <f t="shared" si="21"/>
        <v>2</v>
      </c>
      <c r="AM76" s="129">
        <f t="shared" si="22"/>
        <v>-1</v>
      </c>
      <c r="AN76" s="129">
        <f t="shared" si="23"/>
        <v>0</v>
      </c>
      <c r="AO76" s="129">
        <f t="shared" si="24"/>
        <v>0</v>
      </c>
      <c r="AP76" s="129">
        <f t="shared" si="25"/>
        <v>0</v>
      </c>
      <c r="AQ76" s="129">
        <f t="shared" si="26"/>
        <v>0</v>
      </c>
      <c r="AR76" s="129">
        <f t="shared" si="27"/>
        <v>0</v>
      </c>
      <c r="AS76" s="129">
        <f t="shared" si="28"/>
        <v>0</v>
      </c>
      <c r="AT76" s="312">
        <f t="shared" si="29"/>
        <v>1</v>
      </c>
      <c r="AV76" s="312"/>
      <c r="AW76" s="129">
        <v>1</v>
      </c>
      <c r="BA76" s="314"/>
      <c r="BF76" s="314"/>
      <c r="BL76" s="314"/>
      <c r="BM76" s="129">
        <f t="shared" si="30"/>
        <v>1</v>
      </c>
      <c r="BN76" s="129">
        <f t="shared" si="31"/>
        <v>1</v>
      </c>
      <c r="BR76" s="129">
        <v>512771</v>
      </c>
      <c r="BS76" s="129">
        <v>173675</v>
      </c>
      <c r="BT76" s="129" t="s">
        <v>173</v>
      </c>
      <c r="BU76" s="129" t="s">
        <v>156</v>
      </c>
      <c r="BX76" s="129" t="s">
        <v>676</v>
      </c>
      <c r="BY76" s="129" t="s">
        <v>359</v>
      </c>
      <c r="CD76" s="129" t="s">
        <v>203</v>
      </c>
      <c r="CE76" s="313"/>
    </row>
    <row r="77" spans="1:83" x14ac:dyDescent="0.25">
      <c r="A77" s="129" t="s">
        <v>677</v>
      </c>
      <c r="B77" s="129" t="s">
        <v>352</v>
      </c>
      <c r="C77" s="129" t="s">
        <v>353</v>
      </c>
      <c r="D77" s="309">
        <v>43419</v>
      </c>
      <c r="E77" s="309">
        <v>44695</v>
      </c>
      <c r="F77" s="309">
        <v>44621</v>
      </c>
      <c r="G77" s="310"/>
      <c r="H77" s="310"/>
      <c r="J77" s="129" t="s">
        <v>266</v>
      </c>
      <c r="K77" s="311" t="s">
        <v>268</v>
      </c>
      <c r="M77" s="191"/>
      <c r="O77" s="129" t="s">
        <v>678</v>
      </c>
      <c r="P77" s="129" t="s">
        <v>679</v>
      </c>
      <c r="Q77" s="129" t="s">
        <v>680</v>
      </c>
      <c r="AA77" s="312">
        <f t="shared" si="19"/>
        <v>0</v>
      </c>
      <c r="AC77" s="129">
        <v>1</v>
      </c>
      <c r="AK77" s="312">
        <f t="shared" si="20"/>
        <v>1</v>
      </c>
      <c r="AL77" s="129">
        <f t="shared" si="21"/>
        <v>1</v>
      </c>
      <c r="AM77" s="129">
        <f t="shared" si="22"/>
        <v>0</v>
      </c>
      <c r="AN77" s="129">
        <f t="shared" si="23"/>
        <v>0</v>
      </c>
      <c r="AO77" s="129">
        <f t="shared" si="24"/>
        <v>0</v>
      </c>
      <c r="AP77" s="129">
        <f t="shared" si="25"/>
        <v>0</v>
      </c>
      <c r="AQ77" s="129">
        <f t="shared" si="26"/>
        <v>0</v>
      </c>
      <c r="AR77" s="129">
        <f t="shared" si="27"/>
        <v>0</v>
      </c>
      <c r="AS77" s="129">
        <f t="shared" si="28"/>
        <v>0</v>
      </c>
      <c r="AT77" s="312">
        <f t="shared" si="29"/>
        <v>1</v>
      </c>
      <c r="AV77" s="312"/>
      <c r="AX77" s="129">
        <v>0.5</v>
      </c>
      <c r="AY77" s="129">
        <v>0.5</v>
      </c>
      <c r="BA77" s="314"/>
      <c r="BF77" s="314"/>
      <c r="BL77" s="314"/>
      <c r="BM77" s="129">
        <f>SUM(AX77:BA77)</f>
        <v>1</v>
      </c>
      <c r="BN77" s="129">
        <f>SUM(AX77:BF77)</f>
        <v>1</v>
      </c>
      <c r="BR77" s="129">
        <v>516598</v>
      </c>
      <c r="BS77" s="129">
        <v>174330</v>
      </c>
      <c r="BT77" s="129" t="s">
        <v>179</v>
      </c>
      <c r="BU77" s="129" t="s">
        <v>154</v>
      </c>
      <c r="CC77" s="129" t="s">
        <v>359</v>
      </c>
      <c r="CD77" s="129" t="s">
        <v>202</v>
      </c>
      <c r="CE77" s="313"/>
    </row>
    <row r="78" spans="1:83" x14ac:dyDescent="0.25">
      <c r="A78" s="129" t="s">
        <v>681</v>
      </c>
      <c r="B78" s="129" t="s">
        <v>352</v>
      </c>
      <c r="C78" s="129" t="s">
        <v>353</v>
      </c>
      <c r="D78" s="309">
        <v>43307</v>
      </c>
      <c r="E78" s="309">
        <v>44403</v>
      </c>
      <c r="F78" s="309">
        <v>44400</v>
      </c>
      <c r="G78" s="310"/>
      <c r="H78" s="310"/>
      <c r="J78" s="129" t="s">
        <v>266</v>
      </c>
      <c r="K78" s="311" t="s">
        <v>268</v>
      </c>
      <c r="M78" s="191"/>
      <c r="O78" s="129" t="s">
        <v>682</v>
      </c>
      <c r="P78" s="129" t="s">
        <v>683</v>
      </c>
      <c r="Q78" s="129" t="s">
        <v>684</v>
      </c>
      <c r="AA78" s="312">
        <f t="shared" si="19"/>
        <v>0</v>
      </c>
      <c r="AD78" s="129">
        <v>1</v>
      </c>
      <c r="AE78" s="129">
        <v>1</v>
      </c>
      <c r="AK78" s="312">
        <f t="shared" si="20"/>
        <v>2</v>
      </c>
      <c r="AL78" s="129">
        <f t="shared" si="21"/>
        <v>0</v>
      </c>
      <c r="AM78" s="129">
        <f t="shared" si="22"/>
        <v>1</v>
      </c>
      <c r="AN78" s="129">
        <f t="shared" si="23"/>
        <v>1</v>
      </c>
      <c r="AO78" s="129">
        <f t="shared" si="24"/>
        <v>0</v>
      </c>
      <c r="AP78" s="129">
        <f t="shared" si="25"/>
        <v>0</v>
      </c>
      <c r="AQ78" s="129">
        <f t="shared" si="26"/>
        <v>0</v>
      </c>
      <c r="AR78" s="129">
        <f t="shared" si="27"/>
        <v>0</v>
      </c>
      <c r="AS78" s="129">
        <f t="shared" si="28"/>
        <v>0</v>
      </c>
      <c r="AT78" s="312">
        <f t="shared" si="29"/>
        <v>2</v>
      </c>
      <c r="AV78" s="312"/>
      <c r="AX78" s="129">
        <v>1</v>
      </c>
      <c r="AY78" s="129">
        <v>1</v>
      </c>
      <c r="BA78" s="314"/>
      <c r="BF78" s="314"/>
      <c r="BL78" s="314"/>
      <c r="BM78" s="129">
        <f t="shared" ref="BM78:BM87" si="32">SUM(AW78:BA78)</f>
        <v>2</v>
      </c>
      <c r="BN78" s="129">
        <f t="shared" ref="BN78:BN87" si="33">SUM(AW78:BF78)</f>
        <v>2</v>
      </c>
      <c r="BR78" s="129">
        <v>514975</v>
      </c>
      <c r="BS78" s="129">
        <v>171285</v>
      </c>
      <c r="BT78" s="129" t="s">
        <v>168</v>
      </c>
      <c r="BU78" s="129" t="s">
        <v>192</v>
      </c>
      <c r="CC78" s="129" t="s">
        <v>359</v>
      </c>
      <c r="CD78" s="129" t="s">
        <v>201</v>
      </c>
      <c r="CE78" s="313"/>
    </row>
    <row r="79" spans="1:83" x14ac:dyDescent="0.25">
      <c r="A79" s="129" t="s">
        <v>685</v>
      </c>
      <c r="B79" s="129" t="s">
        <v>352</v>
      </c>
      <c r="C79" s="129" t="s">
        <v>353</v>
      </c>
      <c r="D79" s="309">
        <v>43215</v>
      </c>
      <c r="E79" s="309">
        <v>44311</v>
      </c>
      <c r="F79" s="309">
        <v>44270</v>
      </c>
      <c r="G79" s="310"/>
      <c r="H79" s="310"/>
      <c r="J79" s="129" t="s">
        <v>266</v>
      </c>
      <c r="K79" s="311" t="s">
        <v>268</v>
      </c>
      <c r="M79" s="191"/>
      <c r="O79" s="129" t="s">
        <v>686</v>
      </c>
      <c r="P79" s="129" t="s">
        <v>687</v>
      </c>
      <c r="Q79" s="129" t="s">
        <v>688</v>
      </c>
      <c r="AA79" s="312">
        <f t="shared" si="19"/>
        <v>0</v>
      </c>
      <c r="AE79" s="129">
        <v>1</v>
      </c>
      <c r="AK79" s="312">
        <f t="shared" si="20"/>
        <v>1</v>
      </c>
      <c r="AL79" s="129">
        <f t="shared" si="21"/>
        <v>0</v>
      </c>
      <c r="AM79" s="129">
        <f t="shared" si="22"/>
        <v>0</v>
      </c>
      <c r="AN79" s="129">
        <f t="shared" si="23"/>
        <v>1</v>
      </c>
      <c r="AO79" s="129">
        <f t="shared" si="24"/>
        <v>0</v>
      </c>
      <c r="AP79" s="129">
        <f t="shared" si="25"/>
        <v>0</v>
      </c>
      <c r="AQ79" s="129">
        <f t="shared" si="26"/>
        <v>0</v>
      </c>
      <c r="AR79" s="129">
        <f t="shared" si="27"/>
        <v>0</v>
      </c>
      <c r="AS79" s="129">
        <f t="shared" si="28"/>
        <v>0</v>
      </c>
      <c r="AT79" s="312">
        <f t="shared" si="29"/>
        <v>1</v>
      </c>
      <c r="AV79" s="312"/>
      <c r="AW79" s="129">
        <v>1</v>
      </c>
      <c r="BA79" s="314"/>
      <c r="BF79" s="314"/>
      <c r="BL79" s="314"/>
      <c r="BM79" s="129">
        <f t="shared" si="32"/>
        <v>1</v>
      </c>
      <c r="BN79" s="129">
        <f t="shared" si="33"/>
        <v>1</v>
      </c>
      <c r="BR79" s="129">
        <v>517808</v>
      </c>
      <c r="BS79" s="129">
        <v>173353</v>
      </c>
      <c r="BT79" s="129" t="s">
        <v>169</v>
      </c>
      <c r="BU79" s="129" t="s">
        <v>191</v>
      </c>
      <c r="BW79" s="129" t="s">
        <v>151</v>
      </c>
      <c r="BZ79" s="129" t="s">
        <v>689</v>
      </c>
      <c r="CA79" s="129" t="s">
        <v>690</v>
      </c>
      <c r="CB79" s="129" t="s">
        <v>359</v>
      </c>
      <c r="CD79" s="129" t="s">
        <v>197</v>
      </c>
      <c r="CE79" s="313"/>
    </row>
    <row r="80" spans="1:83" x14ac:dyDescent="0.25">
      <c r="A80" s="129" t="s">
        <v>691</v>
      </c>
      <c r="B80" s="129" t="s">
        <v>482</v>
      </c>
      <c r="C80" s="129" t="s">
        <v>353</v>
      </c>
      <c r="D80" s="309">
        <v>43439</v>
      </c>
      <c r="E80" s="309">
        <v>44535</v>
      </c>
      <c r="F80" s="309">
        <v>43780</v>
      </c>
      <c r="G80" s="310"/>
      <c r="H80" s="310"/>
      <c r="J80" s="129" t="s">
        <v>266</v>
      </c>
      <c r="K80" s="311" t="s">
        <v>268</v>
      </c>
      <c r="M80" s="191"/>
      <c r="O80" s="129" t="s">
        <v>692</v>
      </c>
      <c r="P80" s="129" t="s">
        <v>693</v>
      </c>
      <c r="Q80" s="129" t="s">
        <v>694</v>
      </c>
      <c r="V80" s="129">
        <v>1</v>
      </c>
      <c r="AA80" s="312">
        <f t="shared" si="19"/>
        <v>1</v>
      </c>
      <c r="AC80" s="129">
        <v>1</v>
      </c>
      <c r="AE80" s="129">
        <v>1</v>
      </c>
      <c r="AK80" s="312">
        <f t="shared" si="20"/>
        <v>2</v>
      </c>
      <c r="AL80" s="129">
        <f t="shared" si="21"/>
        <v>1</v>
      </c>
      <c r="AM80" s="129">
        <f t="shared" si="22"/>
        <v>0</v>
      </c>
      <c r="AN80" s="129">
        <f t="shared" si="23"/>
        <v>1</v>
      </c>
      <c r="AO80" s="129">
        <f t="shared" si="24"/>
        <v>-1</v>
      </c>
      <c r="AP80" s="129">
        <f t="shared" si="25"/>
        <v>0</v>
      </c>
      <c r="AQ80" s="129">
        <f t="shared" si="26"/>
        <v>0</v>
      </c>
      <c r="AR80" s="129">
        <f t="shared" si="27"/>
        <v>0</v>
      </c>
      <c r="AS80" s="129">
        <f t="shared" si="28"/>
        <v>0</v>
      </c>
      <c r="AT80" s="312">
        <f t="shared" si="29"/>
        <v>1</v>
      </c>
      <c r="AV80" s="312"/>
      <c r="AX80" s="129">
        <v>0.5</v>
      </c>
      <c r="AY80" s="129">
        <v>0.5</v>
      </c>
      <c r="BA80" s="314"/>
      <c r="BF80" s="314"/>
      <c r="BL80" s="314"/>
      <c r="BM80" s="129">
        <f t="shared" si="32"/>
        <v>1</v>
      </c>
      <c r="BN80" s="129">
        <f t="shared" si="33"/>
        <v>1</v>
      </c>
      <c r="BR80" s="129">
        <v>520283</v>
      </c>
      <c r="BS80" s="129">
        <v>175305</v>
      </c>
      <c r="BT80" s="129" t="s">
        <v>149</v>
      </c>
      <c r="BU80" s="129" t="s">
        <v>190</v>
      </c>
      <c r="BV80" s="129" t="s">
        <v>149</v>
      </c>
      <c r="CC80" s="129" t="s">
        <v>359</v>
      </c>
      <c r="CD80" s="129" t="s">
        <v>199</v>
      </c>
      <c r="CE80" s="313"/>
    </row>
    <row r="81" spans="1:83" x14ac:dyDescent="0.25">
      <c r="A81" s="129" t="s">
        <v>695</v>
      </c>
      <c r="B81" s="129" t="s">
        <v>369</v>
      </c>
      <c r="C81" s="129" t="s">
        <v>353</v>
      </c>
      <c r="D81" s="309">
        <v>43455</v>
      </c>
      <c r="E81" s="309">
        <v>44551</v>
      </c>
      <c r="F81" s="309">
        <v>44075</v>
      </c>
      <c r="G81" s="310"/>
      <c r="H81" s="310"/>
      <c r="J81" s="129" t="s">
        <v>266</v>
      </c>
      <c r="K81" s="311" t="s">
        <v>268</v>
      </c>
      <c r="M81" s="191"/>
      <c r="O81" s="129" t="s">
        <v>696</v>
      </c>
      <c r="P81" s="129" t="s">
        <v>697</v>
      </c>
      <c r="Q81" s="129" t="s">
        <v>698</v>
      </c>
      <c r="S81" s="129">
        <v>1</v>
      </c>
      <c r="AA81" s="312">
        <f t="shared" si="19"/>
        <v>1</v>
      </c>
      <c r="AC81" s="129">
        <v>2</v>
      </c>
      <c r="AK81" s="312">
        <f t="shared" si="20"/>
        <v>2</v>
      </c>
      <c r="AL81" s="129">
        <f t="shared" si="21"/>
        <v>1</v>
      </c>
      <c r="AM81" s="129">
        <f t="shared" si="22"/>
        <v>0</v>
      </c>
      <c r="AN81" s="129">
        <f t="shared" si="23"/>
        <v>0</v>
      </c>
      <c r="AO81" s="129">
        <f t="shared" si="24"/>
        <v>0</v>
      </c>
      <c r="AP81" s="129">
        <f t="shared" si="25"/>
        <v>0</v>
      </c>
      <c r="AQ81" s="129">
        <f t="shared" si="26"/>
        <v>0</v>
      </c>
      <c r="AR81" s="129">
        <f t="shared" si="27"/>
        <v>0</v>
      </c>
      <c r="AS81" s="129">
        <f t="shared" si="28"/>
        <v>0</v>
      </c>
      <c r="AT81" s="312">
        <f t="shared" si="29"/>
        <v>1</v>
      </c>
      <c r="AV81" s="312"/>
      <c r="AW81" s="129">
        <v>1</v>
      </c>
      <c r="BA81" s="314"/>
      <c r="BF81" s="314"/>
      <c r="BL81" s="314"/>
      <c r="BM81" s="129">
        <f t="shared" si="32"/>
        <v>1</v>
      </c>
      <c r="BN81" s="129">
        <f t="shared" si="33"/>
        <v>1</v>
      </c>
      <c r="BR81" s="129">
        <v>518862</v>
      </c>
      <c r="BS81" s="129">
        <v>175562</v>
      </c>
      <c r="BT81" s="129" t="s">
        <v>176</v>
      </c>
      <c r="BU81" s="129" t="s">
        <v>150</v>
      </c>
      <c r="CC81" s="129" t="s">
        <v>359</v>
      </c>
      <c r="CD81" s="129" t="s">
        <v>200</v>
      </c>
      <c r="CE81" s="313"/>
    </row>
    <row r="82" spans="1:83" x14ac:dyDescent="0.25">
      <c r="A82" s="129" t="s">
        <v>699</v>
      </c>
      <c r="B82" s="129" t="s">
        <v>352</v>
      </c>
      <c r="C82" s="129" t="s">
        <v>353</v>
      </c>
      <c r="D82" s="309">
        <v>43472</v>
      </c>
      <c r="E82" s="309">
        <v>44568</v>
      </c>
      <c r="F82" s="309">
        <v>44455</v>
      </c>
      <c r="G82" s="310"/>
      <c r="H82" s="310"/>
      <c r="J82" s="129" t="s">
        <v>266</v>
      </c>
      <c r="K82" s="311" t="s">
        <v>268</v>
      </c>
      <c r="M82" s="191"/>
      <c r="O82" s="129" t="s">
        <v>700</v>
      </c>
      <c r="P82" s="129" t="s">
        <v>701</v>
      </c>
      <c r="Q82" s="129" t="s">
        <v>702</v>
      </c>
      <c r="AA82" s="312">
        <f t="shared" si="19"/>
        <v>0</v>
      </c>
      <c r="AD82" s="129">
        <v>1</v>
      </c>
      <c r="AK82" s="312">
        <f t="shared" si="20"/>
        <v>1</v>
      </c>
      <c r="AL82" s="129">
        <f t="shared" si="21"/>
        <v>0</v>
      </c>
      <c r="AM82" s="129">
        <f t="shared" si="22"/>
        <v>1</v>
      </c>
      <c r="AN82" s="129">
        <f t="shared" si="23"/>
        <v>0</v>
      </c>
      <c r="AO82" s="129">
        <f t="shared" si="24"/>
        <v>0</v>
      </c>
      <c r="AP82" s="129">
        <f t="shared" si="25"/>
        <v>0</v>
      </c>
      <c r="AQ82" s="129">
        <f t="shared" si="26"/>
        <v>0</v>
      </c>
      <c r="AR82" s="129">
        <f t="shared" si="27"/>
        <v>0</v>
      </c>
      <c r="AS82" s="129">
        <f t="shared" si="28"/>
        <v>0</v>
      </c>
      <c r="AT82" s="312">
        <f t="shared" si="29"/>
        <v>1</v>
      </c>
      <c r="AV82" s="312"/>
      <c r="AX82" s="129">
        <v>0.5</v>
      </c>
      <c r="AY82" s="129">
        <v>0.5</v>
      </c>
      <c r="BA82" s="314"/>
      <c r="BF82" s="314"/>
      <c r="BL82" s="314"/>
      <c r="BM82" s="129">
        <f t="shared" si="32"/>
        <v>1</v>
      </c>
      <c r="BN82" s="129">
        <f t="shared" si="33"/>
        <v>1</v>
      </c>
      <c r="BR82" s="129">
        <v>514703</v>
      </c>
      <c r="BS82" s="129">
        <v>172701</v>
      </c>
      <c r="BT82" s="129" t="s">
        <v>181</v>
      </c>
      <c r="BU82" s="129" t="s">
        <v>154</v>
      </c>
      <c r="CD82" s="129" t="s">
        <v>202</v>
      </c>
      <c r="CE82" s="313"/>
    </row>
    <row r="83" spans="1:83" x14ac:dyDescent="0.25">
      <c r="A83" s="129" t="s">
        <v>703</v>
      </c>
      <c r="B83" s="129" t="s">
        <v>352</v>
      </c>
      <c r="C83" s="129" t="s">
        <v>353</v>
      </c>
      <c r="D83" s="309">
        <v>44090</v>
      </c>
      <c r="E83" s="309">
        <v>45185</v>
      </c>
      <c r="F83" s="309">
        <v>45181</v>
      </c>
      <c r="G83" s="310"/>
      <c r="H83" s="310"/>
      <c r="J83" s="129" t="s">
        <v>266</v>
      </c>
      <c r="K83" s="129" t="s">
        <v>268</v>
      </c>
      <c r="M83" s="191"/>
      <c r="O83" s="129" t="s">
        <v>704</v>
      </c>
      <c r="P83" s="129" t="s">
        <v>705</v>
      </c>
      <c r="Q83" s="129" t="s">
        <v>706</v>
      </c>
      <c r="AA83" s="312">
        <f t="shared" si="19"/>
        <v>0</v>
      </c>
      <c r="AC83" s="129">
        <v>13</v>
      </c>
      <c r="AD83" s="129">
        <v>75</v>
      </c>
      <c r="AK83" s="312">
        <f t="shared" si="20"/>
        <v>88</v>
      </c>
      <c r="AL83" s="129">
        <f t="shared" si="21"/>
        <v>13</v>
      </c>
      <c r="AM83" s="129">
        <f t="shared" si="22"/>
        <v>75</v>
      </c>
      <c r="AN83" s="129">
        <f t="shared" si="23"/>
        <v>0</v>
      </c>
      <c r="AO83" s="129">
        <f t="shared" si="24"/>
        <v>0</v>
      </c>
      <c r="AP83" s="129">
        <f t="shared" si="25"/>
        <v>0</v>
      </c>
      <c r="AQ83" s="129">
        <f t="shared" si="26"/>
        <v>0</v>
      </c>
      <c r="AR83" s="129">
        <f t="shared" si="27"/>
        <v>0</v>
      </c>
      <c r="AS83" s="129">
        <f t="shared" si="28"/>
        <v>0</v>
      </c>
      <c r="AT83" s="312">
        <f t="shared" si="29"/>
        <v>88</v>
      </c>
      <c r="AU83" s="313" t="s">
        <v>359</v>
      </c>
      <c r="AV83" s="312"/>
      <c r="AY83" s="129">
        <v>88</v>
      </c>
      <c r="BA83" s="314"/>
      <c r="BF83" s="314"/>
      <c r="BL83" s="314"/>
      <c r="BM83" s="129">
        <f t="shared" si="32"/>
        <v>88</v>
      </c>
      <c r="BN83" s="129">
        <f t="shared" si="33"/>
        <v>88</v>
      </c>
      <c r="BO83" s="129" t="s">
        <v>359</v>
      </c>
      <c r="BR83" s="129">
        <v>519778</v>
      </c>
      <c r="BS83" s="129">
        <v>176914</v>
      </c>
      <c r="BT83" s="129" t="s">
        <v>174</v>
      </c>
      <c r="BU83" s="129" t="s">
        <v>150</v>
      </c>
      <c r="BW83" s="129" t="s">
        <v>151</v>
      </c>
      <c r="BZ83" s="129" t="s">
        <v>707</v>
      </c>
      <c r="CC83" s="129" t="s">
        <v>359</v>
      </c>
      <c r="CD83" s="129" t="s">
        <v>174</v>
      </c>
      <c r="CE83" s="313"/>
    </row>
    <row r="84" spans="1:83" x14ac:dyDescent="0.25">
      <c r="A84" s="129" t="s">
        <v>708</v>
      </c>
      <c r="B84" s="129" t="s">
        <v>352</v>
      </c>
      <c r="C84" s="129" t="s">
        <v>353</v>
      </c>
      <c r="D84" s="309">
        <v>43755</v>
      </c>
      <c r="E84" s="309">
        <v>44851</v>
      </c>
      <c r="F84" s="309">
        <v>44811</v>
      </c>
      <c r="G84" s="310"/>
      <c r="H84" s="310"/>
      <c r="I84" s="315">
        <v>45880</v>
      </c>
      <c r="J84" s="129" t="s">
        <v>266</v>
      </c>
      <c r="K84" s="311" t="s">
        <v>268</v>
      </c>
      <c r="M84" s="191"/>
      <c r="O84" s="129" t="s">
        <v>709</v>
      </c>
      <c r="P84" s="129" t="s">
        <v>710</v>
      </c>
      <c r="Q84" s="129" t="s">
        <v>711</v>
      </c>
      <c r="AA84" s="312">
        <f t="shared" si="19"/>
        <v>0</v>
      </c>
      <c r="AF84" s="129">
        <v>1</v>
      </c>
      <c r="AK84" s="312">
        <f t="shared" si="20"/>
        <v>1</v>
      </c>
      <c r="AL84" s="129">
        <f t="shared" si="21"/>
        <v>0</v>
      </c>
      <c r="AM84" s="129">
        <f t="shared" si="22"/>
        <v>0</v>
      </c>
      <c r="AN84" s="129">
        <f t="shared" si="23"/>
        <v>0</v>
      </c>
      <c r="AO84" s="129">
        <f t="shared" si="24"/>
        <v>1</v>
      </c>
      <c r="AP84" s="129">
        <f t="shared" si="25"/>
        <v>0</v>
      </c>
      <c r="AQ84" s="129">
        <f t="shared" si="26"/>
        <v>0</v>
      </c>
      <c r="AR84" s="129">
        <f t="shared" si="27"/>
        <v>0</v>
      </c>
      <c r="AS84" s="129">
        <f t="shared" si="28"/>
        <v>0</v>
      </c>
      <c r="AT84" s="312">
        <f t="shared" si="29"/>
        <v>1</v>
      </c>
      <c r="AV84" s="312"/>
      <c r="AW84" s="129">
        <v>1</v>
      </c>
      <c r="BA84" s="314"/>
      <c r="BF84" s="314"/>
      <c r="BL84" s="314"/>
      <c r="BM84" s="129">
        <f t="shared" si="32"/>
        <v>1</v>
      </c>
      <c r="BN84" s="129">
        <f t="shared" si="33"/>
        <v>1</v>
      </c>
      <c r="BR84" s="129">
        <v>516550</v>
      </c>
      <c r="BS84" s="129">
        <v>171027</v>
      </c>
      <c r="BT84" s="129" t="s">
        <v>172</v>
      </c>
      <c r="BU84" s="129" t="s">
        <v>192</v>
      </c>
      <c r="CC84" s="129" t="s">
        <v>359</v>
      </c>
      <c r="CD84" s="129" t="s">
        <v>201</v>
      </c>
      <c r="CE84" s="313" t="s">
        <v>359</v>
      </c>
    </row>
    <row r="85" spans="1:83" x14ac:dyDescent="0.25">
      <c r="A85" s="129" t="s">
        <v>712</v>
      </c>
      <c r="B85" s="129" t="s">
        <v>369</v>
      </c>
      <c r="C85" s="129" t="s">
        <v>353</v>
      </c>
      <c r="D85" s="309">
        <v>43661</v>
      </c>
      <c r="E85" s="309">
        <v>44757</v>
      </c>
      <c r="F85" s="309">
        <v>44249</v>
      </c>
      <c r="G85" s="310"/>
      <c r="H85" s="310"/>
      <c r="I85" s="315">
        <v>46045</v>
      </c>
      <c r="J85" s="129" t="s">
        <v>266</v>
      </c>
      <c r="K85" s="129" t="s">
        <v>713</v>
      </c>
      <c r="M85" s="191"/>
      <c r="O85" s="129" t="s">
        <v>714</v>
      </c>
      <c r="P85" s="129" t="s">
        <v>715</v>
      </c>
      <c r="Q85" s="129" t="s">
        <v>716</v>
      </c>
      <c r="AA85" s="312">
        <f t="shared" si="19"/>
        <v>0</v>
      </c>
      <c r="AB85" s="313" t="s">
        <v>359</v>
      </c>
      <c r="AC85" s="129">
        <v>7</v>
      </c>
      <c r="AD85" s="129">
        <v>3</v>
      </c>
      <c r="AE85" s="129">
        <v>1</v>
      </c>
      <c r="AK85" s="312">
        <f t="shared" si="20"/>
        <v>11</v>
      </c>
      <c r="AL85" s="129">
        <f t="shared" si="21"/>
        <v>7</v>
      </c>
      <c r="AM85" s="129">
        <f t="shared" si="22"/>
        <v>3</v>
      </c>
      <c r="AN85" s="129">
        <f t="shared" si="23"/>
        <v>1</v>
      </c>
      <c r="AO85" s="129">
        <f t="shared" si="24"/>
        <v>0</v>
      </c>
      <c r="AP85" s="129">
        <f t="shared" si="25"/>
        <v>0</v>
      </c>
      <c r="AQ85" s="129">
        <f t="shared" si="26"/>
        <v>0</v>
      </c>
      <c r="AR85" s="129">
        <f t="shared" si="27"/>
        <v>0</v>
      </c>
      <c r="AS85" s="129">
        <f t="shared" si="28"/>
        <v>0</v>
      </c>
      <c r="AT85" s="312">
        <f t="shared" si="29"/>
        <v>11</v>
      </c>
      <c r="AU85" s="313" t="s">
        <v>359</v>
      </c>
      <c r="AV85" s="312"/>
      <c r="AW85" s="129">
        <v>11</v>
      </c>
      <c r="BA85" s="314"/>
      <c r="BF85" s="314"/>
      <c r="BL85" s="314"/>
      <c r="BM85" s="129">
        <f t="shared" si="32"/>
        <v>11</v>
      </c>
      <c r="BN85" s="129">
        <f t="shared" si="33"/>
        <v>11</v>
      </c>
      <c r="BR85" s="129">
        <v>518144</v>
      </c>
      <c r="BS85" s="129">
        <v>175553</v>
      </c>
      <c r="BT85" s="309" t="s">
        <v>176</v>
      </c>
      <c r="BU85" s="129" t="s">
        <v>150</v>
      </c>
      <c r="CA85" s="129" t="s">
        <v>426</v>
      </c>
      <c r="CB85" s="129" t="s">
        <v>359</v>
      </c>
      <c r="CC85" s="129" t="s">
        <v>359</v>
      </c>
      <c r="CD85" s="129" t="s">
        <v>200</v>
      </c>
      <c r="CE85" s="313"/>
    </row>
    <row r="86" spans="1:83" x14ac:dyDescent="0.25">
      <c r="A86" s="129" t="s">
        <v>712</v>
      </c>
      <c r="B86" s="129" t="s">
        <v>369</v>
      </c>
      <c r="C86" s="129" t="s">
        <v>353</v>
      </c>
      <c r="D86" s="309">
        <v>43661</v>
      </c>
      <c r="E86" s="309">
        <v>44757</v>
      </c>
      <c r="F86" s="309">
        <v>44249</v>
      </c>
      <c r="G86" s="310"/>
      <c r="H86" s="310"/>
      <c r="I86" s="315">
        <v>46045</v>
      </c>
      <c r="J86" s="129" t="s">
        <v>266</v>
      </c>
      <c r="K86" s="129" t="s">
        <v>214</v>
      </c>
      <c r="M86" s="191"/>
      <c r="O86" s="129" t="s">
        <v>714</v>
      </c>
      <c r="P86" s="129" t="s">
        <v>715</v>
      </c>
      <c r="Q86" s="129" t="s">
        <v>716</v>
      </c>
      <c r="AA86" s="312">
        <f t="shared" si="19"/>
        <v>0</v>
      </c>
      <c r="AB86" s="313" t="s">
        <v>359</v>
      </c>
      <c r="AC86" s="129">
        <v>4</v>
      </c>
      <c r="AK86" s="312">
        <f t="shared" si="20"/>
        <v>4</v>
      </c>
      <c r="AL86" s="129">
        <f t="shared" si="21"/>
        <v>4</v>
      </c>
      <c r="AM86" s="129">
        <f t="shared" si="22"/>
        <v>0</v>
      </c>
      <c r="AN86" s="129">
        <f t="shared" si="23"/>
        <v>0</v>
      </c>
      <c r="AO86" s="129">
        <f t="shared" si="24"/>
        <v>0</v>
      </c>
      <c r="AP86" s="129">
        <f t="shared" si="25"/>
        <v>0</v>
      </c>
      <c r="AQ86" s="129">
        <f t="shared" si="26"/>
        <v>0</v>
      </c>
      <c r="AR86" s="129">
        <f t="shared" si="27"/>
        <v>0</v>
      </c>
      <c r="AS86" s="129">
        <f t="shared" si="28"/>
        <v>0</v>
      </c>
      <c r="AT86" s="312">
        <f t="shared" si="29"/>
        <v>4</v>
      </c>
      <c r="AU86" s="313" t="s">
        <v>359</v>
      </c>
      <c r="AV86" s="312"/>
      <c r="AW86" s="129">
        <v>4</v>
      </c>
      <c r="BA86" s="314"/>
      <c r="BF86" s="314"/>
      <c r="BL86" s="314"/>
      <c r="BM86" s="129">
        <f t="shared" si="32"/>
        <v>4</v>
      </c>
      <c r="BN86" s="129">
        <f t="shared" si="33"/>
        <v>4</v>
      </c>
      <c r="BR86" s="129">
        <v>518144</v>
      </c>
      <c r="BS86" s="129">
        <v>175553</v>
      </c>
      <c r="BT86" s="309" t="s">
        <v>176</v>
      </c>
      <c r="BU86" s="129" t="s">
        <v>150</v>
      </c>
      <c r="CA86" s="129" t="s">
        <v>426</v>
      </c>
      <c r="CB86" s="129" t="s">
        <v>359</v>
      </c>
      <c r="CC86" s="129" t="s">
        <v>359</v>
      </c>
      <c r="CD86" s="129" t="s">
        <v>200</v>
      </c>
      <c r="CE86" s="313"/>
    </row>
    <row r="87" spans="1:83" x14ac:dyDescent="0.25">
      <c r="A87" s="129" t="s">
        <v>712</v>
      </c>
      <c r="B87" s="129" t="s">
        <v>369</v>
      </c>
      <c r="C87" s="129" t="s">
        <v>353</v>
      </c>
      <c r="D87" s="309">
        <v>43661</v>
      </c>
      <c r="E87" s="309">
        <v>44757</v>
      </c>
      <c r="F87" s="309">
        <v>44249</v>
      </c>
      <c r="G87" s="310"/>
      <c r="H87" s="310"/>
      <c r="J87" s="129" t="s">
        <v>266</v>
      </c>
      <c r="K87" s="129" t="s">
        <v>268</v>
      </c>
      <c r="M87" s="191"/>
      <c r="O87" s="129" t="s">
        <v>714</v>
      </c>
      <c r="P87" s="129" t="s">
        <v>715</v>
      </c>
      <c r="Q87" s="129" t="s">
        <v>716</v>
      </c>
      <c r="AA87" s="312">
        <f t="shared" si="19"/>
        <v>0</v>
      </c>
      <c r="AC87" s="129">
        <v>22</v>
      </c>
      <c r="AD87" s="129">
        <v>30</v>
      </c>
      <c r="AE87" s="129">
        <v>2</v>
      </c>
      <c r="AF87" s="129">
        <v>2</v>
      </c>
      <c r="AK87" s="312">
        <f t="shared" si="20"/>
        <v>56</v>
      </c>
      <c r="AL87" s="129">
        <f t="shared" si="21"/>
        <v>22</v>
      </c>
      <c r="AM87" s="129">
        <f t="shared" si="22"/>
        <v>30</v>
      </c>
      <c r="AN87" s="129">
        <f t="shared" si="23"/>
        <v>2</v>
      </c>
      <c r="AO87" s="129">
        <f t="shared" si="24"/>
        <v>2</v>
      </c>
      <c r="AP87" s="129">
        <f t="shared" si="25"/>
        <v>0</v>
      </c>
      <c r="AQ87" s="129">
        <f t="shared" si="26"/>
        <v>0</v>
      </c>
      <c r="AR87" s="129">
        <f t="shared" si="27"/>
        <v>0</v>
      </c>
      <c r="AS87" s="129">
        <f t="shared" si="28"/>
        <v>0</v>
      </c>
      <c r="AT87" s="312">
        <f t="shared" si="29"/>
        <v>56</v>
      </c>
      <c r="AU87" s="313" t="s">
        <v>359</v>
      </c>
      <c r="AV87" s="312"/>
      <c r="AW87" s="129">
        <v>56</v>
      </c>
      <c r="BA87" s="314"/>
      <c r="BF87" s="314"/>
      <c r="BL87" s="314"/>
      <c r="BM87" s="129">
        <f t="shared" si="32"/>
        <v>56</v>
      </c>
      <c r="BN87" s="129">
        <f t="shared" si="33"/>
        <v>56</v>
      </c>
      <c r="BR87" s="129">
        <v>518144</v>
      </c>
      <c r="BS87" s="129">
        <v>175553</v>
      </c>
      <c r="BT87" s="309" t="s">
        <v>176</v>
      </c>
      <c r="BU87" s="129" t="s">
        <v>150</v>
      </c>
      <c r="CA87" s="129" t="s">
        <v>426</v>
      </c>
      <c r="CB87" s="129" t="s">
        <v>359</v>
      </c>
      <c r="CC87" s="129" t="s">
        <v>359</v>
      </c>
      <c r="CD87" s="129" t="s">
        <v>200</v>
      </c>
      <c r="CE87" s="313"/>
    </row>
    <row r="88" spans="1:83" x14ac:dyDescent="0.25">
      <c r="A88" s="129" t="s">
        <v>717</v>
      </c>
      <c r="B88" s="129" t="s">
        <v>382</v>
      </c>
      <c r="C88" s="129" t="s">
        <v>353</v>
      </c>
      <c r="D88" s="309">
        <v>43811</v>
      </c>
      <c r="E88" s="309">
        <v>44907</v>
      </c>
      <c r="F88" s="309">
        <v>43920</v>
      </c>
      <c r="G88" s="310"/>
      <c r="H88" s="310"/>
      <c r="J88" s="129" t="s">
        <v>266</v>
      </c>
      <c r="K88" s="129" t="s">
        <v>261</v>
      </c>
      <c r="M88" s="191"/>
      <c r="O88" s="129" t="s">
        <v>718</v>
      </c>
      <c r="P88" s="129" t="s">
        <v>719</v>
      </c>
      <c r="Q88" s="129" t="s">
        <v>720</v>
      </c>
      <c r="AA88" s="312">
        <f t="shared" si="19"/>
        <v>0</v>
      </c>
      <c r="AB88" s="313" t="s">
        <v>359</v>
      </c>
      <c r="AC88" s="129">
        <v>3</v>
      </c>
      <c r="AD88" s="129">
        <v>3</v>
      </c>
      <c r="AK88" s="312">
        <f t="shared" si="20"/>
        <v>6</v>
      </c>
      <c r="AL88" s="129">
        <f t="shared" si="21"/>
        <v>3</v>
      </c>
      <c r="AM88" s="129">
        <f t="shared" si="22"/>
        <v>3</v>
      </c>
      <c r="AN88" s="129">
        <f t="shared" si="23"/>
        <v>0</v>
      </c>
      <c r="AO88" s="129">
        <f t="shared" si="24"/>
        <v>0</v>
      </c>
      <c r="AP88" s="129">
        <f t="shared" si="25"/>
        <v>0</v>
      </c>
      <c r="AQ88" s="129">
        <f t="shared" si="26"/>
        <v>0</v>
      </c>
      <c r="AR88" s="129">
        <f t="shared" si="27"/>
        <v>0</v>
      </c>
      <c r="AS88" s="129">
        <f t="shared" si="28"/>
        <v>0</v>
      </c>
      <c r="AT88" s="312">
        <f t="shared" si="29"/>
        <v>6</v>
      </c>
      <c r="AU88" s="313" t="s">
        <v>359</v>
      </c>
      <c r="AV88" s="312"/>
      <c r="AX88" s="129">
        <v>3</v>
      </c>
      <c r="AY88" s="129">
        <v>3</v>
      </c>
      <c r="BA88" s="314"/>
      <c r="BF88" s="314"/>
      <c r="BL88" s="314"/>
      <c r="BM88" s="129">
        <f>SUM(AX88:BA88)</f>
        <v>6</v>
      </c>
      <c r="BN88" s="129">
        <f>SUM(AX88:BF88)</f>
        <v>6</v>
      </c>
      <c r="BR88" s="129">
        <v>517598</v>
      </c>
      <c r="BS88" s="129">
        <v>169722</v>
      </c>
      <c r="BT88" s="309" t="s">
        <v>172</v>
      </c>
      <c r="BU88" s="129" t="s">
        <v>192</v>
      </c>
      <c r="CA88" s="129" t="s">
        <v>527</v>
      </c>
      <c r="CB88" s="129" t="s">
        <v>359</v>
      </c>
      <c r="CC88" s="129" t="s">
        <v>359</v>
      </c>
      <c r="CD88" s="129" t="s">
        <v>201</v>
      </c>
      <c r="CE88" s="313"/>
    </row>
    <row r="89" spans="1:83" x14ac:dyDescent="0.25">
      <c r="A89" s="129" t="s">
        <v>717</v>
      </c>
      <c r="B89" s="129" t="s">
        <v>382</v>
      </c>
      <c r="C89" s="129" t="s">
        <v>353</v>
      </c>
      <c r="D89" s="309">
        <v>43811</v>
      </c>
      <c r="E89" s="309">
        <v>44907</v>
      </c>
      <c r="F89" s="309">
        <v>43920</v>
      </c>
      <c r="G89" s="310"/>
      <c r="H89" s="310"/>
      <c r="J89" s="129" t="s">
        <v>266</v>
      </c>
      <c r="K89" s="129" t="s">
        <v>268</v>
      </c>
      <c r="M89" s="191"/>
      <c r="O89" s="129" t="s">
        <v>718</v>
      </c>
      <c r="P89" s="129" t="s">
        <v>719</v>
      </c>
      <c r="Q89" s="129" t="s">
        <v>720</v>
      </c>
      <c r="S89" s="129">
        <v>7</v>
      </c>
      <c r="AA89" s="312">
        <f t="shared" si="19"/>
        <v>7</v>
      </c>
      <c r="AC89" s="129">
        <v>2</v>
      </c>
      <c r="AD89" s="129">
        <v>4</v>
      </c>
      <c r="AK89" s="312">
        <f t="shared" si="20"/>
        <v>6</v>
      </c>
      <c r="AL89" s="129">
        <f t="shared" si="21"/>
        <v>-5</v>
      </c>
      <c r="AM89" s="129">
        <f t="shared" si="22"/>
        <v>4</v>
      </c>
      <c r="AN89" s="129">
        <f t="shared" si="23"/>
        <v>0</v>
      </c>
      <c r="AO89" s="129">
        <f t="shared" si="24"/>
        <v>0</v>
      </c>
      <c r="AP89" s="129">
        <f t="shared" si="25"/>
        <v>0</v>
      </c>
      <c r="AQ89" s="129">
        <f t="shared" si="26"/>
        <v>0</v>
      </c>
      <c r="AR89" s="129">
        <f t="shared" si="27"/>
        <v>0</v>
      </c>
      <c r="AS89" s="129">
        <f t="shared" si="28"/>
        <v>0</v>
      </c>
      <c r="AT89" s="312">
        <f t="shared" si="29"/>
        <v>-1</v>
      </c>
      <c r="AV89" s="312"/>
      <c r="AX89" s="129">
        <v>-0.5</v>
      </c>
      <c r="AY89" s="129">
        <v>-0.5</v>
      </c>
      <c r="BA89" s="314"/>
      <c r="BF89" s="314"/>
      <c r="BL89" s="314"/>
      <c r="BM89" s="129">
        <f>SUM(AX89:BA89)</f>
        <v>-1</v>
      </c>
      <c r="BN89" s="129">
        <f>SUM(AX89:BF89)</f>
        <v>-1</v>
      </c>
      <c r="BR89" s="129">
        <v>517598</v>
      </c>
      <c r="BS89" s="129">
        <v>169722</v>
      </c>
      <c r="BT89" s="309" t="s">
        <v>172</v>
      </c>
      <c r="BU89" s="129" t="s">
        <v>192</v>
      </c>
      <c r="CA89" s="129" t="s">
        <v>527</v>
      </c>
      <c r="CB89" s="129" t="s">
        <v>359</v>
      </c>
      <c r="CC89" s="129" t="s">
        <v>359</v>
      </c>
      <c r="CD89" s="129" t="s">
        <v>201</v>
      </c>
      <c r="CE89" s="313"/>
    </row>
    <row r="90" spans="1:83" x14ac:dyDescent="0.25">
      <c r="A90" s="129" t="s">
        <v>721</v>
      </c>
      <c r="B90" s="129" t="s">
        <v>352</v>
      </c>
      <c r="C90" s="129" t="s">
        <v>353</v>
      </c>
      <c r="D90" s="309">
        <v>43594</v>
      </c>
      <c r="E90" s="309">
        <v>44690</v>
      </c>
      <c r="F90" s="309">
        <v>44155</v>
      </c>
      <c r="G90" s="310"/>
      <c r="H90" s="310"/>
      <c r="J90" s="129" t="s">
        <v>266</v>
      </c>
      <c r="K90" s="311" t="s">
        <v>268</v>
      </c>
      <c r="M90" s="191"/>
      <c r="O90" s="129" t="s">
        <v>722</v>
      </c>
      <c r="P90" s="129" t="s">
        <v>723</v>
      </c>
      <c r="Q90" s="129" t="s">
        <v>724</v>
      </c>
      <c r="S90" s="129">
        <v>1</v>
      </c>
      <c r="AA90" s="312">
        <f t="shared" si="19"/>
        <v>1</v>
      </c>
      <c r="AC90" s="129">
        <v>1</v>
      </c>
      <c r="AK90" s="312">
        <f t="shared" si="20"/>
        <v>1</v>
      </c>
      <c r="AL90" s="129">
        <f t="shared" si="21"/>
        <v>0</v>
      </c>
      <c r="AM90" s="129">
        <f t="shared" si="22"/>
        <v>0</v>
      </c>
      <c r="AN90" s="129">
        <f t="shared" si="23"/>
        <v>0</v>
      </c>
      <c r="AO90" s="129">
        <f t="shared" si="24"/>
        <v>0</v>
      </c>
      <c r="AP90" s="129">
        <f t="shared" si="25"/>
        <v>0</v>
      </c>
      <c r="AQ90" s="129">
        <f t="shared" si="26"/>
        <v>0</v>
      </c>
      <c r="AR90" s="129">
        <f t="shared" si="27"/>
        <v>0</v>
      </c>
      <c r="AS90" s="129">
        <f t="shared" si="28"/>
        <v>0</v>
      </c>
      <c r="AT90" s="312">
        <f t="shared" si="29"/>
        <v>0</v>
      </c>
      <c r="AV90" s="312"/>
      <c r="AW90" s="129">
        <v>0</v>
      </c>
      <c r="BA90" s="314"/>
      <c r="BF90" s="314"/>
      <c r="BL90" s="314"/>
      <c r="BM90" s="129">
        <f t="shared" ref="BM90:BM121" si="34">SUM(AW90:BA90)</f>
        <v>0</v>
      </c>
      <c r="BN90" s="129">
        <f t="shared" ref="BN90:BN121" si="35">SUM(AW90:BF90)</f>
        <v>0</v>
      </c>
      <c r="BR90" s="129">
        <v>516414</v>
      </c>
      <c r="BS90" s="129">
        <v>173065</v>
      </c>
      <c r="BT90" s="129" t="s">
        <v>180</v>
      </c>
      <c r="BU90" s="129" t="s">
        <v>154</v>
      </c>
      <c r="BW90" s="129" t="s">
        <v>151</v>
      </c>
      <c r="CA90" s="129" t="s">
        <v>386</v>
      </c>
      <c r="CB90" s="129" t="s">
        <v>359</v>
      </c>
      <c r="CC90" s="129" t="s">
        <v>359</v>
      </c>
      <c r="CD90" s="129" t="s">
        <v>202</v>
      </c>
      <c r="CE90" s="313"/>
    </row>
    <row r="91" spans="1:83" x14ac:dyDescent="0.25">
      <c r="A91" s="129" t="s">
        <v>725</v>
      </c>
      <c r="B91" s="129" t="s">
        <v>352</v>
      </c>
      <c r="C91" s="129" t="s">
        <v>353</v>
      </c>
      <c r="D91" s="309">
        <v>44405</v>
      </c>
      <c r="E91" s="309">
        <v>45501</v>
      </c>
      <c r="F91" s="309">
        <v>45323</v>
      </c>
      <c r="G91" s="310"/>
      <c r="H91" s="310"/>
      <c r="J91" s="129" t="s">
        <v>266</v>
      </c>
      <c r="K91" s="129" t="s">
        <v>268</v>
      </c>
      <c r="M91" s="191"/>
      <c r="O91" s="129" t="s">
        <v>726</v>
      </c>
      <c r="P91" s="129" t="s">
        <v>727</v>
      </c>
      <c r="Q91" s="129" t="s">
        <v>728</v>
      </c>
      <c r="AA91" s="312">
        <f t="shared" si="19"/>
        <v>0</v>
      </c>
      <c r="AD91" s="129">
        <v>4</v>
      </c>
      <c r="AE91" s="129">
        <v>2</v>
      </c>
      <c r="AK91" s="312">
        <f t="shared" si="20"/>
        <v>6</v>
      </c>
      <c r="AL91" s="129">
        <f t="shared" si="21"/>
        <v>0</v>
      </c>
      <c r="AM91" s="129">
        <f t="shared" si="22"/>
        <v>4</v>
      </c>
      <c r="AN91" s="129">
        <f t="shared" si="23"/>
        <v>2</v>
      </c>
      <c r="AO91" s="129">
        <f t="shared" si="24"/>
        <v>0</v>
      </c>
      <c r="AP91" s="129">
        <f t="shared" si="25"/>
        <v>0</v>
      </c>
      <c r="AQ91" s="129">
        <f t="shared" si="26"/>
        <v>0</v>
      </c>
      <c r="AR91" s="129">
        <f t="shared" si="27"/>
        <v>0</v>
      </c>
      <c r="AS91" s="129">
        <f t="shared" si="28"/>
        <v>0</v>
      </c>
      <c r="AT91" s="312">
        <f t="shared" si="29"/>
        <v>6</v>
      </c>
      <c r="AV91" s="312"/>
      <c r="AX91" s="129">
        <v>3</v>
      </c>
      <c r="AY91" s="129">
        <v>3</v>
      </c>
      <c r="BA91" s="314"/>
      <c r="BF91" s="314"/>
      <c r="BL91" s="314"/>
      <c r="BM91" s="129">
        <f t="shared" si="34"/>
        <v>6</v>
      </c>
      <c r="BN91" s="129">
        <f t="shared" si="35"/>
        <v>6</v>
      </c>
      <c r="BR91" s="129">
        <v>519806</v>
      </c>
      <c r="BS91" s="129">
        <v>175640</v>
      </c>
      <c r="BT91" s="129" t="s">
        <v>176</v>
      </c>
      <c r="BU91" s="129" t="s">
        <v>190</v>
      </c>
      <c r="CC91" s="129" t="s">
        <v>359</v>
      </c>
      <c r="CD91" s="129" t="s">
        <v>199</v>
      </c>
      <c r="CE91" s="313"/>
    </row>
    <row r="92" spans="1:83" x14ac:dyDescent="0.25">
      <c r="A92" s="129" t="s">
        <v>729</v>
      </c>
      <c r="B92" s="129" t="s">
        <v>377</v>
      </c>
      <c r="C92" s="129" t="s">
        <v>353</v>
      </c>
      <c r="D92" s="309">
        <v>43866</v>
      </c>
      <c r="E92" s="309">
        <v>44962</v>
      </c>
      <c r="F92" s="309">
        <v>44960</v>
      </c>
      <c r="G92" s="310"/>
      <c r="H92" s="310"/>
      <c r="J92" s="129" t="s">
        <v>266</v>
      </c>
      <c r="K92" s="129" t="s">
        <v>268</v>
      </c>
      <c r="M92" s="191"/>
      <c r="O92" s="129" t="s">
        <v>730</v>
      </c>
      <c r="P92" s="129" t="s">
        <v>731</v>
      </c>
      <c r="Q92" s="129" t="s">
        <v>732</v>
      </c>
      <c r="AA92" s="312">
        <f t="shared" si="19"/>
        <v>0</v>
      </c>
      <c r="AD92" s="129">
        <v>2</v>
      </c>
      <c r="AK92" s="312">
        <f t="shared" si="20"/>
        <v>2</v>
      </c>
      <c r="AL92" s="129">
        <f t="shared" si="21"/>
        <v>0</v>
      </c>
      <c r="AM92" s="129">
        <f t="shared" si="22"/>
        <v>2</v>
      </c>
      <c r="AN92" s="129">
        <f t="shared" si="23"/>
        <v>0</v>
      </c>
      <c r="AO92" s="129">
        <f t="shared" si="24"/>
        <v>0</v>
      </c>
      <c r="AP92" s="129">
        <f t="shared" si="25"/>
        <v>0</v>
      </c>
      <c r="AQ92" s="129">
        <f t="shared" si="26"/>
        <v>0</v>
      </c>
      <c r="AR92" s="129">
        <f t="shared" si="27"/>
        <v>0</v>
      </c>
      <c r="AS92" s="129">
        <f t="shared" si="28"/>
        <v>0</v>
      </c>
      <c r="AT92" s="312">
        <f t="shared" si="29"/>
        <v>2</v>
      </c>
      <c r="AV92" s="312"/>
      <c r="AX92" s="129">
        <v>1</v>
      </c>
      <c r="AY92" s="129">
        <v>1</v>
      </c>
      <c r="BA92" s="314"/>
      <c r="BF92" s="314"/>
      <c r="BL92" s="314"/>
      <c r="BM92" s="129">
        <f t="shared" si="34"/>
        <v>2</v>
      </c>
      <c r="BN92" s="129">
        <f t="shared" si="35"/>
        <v>2</v>
      </c>
      <c r="BR92" s="129">
        <v>517543</v>
      </c>
      <c r="BS92" s="129">
        <v>169767</v>
      </c>
      <c r="BT92" s="129" t="s">
        <v>172</v>
      </c>
      <c r="BU92" s="129" t="s">
        <v>192</v>
      </c>
      <c r="CC92" s="129" t="s">
        <v>359</v>
      </c>
      <c r="CD92" s="129" t="s">
        <v>201</v>
      </c>
      <c r="CE92" s="313"/>
    </row>
    <row r="93" spans="1:83" x14ac:dyDescent="0.25">
      <c r="A93" s="129" t="s">
        <v>733</v>
      </c>
      <c r="B93" s="129" t="s">
        <v>352</v>
      </c>
      <c r="C93" s="129" t="s">
        <v>734</v>
      </c>
      <c r="D93" s="309">
        <v>43754</v>
      </c>
      <c r="E93" s="309">
        <v>44850</v>
      </c>
      <c r="F93" s="309">
        <v>44383</v>
      </c>
      <c r="G93" s="310"/>
      <c r="H93" s="310"/>
      <c r="J93" s="129" t="s">
        <v>266</v>
      </c>
      <c r="K93" s="311" t="s">
        <v>268</v>
      </c>
      <c r="M93" s="191"/>
      <c r="O93" s="129" t="s">
        <v>735</v>
      </c>
      <c r="P93" s="129" t="s">
        <v>736</v>
      </c>
      <c r="Q93" s="129" t="s">
        <v>737</v>
      </c>
      <c r="T93" s="129">
        <v>2</v>
      </c>
      <c r="U93" s="129">
        <v>1</v>
      </c>
      <c r="AA93" s="312">
        <f t="shared" si="19"/>
        <v>3</v>
      </c>
      <c r="AF93" s="129">
        <v>3</v>
      </c>
      <c r="AK93" s="312">
        <f t="shared" si="20"/>
        <v>3</v>
      </c>
      <c r="AL93" s="129">
        <f t="shared" si="21"/>
        <v>0</v>
      </c>
      <c r="AM93" s="129">
        <f t="shared" si="22"/>
        <v>-2</v>
      </c>
      <c r="AN93" s="129">
        <f t="shared" si="23"/>
        <v>-1</v>
      </c>
      <c r="AO93" s="129">
        <f t="shared" si="24"/>
        <v>3</v>
      </c>
      <c r="AP93" s="129">
        <f t="shared" si="25"/>
        <v>0</v>
      </c>
      <c r="AQ93" s="129">
        <f t="shared" si="26"/>
        <v>0</v>
      </c>
      <c r="AR93" s="129">
        <f t="shared" si="27"/>
        <v>0</v>
      </c>
      <c r="AS93" s="129">
        <f t="shared" si="28"/>
        <v>0</v>
      </c>
      <c r="AT93" s="312">
        <f t="shared" si="29"/>
        <v>0</v>
      </c>
      <c r="AV93" s="312"/>
      <c r="AW93" s="129">
        <v>0</v>
      </c>
      <c r="BA93" s="314"/>
      <c r="BF93" s="314"/>
      <c r="BL93" s="314"/>
      <c r="BM93" s="129">
        <f t="shared" si="34"/>
        <v>0</v>
      </c>
      <c r="BN93" s="129">
        <f t="shared" si="35"/>
        <v>0</v>
      </c>
      <c r="BR93" s="129">
        <v>518209</v>
      </c>
      <c r="BS93" s="129">
        <v>174625</v>
      </c>
      <c r="BT93" s="129" t="s">
        <v>177</v>
      </c>
      <c r="BU93" s="129" t="s">
        <v>150</v>
      </c>
      <c r="CA93" s="129" t="s">
        <v>738</v>
      </c>
      <c r="CB93" s="129" t="s">
        <v>359</v>
      </c>
      <c r="CC93" s="129" t="s">
        <v>359</v>
      </c>
      <c r="CD93" s="129" t="s">
        <v>200</v>
      </c>
      <c r="CE93" s="313"/>
    </row>
    <row r="94" spans="1:83" x14ac:dyDescent="0.25">
      <c r="A94" s="129" t="s">
        <v>739</v>
      </c>
      <c r="B94" s="129" t="s">
        <v>352</v>
      </c>
      <c r="C94" s="129" t="s">
        <v>734</v>
      </c>
      <c r="D94" s="309">
        <v>43656</v>
      </c>
      <c r="E94" s="309">
        <v>44752</v>
      </c>
      <c r="F94" s="309">
        <v>43972</v>
      </c>
      <c r="G94" s="310"/>
      <c r="H94" s="310"/>
      <c r="J94" s="129" t="s">
        <v>266</v>
      </c>
      <c r="K94" s="311" t="s">
        <v>268</v>
      </c>
      <c r="M94" s="191"/>
      <c r="O94" s="129" t="s">
        <v>740</v>
      </c>
      <c r="P94" s="311" t="s">
        <v>741</v>
      </c>
      <c r="Q94" s="129" t="s">
        <v>742</v>
      </c>
      <c r="S94" s="129">
        <v>8</v>
      </c>
      <c r="T94" s="129">
        <v>2</v>
      </c>
      <c r="U94" s="129">
        <v>4</v>
      </c>
      <c r="V94" s="129">
        <v>2</v>
      </c>
      <c r="AA94" s="312">
        <f t="shared" si="19"/>
        <v>16</v>
      </c>
      <c r="AC94" s="129">
        <v>7</v>
      </c>
      <c r="AD94" s="129">
        <v>5</v>
      </c>
      <c r="AE94" s="129">
        <v>6</v>
      </c>
      <c r="AK94" s="312">
        <f t="shared" si="20"/>
        <v>18</v>
      </c>
      <c r="AL94" s="129">
        <f t="shared" si="21"/>
        <v>-1</v>
      </c>
      <c r="AM94" s="129">
        <f t="shared" si="22"/>
        <v>3</v>
      </c>
      <c r="AN94" s="129">
        <f t="shared" si="23"/>
        <v>2</v>
      </c>
      <c r="AO94" s="129">
        <f t="shared" si="24"/>
        <v>-2</v>
      </c>
      <c r="AP94" s="129">
        <f t="shared" si="25"/>
        <v>0</v>
      </c>
      <c r="AQ94" s="129">
        <f t="shared" si="26"/>
        <v>0</v>
      </c>
      <c r="AR94" s="129">
        <f t="shared" si="27"/>
        <v>0</v>
      </c>
      <c r="AS94" s="129">
        <f t="shared" si="28"/>
        <v>0</v>
      </c>
      <c r="AT94" s="312">
        <f t="shared" si="29"/>
        <v>2</v>
      </c>
      <c r="AU94" s="313" t="s">
        <v>359</v>
      </c>
      <c r="AV94" s="312"/>
      <c r="AX94" s="129">
        <v>1</v>
      </c>
      <c r="AY94" s="129">
        <v>1</v>
      </c>
      <c r="BA94" s="314"/>
      <c r="BF94" s="314"/>
      <c r="BL94" s="314"/>
      <c r="BM94" s="129">
        <f t="shared" si="34"/>
        <v>2</v>
      </c>
      <c r="BN94" s="129">
        <f t="shared" si="35"/>
        <v>2</v>
      </c>
      <c r="BR94" s="129">
        <v>522472</v>
      </c>
      <c r="BS94" s="129">
        <v>177999</v>
      </c>
      <c r="BT94" s="129" t="s">
        <v>167</v>
      </c>
      <c r="BU94" s="129" t="s">
        <v>190</v>
      </c>
      <c r="BW94" s="129" t="s">
        <v>151</v>
      </c>
      <c r="CC94" s="129" t="s">
        <v>359</v>
      </c>
      <c r="CD94" s="129" t="s">
        <v>167</v>
      </c>
      <c r="CE94" s="313"/>
    </row>
    <row r="95" spans="1:83" x14ac:dyDescent="0.25">
      <c r="A95" s="129" t="s">
        <v>743</v>
      </c>
      <c r="B95" s="129" t="s">
        <v>382</v>
      </c>
      <c r="C95" s="129" t="s">
        <v>353</v>
      </c>
      <c r="D95" s="309">
        <v>43910</v>
      </c>
      <c r="E95" s="309">
        <v>45005</v>
      </c>
      <c r="F95" s="309">
        <v>44105</v>
      </c>
      <c r="G95" s="310"/>
      <c r="H95" s="310"/>
      <c r="J95" s="129" t="s">
        <v>266</v>
      </c>
      <c r="K95" s="129" t="s">
        <v>268</v>
      </c>
      <c r="M95" s="191"/>
      <c r="O95" s="129" t="s">
        <v>744</v>
      </c>
      <c r="P95" s="129" t="s">
        <v>745</v>
      </c>
      <c r="Q95" s="129" t="s">
        <v>746</v>
      </c>
      <c r="U95" s="129">
        <v>1</v>
      </c>
      <c r="AA95" s="312">
        <f t="shared" si="19"/>
        <v>1</v>
      </c>
      <c r="AD95" s="129">
        <v>2</v>
      </c>
      <c r="AK95" s="312">
        <f t="shared" si="20"/>
        <v>2</v>
      </c>
      <c r="AL95" s="129">
        <f t="shared" si="21"/>
        <v>0</v>
      </c>
      <c r="AM95" s="129">
        <f t="shared" si="22"/>
        <v>2</v>
      </c>
      <c r="AN95" s="129">
        <f t="shared" si="23"/>
        <v>-1</v>
      </c>
      <c r="AO95" s="129">
        <f t="shared" si="24"/>
        <v>0</v>
      </c>
      <c r="AP95" s="129">
        <f t="shared" si="25"/>
        <v>0</v>
      </c>
      <c r="AQ95" s="129">
        <f t="shared" si="26"/>
        <v>0</v>
      </c>
      <c r="AR95" s="129">
        <f t="shared" si="27"/>
        <v>0</v>
      </c>
      <c r="AS95" s="129">
        <f t="shared" si="28"/>
        <v>0</v>
      </c>
      <c r="AT95" s="312">
        <f t="shared" si="29"/>
        <v>1</v>
      </c>
      <c r="AV95" s="312"/>
      <c r="AW95" s="129">
        <v>1</v>
      </c>
      <c r="BA95" s="314"/>
      <c r="BF95" s="314"/>
      <c r="BL95" s="314"/>
      <c r="BM95" s="129">
        <f t="shared" si="34"/>
        <v>1</v>
      </c>
      <c r="BN95" s="129">
        <f t="shared" si="35"/>
        <v>1</v>
      </c>
      <c r="BR95" s="129">
        <v>517949</v>
      </c>
      <c r="BS95" s="129">
        <v>174506</v>
      </c>
      <c r="BT95" s="129" t="s">
        <v>177</v>
      </c>
      <c r="BU95" s="129" t="s">
        <v>150</v>
      </c>
      <c r="BV95" s="129" t="s">
        <v>150</v>
      </c>
      <c r="CA95" s="129" t="s">
        <v>597</v>
      </c>
      <c r="CB95" s="129" t="s">
        <v>359</v>
      </c>
      <c r="CC95" s="129" t="s">
        <v>359</v>
      </c>
      <c r="CD95" s="129" t="s">
        <v>200</v>
      </c>
      <c r="CE95" s="313"/>
    </row>
    <row r="96" spans="1:83" x14ac:dyDescent="0.25">
      <c r="A96" s="129" t="s">
        <v>747</v>
      </c>
      <c r="B96" s="129" t="s">
        <v>352</v>
      </c>
      <c r="C96" s="129" t="s">
        <v>353</v>
      </c>
      <c r="D96" s="309">
        <v>43649</v>
      </c>
      <c r="E96" s="309">
        <v>45096</v>
      </c>
      <c r="F96" s="309">
        <v>45019</v>
      </c>
      <c r="G96" s="310"/>
      <c r="H96" s="310"/>
      <c r="I96" s="315">
        <v>45839</v>
      </c>
      <c r="J96" s="129" t="s">
        <v>266</v>
      </c>
      <c r="K96" s="311" t="s">
        <v>268</v>
      </c>
      <c r="M96" s="191"/>
      <c r="O96" s="129" t="s">
        <v>748</v>
      </c>
      <c r="P96" s="129" t="s">
        <v>749</v>
      </c>
      <c r="Q96" s="129" t="s">
        <v>750</v>
      </c>
      <c r="AA96" s="312">
        <f t="shared" si="19"/>
        <v>0</v>
      </c>
      <c r="AE96" s="129">
        <v>1</v>
      </c>
      <c r="AK96" s="312">
        <f t="shared" si="20"/>
        <v>1</v>
      </c>
      <c r="AL96" s="129">
        <f t="shared" si="21"/>
        <v>0</v>
      </c>
      <c r="AM96" s="129">
        <f t="shared" si="22"/>
        <v>0</v>
      </c>
      <c r="AN96" s="129">
        <f t="shared" si="23"/>
        <v>1</v>
      </c>
      <c r="AO96" s="129">
        <f t="shared" si="24"/>
        <v>0</v>
      </c>
      <c r="AP96" s="129">
        <f t="shared" si="25"/>
        <v>0</v>
      </c>
      <c r="AQ96" s="129">
        <f t="shared" si="26"/>
        <v>0</v>
      </c>
      <c r="AR96" s="129">
        <f t="shared" si="27"/>
        <v>0</v>
      </c>
      <c r="AS96" s="129">
        <f t="shared" si="28"/>
        <v>0</v>
      </c>
      <c r="AT96" s="312">
        <f t="shared" si="29"/>
        <v>1</v>
      </c>
      <c r="AV96" s="312"/>
      <c r="AW96" s="129">
        <v>1</v>
      </c>
      <c r="BA96" s="314"/>
      <c r="BF96" s="314"/>
      <c r="BL96" s="314"/>
      <c r="BM96" s="129">
        <f t="shared" si="34"/>
        <v>1</v>
      </c>
      <c r="BN96" s="129">
        <f t="shared" si="35"/>
        <v>1</v>
      </c>
      <c r="BR96" s="129">
        <v>515054</v>
      </c>
      <c r="BS96" s="129">
        <v>172751</v>
      </c>
      <c r="BT96" s="129" t="s">
        <v>181</v>
      </c>
      <c r="BU96" s="129" t="s">
        <v>154</v>
      </c>
      <c r="CC96" s="129" t="s">
        <v>359</v>
      </c>
      <c r="CD96" s="129" t="s">
        <v>202</v>
      </c>
      <c r="CE96" s="313"/>
    </row>
    <row r="97" spans="1:83" x14ac:dyDescent="0.25">
      <c r="A97" s="129" t="s">
        <v>751</v>
      </c>
      <c r="B97" s="129" t="s">
        <v>352</v>
      </c>
      <c r="C97" s="129" t="s">
        <v>353</v>
      </c>
      <c r="D97" s="309">
        <v>43990</v>
      </c>
      <c r="E97" s="309">
        <v>45085</v>
      </c>
      <c r="F97" s="309">
        <v>44667</v>
      </c>
      <c r="G97" s="310"/>
      <c r="H97" s="310"/>
      <c r="J97" s="129" t="s">
        <v>266</v>
      </c>
      <c r="K97" s="129" t="s">
        <v>268</v>
      </c>
      <c r="M97" s="191"/>
      <c r="O97" s="129" t="s">
        <v>752</v>
      </c>
      <c r="P97" s="129" t="s">
        <v>753</v>
      </c>
      <c r="Q97" s="129" t="s">
        <v>754</v>
      </c>
      <c r="U97" s="129">
        <v>1</v>
      </c>
      <c r="AA97" s="312">
        <f t="shared" si="19"/>
        <v>1</v>
      </c>
      <c r="AF97" s="129">
        <v>4</v>
      </c>
      <c r="AK97" s="312">
        <f t="shared" si="20"/>
        <v>4</v>
      </c>
      <c r="AL97" s="129">
        <f t="shared" si="21"/>
        <v>0</v>
      </c>
      <c r="AM97" s="129">
        <f t="shared" si="22"/>
        <v>0</v>
      </c>
      <c r="AN97" s="129">
        <f t="shared" si="23"/>
        <v>-1</v>
      </c>
      <c r="AO97" s="129">
        <f t="shared" si="24"/>
        <v>4</v>
      </c>
      <c r="AP97" s="129">
        <f t="shared" si="25"/>
        <v>0</v>
      </c>
      <c r="AQ97" s="129">
        <f t="shared" si="26"/>
        <v>0</v>
      </c>
      <c r="AR97" s="129">
        <f t="shared" si="27"/>
        <v>0</v>
      </c>
      <c r="AS97" s="129">
        <f t="shared" si="28"/>
        <v>0</v>
      </c>
      <c r="AT97" s="312">
        <f t="shared" si="29"/>
        <v>3</v>
      </c>
      <c r="AV97" s="312"/>
      <c r="AW97" s="129">
        <v>3</v>
      </c>
      <c r="BA97" s="314"/>
      <c r="BF97" s="314"/>
      <c r="BL97" s="314"/>
      <c r="BM97" s="129">
        <f t="shared" si="34"/>
        <v>3</v>
      </c>
      <c r="BN97" s="129">
        <f t="shared" si="35"/>
        <v>3</v>
      </c>
      <c r="BR97" s="129">
        <v>513614</v>
      </c>
      <c r="BS97" s="129">
        <v>173545</v>
      </c>
      <c r="BT97" s="129" t="s">
        <v>173</v>
      </c>
      <c r="BU97" s="129" t="s">
        <v>156</v>
      </c>
      <c r="CC97" s="129" t="s">
        <v>359</v>
      </c>
      <c r="CD97" s="129" t="s">
        <v>203</v>
      </c>
      <c r="CE97" s="313"/>
    </row>
    <row r="98" spans="1:83" x14ac:dyDescent="0.25">
      <c r="A98" s="129" t="s">
        <v>755</v>
      </c>
      <c r="B98" s="129" t="s">
        <v>352</v>
      </c>
      <c r="C98" s="129" t="s">
        <v>353</v>
      </c>
      <c r="D98" s="309">
        <v>44209</v>
      </c>
      <c r="E98" s="309">
        <v>45304</v>
      </c>
      <c r="F98" s="309">
        <v>45089</v>
      </c>
      <c r="G98" s="310"/>
      <c r="H98" s="310"/>
      <c r="I98" s="315">
        <v>45852</v>
      </c>
      <c r="J98" s="129" t="s">
        <v>266</v>
      </c>
      <c r="K98" s="129" t="s">
        <v>268</v>
      </c>
      <c r="M98" s="191"/>
      <c r="O98" s="129" t="s">
        <v>756</v>
      </c>
      <c r="P98" s="129" t="s">
        <v>757</v>
      </c>
      <c r="Q98" s="129" t="s">
        <v>758</v>
      </c>
      <c r="AA98" s="312">
        <f t="shared" si="19"/>
        <v>0</v>
      </c>
      <c r="AD98" s="129">
        <v>2</v>
      </c>
      <c r="AK98" s="312">
        <f t="shared" si="20"/>
        <v>2</v>
      </c>
      <c r="AL98" s="129">
        <f t="shared" si="21"/>
        <v>0</v>
      </c>
      <c r="AM98" s="129">
        <f t="shared" si="22"/>
        <v>2</v>
      </c>
      <c r="AN98" s="129">
        <f t="shared" si="23"/>
        <v>0</v>
      </c>
      <c r="AO98" s="129">
        <f t="shared" si="24"/>
        <v>0</v>
      </c>
      <c r="AP98" s="129">
        <f t="shared" si="25"/>
        <v>0</v>
      </c>
      <c r="AQ98" s="129">
        <f t="shared" si="26"/>
        <v>0</v>
      </c>
      <c r="AR98" s="129">
        <f t="shared" si="27"/>
        <v>0</v>
      </c>
      <c r="AS98" s="129">
        <f t="shared" si="28"/>
        <v>0</v>
      </c>
      <c r="AT98" s="312">
        <f t="shared" si="29"/>
        <v>2</v>
      </c>
      <c r="AV98" s="312"/>
      <c r="AW98" s="129">
        <v>2</v>
      </c>
      <c r="BA98" s="314"/>
      <c r="BF98" s="314"/>
      <c r="BL98" s="314"/>
      <c r="BM98" s="129">
        <f t="shared" si="34"/>
        <v>2</v>
      </c>
      <c r="BN98" s="129">
        <f t="shared" si="35"/>
        <v>2</v>
      </c>
      <c r="BR98" s="129">
        <v>520451</v>
      </c>
      <c r="BS98" s="129">
        <v>175621</v>
      </c>
      <c r="BT98" s="129" t="s">
        <v>149</v>
      </c>
      <c r="BU98" s="129" t="s">
        <v>190</v>
      </c>
      <c r="CA98" s="129" t="s">
        <v>617</v>
      </c>
      <c r="CB98" s="129" t="s">
        <v>359</v>
      </c>
      <c r="CC98" s="129" t="s">
        <v>359</v>
      </c>
      <c r="CD98" s="129" t="s">
        <v>199</v>
      </c>
      <c r="CE98" s="313"/>
    </row>
    <row r="99" spans="1:83" x14ac:dyDescent="0.25">
      <c r="A99" s="129" t="s">
        <v>759</v>
      </c>
      <c r="B99" s="129" t="s">
        <v>352</v>
      </c>
      <c r="C99" s="129" t="s">
        <v>353</v>
      </c>
      <c r="D99" s="309">
        <v>44377</v>
      </c>
      <c r="E99" s="309">
        <v>45473</v>
      </c>
      <c r="F99" s="309">
        <v>45262</v>
      </c>
      <c r="G99" s="310"/>
      <c r="H99" s="310"/>
      <c r="I99" s="315">
        <v>45982</v>
      </c>
      <c r="J99" s="129" t="s">
        <v>266</v>
      </c>
      <c r="K99" s="129" t="s">
        <v>261</v>
      </c>
      <c r="M99" s="191"/>
      <c r="O99" s="129" t="s">
        <v>760</v>
      </c>
      <c r="P99" s="129" t="s">
        <v>761</v>
      </c>
      <c r="Q99" s="129" t="s">
        <v>762</v>
      </c>
      <c r="AA99" s="312">
        <f t="shared" si="19"/>
        <v>0</v>
      </c>
      <c r="AB99" s="313" t="s">
        <v>359</v>
      </c>
      <c r="AC99" s="129">
        <v>4</v>
      </c>
      <c r="AK99" s="312">
        <f t="shared" si="20"/>
        <v>4</v>
      </c>
      <c r="AL99" s="129">
        <f t="shared" si="21"/>
        <v>4</v>
      </c>
      <c r="AM99" s="129">
        <f t="shared" si="22"/>
        <v>0</v>
      </c>
      <c r="AN99" s="129">
        <f t="shared" si="23"/>
        <v>0</v>
      </c>
      <c r="AO99" s="129">
        <f t="shared" si="24"/>
        <v>0</v>
      </c>
      <c r="AP99" s="129">
        <f t="shared" si="25"/>
        <v>0</v>
      </c>
      <c r="AQ99" s="129">
        <f t="shared" si="26"/>
        <v>0</v>
      </c>
      <c r="AR99" s="129">
        <f t="shared" si="27"/>
        <v>0</v>
      </c>
      <c r="AS99" s="129">
        <f t="shared" si="28"/>
        <v>0</v>
      </c>
      <c r="AT99" s="312">
        <f t="shared" si="29"/>
        <v>4</v>
      </c>
      <c r="AU99" s="313" t="s">
        <v>359</v>
      </c>
      <c r="AV99" s="312"/>
      <c r="AW99" s="129">
        <v>4</v>
      </c>
      <c r="BA99" s="314"/>
      <c r="BF99" s="314"/>
      <c r="BL99" s="314"/>
      <c r="BM99" s="129">
        <f t="shared" si="34"/>
        <v>4</v>
      </c>
      <c r="BN99" s="129">
        <f t="shared" si="35"/>
        <v>4</v>
      </c>
      <c r="BR99" s="129">
        <v>518792</v>
      </c>
      <c r="BS99" s="129">
        <v>174254</v>
      </c>
      <c r="BT99" s="309" t="s">
        <v>177</v>
      </c>
      <c r="BU99" s="129" t="s">
        <v>150</v>
      </c>
      <c r="CD99" s="129" t="s">
        <v>200</v>
      </c>
      <c r="CE99" s="313"/>
    </row>
    <row r="100" spans="1:83" x14ac:dyDescent="0.25">
      <c r="A100" s="129" t="s">
        <v>759</v>
      </c>
      <c r="B100" s="129" t="s">
        <v>352</v>
      </c>
      <c r="C100" s="129" t="s">
        <v>353</v>
      </c>
      <c r="D100" s="309">
        <v>44377</v>
      </c>
      <c r="E100" s="309">
        <v>45473</v>
      </c>
      <c r="F100" s="309">
        <v>45262</v>
      </c>
      <c r="G100" s="310"/>
      <c r="H100" s="310"/>
      <c r="I100" s="315">
        <v>45982</v>
      </c>
      <c r="J100" s="129" t="s">
        <v>266</v>
      </c>
      <c r="K100" s="129" t="s">
        <v>260</v>
      </c>
      <c r="M100" s="191"/>
      <c r="O100" s="129" t="s">
        <v>760</v>
      </c>
      <c r="P100" s="129" t="s">
        <v>761</v>
      </c>
      <c r="Q100" s="129" t="s">
        <v>762</v>
      </c>
      <c r="AA100" s="312">
        <f t="shared" si="19"/>
        <v>0</v>
      </c>
      <c r="AB100" s="313" t="s">
        <v>359</v>
      </c>
      <c r="AC100" s="129">
        <v>7</v>
      </c>
      <c r="AD100" s="129">
        <v>1</v>
      </c>
      <c r="AK100" s="312">
        <f t="shared" si="20"/>
        <v>8</v>
      </c>
      <c r="AL100" s="129">
        <f t="shared" si="21"/>
        <v>7</v>
      </c>
      <c r="AM100" s="129">
        <f t="shared" si="22"/>
        <v>1</v>
      </c>
      <c r="AN100" s="129">
        <f t="shared" si="23"/>
        <v>0</v>
      </c>
      <c r="AO100" s="129">
        <f t="shared" si="24"/>
        <v>0</v>
      </c>
      <c r="AP100" s="129">
        <f t="shared" si="25"/>
        <v>0</v>
      </c>
      <c r="AQ100" s="129">
        <f t="shared" si="26"/>
        <v>0</v>
      </c>
      <c r="AR100" s="129">
        <f t="shared" si="27"/>
        <v>0</v>
      </c>
      <c r="AS100" s="129">
        <f t="shared" si="28"/>
        <v>0</v>
      </c>
      <c r="AT100" s="312">
        <f t="shared" si="29"/>
        <v>8</v>
      </c>
      <c r="AU100" s="313" t="s">
        <v>359</v>
      </c>
      <c r="AV100" s="312"/>
      <c r="AW100" s="129">
        <v>8</v>
      </c>
      <c r="BA100" s="314"/>
      <c r="BF100" s="314"/>
      <c r="BL100" s="314"/>
      <c r="BM100" s="129">
        <f t="shared" si="34"/>
        <v>8</v>
      </c>
      <c r="BN100" s="129">
        <f t="shared" si="35"/>
        <v>8</v>
      </c>
      <c r="BR100" s="129">
        <v>518792</v>
      </c>
      <c r="BS100" s="129">
        <v>174254</v>
      </c>
      <c r="BT100" s="309" t="s">
        <v>177</v>
      </c>
      <c r="BU100" s="129" t="s">
        <v>150</v>
      </c>
      <c r="CD100" s="129" t="s">
        <v>200</v>
      </c>
      <c r="CE100" s="313"/>
    </row>
    <row r="101" spans="1:83" x14ac:dyDescent="0.25">
      <c r="A101" s="129" t="s">
        <v>763</v>
      </c>
      <c r="B101" s="129" t="s">
        <v>352</v>
      </c>
      <c r="C101" s="129" t="s">
        <v>353</v>
      </c>
      <c r="D101" s="309">
        <v>44020</v>
      </c>
      <c r="E101" s="309">
        <v>45115</v>
      </c>
      <c r="F101" s="309">
        <v>45113</v>
      </c>
      <c r="G101" s="310"/>
      <c r="H101" s="310"/>
      <c r="J101" s="129" t="s">
        <v>266</v>
      </c>
      <c r="K101" s="129" t="s">
        <v>268</v>
      </c>
      <c r="M101" s="191"/>
      <c r="O101" s="129" t="s">
        <v>764</v>
      </c>
      <c r="P101" s="129" t="s">
        <v>765</v>
      </c>
      <c r="Q101" s="129" t="s">
        <v>766</v>
      </c>
      <c r="AA101" s="312">
        <f t="shared" si="19"/>
        <v>0</v>
      </c>
      <c r="AC101" s="129">
        <v>1</v>
      </c>
      <c r="AK101" s="312">
        <f t="shared" si="20"/>
        <v>1</v>
      </c>
      <c r="AL101" s="129">
        <f t="shared" si="21"/>
        <v>1</v>
      </c>
      <c r="AM101" s="129">
        <f t="shared" si="22"/>
        <v>0</v>
      </c>
      <c r="AN101" s="129">
        <f t="shared" si="23"/>
        <v>0</v>
      </c>
      <c r="AO101" s="129">
        <f t="shared" si="24"/>
        <v>0</v>
      </c>
      <c r="AP101" s="129">
        <f t="shared" si="25"/>
        <v>0</v>
      </c>
      <c r="AQ101" s="129">
        <f t="shared" si="26"/>
        <v>0</v>
      </c>
      <c r="AR101" s="129">
        <f t="shared" si="27"/>
        <v>0</v>
      </c>
      <c r="AS101" s="129">
        <f t="shared" si="28"/>
        <v>0</v>
      </c>
      <c r="AT101" s="312">
        <f t="shared" si="29"/>
        <v>1</v>
      </c>
      <c r="AV101" s="312"/>
      <c r="AX101" s="129">
        <v>1</v>
      </c>
      <c r="BA101" s="314"/>
      <c r="BF101" s="314"/>
      <c r="BL101" s="314"/>
      <c r="BM101" s="129">
        <f t="shared" si="34"/>
        <v>1</v>
      </c>
      <c r="BN101" s="129">
        <f t="shared" si="35"/>
        <v>1</v>
      </c>
      <c r="BR101" s="129">
        <v>512957</v>
      </c>
      <c r="BS101" s="129">
        <v>173546</v>
      </c>
      <c r="BT101" s="129" t="s">
        <v>173</v>
      </c>
      <c r="BU101" s="129" t="s">
        <v>156</v>
      </c>
      <c r="CD101" s="129" t="s">
        <v>203</v>
      </c>
      <c r="CE101" s="313" t="s">
        <v>359</v>
      </c>
    </row>
    <row r="102" spans="1:83" x14ac:dyDescent="0.25">
      <c r="A102" s="129" t="s">
        <v>767</v>
      </c>
      <c r="B102" s="129" t="s">
        <v>352</v>
      </c>
      <c r="C102" s="129" t="s">
        <v>353</v>
      </c>
      <c r="D102" s="309">
        <v>44001</v>
      </c>
      <c r="E102" s="309">
        <v>45096</v>
      </c>
      <c r="F102" s="309">
        <v>45086</v>
      </c>
      <c r="G102" s="310"/>
      <c r="H102" s="310"/>
      <c r="J102" s="129" t="s">
        <v>266</v>
      </c>
      <c r="K102" s="129" t="s">
        <v>263</v>
      </c>
      <c r="M102" s="191"/>
      <c r="O102" s="129" t="s">
        <v>768</v>
      </c>
      <c r="P102" s="311" t="s">
        <v>769</v>
      </c>
      <c r="Q102" s="129" t="s">
        <v>770</v>
      </c>
      <c r="AA102" s="312">
        <f t="shared" si="19"/>
        <v>0</v>
      </c>
      <c r="AB102" s="313" t="s">
        <v>359</v>
      </c>
      <c r="AC102" s="129">
        <v>6</v>
      </c>
      <c r="AD102" s="129">
        <v>6</v>
      </c>
      <c r="AE102" s="129">
        <v>3</v>
      </c>
      <c r="AK102" s="312">
        <f t="shared" si="20"/>
        <v>15</v>
      </c>
      <c r="AL102" s="129">
        <f t="shared" si="21"/>
        <v>6</v>
      </c>
      <c r="AM102" s="129">
        <f t="shared" si="22"/>
        <v>6</v>
      </c>
      <c r="AN102" s="129">
        <f t="shared" si="23"/>
        <v>3</v>
      </c>
      <c r="AO102" s="129">
        <f t="shared" si="24"/>
        <v>0</v>
      </c>
      <c r="AP102" s="129">
        <f t="shared" si="25"/>
        <v>0</v>
      </c>
      <c r="AQ102" s="129">
        <f t="shared" si="26"/>
        <v>0</v>
      </c>
      <c r="AR102" s="129">
        <f t="shared" si="27"/>
        <v>0</v>
      </c>
      <c r="AS102" s="129">
        <f t="shared" si="28"/>
        <v>0</v>
      </c>
      <c r="AT102" s="312">
        <f t="shared" si="29"/>
        <v>15</v>
      </c>
      <c r="AU102" s="313" t="s">
        <v>359</v>
      </c>
      <c r="AV102" s="312"/>
      <c r="AX102" s="129">
        <v>7.5</v>
      </c>
      <c r="AY102" s="129">
        <v>7.5</v>
      </c>
      <c r="BA102" s="314"/>
      <c r="BF102" s="314"/>
      <c r="BL102" s="314"/>
      <c r="BM102" s="129">
        <f t="shared" si="34"/>
        <v>15</v>
      </c>
      <c r="BN102" s="129">
        <f t="shared" si="35"/>
        <v>15</v>
      </c>
      <c r="BR102" s="129">
        <v>515296</v>
      </c>
      <c r="BS102" s="129">
        <v>173304</v>
      </c>
      <c r="BT102" s="129" t="s">
        <v>178</v>
      </c>
      <c r="BU102" s="129" t="s">
        <v>154</v>
      </c>
      <c r="CC102" s="129" t="s">
        <v>359</v>
      </c>
      <c r="CD102" s="129" t="s">
        <v>202</v>
      </c>
      <c r="CE102" s="313"/>
    </row>
    <row r="103" spans="1:83" x14ac:dyDescent="0.25">
      <c r="A103" s="129" t="s">
        <v>771</v>
      </c>
      <c r="B103" s="129" t="s">
        <v>377</v>
      </c>
      <c r="C103" s="129" t="s">
        <v>353</v>
      </c>
      <c r="D103" s="309">
        <v>44092</v>
      </c>
      <c r="E103" s="309">
        <v>45187</v>
      </c>
      <c r="F103" s="309">
        <v>45016</v>
      </c>
      <c r="G103" s="310"/>
      <c r="H103" s="310"/>
      <c r="J103" s="129" t="s">
        <v>266</v>
      </c>
      <c r="K103" s="129" t="s">
        <v>268</v>
      </c>
      <c r="M103" s="191"/>
      <c r="O103" s="129" t="s">
        <v>772</v>
      </c>
      <c r="P103" s="129" t="s">
        <v>773</v>
      </c>
      <c r="Q103" s="129" t="s">
        <v>628</v>
      </c>
      <c r="AA103" s="312">
        <f t="shared" si="19"/>
        <v>0</v>
      </c>
      <c r="AC103" s="129">
        <v>1</v>
      </c>
      <c r="AK103" s="312">
        <f t="shared" si="20"/>
        <v>1</v>
      </c>
      <c r="AL103" s="129">
        <f t="shared" si="21"/>
        <v>1</v>
      </c>
      <c r="AM103" s="129">
        <f t="shared" si="22"/>
        <v>0</v>
      </c>
      <c r="AN103" s="129">
        <f t="shared" si="23"/>
        <v>0</v>
      </c>
      <c r="AO103" s="129">
        <f t="shared" si="24"/>
        <v>0</v>
      </c>
      <c r="AP103" s="129">
        <f t="shared" si="25"/>
        <v>0</v>
      </c>
      <c r="AQ103" s="129">
        <f t="shared" si="26"/>
        <v>0</v>
      </c>
      <c r="AR103" s="129">
        <f t="shared" si="27"/>
        <v>0</v>
      </c>
      <c r="AS103" s="129">
        <f t="shared" si="28"/>
        <v>0</v>
      </c>
      <c r="AT103" s="312">
        <f t="shared" si="29"/>
        <v>1</v>
      </c>
      <c r="AV103" s="312"/>
      <c r="AW103" s="129">
        <v>1</v>
      </c>
      <c r="BA103" s="314"/>
      <c r="BF103" s="314"/>
      <c r="BL103" s="314"/>
      <c r="BM103" s="129">
        <f t="shared" si="34"/>
        <v>1</v>
      </c>
      <c r="BN103" s="129">
        <f t="shared" si="35"/>
        <v>1</v>
      </c>
      <c r="BR103" s="129">
        <v>517423</v>
      </c>
      <c r="BS103" s="129">
        <v>169711</v>
      </c>
      <c r="BT103" s="129" t="s">
        <v>172</v>
      </c>
      <c r="BU103" s="129" t="s">
        <v>192</v>
      </c>
      <c r="BX103" s="129" t="s">
        <v>526</v>
      </c>
      <c r="BY103" s="129" t="s">
        <v>359</v>
      </c>
      <c r="CA103" s="129" t="s">
        <v>527</v>
      </c>
      <c r="CB103" s="129" t="s">
        <v>359</v>
      </c>
      <c r="CC103" s="129" t="s">
        <v>359</v>
      </c>
      <c r="CD103" s="129" t="s">
        <v>201</v>
      </c>
      <c r="CE103" s="313"/>
    </row>
    <row r="104" spans="1:83" x14ac:dyDescent="0.25">
      <c r="A104" s="129" t="s">
        <v>774</v>
      </c>
      <c r="B104" s="129" t="s">
        <v>352</v>
      </c>
      <c r="C104" s="129" t="s">
        <v>353</v>
      </c>
      <c r="D104" s="309">
        <v>44258</v>
      </c>
      <c r="E104" s="309">
        <v>45354</v>
      </c>
      <c r="F104" s="309">
        <v>45301</v>
      </c>
      <c r="G104" s="310"/>
      <c r="H104" s="310"/>
      <c r="J104" s="129" t="s">
        <v>266</v>
      </c>
      <c r="K104" s="129" t="s">
        <v>775</v>
      </c>
      <c r="M104" s="191"/>
      <c r="O104" s="129" t="s">
        <v>776</v>
      </c>
      <c r="P104" s="129" t="s">
        <v>777</v>
      </c>
      <c r="Q104" s="129" t="s">
        <v>778</v>
      </c>
      <c r="AA104" s="312">
        <f t="shared" si="19"/>
        <v>0</v>
      </c>
      <c r="AB104" s="313" t="s">
        <v>359</v>
      </c>
      <c r="AC104" s="129">
        <v>10</v>
      </c>
      <c r="AK104" s="312">
        <f t="shared" si="20"/>
        <v>10</v>
      </c>
      <c r="AL104" s="129">
        <f t="shared" si="21"/>
        <v>10</v>
      </c>
      <c r="AM104" s="129">
        <f t="shared" si="22"/>
        <v>0</v>
      </c>
      <c r="AN104" s="129">
        <f t="shared" si="23"/>
        <v>0</v>
      </c>
      <c r="AO104" s="129">
        <f t="shared" si="24"/>
        <v>0</v>
      </c>
      <c r="AP104" s="129">
        <f t="shared" si="25"/>
        <v>0</v>
      </c>
      <c r="AQ104" s="129">
        <f t="shared" si="26"/>
        <v>0</v>
      </c>
      <c r="AR104" s="129">
        <f t="shared" si="27"/>
        <v>0</v>
      </c>
      <c r="AS104" s="129">
        <f t="shared" si="28"/>
        <v>0</v>
      </c>
      <c r="AT104" s="312">
        <f t="shared" si="29"/>
        <v>10</v>
      </c>
      <c r="AU104" s="313" t="s">
        <v>359</v>
      </c>
      <c r="AV104" s="312"/>
      <c r="AZ104" s="129">
        <v>5</v>
      </c>
      <c r="BA104" s="314">
        <v>5</v>
      </c>
      <c r="BF104" s="314"/>
      <c r="BL104" s="314"/>
      <c r="BM104" s="129">
        <f t="shared" si="34"/>
        <v>10</v>
      </c>
      <c r="BN104" s="129">
        <f t="shared" si="35"/>
        <v>10</v>
      </c>
      <c r="BR104" s="129">
        <v>516060</v>
      </c>
      <c r="BS104" s="129">
        <v>173599</v>
      </c>
      <c r="BT104" s="309" t="s">
        <v>180</v>
      </c>
      <c r="BU104" s="129" t="s">
        <v>154</v>
      </c>
      <c r="BV104" s="129" t="s">
        <v>154</v>
      </c>
      <c r="CC104" s="129" t="s">
        <v>359</v>
      </c>
      <c r="CD104" s="129" t="s">
        <v>202</v>
      </c>
      <c r="CE104" s="313"/>
    </row>
    <row r="105" spans="1:83" x14ac:dyDescent="0.25">
      <c r="A105" s="129" t="s">
        <v>774</v>
      </c>
      <c r="B105" s="129" t="s">
        <v>352</v>
      </c>
      <c r="C105" s="129" t="s">
        <v>353</v>
      </c>
      <c r="D105" s="309">
        <v>44258</v>
      </c>
      <c r="E105" s="309">
        <v>45354</v>
      </c>
      <c r="F105" s="309">
        <v>45301</v>
      </c>
      <c r="G105" s="310"/>
      <c r="H105" s="310"/>
      <c r="J105" s="129" t="s">
        <v>266</v>
      </c>
      <c r="K105" s="129" t="s">
        <v>268</v>
      </c>
      <c r="M105" s="191"/>
      <c r="O105" s="129" t="s">
        <v>776</v>
      </c>
      <c r="P105" s="129" t="s">
        <v>777</v>
      </c>
      <c r="Q105" s="129" t="s">
        <v>778</v>
      </c>
      <c r="AA105" s="312">
        <f t="shared" si="19"/>
        <v>0</v>
      </c>
      <c r="AC105" s="129">
        <v>28</v>
      </c>
      <c r="AD105" s="129">
        <v>8</v>
      </c>
      <c r="AK105" s="312">
        <f t="shared" si="20"/>
        <v>36</v>
      </c>
      <c r="AL105" s="129">
        <f t="shared" si="21"/>
        <v>28</v>
      </c>
      <c r="AM105" s="129">
        <f t="shared" si="22"/>
        <v>8</v>
      </c>
      <c r="AN105" s="129">
        <f t="shared" si="23"/>
        <v>0</v>
      </c>
      <c r="AO105" s="129">
        <f t="shared" si="24"/>
        <v>0</v>
      </c>
      <c r="AP105" s="129">
        <f t="shared" si="25"/>
        <v>0</v>
      </c>
      <c r="AQ105" s="129">
        <f t="shared" si="26"/>
        <v>0</v>
      </c>
      <c r="AR105" s="129">
        <f t="shared" si="27"/>
        <v>0</v>
      </c>
      <c r="AS105" s="129">
        <f t="shared" si="28"/>
        <v>0</v>
      </c>
      <c r="AT105" s="312">
        <f t="shared" si="29"/>
        <v>36</v>
      </c>
      <c r="AU105" s="313" t="s">
        <v>359</v>
      </c>
      <c r="AV105" s="312"/>
      <c r="AZ105" s="129">
        <v>18</v>
      </c>
      <c r="BA105" s="314">
        <v>18</v>
      </c>
      <c r="BF105" s="314"/>
      <c r="BL105" s="314"/>
      <c r="BM105" s="129">
        <f t="shared" si="34"/>
        <v>36</v>
      </c>
      <c r="BN105" s="129">
        <f t="shared" si="35"/>
        <v>36</v>
      </c>
      <c r="BR105" s="129">
        <v>516060</v>
      </c>
      <c r="BS105" s="129">
        <v>173599</v>
      </c>
      <c r="BT105" s="309" t="s">
        <v>180</v>
      </c>
      <c r="BU105" s="129" t="s">
        <v>154</v>
      </c>
      <c r="BV105" s="129" t="s">
        <v>154</v>
      </c>
      <c r="CC105" s="129" t="s">
        <v>359</v>
      </c>
      <c r="CD105" s="129" t="s">
        <v>202</v>
      </c>
      <c r="CE105" s="313"/>
    </row>
    <row r="106" spans="1:83" x14ac:dyDescent="0.25">
      <c r="A106" s="129" t="s">
        <v>779</v>
      </c>
      <c r="B106" s="129" t="s">
        <v>377</v>
      </c>
      <c r="C106" s="129" t="s">
        <v>353</v>
      </c>
      <c r="D106" s="309">
        <v>44137</v>
      </c>
      <c r="E106" s="309">
        <v>45232</v>
      </c>
      <c r="F106" s="309">
        <v>45231</v>
      </c>
      <c r="G106" s="310"/>
      <c r="H106" s="310"/>
      <c r="J106" s="129" t="s">
        <v>266</v>
      </c>
      <c r="K106" s="129" t="s">
        <v>268</v>
      </c>
      <c r="M106" s="191"/>
      <c r="O106" s="129" t="s">
        <v>780</v>
      </c>
      <c r="P106" s="129" t="s">
        <v>781</v>
      </c>
      <c r="Q106" s="129" t="s">
        <v>782</v>
      </c>
      <c r="AA106" s="312">
        <f t="shared" si="19"/>
        <v>0</v>
      </c>
      <c r="AC106" s="129">
        <v>2</v>
      </c>
      <c r="AK106" s="312">
        <f t="shared" si="20"/>
        <v>2</v>
      </c>
      <c r="AL106" s="129">
        <f t="shared" si="21"/>
        <v>2</v>
      </c>
      <c r="AM106" s="129">
        <f t="shared" si="22"/>
        <v>0</v>
      </c>
      <c r="AN106" s="129">
        <f t="shared" si="23"/>
        <v>0</v>
      </c>
      <c r="AO106" s="129">
        <f t="shared" si="24"/>
        <v>0</v>
      </c>
      <c r="AP106" s="129">
        <f t="shared" si="25"/>
        <v>0</v>
      </c>
      <c r="AQ106" s="129">
        <f t="shared" si="26"/>
        <v>0</v>
      </c>
      <c r="AR106" s="129">
        <f t="shared" si="27"/>
        <v>0</v>
      </c>
      <c r="AS106" s="129">
        <f t="shared" si="28"/>
        <v>0</v>
      </c>
      <c r="AT106" s="312">
        <f t="shared" si="29"/>
        <v>2</v>
      </c>
      <c r="AV106" s="312"/>
      <c r="AW106" s="129">
        <v>1</v>
      </c>
      <c r="AX106" s="129">
        <v>1</v>
      </c>
      <c r="BA106" s="314"/>
      <c r="BF106" s="314"/>
      <c r="BL106" s="314"/>
      <c r="BM106" s="129">
        <f t="shared" si="34"/>
        <v>2</v>
      </c>
      <c r="BN106" s="129">
        <f t="shared" si="35"/>
        <v>2</v>
      </c>
      <c r="BR106" s="129">
        <v>516132</v>
      </c>
      <c r="BS106" s="129">
        <v>170736</v>
      </c>
      <c r="BT106" s="129" t="s">
        <v>152</v>
      </c>
      <c r="BU106" s="129" t="s">
        <v>192</v>
      </c>
      <c r="CC106" s="129" t="s">
        <v>359</v>
      </c>
      <c r="CD106" s="129" t="s">
        <v>201</v>
      </c>
      <c r="CE106" s="313"/>
    </row>
    <row r="107" spans="1:83" x14ac:dyDescent="0.25">
      <c r="A107" s="129" t="s">
        <v>783</v>
      </c>
      <c r="B107" s="129" t="s">
        <v>377</v>
      </c>
      <c r="C107" s="129" t="s">
        <v>353</v>
      </c>
      <c r="D107" s="309">
        <v>44126</v>
      </c>
      <c r="E107" s="309">
        <v>45221</v>
      </c>
      <c r="F107" s="309">
        <v>44593</v>
      </c>
      <c r="G107" s="310"/>
      <c r="H107" s="310"/>
      <c r="I107" s="315">
        <v>46029</v>
      </c>
      <c r="J107" s="129" t="s">
        <v>266</v>
      </c>
      <c r="K107" s="129" t="s">
        <v>268</v>
      </c>
      <c r="M107" s="191"/>
      <c r="N107" s="316"/>
      <c r="O107" s="129" t="s">
        <v>784</v>
      </c>
      <c r="P107" s="129" t="s">
        <v>785</v>
      </c>
      <c r="Q107" s="129" t="s">
        <v>786</v>
      </c>
      <c r="AA107" s="312">
        <f t="shared" si="19"/>
        <v>0</v>
      </c>
      <c r="AC107" s="129">
        <v>4</v>
      </c>
      <c r="AK107" s="312">
        <f t="shared" si="20"/>
        <v>4</v>
      </c>
      <c r="AL107" s="129">
        <f t="shared" si="21"/>
        <v>4</v>
      </c>
      <c r="AM107" s="129">
        <f t="shared" si="22"/>
        <v>0</v>
      </c>
      <c r="AN107" s="129">
        <f t="shared" si="23"/>
        <v>0</v>
      </c>
      <c r="AO107" s="129">
        <f t="shared" si="24"/>
        <v>0</v>
      </c>
      <c r="AP107" s="129">
        <f t="shared" si="25"/>
        <v>0</v>
      </c>
      <c r="AQ107" s="129">
        <f t="shared" si="26"/>
        <v>0</v>
      </c>
      <c r="AR107" s="129">
        <f t="shared" si="27"/>
        <v>0</v>
      </c>
      <c r="AS107" s="129">
        <f t="shared" si="28"/>
        <v>0</v>
      </c>
      <c r="AT107" s="312">
        <f t="shared" si="29"/>
        <v>4</v>
      </c>
      <c r="AV107" s="312"/>
      <c r="AW107" s="129">
        <v>4</v>
      </c>
      <c r="BA107" s="314"/>
      <c r="BF107" s="314"/>
      <c r="BL107" s="314"/>
      <c r="BM107" s="129">
        <f t="shared" si="34"/>
        <v>4</v>
      </c>
      <c r="BN107" s="129">
        <f t="shared" si="35"/>
        <v>4</v>
      </c>
      <c r="BR107" s="129">
        <v>519849</v>
      </c>
      <c r="BS107" s="129">
        <v>175357</v>
      </c>
      <c r="BT107" s="129" t="s">
        <v>176</v>
      </c>
      <c r="BU107" s="129" t="s">
        <v>150</v>
      </c>
      <c r="CC107" s="129" t="s">
        <v>359</v>
      </c>
      <c r="CD107" s="129" t="s">
        <v>199</v>
      </c>
      <c r="CE107" s="313"/>
    </row>
    <row r="108" spans="1:83" x14ac:dyDescent="0.25">
      <c r="A108" s="129" t="s">
        <v>787</v>
      </c>
      <c r="B108" s="129" t="s">
        <v>482</v>
      </c>
      <c r="C108" s="129" t="s">
        <v>353</v>
      </c>
      <c r="D108" s="309">
        <v>44109</v>
      </c>
      <c r="E108" s="309">
        <v>45204</v>
      </c>
      <c r="F108" s="309">
        <v>45204</v>
      </c>
      <c r="G108" s="310"/>
      <c r="H108" s="310"/>
      <c r="J108" s="129" t="s">
        <v>266</v>
      </c>
      <c r="K108" s="129" t="s">
        <v>268</v>
      </c>
      <c r="M108" s="191"/>
      <c r="O108" s="129" t="s">
        <v>788</v>
      </c>
      <c r="P108" s="129" t="s">
        <v>789</v>
      </c>
      <c r="Q108" s="129" t="s">
        <v>790</v>
      </c>
      <c r="V108" s="129">
        <v>1</v>
      </c>
      <c r="AA108" s="312">
        <f t="shared" si="19"/>
        <v>1</v>
      </c>
      <c r="AC108" s="129">
        <v>1</v>
      </c>
      <c r="AD108" s="129">
        <v>1</v>
      </c>
      <c r="AK108" s="312">
        <f t="shared" si="20"/>
        <v>2</v>
      </c>
      <c r="AL108" s="129">
        <f t="shared" si="21"/>
        <v>1</v>
      </c>
      <c r="AM108" s="129">
        <f t="shared" si="22"/>
        <v>1</v>
      </c>
      <c r="AN108" s="129">
        <f t="shared" si="23"/>
        <v>0</v>
      </c>
      <c r="AO108" s="129">
        <f t="shared" si="24"/>
        <v>-1</v>
      </c>
      <c r="AP108" s="129">
        <f t="shared" si="25"/>
        <v>0</v>
      </c>
      <c r="AQ108" s="129">
        <f t="shared" si="26"/>
        <v>0</v>
      </c>
      <c r="AR108" s="129">
        <f t="shared" si="27"/>
        <v>0</v>
      </c>
      <c r="AS108" s="129">
        <f t="shared" si="28"/>
        <v>0</v>
      </c>
      <c r="AT108" s="312">
        <f t="shared" si="29"/>
        <v>1</v>
      </c>
      <c r="AV108" s="312"/>
      <c r="AW108" s="129">
        <v>1</v>
      </c>
      <c r="BA108" s="314"/>
      <c r="BF108" s="314"/>
      <c r="BL108" s="314"/>
      <c r="BM108" s="129">
        <f t="shared" si="34"/>
        <v>1</v>
      </c>
      <c r="BN108" s="129">
        <f t="shared" si="35"/>
        <v>1</v>
      </c>
      <c r="BR108" s="129">
        <v>514206</v>
      </c>
      <c r="BS108" s="129">
        <v>173520</v>
      </c>
      <c r="BT108" s="129" t="s">
        <v>173</v>
      </c>
      <c r="BU108" s="129" t="s">
        <v>156</v>
      </c>
      <c r="BV108" s="129" t="s">
        <v>156</v>
      </c>
      <c r="CC108" s="129" t="s">
        <v>359</v>
      </c>
      <c r="CD108" s="129" t="s">
        <v>203</v>
      </c>
      <c r="CE108" s="313"/>
    </row>
    <row r="109" spans="1:83" x14ac:dyDescent="0.25">
      <c r="A109" s="129" t="s">
        <v>791</v>
      </c>
      <c r="B109" s="129" t="s">
        <v>352</v>
      </c>
      <c r="C109" s="129" t="s">
        <v>353</v>
      </c>
      <c r="D109" s="309">
        <v>44655</v>
      </c>
      <c r="E109" s="309">
        <v>45751</v>
      </c>
      <c r="F109" s="317">
        <v>44995</v>
      </c>
      <c r="G109" s="318"/>
      <c r="H109" s="318"/>
      <c r="J109" s="129" t="s">
        <v>266</v>
      </c>
      <c r="K109" s="129" t="s">
        <v>214</v>
      </c>
      <c r="M109" s="191"/>
      <c r="O109" s="129" t="s">
        <v>792</v>
      </c>
      <c r="P109" s="129" t="s">
        <v>793</v>
      </c>
      <c r="Q109" s="129" t="s">
        <v>794</v>
      </c>
      <c r="R109" s="129" t="s">
        <v>795</v>
      </c>
      <c r="AA109" s="312">
        <f t="shared" si="19"/>
        <v>0</v>
      </c>
      <c r="AB109" s="313" t="s">
        <v>359</v>
      </c>
      <c r="AC109" s="129">
        <v>2</v>
      </c>
      <c r="AD109" s="129">
        <v>4</v>
      </c>
      <c r="AK109" s="312">
        <f t="shared" si="20"/>
        <v>6</v>
      </c>
      <c r="AL109" s="129">
        <f t="shared" si="21"/>
        <v>2</v>
      </c>
      <c r="AM109" s="129">
        <f t="shared" si="22"/>
        <v>4</v>
      </c>
      <c r="AN109" s="129">
        <f t="shared" si="23"/>
        <v>0</v>
      </c>
      <c r="AO109" s="129">
        <f t="shared" si="24"/>
        <v>0</v>
      </c>
      <c r="AP109" s="129">
        <f t="shared" si="25"/>
        <v>0</v>
      </c>
      <c r="AQ109" s="129">
        <f t="shared" si="26"/>
        <v>0</v>
      </c>
      <c r="AR109" s="129">
        <f t="shared" si="27"/>
        <v>0</v>
      </c>
      <c r="AS109" s="129">
        <f t="shared" si="28"/>
        <v>0</v>
      </c>
      <c r="AT109" s="312">
        <f t="shared" si="29"/>
        <v>6</v>
      </c>
      <c r="AU109" s="313" t="s">
        <v>359</v>
      </c>
      <c r="AV109" s="312"/>
      <c r="AZ109" s="129">
        <v>3</v>
      </c>
      <c r="BA109" s="314">
        <v>3</v>
      </c>
      <c r="BF109" s="314"/>
      <c r="BL109" s="314"/>
      <c r="BM109" s="129">
        <f t="shared" si="34"/>
        <v>6</v>
      </c>
      <c r="BN109" s="129">
        <f t="shared" si="35"/>
        <v>6</v>
      </c>
      <c r="BR109" s="129">
        <v>515141</v>
      </c>
      <c r="BS109" s="129">
        <v>171791</v>
      </c>
      <c r="BT109" s="129" t="s">
        <v>168</v>
      </c>
      <c r="BU109" s="129" t="s">
        <v>192</v>
      </c>
      <c r="CC109" s="129" t="s">
        <v>359</v>
      </c>
      <c r="CD109" s="129" t="s">
        <v>201</v>
      </c>
      <c r="CE109" s="313"/>
    </row>
    <row r="110" spans="1:83" x14ac:dyDescent="0.25">
      <c r="A110" s="129" t="s">
        <v>791</v>
      </c>
      <c r="B110" s="129" t="s">
        <v>352</v>
      </c>
      <c r="C110" s="129" t="s">
        <v>353</v>
      </c>
      <c r="D110" s="309">
        <v>44655</v>
      </c>
      <c r="E110" s="309">
        <v>45751</v>
      </c>
      <c r="F110" s="317">
        <v>44995</v>
      </c>
      <c r="G110" s="318"/>
      <c r="H110" s="318"/>
      <c r="J110" s="129" t="s">
        <v>266</v>
      </c>
      <c r="K110" s="129" t="s">
        <v>261</v>
      </c>
      <c r="M110" s="191"/>
      <c r="O110" s="129" t="s">
        <v>792</v>
      </c>
      <c r="P110" s="129" t="s">
        <v>793</v>
      </c>
      <c r="Q110" s="129" t="s">
        <v>794</v>
      </c>
      <c r="R110" s="129" t="s">
        <v>796</v>
      </c>
      <c r="AA110" s="312">
        <f t="shared" si="19"/>
        <v>0</v>
      </c>
      <c r="AB110" s="313" t="s">
        <v>359</v>
      </c>
      <c r="AC110" s="129">
        <v>4</v>
      </c>
      <c r="AD110" s="129">
        <v>13</v>
      </c>
      <c r="AE110" s="129">
        <v>7</v>
      </c>
      <c r="AK110" s="312">
        <f t="shared" si="20"/>
        <v>24</v>
      </c>
      <c r="AL110" s="129">
        <f t="shared" si="21"/>
        <v>4</v>
      </c>
      <c r="AM110" s="129">
        <f t="shared" si="22"/>
        <v>13</v>
      </c>
      <c r="AN110" s="129">
        <f t="shared" si="23"/>
        <v>7</v>
      </c>
      <c r="AO110" s="129">
        <f t="shared" si="24"/>
        <v>0</v>
      </c>
      <c r="AP110" s="129">
        <f t="shared" si="25"/>
        <v>0</v>
      </c>
      <c r="AQ110" s="129">
        <f t="shared" si="26"/>
        <v>0</v>
      </c>
      <c r="AR110" s="129">
        <f t="shared" si="27"/>
        <v>0</v>
      </c>
      <c r="AS110" s="129">
        <f t="shared" si="28"/>
        <v>0</v>
      </c>
      <c r="AT110" s="312">
        <f t="shared" si="29"/>
        <v>24</v>
      </c>
      <c r="AU110" s="313" t="s">
        <v>359</v>
      </c>
      <c r="AV110" s="312"/>
      <c r="AZ110" s="129">
        <v>12</v>
      </c>
      <c r="BA110" s="314">
        <v>12</v>
      </c>
      <c r="BF110" s="314"/>
      <c r="BL110" s="314"/>
      <c r="BM110" s="129">
        <f t="shared" si="34"/>
        <v>24</v>
      </c>
      <c r="BN110" s="129">
        <f t="shared" si="35"/>
        <v>24</v>
      </c>
      <c r="BR110" s="129">
        <v>515141</v>
      </c>
      <c r="BS110" s="129">
        <v>171791</v>
      </c>
      <c r="BT110" s="129" t="s">
        <v>168</v>
      </c>
      <c r="BU110" s="129" t="s">
        <v>192</v>
      </c>
      <c r="CC110" s="129" t="s">
        <v>359</v>
      </c>
      <c r="CD110" s="129" t="s">
        <v>201</v>
      </c>
      <c r="CE110" s="313"/>
    </row>
    <row r="111" spans="1:83" x14ac:dyDescent="0.25">
      <c r="A111" s="129" t="s">
        <v>797</v>
      </c>
      <c r="B111" s="129" t="s">
        <v>382</v>
      </c>
      <c r="C111" s="129" t="s">
        <v>353</v>
      </c>
      <c r="D111" s="309">
        <v>44098</v>
      </c>
      <c r="E111" s="309">
        <v>45193</v>
      </c>
      <c r="F111" s="309">
        <v>45170</v>
      </c>
      <c r="G111" s="310"/>
      <c r="H111" s="310"/>
      <c r="J111" s="129" t="s">
        <v>266</v>
      </c>
      <c r="K111" s="129" t="s">
        <v>268</v>
      </c>
      <c r="M111" s="191"/>
      <c r="O111" s="129" t="s">
        <v>798</v>
      </c>
      <c r="P111" s="129" t="s">
        <v>799</v>
      </c>
      <c r="Q111" s="129" t="s">
        <v>800</v>
      </c>
      <c r="AA111" s="312">
        <f t="shared" si="19"/>
        <v>0</v>
      </c>
      <c r="AC111" s="129">
        <v>1</v>
      </c>
      <c r="AK111" s="312">
        <f t="shared" si="20"/>
        <v>1</v>
      </c>
      <c r="AL111" s="129">
        <f t="shared" si="21"/>
        <v>1</v>
      </c>
      <c r="AM111" s="129">
        <f t="shared" si="22"/>
        <v>0</v>
      </c>
      <c r="AN111" s="129">
        <f t="shared" si="23"/>
        <v>0</v>
      </c>
      <c r="AO111" s="129">
        <f t="shared" si="24"/>
        <v>0</v>
      </c>
      <c r="AP111" s="129">
        <f t="shared" si="25"/>
        <v>0</v>
      </c>
      <c r="AQ111" s="129">
        <f t="shared" si="26"/>
        <v>0</v>
      </c>
      <c r="AR111" s="129">
        <f t="shared" si="27"/>
        <v>0</v>
      </c>
      <c r="AS111" s="129">
        <f t="shared" si="28"/>
        <v>0</v>
      </c>
      <c r="AT111" s="312">
        <f t="shared" si="29"/>
        <v>1</v>
      </c>
      <c r="AV111" s="312"/>
      <c r="AW111" s="129">
        <v>1</v>
      </c>
      <c r="BA111" s="314"/>
      <c r="BF111" s="314"/>
      <c r="BL111" s="314"/>
      <c r="BM111" s="129">
        <f t="shared" si="34"/>
        <v>1</v>
      </c>
      <c r="BN111" s="129">
        <f t="shared" si="35"/>
        <v>1</v>
      </c>
      <c r="BR111" s="129">
        <v>521318</v>
      </c>
      <c r="BS111" s="129">
        <v>175834</v>
      </c>
      <c r="BT111" s="129" t="s">
        <v>175</v>
      </c>
      <c r="BU111" s="129" t="s">
        <v>190</v>
      </c>
      <c r="BX111" s="129" t="s">
        <v>801</v>
      </c>
      <c r="BY111" s="129" t="s">
        <v>359</v>
      </c>
      <c r="CA111" s="129" t="s">
        <v>802</v>
      </c>
      <c r="CB111" s="129" t="s">
        <v>359</v>
      </c>
      <c r="CC111" s="129" t="s">
        <v>359</v>
      </c>
      <c r="CD111" s="129" t="s">
        <v>199</v>
      </c>
      <c r="CE111" s="313"/>
    </row>
    <row r="112" spans="1:83" x14ac:dyDescent="0.25">
      <c r="A112" s="129" t="s">
        <v>803</v>
      </c>
      <c r="B112" s="129" t="s">
        <v>382</v>
      </c>
      <c r="C112" s="129" t="s">
        <v>353</v>
      </c>
      <c r="D112" s="309">
        <v>44239</v>
      </c>
      <c r="E112" s="309">
        <v>45334</v>
      </c>
      <c r="F112" s="309">
        <v>45173</v>
      </c>
      <c r="G112" s="310"/>
      <c r="H112" s="310"/>
      <c r="J112" s="129" t="s">
        <v>266</v>
      </c>
      <c r="K112" s="129" t="s">
        <v>268</v>
      </c>
      <c r="M112" s="191"/>
      <c r="O112" s="129" t="s">
        <v>804</v>
      </c>
      <c r="P112" s="129" t="s">
        <v>805</v>
      </c>
      <c r="Q112" s="129" t="s">
        <v>806</v>
      </c>
      <c r="AA112" s="312">
        <f t="shared" si="19"/>
        <v>0</v>
      </c>
      <c r="AC112" s="129">
        <v>1</v>
      </c>
      <c r="AK112" s="312">
        <f t="shared" si="20"/>
        <v>1</v>
      </c>
      <c r="AL112" s="129">
        <f t="shared" si="21"/>
        <v>1</v>
      </c>
      <c r="AM112" s="129">
        <f t="shared" si="22"/>
        <v>0</v>
      </c>
      <c r="AN112" s="129">
        <f t="shared" si="23"/>
        <v>0</v>
      </c>
      <c r="AO112" s="129">
        <f t="shared" si="24"/>
        <v>0</v>
      </c>
      <c r="AP112" s="129">
        <f t="shared" si="25"/>
        <v>0</v>
      </c>
      <c r="AQ112" s="129">
        <f t="shared" si="26"/>
        <v>0</v>
      </c>
      <c r="AR112" s="129">
        <f t="shared" si="27"/>
        <v>0</v>
      </c>
      <c r="AS112" s="129">
        <f t="shared" si="28"/>
        <v>0</v>
      </c>
      <c r="AT112" s="312">
        <f t="shared" si="29"/>
        <v>1</v>
      </c>
      <c r="AV112" s="312"/>
      <c r="AW112" s="129">
        <v>1</v>
      </c>
      <c r="BA112" s="314"/>
      <c r="BF112" s="314"/>
      <c r="BL112" s="314"/>
      <c r="BM112" s="129">
        <f t="shared" si="34"/>
        <v>1</v>
      </c>
      <c r="BN112" s="129">
        <f t="shared" si="35"/>
        <v>1</v>
      </c>
      <c r="BR112" s="129">
        <v>521239</v>
      </c>
      <c r="BS112" s="129">
        <v>176042</v>
      </c>
      <c r="BT112" s="129" t="s">
        <v>175</v>
      </c>
      <c r="BU112" s="129" t="s">
        <v>190</v>
      </c>
      <c r="BX112" s="129" t="s">
        <v>807</v>
      </c>
      <c r="BY112" s="129" t="s">
        <v>359</v>
      </c>
      <c r="CA112" s="129" t="s">
        <v>802</v>
      </c>
      <c r="CB112" s="129" t="s">
        <v>359</v>
      </c>
      <c r="CC112" s="129" t="s">
        <v>359</v>
      </c>
      <c r="CD112" s="129" t="s">
        <v>199</v>
      </c>
      <c r="CE112" s="313"/>
    </row>
    <row r="113" spans="1:83" x14ac:dyDescent="0.25">
      <c r="A113" s="129" t="s">
        <v>808</v>
      </c>
      <c r="B113" s="129" t="s">
        <v>352</v>
      </c>
      <c r="C113" s="129" t="s">
        <v>353</v>
      </c>
      <c r="D113" s="309">
        <v>44410</v>
      </c>
      <c r="E113" s="309">
        <v>45506</v>
      </c>
      <c r="F113" s="309">
        <v>44804</v>
      </c>
      <c r="G113" s="310"/>
      <c r="H113" s="310"/>
      <c r="J113" s="129" t="s">
        <v>266</v>
      </c>
      <c r="K113" s="129" t="s">
        <v>268</v>
      </c>
      <c r="M113" s="191"/>
      <c r="O113" s="129" t="s">
        <v>809</v>
      </c>
      <c r="P113" s="311" t="s">
        <v>810</v>
      </c>
      <c r="Q113" s="129" t="s">
        <v>811</v>
      </c>
      <c r="U113" s="129">
        <v>1</v>
      </c>
      <c r="AA113" s="312">
        <f t="shared" si="19"/>
        <v>1</v>
      </c>
      <c r="AG113" s="129">
        <v>1</v>
      </c>
      <c r="AK113" s="312">
        <f t="shared" si="20"/>
        <v>1</v>
      </c>
      <c r="AL113" s="129">
        <f t="shared" si="21"/>
        <v>0</v>
      </c>
      <c r="AM113" s="129">
        <f t="shared" si="22"/>
        <v>0</v>
      </c>
      <c r="AN113" s="129">
        <f t="shared" si="23"/>
        <v>-1</v>
      </c>
      <c r="AO113" s="129">
        <f t="shared" si="24"/>
        <v>0</v>
      </c>
      <c r="AP113" s="129">
        <f t="shared" si="25"/>
        <v>1</v>
      </c>
      <c r="AQ113" s="129">
        <f t="shared" si="26"/>
        <v>0</v>
      </c>
      <c r="AR113" s="129">
        <f t="shared" si="27"/>
        <v>0</v>
      </c>
      <c r="AS113" s="129">
        <f t="shared" si="28"/>
        <v>0</v>
      </c>
      <c r="AT113" s="312">
        <f t="shared" si="29"/>
        <v>0</v>
      </c>
      <c r="AV113" s="312"/>
      <c r="AW113" s="129">
        <v>0</v>
      </c>
      <c r="BA113" s="314"/>
      <c r="BF113" s="314"/>
      <c r="BL113" s="314"/>
      <c r="BM113" s="129">
        <f t="shared" si="34"/>
        <v>0</v>
      </c>
      <c r="BN113" s="129">
        <f t="shared" si="35"/>
        <v>0</v>
      </c>
      <c r="BR113" s="129">
        <v>513403</v>
      </c>
      <c r="BS113" s="129">
        <v>174165</v>
      </c>
      <c r="BT113" s="129" t="s">
        <v>173</v>
      </c>
      <c r="BU113" s="129" t="s">
        <v>156</v>
      </c>
      <c r="CC113" s="129" t="s">
        <v>359</v>
      </c>
      <c r="CD113" s="129" t="s">
        <v>203</v>
      </c>
      <c r="CE113" s="313"/>
    </row>
    <row r="114" spans="1:83" x14ac:dyDescent="0.25">
      <c r="A114" s="129" t="s">
        <v>812</v>
      </c>
      <c r="B114" s="129" t="s">
        <v>369</v>
      </c>
      <c r="C114" s="129" t="s">
        <v>353</v>
      </c>
      <c r="D114" s="309">
        <v>44134</v>
      </c>
      <c r="E114" s="309">
        <v>45558</v>
      </c>
      <c r="F114" s="315">
        <v>44682</v>
      </c>
      <c r="G114" s="319"/>
      <c r="H114" s="319"/>
      <c r="I114" s="315">
        <v>45980</v>
      </c>
      <c r="J114" s="129" t="s">
        <v>266</v>
      </c>
      <c r="K114" s="129" t="s">
        <v>268</v>
      </c>
      <c r="M114" s="191"/>
      <c r="O114" s="129" t="s">
        <v>813</v>
      </c>
      <c r="P114" s="311" t="s">
        <v>814</v>
      </c>
      <c r="Q114" s="129" t="s">
        <v>641</v>
      </c>
      <c r="S114" s="129">
        <v>1</v>
      </c>
      <c r="AA114" s="312">
        <f t="shared" si="19"/>
        <v>1</v>
      </c>
      <c r="AD114" s="129">
        <v>1</v>
      </c>
      <c r="AK114" s="312">
        <f t="shared" si="20"/>
        <v>1</v>
      </c>
      <c r="AL114" s="129">
        <f t="shared" si="21"/>
        <v>-1</v>
      </c>
      <c r="AM114" s="129">
        <f t="shared" si="22"/>
        <v>1</v>
      </c>
      <c r="AN114" s="129">
        <f t="shared" si="23"/>
        <v>0</v>
      </c>
      <c r="AO114" s="129">
        <f t="shared" si="24"/>
        <v>0</v>
      </c>
      <c r="AP114" s="129">
        <f t="shared" si="25"/>
        <v>0</v>
      </c>
      <c r="AQ114" s="129">
        <f t="shared" si="26"/>
        <v>0</v>
      </c>
      <c r="AR114" s="129">
        <f t="shared" si="27"/>
        <v>0</v>
      </c>
      <c r="AS114" s="129">
        <f t="shared" si="28"/>
        <v>0</v>
      </c>
      <c r="AT114" s="312">
        <f t="shared" si="29"/>
        <v>0</v>
      </c>
      <c r="AV114" s="312"/>
      <c r="AW114" s="129">
        <v>0</v>
      </c>
      <c r="BA114" s="314"/>
      <c r="BF114" s="314"/>
      <c r="BL114" s="314"/>
      <c r="BM114" s="129">
        <f t="shared" si="34"/>
        <v>0</v>
      </c>
      <c r="BN114" s="129">
        <f t="shared" si="35"/>
        <v>0</v>
      </c>
      <c r="BR114" s="129">
        <v>513893</v>
      </c>
      <c r="BS114" s="129">
        <v>169502</v>
      </c>
      <c r="BT114" s="129" t="s">
        <v>170</v>
      </c>
      <c r="BU114" s="129" t="s">
        <v>192</v>
      </c>
      <c r="BW114" s="129" t="s">
        <v>151</v>
      </c>
      <c r="BX114" s="129" t="s">
        <v>642</v>
      </c>
      <c r="BY114" s="129" t="s">
        <v>359</v>
      </c>
      <c r="CA114" s="129" t="s">
        <v>421</v>
      </c>
      <c r="CB114" s="129" t="s">
        <v>359</v>
      </c>
      <c r="CC114" s="129" t="s">
        <v>359</v>
      </c>
      <c r="CD114" s="129" t="s">
        <v>198</v>
      </c>
      <c r="CE114" s="313"/>
    </row>
    <row r="115" spans="1:83" x14ac:dyDescent="0.25">
      <c r="A115" s="129" t="s">
        <v>815</v>
      </c>
      <c r="B115" s="129" t="s">
        <v>382</v>
      </c>
      <c r="C115" s="129" t="s">
        <v>353</v>
      </c>
      <c r="D115" s="309">
        <v>44624</v>
      </c>
      <c r="E115" s="309">
        <v>45720</v>
      </c>
      <c r="F115" s="309">
        <v>45705</v>
      </c>
      <c r="G115" s="310" t="s">
        <v>359</v>
      </c>
      <c r="H115" s="310"/>
      <c r="J115" s="129" t="s">
        <v>266</v>
      </c>
      <c r="K115" s="129" t="s">
        <v>268</v>
      </c>
      <c r="M115" s="191"/>
      <c r="O115" s="129" t="s">
        <v>816</v>
      </c>
      <c r="P115" s="129" t="s">
        <v>817</v>
      </c>
      <c r="Q115" s="129" t="s">
        <v>818</v>
      </c>
      <c r="AA115" s="312">
        <f t="shared" si="19"/>
        <v>0</v>
      </c>
      <c r="AE115" s="129">
        <v>1</v>
      </c>
      <c r="AK115" s="312">
        <f t="shared" si="20"/>
        <v>1</v>
      </c>
      <c r="AL115" s="129">
        <f t="shared" si="21"/>
        <v>0</v>
      </c>
      <c r="AM115" s="129">
        <f t="shared" si="22"/>
        <v>0</v>
      </c>
      <c r="AN115" s="129">
        <f t="shared" si="23"/>
        <v>1</v>
      </c>
      <c r="AO115" s="129">
        <f t="shared" si="24"/>
        <v>0</v>
      </c>
      <c r="AP115" s="129">
        <f t="shared" si="25"/>
        <v>0</v>
      </c>
      <c r="AQ115" s="129">
        <f t="shared" si="26"/>
        <v>0</v>
      </c>
      <c r="AR115" s="129">
        <f t="shared" si="27"/>
        <v>0</v>
      </c>
      <c r="AS115" s="129">
        <f t="shared" si="28"/>
        <v>0</v>
      </c>
      <c r="AT115" s="312">
        <f t="shared" si="29"/>
        <v>1</v>
      </c>
      <c r="AV115" s="312"/>
      <c r="AW115" s="129">
        <v>0.5</v>
      </c>
      <c r="AX115" s="129">
        <v>0.5</v>
      </c>
      <c r="BA115" s="314"/>
      <c r="BF115" s="314"/>
      <c r="BL115" s="314"/>
      <c r="BM115" s="129">
        <f t="shared" si="34"/>
        <v>1</v>
      </c>
      <c r="BN115" s="129">
        <f t="shared" si="35"/>
        <v>1</v>
      </c>
      <c r="BR115" s="129">
        <v>514523</v>
      </c>
      <c r="BS115" s="129">
        <v>173247</v>
      </c>
      <c r="BT115" s="129" t="s">
        <v>181</v>
      </c>
      <c r="BU115" s="129" t="s">
        <v>154</v>
      </c>
      <c r="CC115" s="129" t="s">
        <v>359</v>
      </c>
      <c r="CD115" s="129" t="s">
        <v>202</v>
      </c>
      <c r="CE115" s="313"/>
    </row>
    <row r="116" spans="1:83" x14ac:dyDescent="0.25">
      <c r="A116" s="129" t="s">
        <v>819</v>
      </c>
      <c r="B116" s="129" t="s">
        <v>369</v>
      </c>
      <c r="C116" s="129" t="s">
        <v>353</v>
      </c>
      <c r="D116" s="309">
        <v>44263</v>
      </c>
      <c r="E116" s="309">
        <v>45359</v>
      </c>
      <c r="F116" s="309">
        <v>45315</v>
      </c>
      <c r="G116" s="310"/>
      <c r="H116" s="310"/>
      <c r="J116" s="129" t="s">
        <v>266</v>
      </c>
      <c r="K116" s="129" t="s">
        <v>268</v>
      </c>
      <c r="M116" s="191"/>
      <c r="O116" s="129" t="s">
        <v>820</v>
      </c>
      <c r="P116" s="129" t="s">
        <v>821</v>
      </c>
      <c r="Q116" s="129" t="s">
        <v>822</v>
      </c>
      <c r="AA116" s="312">
        <f t="shared" si="19"/>
        <v>0</v>
      </c>
      <c r="AC116" s="129">
        <v>1</v>
      </c>
      <c r="AK116" s="312">
        <f t="shared" si="20"/>
        <v>1</v>
      </c>
      <c r="AL116" s="129">
        <f t="shared" si="21"/>
        <v>1</v>
      </c>
      <c r="AM116" s="129">
        <f t="shared" si="22"/>
        <v>0</v>
      </c>
      <c r="AN116" s="129">
        <f t="shared" si="23"/>
        <v>0</v>
      </c>
      <c r="AO116" s="129">
        <f t="shared" si="24"/>
        <v>0</v>
      </c>
      <c r="AP116" s="129">
        <f t="shared" si="25"/>
        <v>0</v>
      </c>
      <c r="AQ116" s="129">
        <f t="shared" si="26"/>
        <v>0</v>
      </c>
      <c r="AR116" s="129">
        <f t="shared" si="27"/>
        <v>0</v>
      </c>
      <c r="AS116" s="129">
        <f t="shared" si="28"/>
        <v>0</v>
      </c>
      <c r="AT116" s="312">
        <f t="shared" si="29"/>
        <v>1</v>
      </c>
      <c r="AV116" s="312"/>
      <c r="AW116" s="129">
        <v>1</v>
      </c>
      <c r="BA116" s="314"/>
      <c r="BF116" s="314"/>
      <c r="BL116" s="314"/>
      <c r="BM116" s="129">
        <f t="shared" si="34"/>
        <v>1</v>
      </c>
      <c r="BN116" s="129">
        <f t="shared" si="35"/>
        <v>1</v>
      </c>
      <c r="BR116" s="129">
        <v>518831</v>
      </c>
      <c r="BS116" s="129">
        <v>174557</v>
      </c>
      <c r="BT116" s="129" t="s">
        <v>177</v>
      </c>
      <c r="BU116" s="129" t="s">
        <v>150</v>
      </c>
      <c r="CC116" s="129" t="s">
        <v>359</v>
      </c>
      <c r="CD116" s="129" t="s">
        <v>200</v>
      </c>
      <c r="CE116" s="313"/>
    </row>
    <row r="117" spans="1:83" x14ac:dyDescent="0.25">
      <c r="A117" s="129" t="s">
        <v>823</v>
      </c>
      <c r="B117" s="129" t="s">
        <v>369</v>
      </c>
      <c r="C117" s="129" t="s">
        <v>534</v>
      </c>
      <c r="D117" s="309">
        <v>44243</v>
      </c>
      <c r="E117" s="309">
        <v>45338</v>
      </c>
      <c r="F117" s="309">
        <v>44531</v>
      </c>
      <c r="G117" s="310"/>
      <c r="H117" s="310"/>
      <c r="I117" s="315">
        <v>45840</v>
      </c>
      <c r="J117" s="129" t="s">
        <v>266</v>
      </c>
      <c r="K117" s="129" t="s">
        <v>268</v>
      </c>
      <c r="M117" s="191"/>
      <c r="O117" s="129" t="s">
        <v>824</v>
      </c>
      <c r="P117" s="129" t="s">
        <v>825</v>
      </c>
      <c r="Q117" s="129" t="s">
        <v>826</v>
      </c>
      <c r="AA117" s="312">
        <f t="shared" si="19"/>
        <v>0</v>
      </c>
      <c r="AC117" s="129">
        <v>1</v>
      </c>
      <c r="AD117" s="129">
        <v>1</v>
      </c>
      <c r="AK117" s="312">
        <f t="shared" si="20"/>
        <v>2</v>
      </c>
      <c r="AL117" s="129">
        <f t="shared" si="21"/>
        <v>1</v>
      </c>
      <c r="AM117" s="129">
        <f t="shared" si="22"/>
        <v>1</v>
      </c>
      <c r="AN117" s="129">
        <f t="shared" si="23"/>
        <v>0</v>
      </c>
      <c r="AO117" s="129">
        <f t="shared" si="24"/>
        <v>0</v>
      </c>
      <c r="AP117" s="129">
        <f t="shared" si="25"/>
        <v>0</v>
      </c>
      <c r="AQ117" s="129">
        <f t="shared" si="26"/>
        <v>0</v>
      </c>
      <c r="AR117" s="129">
        <f t="shared" si="27"/>
        <v>0</v>
      </c>
      <c r="AS117" s="129">
        <f t="shared" si="28"/>
        <v>0</v>
      </c>
      <c r="AT117" s="312">
        <f t="shared" si="29"/>
        <v>2</v>
      </c>
      <c r="AV117" s="312"/>
      <c r="AW117" s="129">
        <v>2</v>
      </c>
      <c r="BA117" s="314"/>
      <c r="BF117" s="314"/>
      <c r="BL117" s="314"/>
      <c r="BM117" s="129">
        <f t="shared" si="34"/>
        <v>2</v>
      </c>
      <c r="BN117" s="129">
        <f t="shared" si="35"/>
        <v>2</v>
      </c>
      <c r="BR117" s="129">
        <v>516260</v>
      </c>
      <c r="BS117" s="129">
        <v>173296</v>
      </c>
      <c r="BT117" s="129" t="s">
        <v>180</v>
      </c>
      <c r="BU117" s="129" t="s">
        <v>154</v>
      </c>
      <c r="BV117" s="129" t="s">
        <v>154</v>
      </c>
      <c r="CA117" s="129" t="s">
        <v>386</v>
      </c>
      <c r="CB117" s="129" t="s">
        <v>359</v>
      </c>
      <c r="CC117" s="129" t="s">
        <v>359</v>
      </c>
      <c r="CD117" s="129" t="s">
        <v>202</v>
      </c>
      <c r="CE117" s="313"/>
    </row>
    <row r="118" spans="1:83" x14ac:dyDescent="0.25">
      <c r="A118" s="129" t="s">
        <v>827</v>
      </c>
      <c r="B118" s="129" t="s">
        <v>377</v>
      </c>
      <c r="C118" s="129" t="s">
        <v>353</v>
      </c>
      <c r="D118" s="309">
        <v>44411</v>
      </c>
      <c r="E118" s="309">
        <v>45507</v>
      </c>
      <c r="F118" s="309">
        <v>45446</v>
      </c>
      <c r="G118" s="310" t="s">
        <v>359</v>
      </c>
      <c r="H118" s="310"/>
      <c r="I118" s="315">
        <v>45945</v>
      </c>
      <c r="J118" s="129" t="s">
        <v>266</v>
      </c>
      <c r="K118" s="129" t="s">
        <v>268</v>
      </c>
      <c r="M118" s="191"/>
      <c r="O118" s="129" t="s">
        <v>828</v>
      </c>
      <c r="P118" s="129" t="s">
        <v>829</v>
      </c>
      <c r="Q118" s="129" t="s">
        <v>830</v>
      </c>
      <c r="AA118" s="312">
        <f t="shared" si="19"/>
        <v>0</v>
      </c>
      <c r="AD118" s="129">
        <v>1</v>
      </c>
      <c r="AK118" s="312">
        <f t="shared" si="20"/>
        <v>1</v>
      </c>
      <c r="AL118" s="129">
        <f t="shared" si="21"/>
        <v>0</v>
      </c>
      <c r="AM118" s="129">
        <f t="shared" si="22"/>
        <v>1</v>
      </c>
      <c r="AN118" s="129">
        <f t="shared" si="23"/>
        <v>0</v>
      </c>
      <c r="AO118" s="129">
        <f t="shared" si="24"/>
        <v>0</v>
      </c>
      <c r="AP118" s="129">
        <f t="shared" si="25"/>
        <v>0</v>
      </c>
      <c r="AQ118" s="129">
        <f t="shared" si="26"/>
        <v>0</v>
      </c>
      <c r="AR118" s="129">
        <f t="shared" si="27"/>
        <v>0</v>
      </c>
      <c r="AS118" s="129">
        <f t="shared" si="28"/>
        <v>0</v>
      </c>
      <c r="AT118" s="312">
        <f t="shared" si="29"/>
        <v>1</v>
      </c>
      <c r="AV118" s="312"/>
      <c r="AW118" s="129">
        <v>1</v>
      </c>
      <c r="BA118" s="314"/>
      <c r="BF118" s="314"/>
      <c r="BL118" s="314"/>
      <c r="BM118" s="129">
        <f t="shared" si="34"/>
        <v>1</v>
      </c>
      <c r="BN118" s="129">
        <f t="shared" si="35"/>
        <v>1</v>
      </c>
      <c r="BR118" s="129">
        <v>516925</v>
      </c>
      <c r="BS118" s="129">
        <v>174069</v>
      </c>
      <c r="BT118" s="129" t="s">
        <v>179</v>
      </c>
      <c r="BU118" s="129" t="s">
        <v>154</v>
      </c>
      <c r="BX118" s="129" t="s">
        <v>374</v>
      </c>
      <c r="BY118" s="129" t="s">
        <v>359</v>
      </c>
      <c r="CC118" s="129" t="s">
        <v>359</v>
      </c>
      <c r="CD118" s="129" t="s">
        <v>202</v>
      </c>
      <c r="CE118" s="313"/>
    </row>
    <row r="119" spans="1:83" x14ac:dyDescent="0.25">
      <c r="A119" s="129" t="s">
        <v>831</v>
      </c>
      <c r="B119" s="129" t="s">
        <v>369</v>
      </c>
      <c r="C119" s="248" t="s">
        <v>370</v>
      </c>
      <c r="D119" s="309">
        <v>44298</v>
      </c>
      <c r="E119" s="309">
        <v>45394</v>
      </c>
      <c r="F119" s="309">
        <v>44578</v>
      </c>
      <c r="G119" s="310"/>
      <c r="H119" s="310"/>
      <c r="I119" s="315"/>
      <c r="J119" s="129" t="s">
        <v>266</v>
      </c>
      <c r="K119" s="311" t="s">
        <v>268</v>
      </c>
      <c r="M119" s="191"/>
      <c r="N119" s="306"/>
      <c r="O119" s="129" t="s">
        <v>832</v>
      </c>
      <c r="P119" s="129" t="s">
        <v>833</v>
      </c>
      <c r="Q119" s="129" t="s">
        <v>834</v>
      </c>
      <c r="AA119" s="312">
        <f t="shared" si="19"/>
        <v>0</v>
      </c>
      <c r="AC119" s="129">
        <v>4</v>
      </c>
      <c r="AD119" s="129">
        <v>8</v>
      </c>
      <c r="AK119" s="312">
        <f t="shared" si="20"/>
        <v>12</v>
      </c>
      <c r="AL119" s="129">
        <f t="shared" si="21"/>
        <v>4</v>
      </c>
      <c r="AM119" s="129">
        <f t="shared" si="22"/>
        <v>8</v>
      </c>
      <c r="AN119" s="129">
        <f t="shared" si="23"/>
        <v>0</v>
      </c>
      <c r="AO119" s="129">
        <f t="shared" si="24"/>
        <v>0</v>
      </c>
      <c r="AP119" s="129">
        <f t="shared" si="25"/>
        <v>0</v>
      </c>
      <c r="AQ119" s="129">
        <f t="shared" si="26"/>
        <v>0</v>
      </c>
      <c r="AR119" s="129">
        <f t="shared" si="27"/>
        <v>0</v>
      </c>
      <c r="AS119" s="129">
        <f t="shared" si="28"/>
        <v>0</v>
      </c>
      <c r="AT119" s="312">
        <f t="shared" si="29"/>
        <v>12</v>
      </c>
      <c r="AU119" s="313" t="s">
        <v>359</v>
      </c>
      <c r="AV119" s="312"/>
      <c r="AW119" s="129">
        <v>12</v>
      </c>
      <c r="BA119" s="314"/>
      <c r="BF119" s="314"/>
      <c r="BL119" s="314"/>
      <c r="BM119" s="129">
        <f t="shared" si="34"/>
        <v>12</v>
      </c>
      <c r="BN119" s="129">
        <f t="shared" si="35"/>
        <v>12</v>
      </c>
      <c r="BR119" s="129">
        <v>514247</v>
      </c>
      <c r="BS119" s="129">
        <v>170821</v>
      </c>
      <c r="BT119" s="129" t="s">
        <v>168</v>
      </c>
      <c r="BU119" s="129" t="s">
        <v>192</v>
      </c>
      <c r="BX119" s="129" t="s">
        <v>404</v>
      </c>
      <c r="BY119" s="129" t="s">
        <v>359</v>
      </c>
      <c r="CA119" s="129" t="s">
        <v>835</v>
      </c>
      <c r="CB119" s="129" t="s">
        <v>359</v>
      </c>
      <c r="CD119" s="129" t="s">
        <v>198</v>
      </c>
      <c r="CE119" s="313"/>
    </row>
    <row r="120" spans="1:83" x14ac:dyDescent="0.25">
      <c r="A120" s="129" t="s">
        <v>836</v>
      </c>
      <c r="B120" s="129" t="s">
        <v>352</v>
      </c>
      <c r="C120" s="129" t="s">
        <v>353</v>
      </c>
      <c r="D120" s="309">
        <v>45281</v>
      </c>
      <c r="E120" s="309">
        <v>46377</v>
      </c>
      <c r="F120" s="309">
        <v>45306</v>
      </c>
      <c r="G120" s="310"/>
      <c r="H120" s="310"/>
      <c r="J120" s="129" t="s">
        <v>266</v>
      </c>
      <c r="K120" s="129" t="s">
        <v>268</v>
      </c>
      <c r="M120" s="191"/>
      <c r="O120" s="129" t="s">
        <v>837</v>
      </c>
      <c r="P120" s="129" t="s">
        <v>838</v>
      </c>
      <c r="Q120" s="129" t="s">
        <v>839</v>
      </c>
      <c r="AA120" s="312">
        <f t="shared" si="19"/>
        <v>0</v>
      </c>
      <c r="AE120" s="129">
        <v>1</v>
      </c>
      <c r="AK120" s="312">
        <f t="shared" si="20"/>
        <v>1</v>
      </c>
      <c r="AL120" s="129">
        <f t="shared" si="21"/>
        <v>0</v>
      </c>
      <c r="AM120" s="129">
        <f t="shared" si="22"/>
        <v>0</v>
      </c>
      <c r="AN120" s="129">
        <f t="shared" si="23"/>
        <v>1</v>
      </c>
      <c r="AO120" s="129">
        <f t="shared" si="24"/>
        <v>0</v>
      </c>
      <c r="AP120" s="129">
        <f t="shared" si="25"/>
        <v>0</v>
      </c>
      <c r="AQ120" s="129">
        <f t="shared" si="26"/>
        <v>0</v>
      </c>
      <c r="AR120" s="129">
        <f t="shared" si="27"/>
        <v>0</v>
      </c>
      <c r="AS120" s="129">
        <f t="shared" si="28"/>
        <v>0</v>
      </c>
      <c r="AT120" s="312">
        <f t="shared" si="29"/>
        <v>1</v>
      </c>
      <c r="AV120" s="312"/>
      <c r="AW120" s="129">
        <v>1</v>
      </c>
      <c r="BA120" s="314"/>
      <c r="BF120" s="314"/>
      <c r="BL120" s="314"/>
      <c r="BM120" s="129">
        <f t="shared" si="34"/>
        <v>1</v>
      </c>
      <c r="BN120" s="129">
        <f t="shared" si="35"/>
        <v>1</v>
      </c>
      <c r="BR120" s="129">
        <v>513620</v>
      </c>
      <c r="BS120" s="129">
        <v>172514</v>
      </c>
      <c r="BT120" s="129" t="s">
        <v>181</v>
      </c>
      <c r="BU120" s="129" t="s">
        <v>154</v>
      </c>
      <c r="CD120" s="129" t="s">
        <v>202</v>
      </c>
      <c r="CE120" s="313"/>
    </row>
    <row r="121" spans="1:83" x14ac:dyDescent="0.25">
      <c r="A121" s="129" t="s">
        <v>840</v>
      </c>
      <c r="B121" s="129" t="s">
        <v>352</v>
      </c>
      <c r="C121" s="129" t="s">
        <v>353</v>
      </c>
      <c r="D121" s="309">
        <v>44672</v>
      </c>
      <c r="E121" s="309">
        <v>45768</v>
      </c>
      <c r="F121" s="309">
        <v>45317</v>
      </c>
      <c r="G121" s="310"/>
      <c r="H121" s="310"/>
      <c r="J121" s="129" t="s">
        <v>266</v>
      </c>
      <c r="K121" s="129" t="s">
        <v>268</v>
      </c>
      <c r="M121" s="191"/>
      <c r="O121" s="129" t="s">
        <v>841</v>
      </c>
      <c r="P121" s="129" t="s">
        <v>842</v>
      </c>
      <c r="Q121" s="129" t="s">
        <v>843</v>
      </c>
      <c r="AA121" s="312">
        <f t="shared" si="19"/>
        <v>0</v>
      </c>
      <c r="AD121" s="129">
        <v>1</v>
      </c>
      <c r="AK121" s="312">
        <f t="shared" si="20"/>
        <v>1</v>
      </c>
      <c r="AL121" s="129">
        <f t="shared" si="21"/>
        <v>0</v>
      </c>
      <c r="AM121" s="129">
        <f t="shared" si="22"/>
        <v>1</v>
      </c>
      <c r="AN121" s="129">
        <f t="shared" si="23"/>
        <v>0</v>
      </c>
      <c r="AO121" s="129">
        <f t="shared" si="24"/>
        <v>0</v>
      </c>
      <c r="AP121" s="129">
        <f t="shared" si="25"/>
        <v>0</v>
      </c>
      <c r="AQ121" s="129">
        <f t="shared" si="26"/>
        <v>0</v>
      </c>
      <c r="AR121" s="129">
        <f t="shared" si="27"/>
        <v>0</v>
      </c>
      <c r="AS121" s="129">
        <f t="shared" si="28"/>
        <v>0</v>
      </c>
      <c r="AT121" s="312">
        <f t="shared" si="29"/>
        <v>1</v>
      </c>
      <c r="AV121" s="312"/>
      <c r="AW121" s="129">
        <v>0.5</v>
      </c>
      <c r="AX121" s="129">
        <v>0.5</v>
      </c>
      <c r="BA121" s="314"/>
      <c r="BF121" s="314"/>
      <c r="BL121" s="314"/>
      <c r="BM121" s="129">
        <f t="shared" si="34"/>
        <v>1</v>
      </c>
      <c r="BN121" s="129">
        <f t="shared" si="35"/>
        <v>1</v>
      </c>
      <c r="BR121" s="129">
        <v>516850</v>
      </c>
      <c r="BS121" s="129">
        <v>172139</v>
      </c>
      <c r="BT121" s="129" t="s">
        <v>169</v>
      </c>
      <c r="BU121" s="129" t="s">
        <v>191</v>
      </c>
      <c r="CD121" s="129" t="s">
        <v>197</v>
      </c>
      <c r="CE121" s="313"/>
    </row>
    <row r="122" spans="1:83" x14ac:dyDescent="0.25">
      <c r="A122" s="129" t="s">
        <v>417</v>
      </c>
      <c r="B122" s="129" t="s">
        <v>382</v>
      </c>
      <c r="C122" s="129" t="s">
        <v>353</v>
      </c>
      <c r="D122" s="309">
        <v>44973</v>
      </c>
      <c r="E122" s="309">
        <v>46069</v>
      </c>
      <c r="F122" s="309">
        <v>45078</v>
      </c>
      <c r="G122" s="310"/>
      <c r="H122" s="310"/>
      <c r="I122" s="315">
        <v>45918</v>
      </c>
      <c r="J122" s="129" t="s">
        <v>266</v>
      </c>
      <c r="K122" s="129" t="s">
        <v>268</v>
      </c>
      <c r="M122" s="191"/>
      <c r="O122" s="129" t="s">
        <v>418</v>
      </c>
      <c r="P122" s="129" t="s">
        <v>419</v>
      </c>
      <c r="Q122" s="129" t="s">
        <v>420</v>
      </c>
      <c r="AA122" s="312">
        <f t="shared" si="19"/>
        <v>0</v>
      </c>
      <c r="AE122" s="129">
        <v>2</v>
      </c>
      <c r="AK122" s="312">
        <f t="shared" si="20"/>
        <v>2</v>
      </c>
      <c r="AL122" s="129">
        <f t="shared" si="21"/>
        <v>0</v>
      </c>
      <c r="AM122" s="129">
        <f t="shared" si="22"/>
        <v>0</v>
      </c>
      <c r="AN122" s="129">
        <f t="shared" si="23"/>
        <v>2</v>
      </c>
      <c r="AO122" s="129">
        <f t="shared" si="24"/>
        <v>0</v>
      </c>
      <c r="AP122" s="129">
        <f t="shared" si="25"/>
        <v>0</v>
      </c>
      <c r="AQ122" s="129">
        <f t="shared" si="26"/>
        <v>0</v>
      </c>
      <c r="AR122" s="129">
        <f t="shared" si="27"/>
        <v>0</v>
      </c>
      <c r="AS122" s="129">
        <f t="shared" si="28"/>
        <v>0</v>
      </c>
      <c r="AT122" s="312">
        <f t="shared" si="29"/>
        <v>2</v>
      </c>
      <c r="AV122" s="312"/>
      <c r="AW122" s="129">
        <v>2</v>
      </c>
      <c r="BA122" s="314"/>
      <c r="BF122" s="314"/>
      <c r="BL122" s="314"/>
      <c r="BM122" s="129">
        <f t="shared" ref="BM122:BM138" si="36">SUM(AW122:BA122)</f>
        <v>2</v>
      </c>
      <c r="BN122" s="129">
        <f t="shared" ref="BN122:BN138" si="37">SUM(AW122:BF122)</f>
        <v>2</v>
      </c>
      <c r="BR122" s="129">
        <v>513825</v>
      </c>
      <c r="BS122" s="129">
        <v>169567</v>
      </c>
      <c r="BT122" s="129" t="s">
        <v>170</v>
      </c>
      <c r="BU122" s="129" t="s">
        <v>192</v>
      </c>
      <c r="CA122" s="129" t="s">
        <v>421</v>
      </c>
      <c r="CB122" s="129" t="s">
        <v>359</v>
      </c>
      <c r="CC122" s="129" t="s">
        <v>359</v>
      </c>
      <c r="CD122" s="129" t="s">
        <v>198</v>
      </c>
      <c r="CE122" s="313"/>
    </row>
    <row r="123" spans="1:83" x14ac:dyDescent="0.25">
      <c r="A123" s="129" t="s">
        <v>844</v>
      </c>
      <c r="B123" s="129" t="s">
        <v>482</v>
      </c>
      <c r="C123" s="129" t="s">
        <v>353</v>
      </c>
      <c r="D123" s="309">
        <v>44651</v>
      </c>
      <c r="E123" s="309">
        <v>45747</v>
      </c>
      <c r="F123" s="309">
        <v>45717</v>
      </c>
      <c r="G123" s="310" t="s">
        <v>359</v>
      </c>
      <c r="H123" s="310"/>
      <c r="J123" s="129" t="s">
        <v>266</v>
      </c>
      <c r="K123" s="129" t="s">
        <v>268</v>
      </c>
      <c r="M123" s="191"/>
      <c r="O123" s="129" t="s">
        <v>845</v>
      </c>
      <c r="P123" s="129" t="s">
        <v>846</v>
      </c>
      <c r="Q123" s="129" t="s">
        <v>847</v>
      </c>
      <c r="S123" s="129">
        <v>1</v>
      </c>
      <c r="T123" s="129">
        <v>1</v>
      </c>
      <c r="AA123" s="312">
        <f t="shared" si="19"/>
        <v>2</v>
      </c>
      <c r="AF123" s="129">
        <v>1</v>
      </c>
      <c r="AK123" s="312">
        <f t="shared" si="20"/>
        <v>1</v>
      </c>
      <c r="AL123" s="129">
        <f t="shared" si="21"/>
        <v>-1</v>
      </c>
      <c r="AM123" s="129">
        <f t="shared" si="22"/>
        <v>-1</v>
      </c>
      <c r="AN123" s="129">
        <f t="shared" si="23"/>
        <v>0</v>
      </c>
      <c r="AO123" s="129">
        <f t="shared" si="24"/>
        <v>1</v>
      </c>
      <c r="AP123" s="129">
        <f t="shared" si="25"/>
        <v>0</v>
      </c>
      <c r="AQ123" s="129">
        <f t="shared" si="26"/>
        <v>0</v>
      </c>
      <c r="AR123" s="129">
        <f t="shared" si="27"/>
        <v>0</v>
      </c>
      <c r="AS123" s="129">
        <f t="shared" si="28"/>
        <v>0</v>
      </c>
      <c r="AT123" s="312">
        <f t="shared" si="29"/>
        <v>-1</v>
      </c>
      <c r="AV123" s="312"/>
      <c r="AW123" s="129">
        <v>-1</v>
      </c>
      <c r="BA123" s="314"/>
      <c r="BF123" s="314"/>
      <c r="BL123" s="314"/>
      <c r="BM123" s="129">
        <f t="shared" si="36"/>
        <v>-1</v>
      </c>
      <c r="BN123" s="129">
        <f t="shared" si="37"/>
        <v>-1</v>
      </c>
      <c r="BR123" s="129">
        <v>518104</v>
      </c>
      <c r="BS123" s="129">
        <v>171628</v>
      </c>
      <c r="BT123" s="129" t="s">
        <v>169</v>
      </c>
      <c r="BU123" s="129" t="s">
        <v>191</v>
      </c>
      <c r="CA123" s="129" t="s">
        <v>848</v>
      </c>
      <c r="CB123" s="129" t="s">
        <v>359</v>
      </c>
      <c r="CD123" s="129" t="s">
        <v>197</v>
      </c>
      <c r="CE123" s="313"/>
    </row>
    <row r="124" spans="1:83" x14ac:dyDescent="0.25">
      <c r="A124" s="129" t="s">
        <v>849</v>
      </c>
      <c r="B124" s="129" t="s">
        <v>352</v>
      </c>
      <c r="C124" s="129" t="s">
        <v>353</v>
      </c>
      <c r="D124" s="309">
        <v>45021</v>
      </c>
      <c r="E124" s="309">
        <v>46117</v>
      </c>
      <c r="F124" s="309">
        <v>45298</v>
      </c>
      <c r="G124" s="310"/>
      <c r="H124" s="310"/>
      <c r="I124" s="315">
        <v>45869</v>
      </c>
      <c r="J124" s="129" t="s">
        <v>266</v>
      </c>
      <c r="K124" s="129" t="s">
        <v>262</v>
      </c>
      <c r="M124" s="191"/>
      <c r="O124" s="129" t="s">
        <v>850</v>
      </c>
      <c r="P124" s="129" t="s">
        <v>851</v>
      </c>
      <c r="Q124" s="129" t="s">
        <v>852</v>
      </c>
      <c r="AA124" s="312">
        <f t="shared" si="19"/>
        <v>0</v>
      </c>
      <c r="AB124" s="313" t="s">
        <v>359</v>
      </c>
      <c r="AC124" s="129">
        <v>6</v>
      </c>
      <c r="AK124" s="312">
        <f t="shared" si="20"/>
        <v>6</v>
      </c>
      <c r="AL124" s="129">
        <f t="shared" si="21"/>
        <v>6</v>
      </c>
      <c r="AM124" s="129">
        <f t="shared" si="22"/>
        <v>0</v>
      </c>
      <c r="AN124" s="129">
        <f t="shared" si="23"/>
        <v>0</v>
      </c>
      <c r="AO124" s="129">
        <f t="shared" si="24"/>
        <v>0</v>
      </c>
      <c r="AP124" s="129">
        <f t="shared" si="25"/>
        <v>0</v>
      </c>
      <c r="AQ124" s="129">
        <f t="shared" si="26"/>
        <v>0</v>
      </c>
      <c r="AR124" s="129">
        <f t="shared" si="27"/>
        <v>0</v>
      </c>
      <c r="AS124" s="129">
        <f t="shared" si="28"/>
        <v>0</v>
      </c>
      <c r="AT124" s="312">
        <f t="shared" si="29"/>
        <v>6</v>
      </c>
      <c r="AV124" s="312"/>
      <c r="AW124" s="129">
        <v>6</v>
      </c>
      <c r="BA124" s="314"/>
      <c r="BF124" s="314"/>
      <c r="BL124" s="314"/>
      <c r="BM124" s="129">
        <f t="shared" si="36"/>
        <v>6</v>
      </c>
      <c r="BN124" s="129">
        <f t="shared" si="37"/>
        <v>6</v>
      </c>
      <c r="BR124" s="129">
        <v>516721</v>
      </c>
      <c r="BS124" s="129">
        <v>170449</v>
      </c>
      <c r="BT124" s="129" t="s">
        <v>172</v>
      </c>
      <c r="BU124" s="129" t="s">
        <v>192</v>
      </c>
      <c r="CC124" s="129" t="s">
        <v>359</v>
      </c>
      <c r="CD124" s="129" t="s">
        <v>201</v>
      </c>
      <c r="CE124" s="313"/>
    </row>
    <row r="125" spans="1:83" x14ac:dyDescent="0.25">
      <c r="A125" s="129" t="s">
        <v>853</v>
      </c>
      <c r="B125" s="129" t="s">
        <v>352</v>
      </c>
      <c r="C125" s="129" t="s">
        <v>353</v>
      </c>
      <c r="D125" s="309">
        <v>44956</v>
      </c>
      <c r="E125" s="309">
        <v>46052</v>
      </c>
      <c r="F125" s="309">
        <v>45275</v>
      </c>
      <c r="G125" s="310"/>
      <c r="H125" s="310"/>
      <c r="I125" s="315">
        <v>45931</v>
      </c>
      <c r="J125" s="129" t="s">
        <v>266</v>
      </c>
      <c r="K125" s="129" t="s">
        <v>262</v>
      </c>
      <c r="M125" s="191"/>
      <c r="O125" s="129" t="s">
        <v>854</v>
      </c>
      <c r="P125" s="129" t="s">
        <v>855</v>
      </c>
      <c r="Q125" s="129" t="s">
        <v>856</v>
      </c>
      <c r="AA125" s="312">
        <f t="shared" si="19"/>
        <v>0</v>
      </c>
      <c r="AB125" s="313" t="s">
        <v>359</v>
      </c>
      <c r="AC125" s="129">
        <v>4</v>
      </c>
      <c r="AK125" s="312">
        <f t="shared" si="20"/>
        <v>4</v>
      </c>
      <c r="AL125" s="129">
        <f t="shared" si="21"/>
        <v>4</v>
      </c>
      <c r="AM125" s="129">
        <f t="shared" si="22"/>
        <v>0</v>
      </c>
      <c r="AN125" s="129">
        <f t="shared" si="23"/>
        <v>0</v>
      </c>
      <c r="AO125" s="129">
        <f t="shared" si="24"/>
        <v>0</v>
      </c>
      <c r="AP125" s="129">
        <f t="shared" si="25"/>
        <v>0</v>
      </c>
      <c r="AQ125" s="129">
        <f t="shared" si="26"/>
        <v>0</v>
      </c>
      <c r="AR125" s="129">
        <f t="shared" si="27"/>
        <v>0</v>
      </c>
      <c r="AS125" s="129">
        <f t="shared" si="28"/>
        <v>0</v>
      </c>
      <c r="AT125" s="312">
        <f t="shared" si="29"/>
        <v>4</v>
      </c>
      <c r="AV125" s="312"/>
      <c r="AW125" s="129">
        <v>4</v>
      </c>
      <c r="BA125" s="314"/>
      <c r="BF125" s="314"/>
      <c r="BL125" s="314"/>
      <c r="BM125" s="129">
        <f t="shared" si="36"/>
        <v>4</v>
      </c>
      <c r="BN125" s="129">
        <f t="shared" si="37"/>
        <v>4</v>
      </c>
      <c r="BR125" s="129">
        <v>521874</v>
      </c>
      <c r="BS125" s="129">
        <v>176054</v>
      </c>
      <c r="BT125" s="129" t="s">
        <v>175</v>
      </c>
      <c r="BU125" s="129" t="s">
        <v>190</v>
      </c>
      <c r="CC125" s="129" t="s">
        <v>359</v>
      </c>
      <c r="CD125" s="129" t="s">
        <v>167</v>
      </c>
      <c r="CE125" s="313"/>
    </row>
    <row r="126" spans="1:83" x14ac:dyDescent="0.25">
      <c r="A126" s="129" t="s">
        <v>857</v>
      </c>
      <c r="B126" s="129" t="s">
        <v>369</v>
      </c>
      <c r="C126" s="129" t="s">
        <v>353</v>
      </c>
      <c r="D126" s="309">
        <v>44796</v>
      </c>
      <c r="E126" s="309">
        <v>45892</v>
      </c>
      <c r="F126" s="309">
        <v>44805</v>
      </c>
      <c r="G126" s="310"/>
      <c r="H126" s="310"/>
      <c r="I126" s="315">
        <v>45931</v>
      </c>
      <c r="J126" s="129" t="s">
        <v>266</v>
      </c>
      <c r="K126" s="129" t="s">
        <v>268</v>
      </c>
      <c r="M126" s="191"/>
      <c r="O126" s="129" t="s">
        <v>858</v>
      </c>
      <c r="P126" s="129" t="s">
        <v>859</v>
      </c>
      <c r="Q126" s="129" t="s">
        <v>860</v>
      </c>
      <c r="AA126" s="312">
        <f t="shared" si="19"/>
        <v>0</v>
      </c>
      <c r="AE126" s="129">
        <v>1</v>
      </c>
      <c r="AK126" s="312">
        <f t="shared" si="20"/>
        <v>1</v>
      </c>
      <c r="AL126" s="129">
        <f t="shared" si="21"/>
        <v>0</v>
      </c>
      <c r="AM126" s="129">
        <f t="shared" si="22"/>
        <v>0</v>
      </c>
      <c r="AN126" s="129">
        <f t="shared" si="23"/>
        <v>1</v>
      </c>
      <c r="AO126" s="129">
        <f t="shared" si="24"/>
        <v>0</v>
      </c>
      <c r="AP126" s="129">
        <f t="shared" si="25"/>
        <v>0</v>
      </c>
      <c r="AQ126" s="129">
        <f t="shared" si="26"/>
        <v>0</v>
      </c>
      <c r="AR126" s="129">
        <f t="shared" si="27"/>
        <v>0</v>
      </c>
      <c r="AS126" s="129">
        <f t="shared" si="28"/>
        <v>0</v>
      </c>
      <c r="AT126" s="312">
        <f t="shared" si="29"/>
        <v>1</v>
      </c>
      <c r="AV126" s="312"/>
      <c r="AW126" s="129">
        <v>0.5</v>
      </c>
      <c r="AX126" s="129">
        <v>0.5</v>
      </c>
      <c r="BA126" s="314"/>
      <c r="BF126" s="314"/>
      <c r="BL126" s="314"/>
      <c r="BM126" s="129">
        <f t="shared" si="36"/>
        <v>1</v>
      </c>
      <c r="BN126" s="129">
        <f t="shared" si="37"/>
        <v>1</v>
      </c>
      <c r="BR126" s="129">
        <v>517302</v>
      </c>
      <c r="BS126" s="129">
        <v>172516</v>
      </c>
      <c r="BT126" s="129" t="s">
        <v>169</v>
      </c>
      <c r="BU126" s="129" t="s">
        <v>191</v>
      </c>
      <c r="BZ126" s="129" t="s">
        <v>861</v>
      </c>
      <c r="CA126" s="129" t="s">
        <v>862</v>
      </c>
      <c r="CB126" s="129" t="s">
        <v>359</v>
      </c>
      <c r="CD126" s="129" t="s">
        <v>197</v>
      </c>
      <c r="CE126" s="313"/>
    </row>
    <row r="127" spans="1:83" x14ac:dyDescent="0.25">
      <c r="A127" s="129" t="s">
        <v>863</v>
      </c>
      <c r="B127" s="129" t="s">
        <v>352</v>
      </c>
      <c r="C127" s="129" t="s">
        <v>353</v>
      </c>
      <c r="D127" s="309">
        <v>44735</v>
      </c>
      <c r="E127" s="309">
        <v>45831</v>
      </c>
      <c r="F127" s="309">
        <v>45446</v>
      </c>
      <c r="G127" s="310" t="s">
        <v>359</v>
      </c>
      <c r="H127" s="310"/>
      <c r="J127" s="129" t="s">
        <v>266</v>
      </c>
      <c r="K127" s="129" t="s">
        <v>214</v>
      </c>
      <c r="M127" s="191"/>
      <c r="O127" s="129" t="s">
        <v>864</v>
      </c>
      <c r="P127" s="129" t="s">
        <v>865</v>
      </c>
      <c r="Q127" s="129" t="s">
        <v>866</v>
      </c>
      <c r="AA127" s="312">
        <f t="shared" si="19"/>
        <v>0</v>
      </c>
      <c r="AB127" s="313" t="s">
        <v>359</v>
      </c>
      <c r="AC127" s="129">
        <v>1</v>
      </c>
      <c r="AD127" s="129">
        <v>2</v>
      </c>
      <c r="AK127" s="312">
        <f t="shared" si="20"/>
        <v>3</v>
      </c>
      <c r="AL127" s="129">
        <f t="shared" si="21"/>
        <v>1</v>
      </c>
      <c r="AM127" s="129">
        <f t="shared" si="22"/>
        <v>2</v>
      </c>
      <c r="AN127" s="129">
        <f t="shared" si="23"/>
        <v>0</v>
      </c>
      <c r="AO127" s="129">
        <f t="shared" si="24"/>
        <v>0</v>
      </c>
      <c r="AP127" s="129">
        <f t="shared" si="25"/>
        <v>0</v>
      </c>
      <c r="AQ127" s="129">
        <f t="shared" si="26"/>
        <v>0</v>
      </c>
      <c r="AR127" s="129">
        <f t="shared" si="27"/>
        <v>0</v>
      </c>
      <c r="AS127" s="129">
        <f t="shared" si="28"/>
        <v>0</v>
      </c>
      <c r="AT127" s="312">
        <f t="shared" si="29"/>
        <v>3</v>
      </c>
      <c r="AU127" s="313" t="s">
        <v>359</v>
      </c>
      <c r="AV127" s="312"/>
      <c r="AY127" s="129">
        <v>1.5</v>
      </c>
      <c r="AZ127" s="129">
        <v>1.5</v>
      </c>
      <c r="BA127" s="314"/>
      <c r="BF127" s="314"/>
      <c r="BL127" s="314"/>
      <c r="BM127" s="129">
        <f t="shared" si="36"/>
        <v>3</v>
      </c>
      <c r="BN127" s="129">
        <f t="shared" si="37"/>
        <v>3</v>
      </c>
      <c r="BR127" s="129">
        <v>515712</v>
      </c>
      <c r="BS127" s="129">
        <v>170847</v>
      </c>
      <c r="BT127" s="129" t="s">
        <v>152</v>
      </c>
      <c r="BU127" s="129" t="s">
        <v>192</v>
      </c>
      <c r="CC127" s="129" t="s">
        <v>359</v>
      </c>
      <c r="CD127" s="129" t="s">
        <v>201</v>
      </c>
      <c r="CE127" s="313"/>
    </row>
    <row r="128" spans="1:83" x14ac:dyDescent="0.25">
      <c r="A128" s="129" t="s">
        <v>863</v>
      </c>
      <c r="B128" s="129" t="s">
        <v>352</v>
      </c>
      <c r="C128" s="129" t="s">
        <v>353</v>
      </c>
      <c r="D128" s="309">
        <v>44735</v>
      </c>
      <c r="E128" s="309">
        <v>45831</v>
      </c>
      <c r="F128" s="309">
        <v>45446</v>
      </c>
      <c r="G128" s="310" t="s">
        <v>359</v>
      </c>
      <c r="H128" s="310"/>
      <c r="J128" s="129" t="s">
        <v>266</v>
      </c>
      <c r="K128" s="129" t="s">
        <v>264</v>
      </c>
      <c r="M128" s="191"/>
      <c r="O128" s="129" t="s">
        <v>864</v>
      </c>
      <c r="P128" s="129" t="s">
        <v>865</v>
      </c>
      <c r="Q128" s="129" t="s">
        <v>866</v>
      </c>
      <c r="AA128" s="312">
        <f t="shared" si="19"/>
        <v>0</v>
      </c>
      <c r="AB128" s="313" t="s">
        <v>359</v>
      </c>
      <c r="AC128" s="129">
        <v>13</v>
      </c>
      <c r="AK128" s="312">
        <f t="shared" si="20"/>
        <v>13</v>
      </c>
      <c r="AL128" s="129">
        <f t="shared" si="21"/>
        <v>13</v>
      </c>
      <c r="AM128" s="129">
        <f t="shared" si="22"/>
        <v>0</v>
      </c>
      <c r="AN128" s="129">
        <f t="shared" si="23"/>
        <v>0</v>
      </c>
      <c r="AO128" s="129">
        <f t="shared" si="24"/>
        <v>0</v>
      </c>
      <c r="AP128" s="129">
        <f t="shared" si="25"/>
        <v>0</v>
      </c>
      <c r="AQ128" s="129">
        <f t="shared" si="26"/>
        <v>0</v>
      </c>
      <c r="AR128" s="129">
        <f t="shared" si="27"/>
        <v>0</v>
      </c>
      <c r="AS128" s="129">
        <f t="shared" si="28"/>
        <v>0</v>
      </c>
      <c r="AT128" s="312">
        <f t="shared" si="29"/>
        <v>13</v>
      </c>
      <c r="AU128" s="313" t="s">
        <v>359</v>
      </c>
      <c r="AV128" s="312"/>
      <c r="AY128" s="129">
        <v>6.5</v>
      </c>
      <c r="AZ128" s="129">
        <v>6.5</v>
      </c>
      <c r="BA128" s="314"/>
      <c r="BF128" s="314"/>
      <c r="BL128" s="314"/>
      <c r="BM128" s="129">
        <f t="shared" si="36"/>
        <v>13</v>
      </c>
      <c r="BN128" s="129">
        <f t="shared" si="37"/>
        <v>13</v>
      </c>
      <c r="BR128" s="129">
        <v>515712</v>
      </c>
      <c r="BS128" s="129">
        <v>170847</v>
      </c>
      <c r="BT128" s="129" t="s">
        <v>152</v>
      </c>
      <c r="BU128" s="129" t="s">
        <v>192</v>
      </c>
      <c r="CC128" s="129" t="s">
        <v>359</v>
      </c>
      <c r="CD128" s="129" t="s">
        <v>201</v>
      </c>
      <c r="CE128" s="313"/>
    </row>
    <row r="129" spans="1:83" x14ac:dyDescent="0.25">
      <c r="A129" s="129" t="s">
        <v>867</v>
      </c>
      <c r="B129" s="129" t="s">
        <v>482</v>
      </c>
      <c r="C129" s="129" t="s">
        <v>353</v>
      </c>
      <c r="D129" s="309">
        <v>44489</v>
      </c>
      <c r="E129" s="309">
        <v>45776</v>
      </c>
      <c r="F129" s="315">
        <v>45733</v>
      </c>
      <c r="J129" s="129" t="s">
        <v>266</v>
      </c>
      <c r="K129" s="129" t="s">
        <v>268</v>
      </c>
      <c r="M129" s="191"/>
      <c r="O129" s="129" t="s">
        <v>868</v>
      </c>
      <c r="P129" s="129" t="s">
        <v>869</v>
      </c>
      <c r="Q129" s="129" t="s">
        <v>870</v>
      </c>
      <c r="T129" s="129">
        <v>1</v>
      </c>
      <c r="U129" s="129">
        <v>1</v>
      </c>
      <c r="AA129" s="312">
        <f t="shared" si="19"/>
        <v>2</v>
      </c>
      <c r="AC129" s="129">
        <v>4</v>
      </c>
      <c r="AD129" s="129">
        <v>2</v>
      </c>
      <c r="AK129" s="312">
        <f t="shared" si="20"/>
        <v>6</v>
      </c>
      <c r="AL129" s="129">
        <f t="shared" si="21"/>
        <v>4</v>
      </c>
      <c r="AM129" s="129">
        <f t="shared" si="22"/>
        <v>1</v>
      </c>
      <c r="AN129" s="129">
        <f t="shared" si="23"/>
        <v>-1</v>
      </c>
      <c r="AO129" s="129">
        <f t="shared" si="24"/>
        <v>0</v>
      </c>
      <c r="AP129" s="129">
        <f t="shared" si="25"/>
        <v>0</v>
      </c>
      <c r="AQ129" s="129">
        <f t="shared" si="26"/>
        <v>0</v>
      </c>
      <c r="AR129" s="129">
        <f t="shared" si="27"/>
        <v>0</v>
      </c>
      <c r="AS129" s="129">
        <f t="shared" si="28"/>
        <v>0</v>
      </c>
      <c r="AT129" s="312">
        <f t="shared" si="29"/>
        <v>4</v>
      </c>
      <c r="AV129" s="312"/>
      <c r="AX129" s="129">
        <v>2</v>
      </c>
      <c r="AY129" s="129">
        <v>2</v>
      </c>
      <c r="BA129" s="314"/>
      <c r="BF129" s="314"/>
      <c r="BL129" s="314"/>
      <c r="BM129" s="129">
        <f t="shared" si="36"/>
        <v>4</v>
      </c>
      <c r="BN129" s="129">
        <f t="shared" si="37"/>
        <v>4</v>
      </c>
      <c r="BR129" s="129">
        <v>514630</v>
      </c>
      <c r="BS129" s="129">
        <v>171361</v>
      </c>
      <c r="BT129" s="129" t="s">
        <v>168</v>
      </c>
      <c r="BU129" s="129" t="s">
        <v>192</v>
      </c>
      <c r="CC129" s="129" t="s">
        <v>359</v>
      </c>
      <c r="CD129" s="129" t="s">
        <v>201</v>
      </c>
      <c r="CE129" s="313"/>
    </row>
    <row r="130" spans="1:83" x14ac:dyDescent="0.25">
      <c r="A130" s="129" t="s">
        <v>871</v>
      </c>
      <c r="B130" s="129" t="s">
        <v>369</v>
      </c>
      <c r="C130" s="129" t="s">
        <v>353</v>
      </c>
      <c r="D130" s="309">
        <v>44622</v>
      </c>
      <c r="E130" s="309">
        <v>45718</v>
      </c>
      <c r="F130" s="309">
        <v>45717</v>
      </c>
      <c r="G130" s="310" t="s">
        <v>359</v>
      </c>
      <c r="H130" s="310"/>
      <c r="J130" s="129" t="s">
        <v>266</v>
      </c>
      <c r="K130" s="129" t="s">
        <v>268</v>
      </c>
      <c r="M130" s="191"/>
      <c r="O130" s="129" t="s">
        <v>872</v>
      </c>
      <c r="P130" s="129" t="s">
        <v>873</v>
      </c>
      <c r="Q130" s="129" t="s">
        <v>874</v>
      </c>
      <c r="AA130" s="312">
        <f t="shared" ref="AA130:AA193" si="38">SUM(S130:Z130)</f>
        <v>0</v>
      </c>
      <c r="AD130" s="129">
        <v>1</v>
      </c>
      <c r="AK130" s="312">
        <f t="shared" ref="AK130:AK193" si="39">SUM(AC130:AJ130)</f>
        <v>1</v>
      </c>
      <c r="AL130" s="129">
        <f t="shared" ref="AL130:AL193" si="40">AC130-S130</f>
        <v>0</v>
      </c>
      <c r="AM130" s="129">
        <f t="shared" ref="AM130:AM193" si="41">AD130-T130</f>
        <v>1</v>
      </c>
      <c r="AN130" s="129">
        <f t="shared" ref="AN130:AN193" si="42">AE130-U130</f>
        <v>0</v>
      </c>
      <c r="AO130" s="129">
        <f t="shared" ref="AO130:AO193" si="43">AF130-V130</f>
        <v>0</v>
      </c>
      <c r="AP130" s="129">
        <f t="shared" ref="AP130:AP193" si="44">AG130-W130</f>
        <v>0</v>
      </c>
      <c r="AQ130" s="129">
        <f t="shared" ref="AQ130:AQ193" si="45">AH130-X130</f>
        <v>0</v>
      </c>
      <c r="AR130" s="129">
        <f t="shared" ref="AR130:AR193" si="46">AI130-Y130</f>
        <v>0</v>
      </c>
      <c r="AS130" s="129">
        <f t="shared" ref="AS130:AS193" si="47">AJ130-Z130</f>
        <v>0</v>
      </c>
      <c r="AT130" s="312">
        <f t="shared" ref="AT130:AT193" si="48">AK130-AA130</f>
        <v>1</v>
      </c>
      <c r="AV130" s="312"/>
      <c r="AW130" s="129">
        <v>1</v>
      </c>
      <c r="BA130" s="314"/>
      <c r="BF130" s="314"/>
      <c r="BL130" s="314"/>
      <c r="BM130" s="129">
        <f t="shared" si="36"/>
        <v>1</v>
      </c>
      <c r="BN130" s="129">
        <f t="shared" si="37"/>
        <v>1</v>
      </c>
      <c r="BR130" s="129">
        <v>514165</v>
      </c>
      <c r="BS130" s="129">
        <v>173531</v>
      </c>
      <c r="BT130" s="129" t="s">
        <v>173</v>
      </c>
      <c r="BU130" s="129" t="s">
        <v>156</v>
      </c>
      <c r="CC130" s="129" t="s">
        <v>359</v>
      </c>
      <c r="CD130" s="129" t="s">
        <v>203</v>
      </c>
      <c r="CE130" s="313"/>
    </row>
    <row r="131" spans="1:83" x14ac:dyDescent="0.25">
      <c r="A131" s="129" t="s">
        <v>875</v>
      </c>
      <c r="B131" s="129" t="s">
        <v>352</v>
      </c>
      <c r="C131" s="129" t="s">
        <v>353</v>
      </c>
      <c r="D131" s="309">
        <v>44985</v>
      </c>
      <c r="E131" s="309">
        <v>46081</v>
      </c>
      <c r="F131" s="309">
        <v>45354</v>
      </c>
      <c r="G131" s="310"/>
      <c r="H131" s="310"/>
      <c r="J131" s="129" t="s">
        <v>266</v>
      </c>
      <c r="K131" s="129" t="s">
        <v>713</v>
      </c>
      <c r="M131" s="191"/>
      <c r="O131" s="129" t="s">
        <v>876</v>
      </c>
      <c r="P131" s="129" t="s">
        <v>877</v>
      </c>
      <c r="Q131" s="129" t="s">
        <v>878</v>
      </c>
      <c r="AA131" s="312">
        <f t="shared" si="38"/>
        <v>0</v>
      </c>
      <c r="AB131" s="313" t="s">
        <v>359</v>
      </c>
      <c r="AC131" s="129">
        <v>8</v>
      </c>
      <c r="AD131" s="129">
        <v>13</v>
      </c>
      <c r="AE131" s="129">
        <v>7</v>
      </c>
      <c r="AK131" s="312">
        <f t="shared" si="39"/>
        <v>28</v>
      </c>
      <c r="AL131" s="129">
        <f t="shared" si="40"/>
        <v>8</v>
      </c>
      <c r="AM131" s="129">
        <f t="shared" si="41"/>
        <v>13</v>
      </c>
      <c r="AN131" s="129">
        <f t="shared" si="42"/>
        <v>7</v>
      </c>
      <c r="AO131" s="129">
        <f t="shared" si="43"/>
        <v>0</v>
      </c>
      <c r="AP131" s="129">
        <f t="shared" si="44"/>
        <v>0</v>
      </c>
      <c r="AQ131" s="129">
        <f t="shared" si="45"/>
        <v>0</v>
      </c>
      <c r="AR131" s="129">
        <f t="shared" si="46"/>
        <v>0</v>
      </c>
      <c r="AS131" s="129">
        <f t="shared" si="47"/>
        <v>0</v>
      </c>
      <c r="AT131" s="312">
        <f t="shared" si="48"/>
        <v>28</v>
      </c>
      <c r="AU131" s="313" t="s">
        <v>359</v>
      </c>
      <c r="AV131" s="312"/>
      <c r="AX131" s="129">
        <v>14</v>
      </c>
      <c r="AY131" s="129">
        <v>14</v>
      </c>
      <c r="BA131" s="314"/>
      <c r="BF131" s="314"/>
      <c r="BL131" s="314"/>
      <c r="BM131" s="129">
        <f t="shared" si="36"/>
        <v>28</v>
      </c>
      <c r="BN131" s="129">
        <f t="shared" si="37"/>
        <v>28</v>
      </c>
      <c r="BR131" s="129">
        <v>515278</v>
      </c>
      <c r="BS131" s="129">
        <v>173797</v>
      </c>
      <c r="BT131" s="129" t="s">
        <v>179</v>
      </c>
      <c r="BU131" s="129" t="s">
        <v>154</v>
      </c>
      <c r="CC131" s="129" t="s">
        <v>359</v>
      </c>
      <c r="CD131" s="129" t="s">
        <v>202</v>
      </c>
      <c r="CE131" s="313"/>
    </row>
    <row r="132" spans="1:83" x14ac:dyDescent="0.25">
      <c r="A132" s="129" t="s">
        <v>875</v>
      </c>
      <c r="B132" s="129" t="s">
        <v>352</v>
      </c>
      <c r="C132" s="129" t="s">
        <v>353</v>
      </c>
      <c r="D132" s="309">
        <v>44985</v>
      </c>
      <c r="E132" s="309">
        <v>46081</v>
      </c>
      <c r="F132" s="309">
        <v>45354</v>
      </c>
      <c r="G132" s="310"/>
      <c r="H132" s="310"/>
      <c r="J132" s="129" t="s">
        <v>266</v>
      </c>
      <c r="K132" s="129" t="s">
        <v>214</v>
      </c>
      <c r="M132" s="191"/>
      <c r="O132" s="129" t="s">
        <v>876</v>
      </c>
      <c r="P132" s="129" t="s">
        <v>877</v>
      </c>
      <c r="Q132" s="129" t="s">
        <v>878</v>
      </c>
      <c r="AA132" s="312">
        <f t="shared" si="38"/>
        <v>0</v>
      </c>
      <c r="AB132" s="313" t="s">
        <v>359</v>
      </c>
      <c r="AC132" s="129">
        <v>29</v>
      </c>
      <c r="AD132" s="129">
        <v>41</v>
      </c>
      <c r="AE132" s="129">
        <v>10</v>
      </c>
      <c r="AK132" s="312">
        <f t="shared" si="39"/>
        <v>80</v>
      </c>
      <c r="AL132" s="129">
        <f t="shared" si="40"/>
        <v>29</v>
      </c>
      <c r="AM132" s="129">
        <f t="shared" si="41"/>
        <v>41</v>
      </c>
      <c r="AN132" s="129">
        <f t="shared" si="42"/>
        <v>10</v>
      </c>
      <c r="AO132" s="129">
        <f t="shared" si="43"/>
        <v>0</v>
      </c>
      <c r="AP132" s="129">
        <f t="shared" si="44"/>
        <v>0</v>
      </c>
      <c r="AQ132" s="129">
        <f t="shared" si="45"/>
        <v>0</v>
      </c>
      <c r="AR132" s="129">
        <f t="shared" si="46"/>
        <v>0</v>
      </c>
      <c r="AS132" s="129">
        <f t="shared" si="47"/>
        <v>0</v>
      </c>
      <c r="AT132" s="312">
        <f t="shared" si="48"/>
        <v>80</v>
      </c>
      <c r="AU132" s="313" t="s">
        <v>359</v>
      </c>
      <c r="AV132" s="312"/>
      <c r="AX132" s="129">
        <v>40</v>
      </c>
      <c r="AY132" s="129">
        <v>40</v>
      </c>
      <c r="BA132" s="314"/>
      <c r="BF132" s="314"/>
      <c r="BL132" s="314"/>
      <c r="BM132" s="129">
        <f t="shared" si="36"/>
        <v>80</v>
      </c>
      <c r="BN132" s="129">
        <f t="shared" si="37"/>
        <v>80</v>
      </c>
      <c r="BR132" s="129">
        <v>515278</v>
      </c>
      <c r="BS132" s="129">
        <v>173797</v>
      </c>
      <c r="BT132" s="129" t="s">
        <v>179</v>
      </c>
      <c r="BU132" s="129" t="s">
        <v>154</v>
      </c>
      <c r="CC132" s="129" t="s">
        <v>359</v>
      </c>
      <c r="CD132" s="129" t="s">
        <v>202</v>
      </c>
      <c r="CE132" s="313"/>
    </row>
    <row r="133" spans="1:83" x14ac:dyDescent="0.25">
      <c r="A133" s="129" t="s">
        <v>875</v>
      </c>
      <c r="B133" s="129" t="s">
        <v>352</v>
      </c>
      <c r="C133" s="129" t="s">
        <v>353</v>
      </c>
      <c r="D133" s="309">
        <v>44985</v>
      </c>
      <c r="E133" s="309">
        <v>46081</v>
      </c>
      <c r="F133" s="309">
        <v>45354</v>
      </c>
      <c r="G133" s="310"/>
      <c r="H133" s="310"/>
      <c r="J133" s="129" t="s">
        <v>266</v>
      </c>
      <c r="K133" s="129" t="s">
        <v>268</v>
      </c>
      <c r="M133" s="191"/>
      <c r="O133" s="129" t="s">
        <v>876</v>
      </c>
      <c r="P133" s="129" t="s">
        <v>877</v>
      </c>
      <c r="Q133" s="129" t="s">
        <v>878</v>
      </c>
      <c r="AA133" s="312">
        <f t="shared" si="38"/>
        <v>0</v>
      </c>
      <c r="AC133" s="129">
        <v>39</v>
      </c>
      <c r="AD133" s="129">
        <v>31</v>
      </c>
      <c r="AE133" s="129">
        <v>26</v>
      </c>
      <c r="AF133" s="129">
        <v>8</v>
      </c>
      <c r="AK133" s="312">
        <f t="shared" si="39"/>
        <v>104</v>
      </c>
      <c r="AL133" s="129">
        <f t="shared" si="40"/>
        <v>39</v>
      </c>
      <c r="AM133" s="129">
        <f t="shared" si="41"/>
        <v>31</v>
      </c>
      <c r="AN133" s="129">
        <f t="shared" si="42"/>
        <v>26</v>
      </c>
      <c r="AO133" s="129">
        <f t="shared" si="43"/>
        <v>8</v>
      </c>
      <c r="AP133" s="129">
        <f t="shared" si="44"/>
        <v>0</v>
      </c>
      <c r="AQ133" s="129">
        <f t="shared" si="45"/>
        <v>0</v>
      </c>
      <c r="AR133" s="129">
        <f t="shared" si="46"/>
        <v>0</v>
      </c>
      <c r="AS133" s="129">
        <f t="shared" si="47"/>
        <v>0</v>
      </c>
      <c r="AT133" s="312">
        <f t="shared" si="48"/>
        <v>104</v>
      </c>
      <c r="AU133" s="313" t="s">
        <v>359</v>
      </c>
      <c r="AV133" s="312"/>
      <c r="AX133" s="129">
        <v>52</v>
      </c>
      <c r="AY133" s="129">
        <v>52</v>
      </c>
      <c r="BA133" s="314"/>
      <c r="BF133" s="314"/>
      <c r="BL133" s="314"/>
      <c r="BM133" s="129">
        <f t="shared" si="36"/>
        <v>104</v>
      </c>
      <c r="BN133" s="129">
        <f t="shared" si="37"/>
        <v>104</v>
      </c>
      <c r="BR133" s="129">
        <v>515278</v>
      </c>
      <c r="BS133" s="129">
        <v>173797</v>
      </c>
      <c r="BT133" s="129" t="s">
        <v>179</v>
      </c>
      <c r="BU133" s="129" t="s">
        <v>154</v>
      </c>
      <c r="CC133" s="129" t="s">
        <v>359</v>
      </c>
      <c r="CD133" s="129" t="s">
        <v>202</v>
      </c>
      <c r="CE133" s="313"/>
    </row>
    <row r="134" spans="1:83" x14ac:dyDescent="0.25">
      <c r="A134" s="129" t="s">
        <v>879</v>
      </c>
      <c r="B134" s="129" t="s">
        <v>352</v>
      </c>
      <c r="C134" s="129" t="s">
        <v>353</v>
      </c>
      <c r="D134" s="309">
        <v>44795</v>
      </c>
      <c r="E134" s="309">
        <v>45895</v>
      </c>
      <c r="F134" s="309">
        <v>45173</v>
      </c>
      <c r="G134" s="310"/>
      <c r="H134" s="310"/>
      <c r="J134" s="129" t="s">
        <v>266</v>
      </c>
      <c r="K134" s="129" t="s">
        <v>268</v>
      </c>
      <c r="M134" s="191"/>
      <c r="O134" s="129" t="s">
        <v>880</v>
      </c>
      <c r="P134" s="129" t="s">
        <v>881</v>
      </c>
      <c r="Q134" s="129" t="s">
        <v>746</v>
      </c>
      <c r="AA134" s="312">
        <f t="shared" si="38"/>
        <v>0</v>
      </c>
      <c r="AC134" s="129">
        <v>2</v>
      </c>
      <c r="AD134" s="129">
        <v>2</v>
      </c>
      <c r="AE134" s="129">
        <v>3</v>
      </c>
      <c r="AK134" s="312">
        <f t="shared" si="39"/>
        <v>7</v>
      </c>
      <c r="AL134" s="129">
        <f t="shared" si="40"/>
        <v>2</v>
      </c>
      <c r="AM134" s="129">
        <f t="shared" si="41"/>
        <v>2</v>
      </c>
      <c r="AN134" s="129">
        <f t="shared" si="42"/>
        <v>3</v>
      </c>
      <c r="AO134" s="129">
        <f t="shared" si="43"/>
        <v>0</v>
      </c>
      <c r="AP134" s="129">
        <f t="shared" si="44"/>
        <v>0</v>
      </c>
      <c r="AQ134" s="129">
        <f t="shared" si="45"/>
        <v>0</v>
      </c>
      <c r="AR134" s="129">
        <f t="shared" si="46"/>
        <v>0</v>
      </c>
      <c r="AS134" s="129">
        <f t="shared" si="47"/>
        <v>0</v>
      </c>
      <c r="AT134" s="312">
        <f t="shared" si="48"/>
        <v>7</v>
      </c>
      <c r="AV134" s="312"/>
      <c r="AX134" s="129">
        <v>3.5</v>
      </c>
      <c r="AY134" s="129">
        <v>3.5</v>
      </c>
      <c r="BA134" s="314"/>
      <c r="BF134" s="314"/>
      <c r="BL134" s="314"/>
      <c r="BM134" s="129">
        <f t="shared" si="36"/>
        <v>7</v>
      </c>
      <c r="BN134" s="129">
        <f t="shared" si="37"/>
        <v>7</v>
      </c>
      <c r="BR134" s="129">
        <v>514497</v>
      </c>
      <c r="BS134" s="129">
        <v>174249</v>
      </c>
      <c r="BT134" s="129" t="s">
        <v>156</v>
      </c>
      <c r="BU134" s="129" t="s">
        <v>156</v>
      </c>
      <c r="CC134" s="129" t="s">
        <v>359</v>
      </c>
      <c r="CD134" s="129" t="s">
        <v>203</v>
      </c>
      <c r="CE134" s="313"/>
    </row>
    <row r="135" spans="1:83" x14ac:dyDescent="0.25">
      <c r="A135" s="129" t="s">
        <v>882</v>
      </c>
      <c r="B135" s="129" t="s">
        <v>369</v>
      </c>
      <c r="C135" s="129" t="s">
        <v>353</v>
      </c>
      <c r="D135" s="309">
        <v>44701</v>
      </c>
      <c r="E135" s="309">
        <v>45797</v>
      </c>
      <c r="F135" s="309">
        <v>45534</v>
      </c>
      <c r="G135" s="310" t="s">
        <v>359</v>
      </c>
      <c r="H135" s="310"/>
      <c r="J135" s="129" t="s">
        <v>266</v>
      </c>
      <c r="K135" s="129" t="s">
        <v>268</v>
      </c>
      <c r="M135" s="191"/>
      <c r="O135" s="129" t="s">
        <v>883</v>
      </c>
      <c r="P135" s="129" t="s">
        <v>884</v>
      </c>
      <c r="Q135" s="129" t="s">
        <v>885</v>
      </c>
      <c r="AA135" s="312">
        <f t="shared" si="38"/>
        <v>0</v>
      </c>
      <c r="AC135" s="129">
        <v>1</v>
      </c>
      <c r="AK135" s="312">
        <f t="shared" si="39"/>
        <v>1</v>
      </c>
      <c r="AL135" s="129">
        <f t="shared" si="40"/>
        <v>1</v>
      </c>
      <c r="AM135" s="129">
        <f t="shared" si="41"/>
        <v>0</v>
      </c>
      <c r="AN135" s="129">
        <f t="shared" si="42"/>
        <v>0</v>
      </c>
      <c r="AO135" s="129">
        <f t="shared" si="43"/>
        <v>0</v>
      </c>
      <c r="AP135" s="129">
        <f t="shared" si="44"/>
        <v>0</v>
      </c>
      <c r="AQ135" s="129">
        <f t="shared" si="45"/>
        <v>0</v>
      </c>
      <c r="AR135" s="129">
        <f t="shared" si="46"/>
        <v>0</v>
      </c>
      <c r="AS135" s="129">
        <f t="shared" si="47"/>
        <v>0</v>
      </c>
      <c r="AT135" s="312">
        <f t="shared" si="48"/>
        <v>1</v>
      </c>
      <c r="AV135" s="312"/>
      <c r="AW135" s="129">
        <v>1</v>
      </c>
      <c r="BA135" s="314"/>
      <c r="BF135" s="314"/>
      <c r="BL135" s="314"/>
      <c r="BM135" s="129">
        <f t="shared" si="36"/>
        <v>1</v>
      </c>
      <c r="BN135" s="129">
        <f t="shared" si="37"/>
        <v>1</v>
      </c>
      <c r="BR135" s="129">
        <v>515093</v>
      </c>
      <c r="BS135" s="129">
        <v>171528</v>
      </c>
      <c r="BT135" s="129" t="s">
        <v>168</v>
      </c>
      <c r="BU135" s="129" t="s">
        <v>192</v>
      </c>
      <c r="BX135" s="129" t="s">
        <v>886</v>
      </c>
      <c r="BY135" s="129" t="s">
        <v>359</v>
      </c>
      <c r="CC135" s="129" t="s">
        <v>359</v>
      </c>
      <c r="CD135" s="129" t="s">
        <v>201</v>
      </c>
      <c r="CE135" s="313"/>
    </row>
    <row r="136" spans="1:83" x14ac:dyDescent="0.25">
      <c r="A136" s="129" t="s">
        <v>887</v>
      </c>
      <c r="B136" s="129" t="s">
        <v>369</v>
      </c>
      <c r="C136" s="129" t="s">
        <v>353</v>
      </c>
      <c r="D136" s="309">
        <v>44754</v>
      </c>
      <c r="E136" s="309">
        <v>45850</v>
      </c>
      <c r="F136" s="309">
        <v>45047</v>
      </c>
      <c r="G136" s="310"/>
      <c r="H136" s="310"/>
      <c r="I136" s="315">
        <v>45898</v>
      </c>
      <c r="J136" s="129" t="s">
        <v>266</v>
      </c>
      <c r="K136" s="129" t="s">
        <v>268</v>
      </c>
      <c r="M136" s="191"/>
      <c r="O136" s="129" t="s">
        <v>888</v>
      </c>
      <c r="P136" s="129" t="s">
        <v>889</v>
      </c>
      <c r="Q136" s="129" t="s">
        <v>890</v>
      </c>
      <c r="AA136" s="312">
        <f t="shared" si="38"/>
        <v>0</v>
      </c>
      <c r="AC136" s="129">
        <v>1</v>
      </c>
      <c r="AD136" s="129">
        <v>3</v>
      </c>
      <c r="AK136" s="312">
        <f t="shared" si="39"/>
        <v>4</v>
      </c>
      <c r="AL136" s="129">
        <f t="shared" si="40"/>
        <v>1</v>
      </c>
      <c r="AM136" s="129">
        <f t="shared" si="41"/>
        <v>3</v>
      </c>
      <c r="AN136" s="129">
        <f t="shared" si="42"/>
        <v>0</v>
      </c>
      <c r="AO136" s="129">
        <f t="shared" si="43"/>
        <v>0</v>
      </c>
      <c r="AP136" s="129">
        <f t="shared" si="44"/>
        <v>0</v>
      </c>
      <c r="AQ136" s="129">
        <f t="shared" si="45"/>
        <v>0</v>
      </c>
      <c r="AR136" s="129">
        <f t="shared" si="46"/>
        <v>0</v>
      </c>
      <c r="AS136" s="129">
        <f t="shared" si="47"/>
        <v>0</v>
      </c>
      <c r="AT136" s="312">
        <f t="shared" si="48"/>
        <v>4</v>
      </c>
      <c r="AV136" s="312"/>
      <c r="AW136" s="129">
        <v>4</v>
      </c>
      <c r="BA136" s="314"/>
      <c r="BF136" s="314"/>
      <c r="BL136" s="314"/>
      <c r="BM136" s="129">
        <f t="shared" si="36"/>
        <v>4</v>
      </c>
      <c r="BN136" s="129">
        <f t="shared" si="37"/>
        <v>4</v>
      </c>
      <c r="BR136" s="129">
        <v>517498</v>
      </c>
      <c r="BS136" s="129">
        <v>169337</v>
      </c>
      <c r="BT136" s="129" t="s">
        <v>172</v>
      </c>
      <c r="BU136" s="129" t="s">
        <v>192</v>
      </c>
      <c r="BW136" s="129" t="s">
        <v>151</v>
      </c>
      <c r="BX136" s="129" t="s">
        <v>526</v>
      </c>
      <c r="BY136" s="129" t="s">
        <v>359</v>
      </c>
      <c r="BZ136" s="129" t="s">
        <v>891</v>
      </c>
      <c r="CA136" s="129" t="s">
        <v>527</v>
      </c>
      <c r="CB136" s="129" t="s">
        <v>359</v>
      </c>
      <c r="CC136" s="129" t="s">
        <v>359</v>
      </c>
      <c r="CD136" s="129" t="s">
        <v>198</v>
      </c>
      <c r="CE136" s="313"/>
    </row>
    <row r="137" spans="1:83" x14ac:dyDescent="0.25">
      <c r="A137" s="129" t="s">
        <v>892</v>
      </c>
      <c r="B137" s="129" t="s">
        <v>352</v>
      </c>
      <c r="C137" s="129" t="s">
        <v>353</v>
      </c>
      <c r="D137" s="309">
        <v>44778</v>
      </c>
      <c r="E137" s="309">
        <v>45874</v>
      </c>
      <c r="F137" s="309">
        <v>44986</v>
      </c>
      <c r="G137" s="310"/>
      <c r="H137" s="310"/>
      <c r="I137" s="315">
        <v>45860</v>
      </c>
      <c r="J137" s="129" t="s">
        <v>266</v>
      </c>
      <c r="K137" s="129" t="s">
        <v>268</v>
      </c>
      <c r="M137" s="191"/>
      <c r="O137" s="129" t="s">
        <v>893</v>
      </c>
      <c r="P137" s="129" t="s">
        <v>894</v>
      </c>
      <c r="Q137" s="129" t="s">
        <v>895</v>
      </c>
      <c r="U137" s="129">
        <v>1</v>
      </c>
      <c r="AA137" s="312">
        <f t="shared" si="38"/>
        <v>1</v>
      </c>
      <c r="AF137" s="129">
        <v>1</v>
      </c>
      <c r="AK137" s="312">
        <f t="shared" si="39"/>
        <v>1</v>
      </c>
      <c r="AL137" s="129">
        <f t="shared" si="40"/>
        <v>0</v>
      </c>
      <c r="AM137" s="129">
        <f t="shared" si="41"/>
        <v>0</v>
      </c>
      <c r="AN137" s="129">
        <f t="shared" si="42"/>
        <v>-1</v>
      </c>
      <c r="AO137" s="129">
        <f t="shared" si="43"/>
        <v>1</v>
      </c>
      <c r="AP137" s="129">
        <f t="shared" si="44"/>
        <v>0</v>
      </c>
      <c r="AQ137" s="129">
        <f t="shared" si="45"/>
        <v>0</v>
      </c>
      <c r="AR137" s="129">
        <f t="shared" si="46"/>
        <v>0</v>
      </c>
      <c r="AS137" s="129">
        <f t="shared" si="47"/>
        <v>0</v>
      </c>
      <c r="AT137" s="312">
        <f t="shared" si="48"/>
        <v>0</v>
      </c>
      <c r="AV137" s="312"/>
      <c r="AW137" s="129">
        <v>0</v>
      </c>
      <c r="BA137" s="314"/>
      <c r="BF137" s="314"/>
      <c r="BL137" s="314"/>
      <c r="BM137" s="129">
        <f t="shared" si="36"/>
        <v>0</v>
      </c>
      <c r="BN137" s="129">
        <f t="shared" si="37"/>
        <v>0</v>
      </c>
      <c r="BR137" s="129">
        <v>516237</v>
      </c>
      <c r="BS137" s="129">
        <v>170397</v>
      </c>
      <c r="BT137" s="129" t="s">
        <v>152</v>
      </c>
      <c r="BU137" s="129" t="s">
        <v>192</v>
      </c>
      <c r="CC137" s="129" t="s">
        <v>359</v>
      </c>
      <c r="CD137" s="129" t="s">
        <v>201</v>
      </c>
      <c r="CE137" s="313"/>
    </row>
    <row r="138" spans="1:83" x14ac:dyDescent="0.25">
      <c r="A138" s="129" t="s">
        <v>896</v>
      </c>
      <c r="B138" s="129" t="s">
        <v>369</v>
      </c>
      <c r="C138" s="248" t="s">
        <v>370</v>
      </c>
      <c r="D138" s="309">
        <v>44642</v>
      </c>
      <c r="E138" s="309">
        <v>45738</v>
      </c>
      <c r="F138" s="315">
        <v>45536</v>
      </c>
      <c r="G138" s="310" t="s">
        <v>359</v>
      </c>
      <c r="H138" s="310"/>
      <c r="I138" s="309">
        <v>45834</v>
      </c>
      <c r="J138" s="129" t="s">
        <v>266</v>
      </c>
      <c r="K138" s="129" t="s">
        <v>268</v>
      </c>
      <c r="M138" s="191"/>
      <c r="O138" s="129" t="s">
        <v>897</v>
      </c>
      <c r="P138" s="129" t="s">
        <v>898</v>
      </c>
      <c r="Q138" s="129" t="s">
        <v>605</v>
      </c>
      <c r="AA138" s="312">
        <f t="shared" si="38"/>
        <v>0</v>
      </c>
      <c r="AC138" s="129">
        <v>1</v>
      </c>
      <c r="AK138" s="312">
        <f t="shared" si="39"/>
        <v>1</v>
      </c>
      <c r="AL138" s="129">
        <f t="shared" si="40"/>
        <v>1</v>
      </c>
      <c r="AM138" s="129">
        <f t="shared" si="41"/>
        <v>0</v>
      </c>
      <c r="AN138" s="129">
        <f t="shared" si="42"/>
        <v>0</v>
      </c>
      <c r="AO138" s="129">
        <f t="shared" si="43"/>
        <v>0</v>
      </c>
      <c r="AP138" s="129">
        <f t="shared" si="44"/>
        <v>0</v>
      </c>
      <c r="AQ138" s="129">
        <f t="shared" si="45"/>
        <v>0</v>
      </c>
      <c r="AR138" s="129">
        <f t="shared" si="46"/>
        <v>0</v>
      </c>
      <c r="AS138" s="129">
        <f t="shared" si="47"/>
        <v>0</v>
      </c>
      <c r="AT138" s="312">
        <f t="shared" si="48"/>
        <v>1</v>
      </c>
      <c r="AV138" s="312"/>
      <c r="AW138" s="129">
        <v>1</v>
      </c>
      <c r="BA138" s="314"/>
      <c r="BF138" s="314"/>
      <c r="BL138" s="314"/>
      <c r="BM138" s="129">
        <f t="shared" si="36"/>
        <v>1</v>
      </c>
      <c r="BN138" s="129">
        <f t="shared" si="37"/>
        <v>1</v>
      </c>
      <c r="BR138" s="129">
        <v>518059</v>
      </c>
      <c r="BS138" s="129">
        <v>175250</v>
      </c>
      <c r="BT138" s="129" t="s">
        <v>177</v>
      </c>
      <c r="BU138" s="129" t="s">
        <v>150</v>
      </c>
      <c r="BV138" s="129" t="s">
        <v>150</v>
      </c>
      <c r="CA138" s="129" t="s">
        <v>606</v>
      </c>
      <c r="CB138" s="129" t="s">
        <v>359</v>
      </c>
      <c r="CC138" s="129" t="s">
        <v>359</v>
      </c>
      <c r="CD138" s="129" t="s">
        <v>200</v>
      </c>
      <c r="CE138" s="313"/>
    </row>
    <row r="139" spans="1:83" x14ac:dyDescent="0.25">
      <c r="A139" s="129" t="s">
        <v>899</v>
      </c>
      <c r="B139" s="129" t="s">
        <v>352</v>
      </c>
      <c r="D139" s="309">
        <v>44872</v>
      </c>
      <c r="E139" s="309">
        <v>45968</v>
      </c>
      <c r="F139" s="309">
        <v>45352</v>
      </c>
      <c r="G139" s="129"/>
      <c r="H139" s="129"/>
      <c r="J139" s="129" t="s">
        <v>266</v>
      </c>
      <c r="K139" s="129" t="s">
        <v>268</v>
      </c>
      <c r="M139" s="191"/>
      <c r="O139" s="129" t="s">
        <v>900</v>
      </c>
      <c r="P139" s="129" t="s">
        <v>901</v>
      </c>
      <c r="Q139" s="129" t="s">
        <v>902</v>
      </c>
      <c r="AA139" s="312">
        <f t="shared" si="38"/>
        <v>0</v>
      </c>
      <c r="AB139" s="129"/>
      <c r="AC139" s="129">
        <v>14</v>
      </c>
      <c r="AK139" s="312">
        <f t="shared" si="39"/>
        <v>14</v>
      </c>
      <c r="AL139" s="129">
        <f t="shared" si="40"/>
        <v>14</v>
      </c>
      <c r="AM139" s="129">
        <f t="shared" si="41"/>
        <v>0</v>
      </c>
      <c r="AN139" s="129">
        <f t="shared" si="42"/>
        <v>0</v>
      </c>
      <c r="AO139" s="129">
        <f t="shared" si="43"/>
        <v>0</v>
      </c>
      <c r="AP139" s="129">
        <f t="shared" si="44"/>
        <v>0</v>
      </c>
      <c r="AQ139" s="129">
        <f t="shared" si="45"/>
        <v>0</v>
      </c>
      <c r="AR139" s="129">
        <f t="shared" si="46"/>
        <v>0</v>
      </c>
      <c r="AS139" s="129">
        <f t="shared" si="47"/>
        <v>0</v>
      </c>
      <c r="AT139" s="312">
        <f t="shared" si="48"/>
        <v>14</v>
      </c>
      <c r="AU139" s="129"/>
      <c r="AV139" s="312"/>
      <c r="AX139" s="129">
        <v>7</v>
      </c>
      <c r="AY139" s="129">
        <v>7</v>
      </c>
      <c r="BA139" s="314"/>
      <c r="BF139" s="314"/>
      <c r="BL139" s="314"/>
      <c r="BR139" s="129">
        <v>518345</v>
      </c>
      <c r="BS139" s="129">
        <v>175429</v>
      </c>
      <c r="BT139" s="129" t="s">
        <v>176</v>
      </c>
      <c r="BU139" s="129" t="s">
        <v>150</v>
      </c>
      <c r="CC139" s="129" t="s">
        <v>359</v>
      </c>
      <c r="CD139" s="129" t="s">
        <v>200</v>
      </c>
      <c r="CE139" s="313"/>
    </row>
    <row r="140" spans="1:83" x14ac:dyDescent="0.25">
      <c r="A140" s="129" t="s">
        <v>903</v>
      </c>
      <c r="B140" s="129" t="s">
        <v>352</v>
      </c>
      <c r="C140" s="129" t="s">
        <v>353</v>
      </c>
      <c r="D140" s="309">
        <v>44799</v>
      </c>
      <c r="E140" s="309">
        <v>45895</v>
      </c>
      <c r="F140" s="309">
        <v>44981</v>
      </c>
      <c r="G140" s="310"/>
      <c r="H140" s="310"/>
      <c r="I140" s="315">
        <v>45971</v>
      </c>
      <c r="J140" s="129" t="s">
        <v>266</v>
      </c>
      <c r="K140" s="129" t="s">
        <v>268</v>
      </c>
      <c r="M140" s="191"/>
      <c r="O140" s="129" t="s">
        <v>904</v>
      </c>
      <c r="P140" s="129" t="s">
        <v>905</v>
      </c>
      <c r="Q140" s="129" t="s">
        <v>906</v>
      </c>
      <c r="U140" s="129">
        <v>1</v>
      </c>
      <c r="AA140" s="312">
        <f t="shared" si="38"/>
        <v>1</v>
      </c>
      <c r="AE140" s="129">
        <v>1</v>
      </c>
      <c r="AK140" s="312">
        <f t="shared" si="39"/>
        <v>1</v>
      </c>
      <c r="AL140" s="129">
        <f t="shared" si="40"/>
        <v>0</v>
      </c>
      <c r="AM140" s="129">
        <f t="shared" si="41"/>
        <v>0</v>
      </c>
      <c r="AN140" s="129">
        <f t="shared" si="42"/>
        <v>0</v>
      </c>
      <c r="AO140" s="129">
        <f t="shared" si="43"/>
        <v>0</v>
      </c>
      <c r="AP140" s="129">
        <f t="shared" si="44"/>
        <v>0</v>
      </c>
      <c r="AQ140" s="129">
        <f t="shared" si="45"/>
        <v>0</v>
      </c>
      <c r="AR140" s="129">
        <f t="shared" si="46"/>
        <v>0</v>
      </c>
      <c r="AS140" s="129">
        <f t="shared" si="47"/>
        <v>0</v>
      </c>
      <c r="AT140" s="312">
        <f t="shared" si="48"/>
        <v>0</v>
      </c>
      <c r="AV140" s="312"/>
      <c r="AW140" s="129">
        <v>0</v>
      </c>
      <c r="BA140" s="314"/>
      <c r="BF140" s="314"/>
      <c r="BL140" s="314"/>
      <c r="BM140" s="129">
        <f t="shared" ref="BM140:BM203" si="49">SUM(AW140:BA140)</f>
        <v>0</v>
      </c>
      <c r="BN140" s="129">
        <f t="shared" ref="BN140:BN203" si="50">SUM(AW140:BF140)</f>
        <v>0</v>
      </c>
      <c r="BR140" s="129">
        <v>521430</v>
      </c>
      <c r="BS140" s="129">
        <v>175853</v>
      </c>
      <c r="BT140" s="129" t="s">
        <v>175</v>
      </c>
      <c r="BU140" s="129" t="s">
        <v>190</v>
      </c>
      <c r="CA140" s="129" t="s">
        <v>391</v>
      </c>
      <c r="CB140" s="129" t="s">
        <v>359</v>
      </c>
      <c r="CC140" s="129" t="s">
        <v>359</v>
      </c>
      <c r="CD140" s="129" t="s">
        <v>167</v>
      </c>
      <c r="CE140" s="313"/>
    </row>
    <row r="141" spans="1:83" x14ac:dyDescent="0.25">
      <c r="A141" s="129" t="s">
        <v>907</v>
      </c>
      <c r="B141" s="129" t="s">
        <v>352</v>
      </c>
      <c r="C141" s="129" t="s">
        <v>353</v>
      </c>
      <c r="D141" s="309">
        <v>45048</v>
      </c>
      <c r="E141" s="309">
        <v>46144</v>
      </c>
      <c r="F141" s="309">
        <v>45444</v>
      </c>
      <c r="G141" s="310" t="s">
        <v>359</v>
      </c>
      <c r="H141" s="310"/>
      <c r="J141" s="129" t="s">
        <v>266</v>
      </c>
      <c r="K141" s="129" t="s">
        <v>268</v>
      </c>
      <c r="M141" s="191"/>
      <c r="O141" s="129" t="s">
        <v>908</v>
      </c>
      <c r="P141" s="129" t="s">
        <v>909</v>
      </c>
      <c r="Q141" s="129" t="s">
        <v>910</v>
      </c>
      <c r="AA141" s="312">
        <f t="shared" si="38"/>
        <v>0</v>
      </c>
      <c r="AF141" s="129">
        <v>1</v>
      </c>
      <c r="AK141" s="312">
        <f t="shared" si="39"/>
        <v>1</v>
      </c>
      <c r="AL141" s="129">
        <f t="shared" si="40"/>
        <v>0</v>
      </c>
      <c r="AM141" s="129">
        <f t="shared" si="41"/>
        <v>0</v>
      </c>
      <c r="AN141" s="129">
        <f t="shared" si="42"/>
        <v>0</v>
      </c>
      <c r="AO141" s="129">
        <f t="shared" si="43"/>
        <v>1</v>
      </c>
      <c r="AP141" s="129">
        <f t="shared" si="44"/>
        <v>0</v>
      </c>
      <c r="AQ141" s="129">
        <f t="shared" si="45"/>
        <v>0</v>
      </c>
      <c r="AR141" s="129">
        <f t="shared" si="46"/>
        <v>0</v>
      </c>
      <c r="AS141" s="129">
        <f t="shared" si="47"/>
        <v>0</v>
      </c>
      <c r="AT141" s="312">
        <f t="shared" si="48"/>
        <v>1</v>
      </c>
      <c r="AV141" s="312"/>
      <c r="AW141" s="129">
        <v>1</v>
      </c>
      <c r="BA141" s="314"/>
      <c r="BF141" s="314"/>
      <c r="BL141" s="314"/>
      <c r="BM141" s="129">
        <f t="shared" si="49"/>
        <v>1</v>
      </c>
      <c r="BN141" s="129">
        <f t="shared" si="50"/>
        <v>1</v>
      </c>
      <c r="BR141" s="129">
        <v>522676</v>
      </c>
      <c r="BS141" s="129">
        <v>177493</v>
      </c>
      <c r="BT141" s="129" t="s">
        <v>167</v>
      </c>
      <c r="BU141" s="129" t="s">
        <v>190</v>
      </c>
      <c r="CA141" s="129" t="s">
        <v>584</v>
      </c>
      <c r="CB141" s="129" t="s">
        <v>359</v>
      </c>
      <c r="CC141" s="129" t="s">
        <v>359</v>
      </c>
      <c r="CD141" s="129" t="s">
        <v>167</v>
      </c>
      <c r="CE141" s="313" t="s">
        <v>359</v>
      </c>
    </row>
    <row r="142" spans="1:83" x14ac:dyDescent="0.25">
      <c r="A142" s="129" t="s">
        <v>911</v>
      </c>
      <c r="B142" s="129" t="s">
        <v>352</v>
      </c>
      <c r="C142" s="129" t="s">
        <v>353</v>
      </c>
      <c r="D142" s="309">
        <v>44707</v>
      </c>
      <c r="E142" s="309">
        <v>46140</v>
      </c>
      <c r="F142" s="309">
        <v>45352</v>
      </c>
      <c r="G142" s="310"/>
      <c r="H142" s="310"/>
      <c r="I142" s="315">
        <v>45951</v>
      </c>
      <c r="J142" s="129" t="s">
        <v>266</v>
      </c>
      <c r="K142" s="129" t="s">
        <v>268</v>
      </c>
      <c r="M142" s="191"/>
      <c r="O142" s="129" t="s">
        <v>912</v>
      </c>
      <c r="P142" s="129" t="s">
        <v>913</v>
      </c>
      <c r="Q142" s="129" t="s">
        <v>847</v>
      </c>
      <c r="U142" s="129">
        <v>1</v>
      </c>
      <c r="AA142" s="312">
        <f t="shared" si="38"/>
        <v>1</v>
      </c>
      <c r="AE142" s="129">
        <v>1</v>
      </c>
      <c r="AK142" s="312">
        <f t="shared" si="39"/>
        <v>1</v>
      </c>
      <c r="AL142" s="129">
        <f t="shared" si="40"/>
        <v>0</v>
      </c>
      <c r="AM142" s="129">
        <f t="shared" si="41"/>
        <v>0</v>
      </c>
      <c r="AN142" s="129">
        <f t="shared" si="42"/>
        <v>0</v>
      </c>
      <c r="AO142" s="129">
        <f t="shared" si="43"/>
        <v>0</v>
      </c>
      <c r="AP142" s="129">
        <f t="shared" si="44"/>
        <v>0</v>
      </c>
      <c r="AQ142" s="129">
        <f t="shared" si="45"/>
        <v>0</v>
      </c>
      <c r="AR142" s="129">
        <f t="shared" si="46"/>
        <v>0</v>
      </c>
      <c r="AS142" s="129">
        <f t="shared" si="47"/>
        <v>0</v>
      </c>
      <c r="AT142" s="312">
        <f t="shared" si="48"/>
        <v>0</v>
      </c>
      <c r="AV142" s="312"/>
      <c r="AW142" s="129">
        <v>0</v>
      </c>
      <c r="BA142" s="314"/>
      <c r="BF142" s="314"/>
      <c r="BL142" s="314"/>
      <c r="BM142" s="129">
        <f t="shared" si="49"/>
        <v>0</v>
      </c>
      <c r="BN142" s="129">
        <f t="shared" si="50"/>
        <v>0</v>
      </c>
      <c r="BR142" s="129">
        <v>518051</v>
      </c>
      <c r="BS142" s="129">
        <v>171688</v>
      </c>
      <c r="BT142" s="129" t="s">
        <v>169</v>
      </c>
      <c r="BU142" s="129" t="s">
        <v>191</v>
      </c>
      <c r="CA142" s="129" t="s">
        <v>848</v>
      </c>
      <c r="CB142" s="129" t="s">
        <v>359</v>
      </c>
      <c r="CD142" s="129" t="s">
        <v>197</v>
      </c>
      <c r="CE142" s="313"/>
    </row>
    <row r="143" spans="1:83" x14ac:dyDescent="0.25">
      <c r="A143" s="129" t="s">
        <v>914</v>
      </c>
      <c r="B143" s="129" t="s">
        <v>369</v>
      </c>
      <c r="C143" s="248" t="s">
        <v>370</v>
      </c>
      <c r="D143" s="309">
        <v>44726</v>
      </c>
      <c r="E143" s="309">
        <v>45822</v>
      </c>
      <c r="F143" s="309">
        <v>45505</v>
      </c>
      <c r="G143" s="310" t="s">
        <v>359</v>
      </c>
      <c r="H143" s="310"/>
      <c r="I143" s="315">
        <v>45821</v>
      </c>
      <c r="J143" s="129" t="s">
        <v>266</v>
      </c>
      <c r="K143" s="129" t="s">
        <v>268</v>
      </c>
      <c r="M143" s="191"/>
      <c r="O143" s="129" t="s">
        <v>915</v>
      </c>
      <c r="P143" s="129" t="s">
        <v>916</v>
      </c>
      <c r="Q143" s="129" t="s">
        <v>917</v>
      </c>
      <c r="AA143" s="312">
        <f t="shared" si="38"/>
        <v>0</v>
      </c>
      <c r="AD143" s="129">
        <v>2</v>
      </c>
      <c r="AK143" s="312">
        <f t="shared" si="39"/>
        <v>2</v>
      </c>
      <c r="AL143" s="129">
        <f t="shared" si="40"/>
        <v>0</v>
      </c>
      <c r="AM143" s="129">
        <f t="shared" si="41"/>
        <v>2</v>
      </c>
      <c r="AN143" s="129">
        <f t="shared" si="42"/>
        <v>0</v>
      </c>
      <c r="AO143" s="129">
        <f t="shared" si="43"/>
        <v>0</v>
      </c>
      <c r="AP143" s="129">
        <f t="shared" si="44"/>
        <v>0</v>
      </c>
      <c r="AQ143" s="129">
        <f t="shared" si="45"/>
        <v>0</v>
      </c>
      <c r="AR143" s="129">
        <f t="shared" si="46"/>
        <v>0</v>
      </c>
      <c r="AS143" s="129">
        <f t="shared" si="47"/>
        <v>0</v>
      </c>
      <c r="AT143" s="312">
        <f t="shared" si="48"/>
        <v>2</v>
      </c>
      <c r="AV143" s="312"/>
      <c r="AW143" s="129">
        <v>2</v>
      </c>
      <c r="BA143" s="314"/>
      <c r="BF143" s="314"/>
      <c r="BL143" s="314"/>
      <c r="BM143" s="129">
        <f t="shared" si="49"/>
        <v>2</v>
      </c>
      <c r="BN143" s="129">
        <f t="shared" si="50"/>
        <v>2</v>
      </c>
      <c r="BR143" s="129">
        <v>515645</v>
      </c>
      <c r="BS143" s="129">
        <v>170997</v>
      </c>
      <c r="BT143" s="129" t="s">
        <v>152</v>
      </c>
      <c r="BU143" s="129" t="s">
        <v>192</v>
      </c>
      <c r="BV143" s="129" t="s">
        <v>152</v>
      </c>
      <c r="CC143" s="129" t="s">
        <v>359</v>
      </c>
      <c r="CD143" s="129" t="s">
        <v>201</v>
      </c>
      <c r="CE143" s="313"/>
    </row>
    <row r="144" spans="1:83" x14ac:dyDescent="0.25">
      <c r="A144" s="129" t="s">
        <v>918</v>
      </c>
      <c r="B144" s="129" t="s">
        <v>369</v>
      </c>
      <c r="C144" s="248" t="s">
        <v>370</v>
      </c>
      <c r="D144" s="309">
        <v>44732</v>
      </c>
      <c r="E144" s="309">
        <v>45828</v>
      </c>
      <c r="F144" s="309">
        <v>45537</v>
      </c>
      <c r="G144" s="310" t="s">
        <v>359</v>
      </c>
      <c r="H144" s="310"/>
      <c r="J144" s="129" t="s">
        <v>266</v>
      </c>
      <c r="K144" s="129" t="s">
        <v>268</v>
      </c>
      <c r="M144" s="191"/>
      <c r="O144" s="129" t="s">
        <v>919</v>
      </c>
      <c r="P144" s="129" t="s">
        <v>920</v>
      </c>
      <c r="Q144" s="129" t="s">
        <v>834</v>
      </c>
      <c r="AA144" s="312">
        <f t="shared" si="38"/>
        <v>0</v>
      </c>
      <c r="AC144" s="129">
        <v>3</v>
      </c>
      <c r="AD144" s="129">
        <v>3</v>
      </c>
      <c r="AE144" s="129">
        <v>1</v>
      </c>
      <c r="AK144" s="312">
        <f t="shared" si="39"/>
        <v>7</v>
      </c>
      <c r="AL144" s="129">
        <f t="shared" si="40"/>
        <v>3</v>
      </c>
      <c r="AM144" s="129">
        <f t="shared" si="41"/>
        <v>3</v>
      </c>
      <c r="AN144" s="129">
        <f t="shared" si="42"/>
        <v>1</v>
      </c>
      <c r="AO144" s="129">
        <f t="shared" si="43"/>
        <v>0</v>
      </c>
      <c r="AP144" s="129">
        <f t="shared" si="44"/>
        <v>0</v>
      </c>
      <c r="AQ144" s="129">
        <f t="shared" si="45"/>
        <v>0</v>
      </c>
      <c r="AR144" s="129">
        <f t="shared" si="46"/>
        <v>0</v>
      </c>
      <c r="AS144" s="129">
        <f t="shared" si="47"/>
        <v>0</v>
      </c>
      <c r="AT144" s="312">
        <f t="shared" si="48"/>
        <v>7</v>
      </c>
      <c r="AV144" s="312"/>
      <c r="AW144" s="129">
        <v>7</v>
      </c>
      <c r="BA144" s="314"/>
      <c r="BF144" s="314"/>
      <c r="BL144" s="314"/>
      <c r="BM144" s="129">
        <f t="shared" si="49"/>
        <v>7</v>
      </c>
      <c r="BN144" s="129">
        <f t="shared" si="50"/>
        <v>7</v>
      </c>
      <c r="BR144" s="129">
        <v>514266</v>
      </c>
      <c r="BS144" s="129">
        <v>170834</v>
      </c>
      <c r="BT144" s="129" t="s">
        <v>168</v>
      </c>
      <c r="BU144" s="129" t="s">
        <v>192</v>
      </c>
      <c r="BX144" s="129" t="s">
        <v>404</v>
      </c>
      <c r="BY144" s="129" t="s">
        <v>359</v>
      </c>
      <c r="CA144" s="129" t="s">
        <v>835</v>
      </c>
      <c r="CB144" s="129" t="s">
        <v>359</v>
      </c>
      <c r="CD144" s="129" t="s">
        <v>198</v>
      </c>
      <c r="CE144" s="313"/>
    </row>
    <row r="145" spans="1:83" x14ac:dyDescent="0.25">
      <c r="A145" s="129" t="s">
        <v>921</v>
      </c>
      <c r="B145" s="129" t="s">
        <v>352</v>
      </c>
      <c r="C145" s="129" t="s">
        <v>353</v>
      </c>
      <c r="D145" s="309">
        <v>45007</v>
      </c>
      <c r="E145" s="309">
        <v>46103</v>
      </c>
      <c r="F145" s="309">
        <v>45385</v>
      </c>
      <c r="G145" s="310" t="s">
        <v>359</v>
      </c>
      <c r="H145" s="310"/>
      <c r="J145" s="129" t="s">
        <v>266</v>
      </c>
      <c r="K145" s="129" t="s">
        <v>260</v>
      </c>
      <c r="M145" s="191"/>
      <c r="O145" s="129" t="s">
        <v>922</v>
      </c>
      <c r="P145" s="129" t="s">
        <v>923</v>
      </c>
      <c r="Q145" s="129" t="s">
        <v>924</v>
      </c>
      <c r="R145" s="129" t="s">
        <v>925</v>
      </c>
      <c r="S145" s="129">
        <v>6</v>
      </c>
      <c r="U145" s="129">
        <v>5</v>
      </c>
      <c r="AA145" s="312">
        <f t="shared" si="38"/>
        <v>11</v>
      </c>
      <c r="AB145" s="313" t="s">
        <v>359</v>
      </c>
      <c r="AK145" s="312">
        <f t="shared" si="39"/>
        <v>0</v>
      </c>
      <c r="AL145" s="129">
        <f t="shared" si="40"/>
        <v>-6</v>
      </c>
      <c r="AM145" s="129">
        <f t="shared" si="41"/>
        <v>0</v>
      </c>
      <c r="AN145" s="129">
        <f t="shared" si="42"/>
        <v>-5</v>
      </c>
      <c r="AO145" s="129">
        <f t="shared" si="43"/>
        <v>0</v>
      </c>
      <c r="AP145" s="129">
        <f t="shared" si="44"/>
        <v>0</v>
      </c>
      <c r="AQ145" s="129">
        <f t="shared" si="45"/>
        <v>0</v>
      </c>
      <c r="AR145" s="129">
        <f t="shared" si="46"/>
        <v>0</v>
      </c>
      <c r="AS145" s="129">
        <f t="shared" si="47"/>
        <v>0</v>
      </c>
      <c r="AT145" s="312">
        <f t="shared" si="48"/>
        <v>-11</v>
      </c>
      <c r="AU145" s="313" t="s">
        <v>359</v>
      </c>
      <c r="AV145" s="312"/>
      <c r="AW145" s="129">
        <v>-11</v>
      </c>
      <c r="BA145" s="314"/>
      <c r="BF145" s="314"/>
      <c r="BL145" s="314"/>
      <c r="BM145" s="129">
        <f t="shared" si="49"/>
        <v>-11</v>
      </c>
      <c r="BN145" s="129">
        <f t="shared" si="50"/>
        <v>-11</v>
      </c>
      <c r="BR145" s="129">
        <v>517121</v>
      </c>
      <c r="BS145" s="129">
        <v>172297</v>
      </c>
      <c r="BT145" s="129" t="s">
        <v>169</v>
      </c>
      <c r="BU145" s="129" t="s">
        <v>191</v>
      </c>
      <c r="CD145" s="129" t="s">
        <v>197</v>
      </c>
      <c r="CE145" s="313"/>
    </row>
    <row r="146" spans="1:83" x14ac:dyDescent="0.25">
      <c r="A146" s="129" t="s">
        <v>921</v>
      </c>
      <c r="B146" s="129" t="s">
        <v>352</v>
      </c>
      <c r="C146" s="129" t="s">
        <v>353</v>
      </c>
      <c r="D146" s="309">
        <v>45007</v>
      </c>
      <c r="E146" s="309">
        <v>46103</v>
      </c>
      <c r="F146" s="309">
        <v>45385</v>
      </c>
      <c r="G146" s="310" t="s">
        <v>359</v>
      </c>
      <c r="H146" s="310"/>
      <c r="J146" s="129" t="s">
        <v>266</v>
      </c>
      <c r="K146" s="129" t="s">
        <v>268</v>
      </c>
      <c r="M146" s="191"/>
      <c r="O146" s="129" t="s">
        <v>922</v>
      </c>
      <c r="P146" s="129" t="s">
        <v>923</v>
      </c>
      <c r="Q146" s="129" t="s">
        <v>924</v>
      </c>
      <c r="R146" s="129" t="s">
        <v>925</v>
      </c>
      <c r="U146" s="129">
        <v>1</v>
      </c>
      <c r="AA146" s="312">
        <f t="shared" si="38"/>
        <v>1</v>
      </c>
      <c r="AK146" s="312">
        <f t="shared" si="39"/>
        <v>0</v>
      </c>
      <c r="AL146" s="129">
        <f t="shared" si="40"/>
        <v>0</v>
      </c>
      <c r="AM146" s="129">
        <f t="shared" si="41"/>
        <v>0</v>
      </c>
      <c r="AN146" s="129">
        <f t="shared" si="42"/>
        <v>-1</v>
      </c>
      <c r="AO146" s="129">
        <f t="shared" si="43"/>
        <v>0</v>
      </c>
      <c r="AP146" s="129">
        <f t="shared" si="44"/>
        <v>0</v>
      </c>
      <c r="AQ146" s="129">
        <f t="shared" si="45"/>
        <v>0</v>
      </c>
      <c r="AR146" s="129">
        <f t="shared" si="46"/>
        <v>0</v>
      </c>
      <c r="AS146" s="129">
        <f t="shared" si="47"/>
        <v>0</v>
      </c>
      <c r="AT146" s="312">
        <f t="shared" si="48"/>
        <v>-1</v>
      </c>
      <c r="AU146" s="313" t="s">
        <v>359</v>
      </c>
      <c r="AV146" s="312"/>
      <c r="AW146" s="129">
        <v>-1</v>
      </c>
      <c r="BA146" s="314"/>
      <c r="BF146" s="314"/>
      <c r="BL146" s="314"/>
      <c r="BM146" s="129">
        <f t="shared" si="49"/>
        <v>-1</v>
      </c>
      <c r="BN146" s="129">
        <f t="shared" si="50"/>
        <v>-1</v>
      </c>
      <c r="BR146" s="129">
        <v>517121</v>
      </c>
      <c r="BS146" s="129">
        <v>172297</v>
      </c>
      <c r="BT146" s="129" t="s">
        <v>169</v>
      </c>
      <c r="BU146" s="129" t="s">
        <v>191</v>
      </c>
      <c r="CD146" s="129" t="s">
        <v>197</v>
      </c>
      <c r="CE146" s="313"/>
    </row>
    <row r="147" spans="1:83" x14ac:dyDescent="0.25">
      <c r="A147" s="129" t="s">
        <v>921</v>
      </c>
      <c r="B147" s="129" t="s">
        <v>352</v>
      </c>
      <c r="C147" s="129" t="s">
        <v>353</v>
      </c>
      <c r="D147" s="309">
        <v>45007</v>
      </c>
      <c r="E147" s="309">
        <v>46103</v>
      </c>
      <c r="F147" s="309">
        <v>45385</v>
      </c>
      <c r="G147" s="310" t="s">
        <v>359</v>
      </c>
      <c r="H147" s="310"/>
      <c r="J147" s="129" t="s">
        <v>266</v>
      </c>
      <c r="K147" s="129" t="s">
        <v>268</v>
      </c>
      <c r="M147" s="191"/>
      <c r="O147" s="129" t="s">
        <v>922</v>
      </c>
      <c r="P147" s="129" t="s">
        <v>923</v>
      </c>
      <c r="Q147" s="129" t="s">
        <v>924</v>
      </c>
      <c r="R147" s="129" t="s">
        <v>926</v>
      </c>
      <c r="AA147" s="312">
        <f t="shared" si="38"/>
        <v>0</v>
      </c>
      <c r="AC147" s="129">
        <v>2</v>
      </c>
      <c r="AD147" s="129">
        <v>3</v>
      </c>
      <c r="AE147" s="129">
        <v>2</v>
      </c>
      <c r="AK147" s="312">
        <f t="shared" si="39"/>
        <v>7</v>
      </c>
      <c r="AL147" s="129">
        <f t="shared" si="40"/>
        <v>2</v>
      </c>
      <c r="AM147" s="129">
        <f t="shared" si="41"/>
        <v>3</v>
      </c>
      <c r="AN147" s="129">
        <f t="shared" si="42"/>
        <v>2</v>
      </c>
      <c r="AO147" s="129">
        <f t="shared" si="43"/>
        <v>0</v>
      </c>
      <c r="AP147" s="129">
        <f t="shared" si="44"/>
        <v>0</v>
      </c>
      <c r="AQ147" s="129">
        <f t="shared" si="45"/>
        <v>0</v>
      </c>
      <c r="AR147" s="129">
        <f t="shared" si="46"/>
        <v>0</v>
      </c>
      <c r="AS147" s="129">
        <f t="shared" si="47"/>
        <v>0</v>
      </c>
      <c r="AT147" s="312">
        <f t="shared" si="48"/>
        <v>7</v>
      </c>
      <c r="AU147" s="313" t="s">
        <v>359</v>
      </c>
      <c r="AV147" s="312"/>
      <c r="AX147" s="129">
        <v>7</v>
      </c>
      <c r="BA147" s="314"/>
      <c r="BF147" s="314"/>
      <c r="BL147" s="314"/>
      <c r="BM147" s="129">
        <f t="shared" si="49"/>
        <v>7</v>
      </c>
      <c r="BN147" s="129">
        <f t="shared" si="50"/>
        <v>7</v>
      </c>
      <c r="BR147" s="129">
        <v>517121</v>
      </c>
      <c r="BS147" s="129">
        <v>172297</v>
      </c>
      <c r="BT147" s="129" t="s">
        <v>169</v>
      </c>
      <c r="BU147" s="129" t="s">
        <v>191</v>
      </c>
      <c r="CD147" s="129" t="s">
        <v>197</v>
      </c>
      <c r="CE147" s="313"/>
    </row>
    <row r="148" spans="1:83" x14ac:dyDescent="0.25">
      <c r="A148" s="129" t="s">
        <v>921</v>
      </c>
      <c r="B148" s="129" t="s">
        <v>352</v>
      </c>
      <c r="C148" s="129" t="s">
        <v>353</v>
      </c>
      <c r="D148" s="309">
        <v>45007</v>
      </c>
      <c r="E148" s="309">
        <v>46103</v>
      </c>
      <c r="F148" s="309">
        <v>45385</v>
      </c>
      <c r="G148" s="310" t="s">
        <v>359</v>
      </c>
      <c r="H148" s="310"/>
      <c r="J148" s="129" t="s">
        <v>266</v>
      </c>
      <c r="K148" s="129" t="s">
        <v>264</v>
      </c>
      <c r="M148" s="191"/>
      <c r="O148" s="129" t="s">
        <v>922</v>
      </c>
      <c r="P148" s="129" t="s">
        <v>923</v>
      </c>
      <c r="Q148" s="129" t="s">
        <v>924</v>
      </c>
      <c r="R148" s="129" t="s">
        <v>926</v>
      </c>
      <c r="AA148" s="312">
        <f t="shared" si="38"/>
        <v>0</v>
      </c>
      <c r="AB148" s="313" t="s">
        <v>359</v>
      </c>
      <c r="AC148" s="129">
        <v>35</v>
      </c>
      <c r="AD148" s="129">
        <v>18</v>
      </c>
      <c r="AE148" s="129">
        <v>10</v>
      </c>
      <c r="AK148" s="312">
        <f t="shared" si="39"/>
        <v>63</v>
      </c>
      <c r="AL148" s="129">
        <f t="shared" si="40"/>
        <v>35</v>
      </c>
      <c r="AM148" s="129">
        <f t="shared" si="41"/>
        <v>18</v>
      </c>
      <c r="AN148" s="129">
        <f t="shared" si="42"/>
        <v>10</v>
      </c>
      <c r="AO148" s="129">
        <f t="shared" si="43"/>
        <v>0</v>
      </c>
      <c r="AP148" s="129">
        <f t="shared" si="44"/>
        <v>0</v>
      </c>
      <c r="AQ148" s="129">
        <f t="shared" si="45"/>
        <v>0</v>
      </c>
      <c r="AR148" s="129">
        <f t="shared" si="46"/>
        <v>0</v>
      </c>
      <c r="AS148" s="129">
        <f t="shared" si="47"/>
        <v>0</v>
      </c>
      <c r="AT148" s="312">
        <f t="shared" si="48"/>
        <v>63</v>
      </c>
      <c r="AU148" s="313" t="s">
        <v>359</v>
      </c>
      <c r="AV148" s="312"/>
      <c r="AX148" s="129">
        <v>63</v>
      </c>
      <c r="BA148" s="314"/>
      <c r="BF148" s="314"/>
      <c r="BL148" s="314"/>
      <c r="BM148" s="129">
        <f t="shared" si="49"/>
        <v>63</v>
      </c>
      <c r="BN148" s="129">
        <f t="shared" si="50"/>
        <v>63</v>
      </c>
      <c r="BR148" s="129">
        <v>517121</v>
      </c>
      <c r="BS148" s="129">
        <v>172297</v>
      </c>
      <c r="BT148" s="129" t="s">
        <v>169</v>
      </c>
      <c r="BU148" s="129" t="s">
        <v>191</v>
      </c>
      <c r="CD148" s="129" t="s">
        <v>197</v>
      </c>
      <c r="CE148" s="313"/>
    </row>
    <row r="149" spans="1:83" x14ac:dyDescent="0.25">
      <c r="A149" s="129" t="s">
        <v>921</v>
      </c>
      <c r="B149" s="129" t="s">
        <v>352</v>
      </c>
      <c r="C149" s="129" t="s">
        <v>353</v>
      </c>
      <c r="D149" s="309">
        <v>45007</v>
      </c>
      <c r="E149" s="309">
        <v>46103</v>
      </c>
      <c r="F149" s="309">
        <v>45385</v>
      </c>
      <c r="G149" s="310" t="s">
        <v>359</v>
      </c>
      <c r="H149" s="310"/>
      <c r="J149" s="129" t="s">
        <v>266</v>
      </c>
      <c r="K149" s="129" t="s">
        <v>260</v>
      </c>
      <c r="M149" s="191"/>
      <c r="O149" s="129" t="s">
        <v>922</v>
      </c>
      <c r="P149" s="129" t="s">
        <v>923</v>
      </c>
      <c r="Q149" s="129" t="s">
        <v>924</v>
      </c>
      <c r="R149" s="129" t="s">
        <v>927</v>
      </c>
      <c r="S149" s="129">
        <v>14</v>
      </c>
      <c r="T149" s="129">
        <v>20</v>
      </c>
      <c r="U149" s="129">
        <v>3</v>
      </c>
      <c r="AA149" s="312">
        <f t="shared" si="38"/>
        <v>37</v>
      </c>
      <c r="AB149" s="313" t="s">
        <v>359</v>
      </c>
      <c r="AK149" s="312">
        <f t="shared" si="39"/>
        <v>0</v>
      </c>
      <c r="AL149" s="129">
        <f t="shared" si="40"/>
        <v>-14</v>
      </c>
      <c r="AM149" s="129">
        <f t="shared" si="41"/>
        <v>-20</v>
      </c>
      <c r="AN149" s="129">
        <f t="shared" si="42"/>
        <v>-3</v>
      </c>
      <c r="AO149" s="129">
        <f t="shared" si="43"/>
        <v>0</v>
      </c>
      <c r="AP149" s="129">
        <f t="shared" si="44"/>
        <v>0</v>
      </c>
      <c r="AQ149" s="129">
        <f t="shared" si="45"/>
        <v>0</v>
      </c>
      <c r="AR149" s="129">
        <f t="shared" si="46"/>
        <v>0</v>
      </c>
      <c r="AS149" s="129">
        <f t="shared" si="47"/>
        <v>0</v>
      </c>
      <c r="AT149" s="312">
        <f t="shared" si="48"/>
        <v>-37</v>
      </c>
      <c r="AU149" s="313" t="s">
        <v>359</v>
      </c>
      <c r="AV149" s="312"/>
      <c r="AY149" s="129">
        <v>-37</v>
      </c>
      <c r="BA149" s="314"/>
      <c r="BF149" s="314"/>
      <c r="BL149" s="314"/>
      <c r="BM149" s="129">
        <f t="shared" si="49"/>
        <v>-37</v>
      </c>
      <c r="BN149" s="129">
        <f t="shared" si="50"/>
        <v>-37</v>
      </c>
      <c r="BR149" s="129">
        <v>517121</v>
      </c>
      <c r="BS149" s="129">
        <v>172297</v>
      </c>
      <c r="BT149" s="129" t="s">
        <v>169</v>
      </c>
      <c r="BU149" s="129" t="s">
        <v>191</v>
      </c>
      <c r="CD149" s="129" t="s">
        <v>197</v>
      </c>
      <c r="CE149" s="313"/>
    </row>
    <row r="150" spans="1:83" x14ac:dyDescent="0.25">
      <c r="A150" s="129" t="s">
        <v>921</v>
      </c>
      <c r="B150" s="129" t="s">
        <v>352</v>
      </c>
      <c r="C150" s="129" t="s">
        <v>353</v>
      </c>
      <c r="D150" s="309">
        <v>45007</v>
      </c>
      <c r="E150" s="309">
        <v>46103</v>
      </c>
      <c r="F150" s="309">
        <v>45385</v>
      </c>
      <c r="G150" s="310" t="s">
        <v>359</v>
      </c>
      <c r="H150" s="310"/>
      <c r="J150" s="129" t="s">
        <v>266</v>
      </c>
      <c r="K150" s="129" t="s">
        <v>268</v>
      </c>
      <c r="M150" s="191"/>
      <c r="O150" s="129" t="s">
        <v>922</v>
      </c>
      <c r="P150" s="129" t="s">
        <v>923</v>
      </c>
      <c r="Q150" s="129" t="s">
        <v>924</v>
      </c>
      <c r="R150" s="129" t="s">
        <v>927</v>
      </c>
      <c r="S150" s="129">
        <v>2</v>
      </c>
      <c r="T150" s="129">
        <v>8</v>
      </c>
      <c r="U150" s="129">
        <v>1</v>
      </c>
      <c r="AA150" s="312">
        <f t="shared" si="38"/>
        <v>11</v>
      </c>
      <c r="AK150" s="312">
        <f t="shared" si="39"/>
        <v>0</v>
      </c>
      <c r="AL150" s="129">
        <f t="shared" si="40"/>
        <v>-2</v>
      </c>
      <c r="AM150" s="129">
        <f t="shared" si="41"/>
        <v>-8</v>
      </c>
      <c r="AN150" s="129">
        <f t="shared" si="42"/>
        <v>-1</v>
      </c>
      <c r="AO150" s="129">
        <f t="shared" si="43"/>
        <v>0</v>
      </c>
      <c r="AP150" s="129">
        <f t="shared" si="44"/>
        <v>0</v>
      </c>
      <c r="AQ150" s="129">
        <f t="shared" si="45"/>
        <v>0</v>
      </c>
      <c r="AR150" s="129">
        <f t="shared" si="46"/>
        <v>0</v>
      </c>
      <c r="AS150" s="129">
        <f t="shared" si="47"/>
        <v>0</v>
      </c>
      <c r="AT150" s="312">
        <f t="shared" si="48"/>
        <v>-11</v>
      </c>
      <c r="AU150" s="313" t="s">
        <v>359</v>
      </c>
      <c r="AV150" s="312"/>
      <c r="AY150" s="129">
        <v>-11</v>
      </c>
      <c r="BA150" s="314"/>
      <c r="BF150" s="314"/>
      <c r="BL150" s="314"/>
      <c r="BM150" s="129">
        <f t="shared" si="49"/>
        <v>-11</v>
      </c>
      <c r="BN150" s="129">
        <f t="shared" si="50"/>
        <v>-11</v>
      </c>
      <c r="BR150" s="129">
        <v>517121</v>
      </c>
      <c r="BS150" s="129">
        <v>172297</v>
      </c>
      <c r="BT150" s="129" t="s">
        <v>169</v>
      </c>
      <c r="BU150" s="129" t="s">
        <v>191</v>
      </c>
      <c r="CD150" s="129" t="s">
        <v>197</v>
      </c>
      <c r="CE150" s="313"/>
    </row>
    <row r="151" spans="1:83" x14ac:dyDescent="0.25">
      <c r="A151" s="129" t="s">
        <v>921</v>
      </c>
      <c r="B151" s="129" t="s">
        <v>352</v>
      </c>
      <c r="C151" s="129" t="s">
        <v>353</v>
      </c>
      <c r="D151" s="309">
        <v>45007</v>
      </c>
      <c r="E151" s="309">
        <v>46103</v>
      </c>
      <c r="F151" s="309">
        <v>45385</v>
      </c>
      <c r="G151" s="310" t="s">
        <v>359</v>
      </c>
      <c r="H151" s="310"/>
      <c r="J151" s="129" t="s">
        <v>266</v>
      </c>
      <c r="K151" s="129" t="s">
        <v>261</v>
      </c>
      <c r="M151" s="191"/>
      <c r="O151" s="129" t="s">
        <v>922</v>
      </c>
      <c r="P151" s="129" t="s">
        <v>923</v>
      </c>
      <c r="Q151" s="129" t="s">
        <v>924</v>
      </c>
      <c r="R151" s="129" t="s">
        <v>928</v>
      </c>
      <c r="AA151" s="312">
        <f t="shared" si="38"/>
        <v>0</v>
      </c>
      <c r="AB151" s="313" t="s">
        <v>359</v>
      </c>
      <c r="AC151" s="129">
        <v>2</v>
      </c>
      <c r="AK151" s="312">
        <f t="shared" si="39"/>
        <v>2</v>
      </c>
      <c r="AL151" s="129">
        <f t="shared" si="40"/>
        <v>2</v>
      </c>
      <c r="AM151" s="129">
        <f t="shared" si="41"/>
        <v>0</v>
      </c>
      <c r="AN151" s="129">
        <f t="shared" si="42"/>
        <v>0</v>
      </c>
      <c r="AO151" s="129">
        <f t="shared" si="43"/>
        <v>0</v>
      </c>
      <c r="AP151" s="129">
        <f t="shared" si="44"/>
        <v>0</v>
      </c>
      <c r="AQ151" s="129">
        <f t="shared" si="45"/>
        <v>0</v>
      </c>
      <c r="AR151" s="129">
        <f t="shared" si="46"/>
        <v>0</v>
      </c>
      <c r="AS151" s="129">
        <f t="shared" si="47"/>
        <v>0</v>
      </c>
      <c r="AT151" s="312">
        <f t="shared" si="48"/>
        <v>2</v>
      </c>
      <c r="AU151" s="313" t="s">
        <v>359</v>
      </c>
      <c r="AV151" s="312"/>
      <c r="BA151" s="314">
        <v>2</v>
      </c>
      <c r="BF151" s="314"/>
      <c r="BL151" s="314"/>
      <c r="BM151" s="129">
        <f t="shared" si="49"/>
        <v>2</v>
      </c>
      <c r="BN151" s="129">
        <f t="shared" si="50"/>
        <v>2</v>
      </c>
      <c r="BR151" s="129">
        <v>517121</v>
      </c>
      <c r="BS151" s="129">
        <v>172297</v>
      </c>
      <c r="BT151" s="129" t="s">
        <v>169</v>
      </c>
      <c r="BU151" s="129" t="s">
        <v>191</v>
      </c>
      <c r="CD151" s="129" t="s">
        <v>197</v>
      </c>
      <c r="CE151" s="313"/>
    </row>
    <row r="152" spans="1:83" x14ac:dyDescent="0.25">
      <c r="A152" s="129" t="s">
        <v>921</v>
      </c>
      <c r="B152" s="129" t="s">
        <v>352</v>
      </c>
      <c r="C152" s="129" t="s">
        <v>353</v>
      </c>
      <c r="D152" s="309">
        <v>45007</v>
      </c>
      <c r="E152" s="309">
        <v>46103</v>
      </c>
      <c r="F152" s="309">
        <v>45385</v>
      </c>
      <c r="G152" s="310" t="s">
        <v>359</v>
      </c>
      <c r="H152" s="310"/>
      <c r="J152" s="129" t="s">
        <v>266</v>
      </c>
      <c r="K152" s="129" t="s">
        <v>268</v>
      </c>
      <c r="M152" s="191"/>
      <c r="O152" s="129" t="s">
        <v>922</v>
      </c>
      <c r="P152" s="129" t="s">
        <v>923</v>
      </c>
      <c r="Q152" s="129" t="s">
        <v>924</v>
      </c>
      <c r="R152" s="129" t="s">
        <v>928</v>
      </c>
      <c r="AA152" s="312">
        <f t="shared" si="38"/>
        <v>0</v>
      </c>
      <c r="AC152" s="129">
        <v>50</v>
      </c>
      <c r="AD152" s="129">
        <v>26</v>
      </c>
      <c r="AE152" s="129">
        <v>2</v>
      </c>
      <c r="AK152" s="312">
        <f t="shared" si="39"/>
        <v>78</v>
      </c>
      <c r="AL152" s="129">
        <f t="shared" si="40"/>
        <v>50</v>
      </c>
      <c r="AM152" s="129">
        <f t="shared" si="41"/>
        <v>26</v>
      </c>
      <c r="AN152" s="129">
        <f t="shared" si="42"/>
        <v>2</v>
      </c>
      <c r="AO152" s="129">
        <f t="shared" si="43"/>
        <v>0</v>
      </c>
      <c r="AP152" s="129">
        <f t="shared" si="44"/>
        <v>0</v>
      </c>
      <c r="AQ152" s="129">
        <f t="shared" si="45"/>
        <v>0</v>
      </c>
      <c r="AR152" s="129">
        <f t="shared" si="46"/>
        <v>0</v>
      </c>
      <c r="AS152" s="129">
        <f t="shared" si="47"/>
        <v>0</v>
      </c>
      <c r="AT152" s="312">
        <f t="shared" si="48"/>
        <v>78</v>
      </c>
      <c r="AU152" s="313" t="s">
        <v>359</v>
      </c>
      <c r="AV152" s="312"/>
      <c r="BA152" s="314">
        <v>78</v>
      </c>
      <c r="BF152" s="314"/>
      <c r="BL152" s="314"/>
      <c r="BM152" s="129">
        <f t="shared" si="49"/>
        <v>78</v>
      </c>
      <c r="BN152" s="129">
        <f t="shared" si="50"/>
        <v>78</v>
      </c>
      <c r="BR152" s="129">
        <v>517121</v>
      </c>
      <c r="BS152" s="129">
        <v>172297</v>
      </c>
      <c r="BT152" s="129" t="s">
        <v>169</v>
      </c>
      <c r="BU152" s="129" t="s">
        <v>191</v>
      </c>
      <c r="CD152" s="129" t="s">
        <v>197</v>
      </c>
      <c r="CE152" s="313"/>
    </row>
    <row r="153" spans="1:83" x14ac:dyDescent="0.25">
      <c r="A153" s="129" t="s">
        <v>921</v>
      </c>
      <c r="B153" s="129" t="s">
        <v>352</v>
      </c>
      <c r="C153" s="129" t="s">
        <v>353</v>
      </c>
      <c r="D153" s="309">
        <v>45007</v>
      </c>
      <c r="E153" s="309">
        <v>46103</v>
      </c>
      <c r="F153" s="309">
        <v>45385</v>
      </c>
      <c r="G153" s="310" t="s">
        <v>359</v>
      </c>
      <c r="H153" s="310"/>
      <c r="J153" s="129" t="s">
        <v>266</v>
      </c>
      <c r="K153" s="129" t="s">
        <v>264</v>
      </c>
      <c r="M153" s="191"/>
      <c r="O153" s="129" t="s">
        <v>922</v>
      </c>
      <c r="P153" s="129" t="s">
        <v>923</v>
      </c>
      <c r="Q153" s="129" t="s">
        <v>924</v>
      </c>
      <c r="R153" s="129" t="s">
        <v>928</v>
      </c>
      <c r="AA153" s="312">
        <f t="shared" si="38"/>
        <v>0</v>
      </c>
      <c r="AB153" s="313" t="s">
        <v>359</v>
      </c>
      <c r="AC153" s="129">
        <v>58</v>
      </c>
      <c r="AD153" s="129">
        <v>19</v>
      </c>
      <c r="AE153" s="129">
        <v>3</v>
      </c>
      <c r="AK153" s="312">
        <f t="shared" si="39"/>
        <v>80</v>
      </c>
      <c r="AL153" s="129">
        <f t="shared" si="40"/>
        <v>58</v>
      </c>
      <c r="AM153" s="129">
        <f t="shared" si="41"/>
        <v>19</v>
      </c>
      <c r="AN153" s="129">
        <f t="shared" si="42"/>
        <v>3</v>
      </c>
      <c r="AO153" s="129">
        <f t="shared" si="43"/>
        <v>0</v>
      </c>
      <c r="AP153" s="129">
        <f t="shared" si="44"/>
        <v>0</v>
      </c>
      <c r="AQ153" s="129">
        <f t="shared" si="45"/>
        <v>0</v>
      </c>
      <c r="AR153" s="129">
        <f t="shared" si="46"/>
        <v>0</v>
      </c>
      <c r="AS153" s="129">
        <f t="shared" si="47"/>
        <v>0</v>
      </c>
      <c r="AT153" s="312">
        <f t="shared" si="48"/>
        <v>80</v>
      </c>
      <c r="AU153" s="313" t="s">
        <v>359</v>
      </c>
      <c r="AV153" s="312"/>
      <c r="BA153" s="314">
        <v>80</v>
      </c>
      <c r="BF153" s="314"/>
      <c r="BL153" s="314"/>
      <c r="BM153" s="129">
        <f t="shared" si="49"/>
        <v>80</v>
      </c>
      <c r="BN153" s="129">
        <f t="shared" si="50"/>
        <v>80</v>
      </c>
      <c r="BR153" s="129">
        <v>517121</v>
      </c>
      <c r="BS153" s="129">
        <v>172297</v>
      </c>
      <c r="BT153" s="129" t="s">
        <v>169</v>
      </c>
      <c r="BU153" s="129" t="s">
        <v>191</v>
      </c>
      <c r="CD153" s="129" t="s">
        <v>197</v>
      </c>
      <c r="CE153" s="313"/>
    </row>
    <row r="154" spans="1:83" x14ac:dyDescent="0.25">
      <c r="A154" s="129" t="s">
        <v>921</v>
      </c>
      <c r="B154" s="129" t="s">
        <v>352</v>
      </c>
      <c r="C154" s="129" t="s">
        <v>353</v>
      </c>
      <c r="D154" s="309">
        <v>45007</v>
      </c>
      <c r="E154" s="309">
        <v>46103</v>
      </c>
      <c r="F154" s="309">
        <v>45385</v>
      </c>
      <c r="G154" s="310" t="s">
        <v>359</v>
      </c>
      <c r="H154" s="310"/>
      <c r="J154" s="129" t="s">
        <v>266</v>
      </c>
      <c r="K154" s="129" t="s">
        <v>260</v>
      </c>
      <c r="M154" s="191"/>
      <c r="O154" s="129" t="s">
        <v>922</v>
      </c>
      <c r="P154" s="129" t="s">
        <v>923</v>
      </c>
      <c r="Q154" s="129" t="s">
        <v>924</v>
      </c>
      <c r="R154" s="129" t="s">
        <v>929</v>
      </c>
      <c r="S154" s="129">
        <v>70</v>
      </c>
      <c r="T154" s="129">
        <v>19</v>
      </c>
      <c r="U154" s="129">
        <v>6</v>
      </c>
      <c r="AA154" s="312">
        <f t="shared" si="38"/>
        <v>95</v>
      </c>
      <c r="AB154" s="313" t="s">
        <v>359</v>
      </c>
      <c r="AK154" s="312">
        <f t="shared" si="39"/>
        <v>0</v>
      </c>
      <c r="AL154" s="129">
        <f t="shared" si="40"/>
        <v>-70</v>
      </c>
      <c r="AM154" s="129">
        <f t="shared" si="41"/>
        <v>-19</v>
      </c>
      <c r="AN154" s="129">
        <f t="shared" si="42"/>
        <v>-6</v>
      </c>
      <c r="AO154" s="129">
        <f t="shared" si="43"/>
        <v>0</v>
      </c>
      <c r="AP154" s="129">
        <f t="shared" si="44"/>
        <v>0</v>
      </c>
      <c r="AQ154" s="129">
        <f t="shared" si="45"/>
        <v>0</v>
      </c>
      <c r="AR154" s="129">
        <f t="shared" si="46"/>
        <v>0</v>
      </c>
      <c r="AS154" s="129">
        <f t="shared" si="47"/>
        <v>0</v>
      </c>
      <c r="AT154" s="312">
        <f t="shared" si="48"/>
        <v>-95</v>
      </c>
      <c r="AU154" s="313" t="s">
        <v>359</v>
      </c>
      <c r="AV154" s="312"/>
      <c r="BA154" s="314"/>
      <c r="BB154" s="129">
        <v>-95</v>
      </c>
      <c r="BF154" s="314"/>
      <c r="BL154" s="314"/>
      <c r="BM154" s="129">
        <f t="shared" si="49"/>
        <v>0</v>
      </c>
      <c r="BN154" s="129">
        <f t="shared" si="50"/>
        <v>-95</v>
      </c>
      <c r="BR154" s="129">
        <v>517121</v>
      </c>
      <c r="BS154" s="129">
        <v>172297</v>
      </c>
      <c r="BT154" s="129" t="s">
        <v>169</v>
      </c>
      <c r="BU154" s="129" t="s">
        <v>191</v>
      </c>
      <c r="CD154" s="129" t="s">
        <v>197</v>
      </c>
      <c r="CE154" s="313"/>
    </row>
    <row r="155" spans="1:83" x14ac:dyDescent="0.25">
      <c r="A155" s="129" t="s">
        <v>921</v>
      </c>
      <c r="B155" s="129" t="s">
        <v>352</v>
      </c>
      <c r="C155" s="129" t="s">
        <v>353</v>
      </c>
      <c r="D155" s="309">
        <v>45007</v>
      </c>
      <c r="E155" s="309">
        <v>46103</v>
      </c>
      <c r="F155" s="309">
        <v>45385</v>
      </c>
      <c r="G155" s="310" t="s">
        <v>359</v>
      </c>
      <c r="H155" s="310"/>
      <c r="J155" s="129" t="s">
        <v>266</v>
      </c>
      <c r="K155" s="129" t="s">
        <v>268</v>
      </c>
      <c r="M155" s="191"/>
      <c r="O155" s="129" t="s">
        <v>922</v>
      </c>
      <c r="P155" s="129" t="s">
        <v>923</v>
      </c>
      <c r="Q155" s="129" t="s">
        <v>924</v>
      </c>
      <c r="R155" s="129" t="s">
        <v>929</v>
      </c>
      <c r="S155" s="129">
        <v>16</v>
      </c>
      <c r="T155" s="129">
        <v>16</v>
      </c>
      <c r="U155" s="129">
        <v>5</v>
      </c>
      <c r="AA155" s="312">
        <f t="shared" si="38"/>
        <v>37</v>
      </c>
      <c r="AK155" s="312">
        <f t="shared" si="39"/>
        <v>0</v>
      </c>
      <c r="AL155" s="129">
        <f t="shared" si="40"/>
        <v>-16</v>
      </c>
      <c r="AM155" s="129">
        <f t="shared" si="41"/>
        <v>-16</v>
      </c>
      <c r="AN155" s="129">
        <f t="shared" si="42"/>
        <v>-5</v>
      </c>
      <c r="AO155" s="129">
        <f t="shared" si="43"/>
        <v>0</v>
      </c>
      <c r="AP155" s="129">
        <f t="shared" si="44"/>
        <v>0</v>
      </c>
      <c r="AQ155" s="129">
        <f t="shared" si="45"/>
        <v>0</v>
      </c>
      <c r="AR155" s="129">
        <f t="shared" si="46"/>
        <v>0</v>
      </c>
      <c r="AS155" s="129">
        <f t="shared" si="47"/>
        <v>0</v>
      </c>
      <c r="AT155" s="312">
        <f t="shared" si="48"/>
        <v>-37</v>
      </c>
      <c r="AU155" s="313" t="s">
        <v>359</v>
      </c>
      <c r="AV155" s="312"/>
      <c r="BA155" s="314"/>
      <c r="BB155" s="129">
        <v>-37</v>
      </c>
      <c r="BF155" s="314"/>
      <c r="BL155" s="314"/>
      <c r="BM155" s="129">
        <f t="shared" si="49"/>
        <v>0</v>
      </c>
      <c r="BN155" s="129">
        <f t="shared" si="50"/>
        <v>-37</v>
      </c>
      <c r="BR155" s="129">
        <v>517121</v>
      </c>
      <c r="BS155" s="129">
        <v>172297</v>
      </c>
      <c r="BT155" s="129" t="s">
        <v>169</v>
      </c>
      <c r="BU155" s="129" t="s">
        <v>191</v>
      </c>
      <c r="CD155" s="129" t="s">
        <v>197</v>
      </c>
      <c r="CE155" s="313"/>
    </row>
    <row r="156" spans="1:83" x14ac:dyDescent="0.25">
      <c r="A156" s="129" t="s">
        <v>921</v>
      </c>
      <c r="B156" s="129" t="s">
        <v>352</v>
      </c>
      <c r="C156" s="129" t="s">
        <v>353</v>
      </c>
      <c r="D156" s="309">
        <v>45007</v>
      </c>
      <c r="E156" s="309">
        <v>46103</v>
      </c>
      <c r="F156" s="309">
        <v>45385</v>
      </c>
      <c r="G156" s="310" t="s">
        <v>359</v>
      </c>
      <c r="H156" s="310"/>
      <c r="J156" s="129" t="s">
        <v>266</v>
      </c>
      <c r="K156" s="129" t="s">
        <v>261</v>
      </c>
      <c r="M156" s="191"/>
      <c r="O156" s="129" t="s">
        <v>922</v>
      </c>
      <c r="P156" s="129" t="s">
        <v>923</v>
      </c>
      <c r="Q156" s="129" t="s">
        <v>924</v>
      </c>
      <c r="R156" s="129" t="s">
        <v>930</v>
      </c>
      <c r="AA156" s="312">
        <f t="shared" si="38"/>
        <v>0</v>
      </c>
      <c r="AB156" s="313" t="s">
        <v>359</v>
      </c>
      <c r="AC156" s="129">
        <v>6</v>
      </c>
      <c r="AD156" s="129">
        <v>10</v>
      </c>
      <c r="AE156" s="129">
        <v>3</v>
      </c>
      <c r="AK156" s="312">
        <f t="shared" si="39"/>
        <v>19</v>
      </c>
      <c r="AL156" s="129">
        <f t="shared" si="40"/>
        <v>6</v>
      </c>
      <c r="AM156" s="129">
        <f t="shared" si="41"/>
        <v>10</v>
      </c>
      <c r="AN156" s="129">
        <f t="shared" si="42"/>
        <v>3</v>
      </c>
      <c r="AO156" s="129">
        <f t="shared" si="43"/>
        <v>0</v>
      </c>
      <c r="AP156" s="129">
        <f t="shared" si="44"/>
        <v>0</v>
      </c>
      <c r="AQ156" s="129">
        <f t="shared" si="45"/>
        <v>0</v>
      </c>
      <c r="AR156" s="129">
        <f t="shared" si="46"/>
        <v>0</v>
      </c>
      <c r="AS156" s="129">
        <f t="shared" si="47"/>
        <v>0</v>
      </c>
      <c r="AT156" s="312">
        <f t="shared" si="48"/>
        <v>19</v>
      </c>
      <c r="AU156" s="313" t="s">
        <v>359</v>
      </c>
      <c r="AV156" s="312"/>
      <c r="BA156" s="314"/>
      <c r="BD156" s="129">
        <v>19</v>
      </c>
      <c r="BF156" s="314"/>
      <c r="BL156" s="314"/>
      <c r="BM156" s="129">
        <f t="shared" si="49"/>
        <v>0</v>
      </c>
      <c r="BN156" s="129">
        <f t="shared" si="50"/>
        <v>19</v>
      </c>
      <c r="BR156" s="129">
        <v>517121</v>
      </c>
      <c r="BS156" s="129">
        <v>172297</v>
      </c>
      <c r="BT156" s="129" t="s">
        <v>169</v>
      </c>
      <c r="BU156" s="129" t="s">
        <v>191</v>
      </c>
      <c r="CD156" s="129" t="s">
        <v>197</v>
      </c>
      <c r="CE156" s="313"/>
    </row>
    <row r="157" spans="1:83" x14ac:dyDescent="0.25">
      <c r="A157" s="129" t="s">
        <v>921</v>
      </c>
      <c r="B157" s="129" t="s">
        <v>352</v>
      </c>
      <c r="C157" s="129" t="s">
        <v>353</v>
      </c>
      <c r="D157" s="309">
        <v>45007</v>
      </c>
      <c r="E157" s="309">
        <v>46103</v>
      </c>
      <c r="F157" s="309">
        <v>45385</v>
      </c>
      <c r="G157" s="310" t="s">
        <v>359</v>
      </c>
      <c r="H157" s="310"/>
      <c r="J157" s="129" t="s">
        <v>266</v>
      </c>
      <c r="K157" s="129" t="s">
        <v>262</v>
      </c>
      <c r="M157" s="191"/>
      <c r="O157" s="129" t="s">
        <v>922</v>
      </c>
      <c r="P157" s="129" t="s">
        <v>923</v>
      </c>
      <c r="Q157" s="129" t="s">
        <v>924</v>
      </c>
      <c r="R157" s="129" t="s">
        <v>930</v>
      </c>
      <c r="AA157" s="312">
        <f t="shared" si="38"/>
        <v>0</v>
      </c>
      <c r="AB157" s="313" t="s">
        <v>359</v>
      </c>
      <c r="AC157" s="129">
        <v>7</v>
      </c>
      <c r="AD157" s="129">
        <v>3</v>
      </c>
      <c r="AK157" s="312">
        <f t="shared" si="39"/>
        <v>10</v>
      </c>
      <c r="AL157" s="129">
        <f t="shared" si="40"/>
        <v>7</v>
      </c>
      <c r="AM157" s="129">
        <f t="shared" si="41"/>
        <v>3</v>
      </c>
      <c r="AN157" s="129">
        <f t="shared" si="42"/>
        <v>0</v>
      </c>
      <c r="AO157" s="129">
        <f t="shared" si="43"/>
        <v>0</v>
      </c>
      <c r="AP157" s="129">
        <f t="shared" si="44"/>
        <v>0</v>
      </c>
      <c r="AQ157" s="129">
        <f t="shared" si="45"/>
        <v>0</v>
      </c>
      <c r="AR157" s="129">
        <f t="shared" si="46"/>
        <v>0</v>
      </c>
      <c r="AS157" s="129">
        <f t="shared" si="47"/>
        <v>0</v>
      </c>
      <c r="AT157" s="312">
        <f t="shared" si="48"/>
        <v>10</v>
      </c>
      <c r="AU157" s="313" t="s">
        <v>359</v>
      </c>
      <c r="AV157" s="312"/>
      <c r="BA157" s="314"/>
      <c r="BD157" s="129">
        <v>10</v>
      </c>
      <c r="BF157" s="314"/>
      <c r="BL157" s="314"/>
      <c r="BM157" s="129">
        <f t="shared" si="49"/>
        <v>0</v>
      </c>
      <c r="BN157" s="129">
        <f t="shared" si="50"/>
        <v>10</v>
      </c>
      <c r="BR157" s="129">
        <v>517121</v>
      </c>
      <c r="BS157" s="129">
        <v>172297</v>
      </c>
      <c r="BT157" s="129" t="s">
        <v>169</v>
      </c>
      <c r="BU157" s="129" t="s">
        <v>191</v>
      </c>
      <c r="CD157" s="129" t="s">
        <v>197</v>
      </c>
      <c r="CE157" s="313"/>
    </row>
    <row r="158" spans="1:83" x14ac:dyDescent="0.25">
      <c r="A158" s="129" t="s">
        <v>921</v>
      </c>
      <c r="B158" s="129" t="s">
        <v>352</v>
      </c>
      <c r="C158" s="129" t="s">
        <v>353</v>
      </c>
      <c r="D158" s="309">
        <v>45007</v>
      </c>
      <c r="E158" s="309">
        <v>46103</v>
      </c>
      <c r="F158" s="309">
        <v>45385</v>
      </c>
      <c r="G158" s="310" t="s">
        <v>359</v>
      </c>
      <c r="H158" s="310"/>
      <c r="J158" s="129" t="s">
        <v>266</v>
      </c>
      <c r="K158" s="129" t="s">
        <v>268</v>
      </c>
      <c r="M158" s="191"/>
      <c r="O158" s="129" t="s">
        <v>922</v>
      </c>
      <c r="P158" s="129" t="s">
        <v>923</v>
      </c>
      <c r="Q158" s="129" t="s">
        <v>924</v>
      </c>
      <c r="R158" s="129" t="s">
        <v>930</v>
      </c>
      <c r="AA158" s="312">
        <f t="shared" si="38"/>
        <v>0</v>
      </c>
      <c r="AC158" s="129">
        <v>42</v>
      </c>
      <c r="AD158" s="129">
        <v>62</v>
      </c>
      <c r="AF158" s="129">
        <v>34</v>
      </c>
      <c r="AG158" s="129">
        <v>8</v>
      </c>
      <c r="AK158" s="312">
        <f t="shared" si="39"/>
        <v>146</v>
      </c>
      <c r="AL158" s="129">
        <f t="shared" si="40"/>
        <v>42</v>
      </c>
      <c r="AM158" s="129">
        <f t="shared" si="41"/>
        <v>62</v>
      </c>
      <c r="AN158" s="129">
        <f t="shared" si="42"/>
        <v>0</v>
      </c>
      <c r="AO158" s="129">
        <f t="shared" si="43"/>
        <v>34</v>
      </c>
      <c r="AP158" s="129">
        <f t="shared" si="44"/>
        <v>8</v>
      </c>
      <c r="AQ158" s="129">
        <f t="shared" si="45"/>
        <v>0</v>
      </c>
      <c r="AR158" s="129">
        <f t="shared" si="46"/>
        <v>0</v>
      </c>
      <c r="AS158" s="129">
        <f t="shared" si="47"/>
        <v>0</v>
      </c>
      <c r="AT158" s="312">
        <f t="shared" si="48"/>
        <v>146</v>
      </c>
      <c r="AU158" s="313" t="s">
        <v>359</v>
      </c>
      <c r="AV158" s="312"/>
      <c r="BA158" s="314"/>
      <c r="BC158" s="129">
        <v>35</v>
      </c>
      <c r="BD158" s="129">
        <v>73</v>
      </c>
      <c r="BE158" s="129">
        <v>38</v>
      </c>
      <c r="BF158" s="314"/>
      <c r="BL158" s="314"/>
      <c r="BM158" s="129">
        <f t="shared" si="49"/>
        <v>0</v>
      </c>
      <c r="BN158" s="129">
        <f t="shared" si="50"/>
        <v>146</v>
      </c>
      <c r="BR158" s="129">
        <v>517121</v>
      </c>
      <c r="BS158" s="129">
        <v>172297</v>
      </c>
      <c r="BT158" s="129" t="s">
        <v>169</v>
      </c>
      <c r="BU158" s="129" t="s">
        <v>191</v>
      </c>
      <c r="CD158" s="129" t="s">
        <v>197</v>
      </c>
      <c r="CE158" s="313"/>
    </row>
    <row r="159" spans="1:83" x14ac:dyDescent="0.25">
      <c r="A159" s="129" t="s">
        <v>921</v>
      </c>
      <c r="B159" s="129" t="s">
        <v>352</v>
      </c>
      <c r="C159" s="129" t="s">
        <v>353</v>
      </c>
      <c r="D159" s="309">
        <v>45007</v>
      </c>
      <c r="E159" s="309">
        <v>46103</v>
      </c>
      <c r="F159" s="309">
        <v>45385</v>
      </c>
      <c r="G159" s="310" t="s">
        <v>359</v>
      </c>
      <c r="H159" s="310"/>
      <c r="J159" s="129" t="s">
        <v>266</v>
      </c>
      <c r="K159" s="129" t="s">
        <v>931</v>
      </c>
      <c r="M159" s="191"/>
      <c r="O159" s="129" t="s">
        <v>922</v>
      </c>
      <c r="P159" s="129" t="s">
        <v>923</v>
      </c>
      <c r="Q159" s="129" t="s">
        <v>924</v>
      </c>
      <c r="R159" s="129" t="s">
        <v>930</v>
      </c>
      <c r="AA159" s="312">
        <f t="shared" si="38"/>
        <v>0</v>
      </c>
      <c r="AB159" s="313" t="s">
        <v>359</v>
      </c>
      <c r="AC159" s="129">
        <v>22</v>
      </c>
      <c r="AD159" s="129">
        <v>24</v>
      </c>
      <c r="AE159" s="129">
        <v>1</v>
      </c>
      <c r="AK159" s="312">
        <f t="shared" si="39"/>
        <v>47</v>
      </c>
      <c r="AL159" s="129">
        <f t="shared" si="40"/>
        <v>22</v>
      </c>
      <c r="AM159" s="129">
        <f t="shared" si="41"/>
        <v>24</v>
      </c>
      <c r="AN159" s="129">
        <f t="shared" si="42"/>
        <v>1</v>
      </c>
      <c r="AO159" s="129">
        <f t="shared" si="43"/>
        <v>0</v>
      </c>
      <c r="AP159" s="129">
        <f t="shared" si="44"/>
        <v>0</v>
      </c>
      <c r="AQ159" s="129">
        <f t="shared" si="45"/>
        <v>0</v>
      </c>
      <c r="AR159" s="129">
        <f t="shared" si="46"/>
        <v>0</v>
      </c>
      <c r="AS159" s="129">
        <f t="shared" si="47"/>
        <v>0</v>
      </c>
      <c r="AT159" s="312">
        <f t="shared" si="48"/>
        <v>47</v>
      </c>
      <c r="AU159" s="313" t="s">
        <v>359</v>
      </c>
      <c r="AV159" s="312"/>
      <c r="BA159" s="314"/>
      <c r="BD159" s="129">
        <v>47</v>
      </c>
      <c r="BF159" s="314"/>
      <c r="BL159" s="314"/>
      <c r="BM159" s="129">
        <f t="shared" si="49"/>
        <v>0</v>
      </c>
      <c r="BN159" s="129">
        <f t="shared" si="50"/>
        <v>47</v>
      </c>
      <c r="BR159" s="129">
        <v>517121</v>
      </c>
      <c r="BS159" s="129">
        <v>172297</v>
      </c>
      <c r="BT159" s="129" t="s">
        <v>169</v>
      </c>
      <c r="BU159" s="129" t="s">
        <v>191</v>
      </c>
      <c r="CD159" s="129" t="s">
        <v>197</v>
      </c>
      <c r="CE159" s="313"/>
    </row>
    <row r="160" spans="1:83" x14ac:dyDescent="0.25">
      <c r="A160" s="129" t="s">
        <v>932</v>
      </c>
      <c r="B160" s="129" t="s">
        <v>352</v>
      </c>
      <c r="C160" s="129" t="s">
        <v>353</v>
      </c>
      <c r="D160" s="309">
        <v>44967</v>
      </c>
      <c r="E160" s="309">
        <v>46063</v>
      </c>
      <c r="F160" s="309">
        <v>45426</v>
      </c>
      <c r="G160" s="310" t="s">
        <v>359</v>
      </c>
      <c r="H160" s="310"/>
      <c r="J160" s="129" t="s">
        <v>266</v>
      </c>
      <c r="K160" s="129" t="s">
        <v>268</v>
      </c>
      <c r="M160" s="191"/>
      <c r="O160" s="129" t="s">
        <v>933</v>
      </c>
      <c r="P160" s="129" t="s">
        <v>934</v>
      </c>
      <c r="Q160" s="129" t="s">
        <v>935</v>
      </c>
      <c r="V160" s="129">
        <v>1</v>
      </c>
      <c r="AA160" s="312">
        <f t="shared" si="38"/>
        <v>1</v>
      </c>
      <c r="AE160" s="129">
        <v>5</v>
      </c>
      <c r="AK160" s="312">
        <f t="shared" si="39"/>
        <v>5</v>
      </c>
      <c r="AL160" s="129">
        <f t="shared" si="40"/>
        <v>0</v>
      </c>
      <c r="AM160" s="129">
        <f t="shared" si="41"/>
        <v>0</v>
      </c>
      <c r="AN160" s="129">
        <f t="shared" si="42"/>
        <v>5</v>
      </c>
      <c r="AO160" s="129">
        <f t="shared" si="43"/>
        <v>-1</v>
      </c>
      <c r="AP160" s="129">
        <f t="shared" si="44"/>
        <v>0</v>
      </c>
      <c r="AQ160" s="129">
        <f t="shared" si="45"/>
        <v>0</v>
      </c>
      <c r="AR160" s="129">
        <f t="shared" si="46"/>
        <v>0</v>
      </c>
      <c r="AS160" s="129">
        <f t="shared" si="47"/>
        <v>0</v>
      </c>
      <c r="AT160" s="312">
        <f t="shared" si="48"/>
        <v>4</v>
      </c>
      <c r="AV160" s="312"/>
      <c r="AX160" s="129">
        <v>4</v>
      </c>
      <c r="BA160" s="314"/>
      <c r="BF160" s="314"/>
      <c r="BL160" s="314"/>
      <c r="BM160" s="129">
        <f t="shared" si="49"/>
        <v>4</v>
      </c>
      <c r="BN160" s="129">
        <f t="shared" si="50"/>
        <v>4</v>
      </c>
      <c r="BR160" s="129">
        <v>519166</v>
      </c>
      <c r="BS160" s="129">
        <v>177465</v>
      </c>
      <c r="BT160" s="129" t="s">
        <v>174</v>
      </c>
      <c r="BU160" s="129" t="s">
        <v>150</v>
      </c>
      <c r="CA160" s="129" t="s">
        <v>936</v>
      </c>
      <c r="CB160" s="129" t="s">
        <v>359</v>
      </c>
      <c r="CC160" s="129" t="s">
        <v>359</v>
      </c>
      <c r="CD160" s="129" t="s">
        <v>174</v>
      </c>
      <c r="CE160" s="313"/>
    </row>
    <row r="161" spans="1:83" x14ac:dyDescent="0.25">
      <c r="A161" s="129" t="s">
        <v>937</v>
      </c>
      <c r="B161" s="129" t="s">
        <v>352</v>
      </c>
      <c r="C161" s="129" t="s">
        <v>353</v>
      </c>
      <c r="D161" s="309">
        <v>44820</v>
      </c>
      <c r="E161" s="309">
        <v>45916</v>
      </c>
      <c r="F161" s="309">
        <v>45628</v>
      </c>
      <c r="G161" s="310" t="s">
        <v>359</v>
      </c>
      <c r="H161" s="310"/>
      <c r="I161" s="315">
        <v>45931</v>
      </c>
      <c r="J161" s="129" t="s">
        <v>266</v>
      </c>
      <c r="K161" s="129" t="s">
        <v>268</v>
      </c>
      <c r="M161" s="191"/>
      <c r="O161" s="129" t="s">
        <v>938</v>
      </c>
      <c r="P161" s="129" t="s">
        <v>939</v>
      </c>
      <c r="Q161" s="129" t="s">
        <v>940</v>
      </c>
      <c r="AA161" s="312">
        <f t="shared" si="38"/>
        <v>0</v>
      </c>
      <c r="AF161" s="129">
        <v>1</v>
      </c>
      <c r="AK161" s="312">
        <f t="shared" si="39"/>
        <v>1</v>
      </c>
      <c r="AL161" s="129">
        <f t="shared" si="40"/>
        <v>0</v>
      </c>
      <c r="AM161" s="129">
        <f t="shared" si="41"/>
        <v>0</v>
      </c>
      <c r="AN161" s="129">
        <f t="shared" si="42"/>
        <v>0</v>
      </c>
      <c r="AO161" s="129">
        <f t="shared" si="43"/>
        <v>1</v>
      </c>
      <c r="AP161" s="129">
        <f t="shared" si="44"/>
        <v>0</v>
      </c>
      <c r="AQ161" s="129">
        <f t="shared" si="45"/>
        <v>0</v>
      </c>
      <c r="AR161" s="129">
        <f t="shared" si="46"/>
        <v>0</v>
      </c>
      <c r="AS161" s="129">
        <f t="shared" si="47"/>
        <v>0</v>
      </c>
      <c r="AT161" s="312">
        <f t="shared" si="48"/>
        <v>1</v>
      </c>
      <c r="AV161" s="312"/>
      <c r="AW161" s="129">
        <v>1</v>
      </c>
      <c r="BA161" s="314"/>
      <c r="BF161" s="314"/>
      <c r="BL161" s="314"/>
      <c r="BM161" s="129">
        <f t="shared" si="49"/>
        <v>1</v>
      </c>
      <c r="BN161" s="129">
        <f t="shared" si="50"/>
        <v>1</v>
      </c>
      <c r="BR161" s="129">
        <v>512954</v>
      </c>
      <c r="BS161" s="129">
        <v>170628</v>
      </c>
      <c r="BT161" s="129" t="s">
        <v>171</v>
      </c>
      <c r="BU161" s="129" t="s">
        <v>192</v>
      </c>
      <c r="CD161" s="129" t="s">
        <v>198</v>
      </c>
      <c r="CE161" s="313"/>
    </row>
    <row r="162" spans="1:83" x14ac:dyDescent="0.25">
      <c r="A162" s="129" t="s">
        <v>941</v>
      </c>
      <c r="B162" s="129" t="s">
        <v>352</v>
      </c>
      <c r="C162" s="129" t="s">
        <v>353</v>
      </c>
      <c r="D162" s="309">
        <v>45146</v>
      </c>
      <c r="E162" s="309">
        <v>46242</v>
      </c>
      <c r="F162" s="309">
        <v>45146</v>
      </c>
      <c r="G162" s="310"/>
      <c r="H162" s="310"/>
      <c r="I162" s="315">
        <v>46056</v>
      </c>
      <c r="J162" s="129" t="s">
        <v>266</v>
      </c>
      <c r="K162" s="129" t="s">
        <v>268</v>
      </c>
      <c r="M162" s="191"/>
      <c r="O162" s="129" t="s">
        <v>942</v>
      </c>
      <c r="P162" s="129" t="s">
        <v>943</v>
      </c>
      <c r="Q162" s="129" t="s">
        <v>944</v>
      </c>
      <c r="AA162" s="312">
        <f t="shared" si="38"/>
        <v>0</v>
      </c>
      <c r="AC162" s="129">
        <v>3</v>
      </c>
      <c r="AD162" s="129">
        <v>6</v>
      </c>
      <c r="AK162" s="312">
        <f t="shared" si="39"/>
        <v>9</v>
      </c>
      <c r="AL162" s="129">
        <f t="shared" si="40"/>
        <v>3</v>
      </c>
      <c r="AM162" s="129">
        <f t="shared" si="41"/>
        <v>6</v>
      </c>
      <c r="AN162" s="129">
        <f t="shared" si="42"/>
        <v>0</v>
      </c>
      <c r="AO162" s="129">
        <f t="shared" si="43"/>
        <v>0</v>
      </c>
      <c r="AP162" s="129">
        <f t="shared" si="44"/>
        <v>0</v>
      </c>
      <c r="AQ162" s="129">
        <f t="shared" si="45"/>
        <v>0</v>
      </c>
      <c r="AR162" s="129">
        <f t="shared" si="46"/>
        <v>0</v>
      </c>
      <c r="AS162" s="129">
        <f t="shared" si="47"/>
        <v>0</v>
      </c>
      <c r="AT162" s="312">
        <f t="shared" si="48"/>
        <v>9</v>
      </c>
      <c r="AV162" s="312"/>
      <c r="AW162" s="129">
        <v>9</v>
      </c>
      <c r="BA162" s="314"/>
      <c r="BF162" s="314"/>
      <c r="BL162" s="314"/>
      <c r="BM162" s="129">
        <f t="shared" si="49"/>
        <v>9</v>
      </c>
      <c r="BN162" s="129">
        <f t="shared" si="50"/>
        <v>9</v>
      </c>
      <c r="BR162" s="129">
        <v>521492</v>
      </c>
      <c r="BS162" s="129">
        <v>175545</v>
      </c>
      <c r="BT162" s="129" t="s">
        <v>175</v>
      </c>
      <c r="BU162" s="129" t="s">
        <v>190</v>
      </c>
      <c r="BX162" s="129" t="s">
        <v>945</v>
      </c>
      <c r="BY162" s="129" t="s">
        <v>359</v>
      </c>
      <c r="CC162" s="129" t="s">
        <v>359</v>
      </c>
      <c r="CD162" s="129" t="s">
        <v>167</v>
      </c>
      <c r="CE162" s="313"/>
    </row>
    <row r="163" spans="1:83" x14ac:dyDescent="0.25">
      <c r="A163" s="129" t="s">
        <v>946</v>
      </c>
      <c r="B163" s="129" t="s">
        <v>352</v>
      </c>
      <c r="C163" s="129" t="s">
        <v>353</v>
      </c>
      <c r="D163" s="309">
        <v>45457</v>
      </c>
      <c r="E163" s="309">
        <v>46552</v>
      </c>
      <c r="F163" s="309">
        <v>45600</v>
      </c>
      <c r="G163" s="310" t="s">
        <v>359</v>
      </c>
      <c r="H163" s="310" t="s">
        <v>359</v>
      </c>
      <c r="J163" s="129" t="s">
        <v>266</v>
      </c>
      <c r="K163" s="129" t="s">
        <v>268</v>
      </c>
      <c r="M163" s="191"/>
      <c r="O163" s="129" t="s">
        <v>947</v>
      </c>
      <c r="P163" s="129" t="s">
        <v>948</v>
      </c>
      <c r="Q163" s="129" t="s">
        <v>949</v>
      </c>
      <c r="T163" s="129">
        <v>1</v>
      </c>
      <c r="AA163" s="312">
        <f t="shared" si="38"/>
        <v>1</v>
      </c>
      <c r="AC163" s="129">
        <v>4</v>
      </c>
      <c r="AD163" s="129">
        <v>11</v>
      </c>
      <c r="AE163" s="129">
        <v>39</v>
      </c>
      <c r="AF163" s="129">
        <v>4</v>
      </c>
      <c r="AK163" s="312">
        <f t="shared" si="39"/>
        <v>58</v>
      </c>
      <c r="AL163" s="129">
        <f t="shared" si="40"/>
        <v>4</v>
      </c>
      <c r="AM163" s="129">
        <f t="shared" si="41"/>
        <v>10</v>
      </c>
      <c r="AN163" s="129">
        <f t="shared" si="42"/>
        <v>39</v>
      </c>
      <c r="AO163" s="129">
        <f t="shared" si="43"/>
        <v>4</v>
      </c>
      <c r="AP163" s="129">
        <f t="shared" si="44"/>
        <v>0</v>
      </c>
      <c r="AQ163" s="129">
        <f t="shared" si="45"/>
        <v>0</v>
      </c>
      <c r="AR163" s="129">
        <f t="shared" si="46"/>
        <v>0</v>
      </c>
      <c r="AS163" s="129">
        <f t="shared" si="47"/>
        <v>0</v>
      </c>
      <c r="AT163" s="312">
        <f t="shared" si="48"/>
        <v>57</v>
      </c>
      <c r="AU163" s="313" t="s">
        <v>359</v>
      </c>
      <c r="AV163" s="312"/>
      <c r="AX163" s="129">
        <v>57</v>
      </c>
      <c r="BA163" s="314"/>
      <c r="BF163" s="314"/>
      <c r="BL163" s="314"/>
      <c r="BM163" s="129">
        <f t="shared" si="49"/>
        <v>57</v>
      </c>
      <c r="BN163" s="129">
        <f t="shared" si="50"/>
        <v>57</v>
      </c>
      <c r="BR163" s="129">
        <v>515321</v>
      </c>
      <c r="BS163" s="129">
        <v>173342</v>
      </c>
      <c r="BT163" s="129" t="s">
        <v>178</v>
      </c>
      <c r="BU163" s="129" t="s">
        <v>154</v>
      </c>
      <c r="CC163" s="129" t="s">
        <v>359</v>
      </c>
      <c r="CD163" s="129" t="s">
        <v>202</v>
      </c>
      <c r="CE163" s="313"/>
    </row>
    <row r="164" spans="1:83" x14ac:dyDescent="0.25">
      <c r="A164" s="129" t="s">
        <v>946</v>
      </c>
      <c r="B164" s="129" t="s">
        <v>352</v>
      </c>
      <c r="C164" s="129" t="s">
        <v>353</v>
      </c>
      <c r="D164" s="309">
        <v>45457</v>
      </c>
      <c r="E164" s="309">
        <v>46552</v>
      </c>
      <c r="F164" s="309">
        <v>45600</v>
      </c>
      <c r="G164" s="310" t="s">
        <v>359</v>
      </c>
      <c r="H164" s="310" t="s">
        <v>359</v>
      </c>
      <c r="J164" s="129" t="s">
        <v>266</v>
      </c>
      <c r="K164" s="129" t="s">
        <v>263</v>
      </c>
      <c r="M164" s="191"/>
      <c r="O164" s="129" t="s">
        <v>947</v>
      </c>
      <c r="P164" s="129" t="s">
        <v>948</v>
      </c>
      <c r="Q164" s="129" t="s">
        <v>949</v>
      </c>
      <c r="AA164" s="312">
        <f t="shared" si="38"/>
        <v>0</v>
      </c>
      <c r="AB164" s="313" t="s">
        <v>359</v>
      </c>
      <c r="AC164" s="129">
        <v>6</v>
      </c>
      <c r="AD164" s="129">
        <v>5</v>
      </c>
      <c r="AK164" s="312">
        <f t="shared" si="39"/>
        <v>11</v>
      </c>
      <c r="AL164" s="129">
        <f t="shared" si="40"/>
        <v>6</v>
      </c>
      <c r="AM164" s="129">
        <f t="shared" si="41"/>
        <v>5</v>
      </c>
      <c r="AN164" s="129">
        <f t="shared" si="42"/>
        <v>0</v>
      </c>
      <c r="AO164" s="129">
        <f t="shared" si="43"/>
        <v>0</v>
      </c>
      <c r="AP164" s="129">
        <f t="shared" si="44"/>
        <v>0</v>
      </c>
      <c r="AQ164" s="129">
        <f t="shared" si="45"/>
        <v>0</v>
      </c>
      <c r="AR164" s="129">
        <f t="shared" si="46"/>
        <v>0</v>
      </c>
      <c r="AS164" s="129">
        <f t="shared" si="47"/>
        <v>0</v>
      </c>
      <c r="AT164" s="312">
        <f t="shared" si="48"/>
        <v>11</v>
      </c>
      <c r="AU164" s="313" t="s">
        <v>359</v>
      </c>
      <c r="AV164" s="312"/>
      <c r="AX164" s="129">
        <v>11</v>
      </c>
      <c r="BA164" s="314"/>
      <c r="BF164" s="314"/>
      <c r="BL164" s="314"/>
      <c r="BM164" s="129">
        <f t="shared" si="49"/>
        <v>11</v>
      </c>
      <c r="BN164" s="129">
        <f t="shared" si="50"/>
        <v>11</v>
      </c>
      <c r="BR164" s="129">
        <v>515321</v>
      </c>
      <c r="BS164" s="129">
        <v>173342</v>
      </c>
      <c r="BT164" s="129" t="s">
        <v>178</v>
      </c>
      <c r="BU164" s="129" t="s">
        <v>154</v>
      </c>
      <c r="CC164" s="129" t="s">
        <v>359</v>
      </c>
      <c r="CD164" s="129" t="s">
        <v>202</v>
      </c>
      <c r="CE164" s="313"/>
    </row>
    <row r="165" spans="1:83" x14ac:dyDescent="0.25">
      <c r="A165" s="129" t="s">
        <v>946</v>
      </c>
      <c r="B165" s="129" t="s">
        <v>352</v>
      </c>
      <c r="C165" s="129" t="s">
        <v>353</v>
      </c>
      <c r="D165" s="309">
        <v>45457</v>
      </c>
      <c r="E165" s="309">
        <v>46552</v>
      </c>
      <c r="F165" s="309">
        <v>45600</v>
      </c>
      <c r="G165" s="310" t="s">
        <v>359</v>
      </c>
      <c r="H165" s="310" t="s">
        <v>359</v>
      </c>
      <c r="J165" s="129" t="s">
        <v>266</v>
      </c>
      <c r="K165" s="129" t="s">
        <v>264</v>
      </c>
      <c r="M165" s="191"/>
      <c r="O165" s="129" t="s">
        <v>947</v>
      </c>
      <c r="P165" s="129" t="s">
        <v>948</v>
      </c>
      <c r="Q165" s="129" t="s">
        <v>949</v>
      </c>
      <c r="AA165" s="312">
        <f t="shared" si="38"/>
        <v>0</v>
      </c>
      <c r="AB165" s="313" t="s">
        <v>359</v>
      </c>
      <c r="AC165" s="129">
        <v>23</v>
      </c>
      <c r="AD165" s="129">
        <v>17</v>
      </c>
      <c r="AE165" s="129">
        <v>7</v>
      </c>
      <c r="AK165" s="312">
        <f t="shared" si="39"/>
        <v>47</v>
      </c>
      <c r="AL165" s="129">
        <f t="shared" si="40"/>
        <v>23</v>
      </c>
      <c r="AM165" s="129">
        <f t="shared" si="41"/>
        <v>17</v>
      </c>
      <c r="AN165" s="129">
        <f t="shared" si="42"/>
        <v>7</v>
      </c>
      <c r="AO165" s="129">
        <f t="shared" si="43"/>
        <v>0</v>
      </c>
      <c r="AP165" s="129">
        <f t="shared" si="44"/>
        <v>0</v>
      </c>
      <c r="AQ165" s="129">
        <f t="shared" si="45"/>
        <v>0</v>
      </c>
      <c r="AR165" s="129">
        <f t="shared" si="46"/>
        <v>0</v>
      </c>
      <c r="AS165" s="129">
        <f t="shared" si="47"/>
        <v>0</v>
      </c>
      <c r="AT165" s="312">
        <f t="shared" si="48"/>
        <v>47</v>
      </c>
      <c r="AU165" s="313" t="s">
        <v>359</v>
      </c>
      <c r="AV165" s="312"/>
      <c r="AX165" s="129">
        <v>47</v>
      </c>
      <c r="BA165" s="314"/>
      <c r="BF165" s="314"/>
      <c r="BL165" s="314"/>
      <c r="BM165" s="129">
        <f t="shared" si="49"/>
        <v>47</v>
      </c>
      <c r="BN165" s="129">
        <f t="shared" si="50"/>
        <v>47</v>
      </c>
      <c r="BR165" s="129">
        <v>515321</v>
      </c>
      <c r="BS165" s="129">
        <v>173342</v>
      </c>
      <c r="BT165" s="129" t="s">
        <v>178</v>
      </c>
      <c r="BU165" s="129" t="s">
        <v>154</v>
      </c>
      <c r="CC165" s="129" t="s">
        <v>359</v>
      </c>
      <c r="CD165" s="129" t="s">
        <v>202</v>
      </c>
      <c r="CE165" s="313"/>
    </row>
    <row r="166" spans="1:83" x14ac:dyDescent="0.25">
      <c r="A166" s="129" t="s">
        <v>950</v>
      </c>
      <c r="B166" s="129" t="s">
        <v>369</v>
      </c>
      <c r="C166" s="129" t="s">
        <v>353</v>
      </c>
      <c r="D166" s="309">
        <v>45121</v>
      </c>
      <c r="E166" s="309">
        <v>46217</v>
      </c>
      <c r="F166" s="309">
        <v>45595</v>
      </c>
      <c r="G166" s="310" t="s">
        <v>359</v>
      </c>
      <c r="H166" s="310"/>
      <c r="J166" s="129" t="s">
        <v>266</v>
      </c>
      <c r="K166" s="129" t="s">
        <v>268</v>
      </c>
      <c r="M166" s="191"/>
      <c r="O166" s="129" t="s">
        <v>951</v>
      </c>
      <c r="P166" s="129" t="s">
        <v>952</v>
      </c>
      <c r="Q166" s="129" t="s">
        <v>953</v>
      </c>
      <c r="AA166" s="312">
        <f t="shared" si="38"/>
        <v>0</v>
      </c>
      <c r="AC166" s="129">
        <v>3</v>
      </c>
      <c r="AK166" s="312">
        <f t="shared" si="39"/>
        <v>3</v>
      </c>
      <c r="AL166" s="129">
        <f t="shared" si="40"/>
        <v>3</v>
      </c>
      <c r="AM166" s="129">
        <f t="shared" si="41"/>
        <v>0</v>
      </c>
      <c r="AN166" s="129">
        <f t="shared" si="42"/>
        <v>0</v>
      </c>
      <c r="AO166" s="129">
        <f t="shared" si="43"/>
        <v>0</v>
      </c>
      <c r="AP166" s="129">
        <f t="shared" si="44"/>
        <v>0</v>
      </c>
      <c r="AQ166" s="129">
        <f t="shared" si="45"/>
        <v>0</v>
      </c>
      <c r="AR166" s="129">
        <f t="shared" si="46"/>
        <v>0</v>
      </c>
      <c r="AS166" s="129">
        <f t="shared" si="47"/>
        <v>0</v>
      </c>
      <c r="AT166" s="312">
        <f t="shared" si="48"/>
        <v>3</v>
      </c>
      <c r="AV166" s="312"/>
      <c r="AW166" s="129">
        <v>1.5</v>
      </c>
      <c r="AX166" s="129">
        <v>1.5</v>
      </c>
      <c r="BA166" s="314"/>
      <c r="BF166" s="314"/>
      <c r="BL166" s="314"/>
      <c r="BM166" s="129">
        <f t="shared" si="49"/>
        <v>3</v>
      </c>
      <c r="BN166" s="129">
        <f t="shared" si="50"/>
        <v>3</v>
      </c>
      <c r="BR166" s="129">
        <v>513452</v>
      </c>
      <c r="BS166" s="129">
        <v>169954</v>
      </c>
      <c r="BT166" s="129" t="s">
        <v>170</v>
      </c>
      <c r="BU166" s="129" t="s">
        <v>192</v>
      </c>
      <c r="BX166" s="129" t="s">
        <v>954</v>
      </c>
      <c r="BY166" s="129" t="s">
        <v>359</v>
      </c>
      <c r="CC166" s="129" t="s">
        <v>359</v>
      </c>
      <c r="CD166" s="129" t="s">
        <v>198</v>
      </c>
      <c r="CE166" s="313"/>
    </row>
    <row r="167" spans="1:83" x14ac:dyDescent="0.25">
      <c r="A167" s="129" t="s">
        <v>955</v>
      </c>
      <c r="B167" s="129" t="s">
        <v>369</v>
      </c>
      <c r="C167" s="248" t="s">
        <v>370</v>
      </c>
      <c r="D167" s="309">
        <v>44910</v>
      </c>
      <c r="E167" s="309">
        <v>46006</v>
      </c>
      <c r="F167" s="309">
        <v>45670</v>
      </c>
      <c r="G167" s="310" t="s">
        <v>359</v>
      </c>
      <c r="H167" s="310"/>
      <c r="I167" s="315">
        <v>45946</v>
      </c>
      <c r="J167" s="129" t="s">
        <v>266</v>
      </c>
      <c r="K167" s="129" t="s">
        <v>268</v>
      </c>
      <c r="M167" s="191"/>
      <c r="O167" s="129" t="s">
        <v>956</v>
      </c>
      <c r="P167" s="129" t="s">
        <v>957</v>
      </c>
      <c r="Q167" s="129" t="s">
        <v>958</v>
      </c>
      <c r="AA167" s="312">
        <f t="shared" si="38"/>
        <v>0</v>
      </c>
      <c r="AD167" s="129">
        <v>1</v>
      </c>
      <c r="AK167" s="312">
        <f t="shared" si="39"/>
        <v>1</v>
      </c>
      <c r="AL167" s="129">
        <f t="shared" si="40"/>
        <v>0</v>
      </c>
      <c r="AM167" s="129">
        <f t="shared" si="41"/>
        <v>1</v>
      </c>
      <c r="AN167" s="129">
        <f t="shared" si="42"/>
        <v>0</v>
      </c>
      <c r="AO167" s="129">
        <f t="shared" si="43"/>
        <v>0</v>
      </c>
      <c r="AP167" s="129">
        <f t="shared" si="44"/>
        <v>0</v>
      </c>
      <c r="AQ167" s="129">
        <f t="shared" si="45"/>
        <v>0</v>
      </c>
      <c r="AR167" s="129">
        <f t="shared" si="46"/>
        <v>0</v>
      </c>
      <c r="AS167" s="129">
        <f t="shared" si="47"/>
        <v>0</v>
      </c>
      <c r="AT167" s="312">
        <f t="shared" si="48"/>
        <v>1</v>
      </c>
      <c r="AV167" s="312"/>
      <c r="AW167" s="129">
        <v>1</v>
      </c>
      <c r="BA167" s="314"/>
      <c r="BF167" s="314"/>
      <c r="BL167" s="314"/>
      <c r="BM167" s="129">
        <f t="shared" si="49"/>
        <v>1</v>
      </c>
      <c r="BN167" s="129">
        <f t="shared" si="50"/>
        <v>1</v>
      </c>
      <c r="BR167" s="129">
        <v>513402</v>
      </c>
      <c r="BS167" s="129">
        <v>169963</v>
      </c>
      <c r="BT167" s="129" t="s">
        <v>170</v>
      </c>
      <c r="BU167" s="129" t="s">
        <v>192</v>
      </c>
      <c r="CC167" s="129" t="s">
        <v>359</v>
      </c>
      <c r="CD167" s="129" t="s">
        <v>198</v>
      </c>
      <c r="CE167" s="313"/>
    </row>
    <row r="168" spans="1:83" x14ac:dyDescent="0.25">
      <c r="A168" s="129" t="s">
        <v>959</v>
      </c>
      <c r="B168" s="129" t="s">
        <v>352</v>
      </c>
      <c r="C168" s="129" t="s">
        <v>353</v>
      </c>
      <c r="D168" s="309">
        <v>45281</v>
      </c>
      <c r="E168" s="309">
        <v>46377</v>
      </c>
      <c r="F168" s="309">
        <v>45352</v>
      </c>
      <c r="G168" s="310"/>
      <c r="H168" s="310"/>
      <c r="J168" s="129" t="s">
        <v>266</v>
      </c>
      <c r="K168" s="129" t="s">
        <v>268</v>
      </c>
      <c r="M168" s="191"/>
      <c r="O168" s="129" t="s">
        <v>960</v>
      </c>
      <c r="P168" s="129" t="s">
        <v>961</v>
      </c>
      <c r="Q168" s="129" t="s">
        <v>962</v>
      </c>
      <c r="AA168" s="312">
        <f t="shared" si="38"/>
        <v>0</v>
      </c>
      <c r="AD168" s="129">
        <v>1</v>
      </c>
      <c r="AK168" s="312">
        <f t="shared" si="39"/>
        <v>1</v>
      </c>
      <c r="AL168" s="129">
        <f t="shared" si="40"/>
        <v>0</v>
      </c>
      <c r="AM168" s="129">
        <f t="shared" si="41"/>
        <v>1</v>
      </c>
      <c r="AN168" s="129">
        <f t="shared" si="42"/>
        <v>0</v>
      </c>
      <c r="AO168" s="129">
        <f t="shared" si="43"/>
        <v>0</v>
      </c>
      <c r="AP168" s="129">
        <f t="shared" si="44"/>
        <v>0</v>
      </c>
      <c r="AQ168" s="129">
        <f t="shared" si="45"/>
        <v>0</v>
      </c>
      <c r="AR168" s="129">
        <f t="shared" si="46"/>
        <v>0</v>
      </c>
      <c r="AS168" s="129">
        <f t="shared" si="47"/>
        <v>0</v>
      </c>
      <c r="AT168" s="312">
        <f t="shared" si="48"/>
        <v>1</v>
      </c>
      <c r="AV168" s="312"/>
      <c r="AW168" s="129">
        <v>1</v>
      </c>
      <c r="BA168" s="314"/>
      <c r="BF168" s="314"/>
      <c r="BL168" s="314"/>
      <c r="BM168" s="129">
        <f t="shared" si="49"/>
        <v>1</v>
      </c>
      <c r="BN168" s="129">
        <f t="shared" si="50"/>
        <v>1</v>
      </c>
      <c r="BR168" s="129">
        <v>515563</v>
      </c>
      <c r="BS168" s="129">
        <v>171630</v>
      </c>
      <c r="BT168" s="129" t="s">
        <v>152</v>
      </c>
      <c r="BU168" s="129" t="s">
        <v>192</v>
      </c>
      <c r="CC168" s="129" t="s">
        <v>359</v>
      </c>
      <c r="CD168" s="129" t="s">
        <v>201</v>
      </c>
      <c r="CE168" s="313"/>
    </row>
    <row r="169" spans="1:83" x14ac:dyDescent="0.25">
      <c r="A169" s="129" t="s">
        <v>963</v>
      </c>
      <c r="B169" s="129" t="s">
        <v>352</v>
      </c>
      <c r="C169" s="129" t="s">
        <v>353</v>
      </c>
      <c r="D169" s="309">
        <v>45091</v>
      </c>
      <c r="E169" s="309">
        <v>46187</v>
      </c>
      <c r="F169" s="309">
        <v>45576</v>
      </c>
      <c r="G169" s="310" t="s">
        <v>359</v>
      </c>
      <c r="H169" s="310"/>
      <c r="J169" s="129" t="s">
        <v>266</v>
      </c>
      <c r="K169" s="129" t="s">
        <v>268</v>
      </c>
      <c r="M169" s="191"/>
      <c r="O169" s="129" t="s">
        <v>964</v>
      </c>
      <c r="P169" s="129" t="s">
        <v>965</v>
      </c>
      <c r="Q169" s="129" t="s">
        <v>966</v>
      </c>
      <c r="U169" s="129">
        <v>1</v>
      </c>
      <c r="AA169" s="312">
        <f t="shared" si="38"/>
        <v>1</v>
      </c>
      <c r="AG169" s="129">
        <v>1</v>
      </c>
      <c r="AK169" s="312">
        <f t="shared" si="39"/>
        <v>1</v>
      </c>
      <c r="AL169" s="129">
        <f t="shared" si="40"/>
        <v>0</v>
      </c>
      <c r="AM169" s="129">
        <f t="shared" si="41"/>
        <v>0</v>
      </c>
      <c r="AN169" s="129">
        <f t="shared" si="42"/>
        <v>-1</v>
      </c>
      <c r="AO169" s="129">
        <f t="shared" si="43"/>
        <v>0</v>
      </c>
      <c r="AP169" s="129">
        <f t="shared" si="44"/>
        <v>1</v>
      </c>
      <c r="AQ169" s="129">
        <f t="shared" si="45"/>
        <v>0</v>
      </c>
      <c r="AR169" s="129">
        <f t="shared" si="46"/>
        <v>0</v>
      </c>
      <c r="AS169" s="129">
        <f t="shared" si="47"/>
        <v>0</v>
      </c>
      <c r="AT169" s="312">
        <f t="shared" si="48"/>
        <v>0</v>
      </c>
      <c r="AV169" s="312"/>
      <c r="AW169" s="129">
        <v>0</v>
      </c>
      <c r="BA169" s="314"/>
      <c r="BF169" s="314"/>
      <c r="BL169" s="314"/>
      <c r="BM169" s="129">
        <f t="shared" si="49"/>
        <v>0</v>
      </c>
      <c r="BN169" s="129">
        <f t="shared" si="50"/>
        <v>0</v>
      </c>
      <c r="BR169" s="129">
        <v>513712</v>
      </c>
      <c r="BS169" s="129">
        <v>169851</v>
      </c>
      <c r="BT169" s="129" t="s">
        <v>170</v>
      </c>
      <c r="BU169" s="129" t="s">
        <v>192</v>
      </c>
      <c r="CC169" s="129" t="s">
        <v>359</v>
      </c>
      <c r="CD169" s="129" t="s">
        <v>198</v>
      </c>
      <c r="CE169" s="313"/>
    </row>
    <row r="170" spans="1:83" x14ac:dyDescent="0.25">
      <c r="A170" s="129" t="s">
        <v>967</v>
      </c>
      <c r="B170" s="129" t="s">
        <v>352</v>
      </c>
      <c r="C170" s="129" t="s">
        <v>353</v>
      </c>
      <c r="D170" s="309">
        <v>45141</v>
      </c>
      <c r="E170" s="309">
        <v>46237</v>
      </c>
      <c r="F170" s="309">
        <v>45460</v>
      </c>
      <c r="G170" s="310" t="s">
        <v>359</v>
      </c>
      <c r="H170" s="310"/>
      <c r="I170" s="315">
        <v>45982</v>
      </c>
      <c r="J170" s="129" t="s">
        <v>266</v>
      </c>
      <c r="K170" s="129" t="s">
        <v>268</v>
      </c>
      <c r="M170" s="191"/>
      <c r="O170" s="129" t="s">
        <v>968</v>
      </c>
      <c r="P170" s="129" t="s">
        <v>969</v>
      </c>
      <c r="Q170" s="129" t="s">
        <v>970</v>
      </c>
      <c r="T170" s="129">
        <v>1</v>
      </c>
      <c r="AA170" s="312">
        <f t="shared" si="38"/>
        <v>1</v>
      </c>
      <c r="AE170" s="129">
        <v>1</v>
      </c>
      <c r="AK170" s="312">
        <f t="shared" si="39"/>
        <v>1</v>
      </c>
      <c r="AL170" s="129">
        <f t="shared" si="40"/>
        <v>0</v>
      </c>
      <c r="AM170" s="129">
        <f t="shared" si="41"/>
        <v>-1</v>
      </c>
      <c r="AN170" s="129">
        <f t="shared" si="42"/>
        <v>1</v>
      </c>
      <c r="AO170" s="129">
        <f t="shared" si="43"/>
        <v>0</v>
      </c>
      <c r="AP170" s="129">
        <f t="shared" si="44"/>
        <v>0</v>
      </c>
      <c r="AQ170" s="129">
        <f t="shared" si="45"/>
        <v>0</v>
      </c>
      <c r="AR170" s="129">
        <f t="shared" si="46"/>
        <v>0</v>
      </c>
      <c r="AS170" s="129">
        <f t="shared" si="47"/>
        <v>0</v>
      </c>
      <c r="AT170" s="312">
        <f t="shared" si="48"/>
        <v>0</v>
      </c>
      <c r="AV170" s="312"/>
      <c r="AW170" s="129">
        <v>0</v>
      </c>
      <c r="BA170" s="314"/>
      <c r="BF170" s="314"/>
      <c r="BL170" s="314"/>
      <c r="BM170" s="129">
        <f t="shared" si="49"/>
        <v>0</v>
      </c>
      <c r="BN170" s="129">
        <f t="shared" si="50"/>
        <v>0</v>
      </c>
      <c r="BR170" s="129">
        <v>522197</v>
      </c>
      <c r="BS170" s="129">
        <v>177398</v>
      </c>
      <c r="BT170" s="129" t="s">
        <v>167</v>
      </c>
      <c r="BU170" s="129" t="s">
        <v>190</v>
      </c>
      <c r="CD170" s="129" t="s">
        <v>167</v>
      </c>
      <c r="CE170" s="313"/>
    </row>
    <row r="171" spans="1:83" x14ac:dyDescent="0.25">
      <c r="A171" s="129" t="s">
        <v>971</v>
      </c>
      <c r="B171" s="129" t="s">
        <v>369</v>
      </c>
      <c r="C171" s="129" t="s">
        <v>353</v>
      </c>
      <c r="D171" s="309">
        <v>45111</v>
      </c>
      <c r="E171" s="309">
        <v>46207</v>
      </c>
      <c r="F171" s="309">
        <v>45748</v>
      </c>
      <c r="G171" s="310"/>
      <c r="H171" s="310"/>
      <c r="I171" s="309">
        <v>45778</v>
      </c>
      <c r="J171" s="248" t="s">
        <v>266</v>
      </c>
      <c r="K171" s="129" t="s">
        <v>268</v>
      </c>
      <c r="M171" s="191"/>
      <c r="O171" s="129" t="s">
        <v>972</v>
      </c>
      <c r="P171" s="129" t="s">
        <v>973</v>
      </c>
      <c r="Q171" s="129" t="s">
        <v>974</v>
      </c>
      <c r="S171" s="129">
        <v>1</v>
      </c>
      <c r="AA171" s="312">
        <f t="shared" si="38"/>
        <v>1</v>
      </c>
      <c r="AK171" s="312">
        <f t="shared" si="39"/>
        <v>0</v>
      </c>
      <c r="AL171" s="129">
        <f t="shared" si="40"/>
        <v>-1</v>
      </c>
      <c r="AM171" s="129">
        <f t="shared" si="41"/>
        <v>0</v>
      </c>
      <c r="AN171" s="129">
        <f t="shared" si="42"/>
        <v>0</v>
      </c>
      <c r="AO171" s="129">
        <f t="shared" si="43"/>
        <v>0</v>
      </c>
      <c r="AP171" s="129">
        <f t="shared" si="44"/>
        <v>0</v>
      </c>
      <c r="AQ171" s="129">
        <f t="shared" si="45"/>
        <v>0</v>
      </c>
      <c r="AR171" s="129">
        <f t="shared" si="46"/>
        <v>0</v>
      </c>
      <c r="AS171" s="129">
        <f t="shared" si="47"/>
        <v>0</v>
      </c>
      <c r="AT171" s="312">
        <f t="shared" si="48"/>
        <v>-1</v>
      </c>
      <c r="AV171" s="312"/>
      <c r="AW171" s="129">
        <v>-1</v>
      </c>
      <c r="BA171" s="314"/>
      <c r="BF171" s="314"/>
      <c r="BL171" s="314"/>
      <c r="BM171" s="129">
        <f t="shared" si="49"/>
        <v>-1</v>
      </c>
      <c r="BN171" s="129">
        <f t="shared" si="50"/>
        <v>-1</v>
      </c>
      <c r="BR171" s="129">
        <v>519234</v>
      </c>
      <c r="BS171" s="129">
        <v>177167</v>
      </c>
      <c r="BT171" s="129" t="s">
        <v>174</v>
      </c>
      <c r="BU171" s="129" t="s">
        <v>150</v>
      </c>
      <c r="CA171" s="129" t="s">
        <v>975</v>
      </c>
      <c r="CB171" s="129" t="s">
        <v>359</v>
      </c>
      <c r="CC171" s="129" t="s">
        <v>359</v>
      </c>
      <c r="CD171" s="129" t="s">
        <v>174</v>
      </c>
      <c r="CE171" s="313"/>
    </row>
    <row r="172" spans="1:83" x14ac:dyDescent="0.25">
      <c r="A172" s="129" t="s">
        <v>976</v>
      </c>
      <c r="B172" s="129" t="s">
        <v>369</v>
      </c>
      <c r="C172" s="129" t="s">
        <v>353</v>
      </c>
      <c r="D172" s="309">
        <v>45112</v>
      </c>
      <c r="E172" s="309">
        <v>46208</v>
      </c>
      <c r="F172" s="309">
        <v>45748</v>
      </c>
      <c r="G172" s="310"/>
      <c r="H172" s="310"/>
      <c r="I172" s="309">
        <v>45778</v>
      </c>
      <c r="J172" s="248" t="s">
        <v>266</v>
      </c>
      <c r="K172" s="129" t="s">
        <v>268</v>
      </c>
      <c r="M172" s="191"/>
      <c r="O172" s="129" t="s">
        <v>977</v>
      </c>
      <c r="P172" s="129" t="s">
        <v>978</v>
      </c>
      <c r="Q172" s="129" t="s">
        <v>974</v>
      </c>
      <c r="S172" s="129">
        <v>1</v>
      </c>
      <c r="AA172" s="312">
        <f t="shared" si="38"/>
        <v>1</v>
      </c>
      <c r="AK172" s="312">
        <f t="shared" si="39"/>
        <v>0</v>
      </c>
      <c r="AL172" s="129">
        <f t="shared" si="40"/>
        <v>-1</v>
      </c>
      <c r="AM172" s="129">
        <f t="shared" si="41"/>
        <v>0</v>
      </c>
      <c r="AN172" s="129">
        <f t="shared" si="42"/>
        <v>0</v>
      </c>
      <c r="AO172" s="129">
        <f t="shared" si="43"/>
        <v>0</v>
      </c>
      <c r="AP172" s="129">
        <f t="shared" si="44"/>
        <v>0</v>
      </c>
      <c r="AQ172" s="129">
        <f t="shared" si="45"/>
        <v>0</v>
      </c>
      <c r="AR172" s="129">
        <f t="shared" si="46"/>
        <v>0</v>
      </c>
      <c r="AS172" s="129">
        <f t="shared" si="47"/>
        <v>0</v>
      </c>
      <c r="AT172" s="312">
        <f t="shared" si="48"/>
        <v>-1</v>
      </c>
      <c r="AV172" s="312"/>
      <c r="AW172" s="129">
        <v>-1</v>
      </c>
      <c r="BA172" s="314"/>
      <c r="BF172" s="314"/>
      <c r="BL172" s="314"/>
      <c r="BM172" s="129">
        <f t="shared" si="49"/>
        <v>-1</v>
      </c>
      <c r="BN172" s="129">
        <f t="shared" si="50"/>
        <v>-1</v>
      </c>
      <c r="BR172" s="129">
        <v>519219</v>
      </c>
      <c r="BS172" s="129">
        <v>177132</v>
      </c>
      <c r="BT172" s="129" t="s">
        <v>174</v>
      </c>
      <c r="BU172" s="129" t="s">
        <v>150</v>
      </c>
      <c r="CA172" s="129" t="s">
        <v>975</v>
      </c>
      <c r="CB172" s="129" t="s">
        <v>359</v>
      </c>
      <c r="CC172" s="129" t="s">
        <v>359</v>
      </c>
      <c r="CD172" s="129" t="s">
        <v>174</v>
      </c>
      <c r="CE172" s="313"/>
    </row>
    <row r="173" spans="1:83" x14ac:dyDescent="0.25">
      <c r="A173" s="129" t="s">
        <v>979</v>
      </c>
      <c r="B173" s="129" t="s">
        <v>382</v>
      </c>
      <c r="C173" s="129" t="s">
        <v>353</v>
      </c>
      <c r="D173" s="309">
        <v>45321</v>
      </c>
      <c r="E173" s="309">
        <v>46417</v>
      </c>
      <c r="F173" s="309">
        <v>45321</v>
      </c>
      <c r="G173" s="310"/>
      <c r="H173" s="310"/>
      <c r="J173" s="129" t="s">
        <v>266</v>
      </c>
      <c r="K173" s="129" t="s">
        <v>268</v>
      </c>
      <c r="M173" s="191"/>
      <c r="O173" s="129" t="s">
        <v>980</v>
      </c>
      <c r="P173" s="129" t="s">
        <v>981</v>
      </c>
      <c r="Q173" s="129" t="s">
        <v>982</v>
      </c>
      <c r="AA173" s="312">
        <f t="shared" si="38"/>
        <v>0</v>
      </c>
      <c r="AC173" s="129">
        <v>2</v>
      </c>
      <c r="AE173" s="129">
        <v>1</v>
      </c>
      <c r="AK173" s="312">
        <f t="shared" si="39"/>
        <v>3</v>
      </c>
      <c r="AL173" s="129">
        <f t="shared" si="40"/>
        <v>2</v>
      </c>
      <c r="AM173" s="129">
        <f t="shared" si="41"/>
        <v>0</v>
      </c>
      <c r="AN173" s="129">
        <f t="shared" si="42"/>
        <v>1</v>
      </c>
      <c r="AO173" s="129">
        <f t="shared" si="43"/>
        <v>0</v>
      </c>
      <c r="AP173" s="129">
        <f t="shared" si="44"/>
        <v>0</v>
      </c>
      <c r="AQ173" s="129">
        <f t="shared" si="45"/>
        <v>0</v>
      </c>
      <c r="AR173" s="129">
        <f t="shared" si="46"/>
        <v>0</v>
      </c>
      <c r="AS173" s="129">
        <f t="shared" si="47"/>
        <v>0</v>
      </c>
      <c r="AT173" s="312">
        <f t="shared" si="48"/>
        <v>3</v>
      </c>
      <c r="AV173" s="312"/>
      <c r="AX173" s="129">
        <v>1.5</v>
      </c>
      <c r="AY173" s="129">
        <v>1.5</v>
      </c>
      <c r="BA173" s="314"/>
      <c r="BF173" s="314"/>
      <c r="BL173" s="314"/>
      <c r="BM173" s="129">
        <f t="shared" si="49"/>
        <v>3</v>
      </c>
      <c r="BN173" s="129">
        <f t="shared" si="50"/>
        <v>3</v>
      </c>
      <c r="BR173" s="129">
        <v>515296</v>
      </c>
      <c r="BS173" s="129">
        <v>171228</v>
      </c>
      <c r="BT173" s="129" t="s">
        <v>168</v>
      </c>
      <c r="BU173" s="129" t="s">
        <v>192</v>
      </c>
      <c r="CC173" s="129" t="s">
        <v>359</v>
      </c>
      <c r="CD173" s="129" t="s">
        <v>201</v>
      </c>
      <c r="CE173" s="313"/>
    </row>
    <row r="174" spans="1:83" x14ac:dyDescent="0.25">
      <c r="A174" s="129" t="s">
        <v>983</v>
      </c>
      <c r="B174" s="129" t="s">
        <v>369</v>
      </c>
      <c r="C174" s="129" t="s">
        <v>353</v>
      </c>
      <c r="D174" s="309">
        <v>45441</v>
      </c>
      <c r="E174" s="309">
        <v>46536</v>
      </c>
      <c r="F174" s="309">
        <v>45702</v>
      </c>
      <c r="G174" s="310" t="s">
        <v>359</v>
      </c>
      <c r="H174" s="310" t="s">
        <v>359</v>
      </c>
      <c r="I174" s="315">
        <v>45975</v>
      </c>
      <c r="J174" s="129" t="s">
        <v>266</v>
      </c>
      <c r="K174" s="129" t="s">
        <v>268</v>
      </c>
      <c r="M174" s="191"/>
      <c r="O174" s="129" t="s">
        <v>984</v>
      </c>
      <c r="P174" s="129" t="s">
        <v>985</v>
      </c>
      <c r="Q174" s="129" t="s">
        <v>986</v>
      </c>
      <c r="AA174" s="312">
        <f t="shared" si="38"/>
        <v>0</v>
      </c>
      <c r="AE174" s="129">
        <v>1</v>
      </c>
      <c r="AK174" s="312">
        <f t="shared" si="39"/>
        <v>1</v>
      </c>
      <c r="AL174" s="129">
        <f t="shared" si="40"/>
        <v>0</v>
      </c>
      <c r="AM174" s="129">
        <f t="shared" si="41"/>
        <v>0</v>
      </c>
      <c r="AN174" s="129">
        <f t="shared" si="42"/>
        <v>1</v>
      </c>
      <c r="AO174" s="129">
        <f t="shared" si="43"/>
        <v>0</v>
      </c>
      <c r="AP174" s="129">
        <f t="shared" si="44"/>
        <v>0</v>
      </c>
      <c r="AQ174" s="129">
        <f t="shared" si="45"/>
        <v>0</v>
      </c>
      <c r="AR174" s="129">
        <f t="shared" si="46"/>
        <v>0</v>
      </c>
      <c r="AS174" s="129">
        <f t="shared" si="47"/>
        <v>0</v>
      </c>
      <c r="AT174" s="312">
        <f t="shared" si="48"/>
        <v>1</v>
      </c>
      <c r="AV174" s="312"/>
      <c r="AW174" s="129">
        <v>1</v>
      </c>
      <c r="BA174" s="314"/>
      <c r="BF174" s="314"/>
      <c r="BL174" s="314"/>
      <c r="BM174" s="129">
        <f t="shared" si="49"/>
        <v>1</v>
      </c>
      <c r="BN174" s="129">
        <f t="shared" si="50"/>
        <v>1</v>
      </c>
      <c r="BR174" s="129">
        <v>517790</v>
      </c>
      <c r="BS174" s="129">
        <v>174728</v>
      </c>
      <c r="BT174" s="129" t="s">
        <v>177</v>
      </c>
      <c r="BU174" s="129" t="s">
        <v>150</v>
      </c>
      <c r="BV174" s="129" t="s">
        <v>150</v>
      </c>
      <c r="CA174" s="129" t="s">
        <v>606</v>
      </c>
      <c r="CB174" s="129" t="s">
        <v>359</v>
      </c>
      <c r="CC174" s="129" t="s">
        <v>359</v>
      </c>
      <c r="CD174" s="129" t="s">
        <v>200</v>
      </c>
      <c r="CE174" s="313"/>
    </row>
    <row r="175" spans="1:83" x14ac:dyDescent="0.25">
      <c r="A175" s="129" t="s">
        <v>987</v>
      </c>
      <c r="B175" s="129" t="s">
        <v>482</v>
      </c>
      <c r="C175" s="129" t="s">
        <v>353</v>
      </c>
      <c r="D175" s="309">
        <v>45307</v>
      </c>
      <c r="E175" s="309">
        <v>46403</v>
      </c>
      <c r="F175" s="309">
        <v>45566</v>
      </c>
      <c r="G175" s="310" t="s">
        <v>359</v>
      </c>
      <c r="H175" s="310"/>
      <c r="I175" s="315">
        <v>45869</v>
      </c>
      <c r="J175" s="129" t="s">
        <v>266</v>
      </c>
      <c r="K175" s="129" t="s">
        <v>268</v>
      </c>
      <c r="M175" s="191"/>
      <c r="O175" s="129" t="s">
        <v>988</v>
      </c>
      <c r="P175" s="129" t="s">
        <v>989</v>
      </c>
      <c r="Q175" s="129" t="s">
        <v>990</v>
      </c>
      <c r="U175" s="129">
        <v>1</v>
      </c>
      <c r="AA175" s="312">
        <f t="shared" si="38"/>
        <v>1</v>
      </c>
      <c r="AC175" s="129">
        <v>3</v>
      </c>
      <c r="AK175" s="312">
        <f t="shared" si="39"/>
        <v>3</v>
      </c>
      <c r="AL175" s="129">
        <f t="shared" si="40"/>
        <v>3</v>
      </c>
      <c r="AM175" s="129">
        <f t="shared" si="41"/>
        <v>0</v>
      </c>
      <c r="AN175" s="129">
        <f t="shared" si="42"/>
        <v>-1</v>
      </c>
      <c r="AO175" s="129">
        <f t="shared" si="43"/>
        <v>0</v>
      </c>
      <c r="AP175" s="129">
        <f t="shared" si="44"/>
        <v>0</v>
      </c>
      <c r="AQ175" s="129">
        <f t="shared" si="45"/>
        <v>0</v>
      </c>
      <c r="AR175" s="129">
        <f t="shared" si="46"/>
        <v>0</v>
      </c>
      <c r="AS175" s="129">
        <f t="shared" si="47"/>
        <v>0</v>
      </c>
      <c r="AT175" s="312">
        <f t="shared" si="48"/>
        <v>2</v>
      </c>
      <c r="AV175" s="312"/>
      <c r="AW175" s="129">
        <v>2</v>
      </c>
      <c r="BA175" s="314"/>
      <c r="BF175" s="314"/>
      <c r="BL175" s="314"/>
      <c r="BM175" s="129">
        <f t="shared" si="49"/>
        <v>2</v>
      </c>
      <c r="BN175" s="129">
        <f t="shared" si="50"/>
        <v>2</v>
      </c>
      <c r="BR175" s="129">
        <v>520411</v>
      </c>
      <c r="BS175" s="129">
        <v>175345</v>
      </c>
      <c r="BT175" s="129" t="s">
        <v>149</v>
      </c>
      <c r="BU175" s="129" t="s">
        <v>190</v>
      </c>
      <c r="BV175" s="129" t="s">
        <v>149</v>
      </c>
      <c r="CC175" s="129" t="s">
        <v>359</v>
      </c>
      <c r="CD175" s="129" t="s">
        <v>199</v>
      </c>
      <c r="CE175" s="313"/>
    </row>
    <row r="176" spans="1:83" x14ac:dyDescent="0.25">
      <c r="A176" s="129" t="s">
        <v>991</v>
      </c>
      <c r="B176" s="129" t="s">
        <v>352</v>
      </c>
      <c r="C176" s="129" t="s">
        <v>353</v>
      </c>
      <c r="D176" s="309">
        <v>45377</v>
      </c>
      <c r="E176" s="309">
        <v>46472</v>
      </c>
      <c r="F176" s="309">
        <v>45626</v>
      </c>
      <c r="G176" s="310" t="s">
        <v>359</v>
      </c>
      <c r="H176" s="310"/>
      <c r="J176" s="129" t="s">
        <v>266</v>
      </c>
      <c r="K176" s="129" t="s">
        <v>268</v>
      </c>
      <c r="M176" s="191"/>
      <c r="O176" s="129" t="s">
        <v>992</v>
      </c>
      <c r="P176" s="129" t="s">
        <v>993</v>
      </c>
      <c r="Q176" s="129" t="s">
        <v>994</v>
      </c>
      <c r="V176" s="129">
        <v>1</v>
      </c>
      <c r="AA176" s="312">
        <f t="shared" si="38"/>
        <v>1</v>
      </c>
      <c r="AF176" s="129">
        <v>1</v>
      </c>
      <c r="AK176" s="312">
        <f t="shared" si="39"/>
        <v>1</v>
      </c>
      <c r="AL176" s="129">
        <f t="shared" si="40"/>
        <v>0</v>
      </c>
      <c r="AM176" s="129">
        <f t="shared" si="41"/>
        <v>0</v>
      </c>
      <c r="AN176" s="129">
        <f t="shared" si="42"/>
        <v>0</v>
      </c>
      <c r="AO176" s="129">
        <f t="shared" si="43"/>
        <v>0</v>
      </c>
      <c r="AP176" s="129">
        <f t="shared" si="44"/>
        <v>0</v>
      </c>
      <c r="AQ176" s="129">
        <f t="shared" si="45"/>
        <v>0</v>
      </c>
      <c r="AR176" s="129">
        <f t="shared" si="46"/>
        <v>0</v>
      </c>
      <c r="AS176" s="129">
        <f t="shared" si="47"/>
        <v>0</v>
      </c>
      <c r="AT176" s="312">
        <f t="shared" si="48"/>
        <v>0</v>
      </c>
      <c r="AV176" s="312"/>
      <c r="AW176" s="129">
        <v>0</v>
      </c>
      <c r="BA176" s="314"/>
      <c r="BF176" s="314"/>
      <c r="BL176" s="314"/>
      <c r="BM176" s="129">
        <f t="shared" si="49"/>
        <v>0</v>
      </c>
      <c r="BN176" s="129">
        <f t="shared" si="50"/>
        <v>0</v>
      </c>
      <c r="BR176" s="129">
        <v>518142</v>
      </c>
      <c r="BS176" s="129">
        <v>172937</v>
      </c>
      <c r="BT176" s="129" t="s">
        <v>169</v>
      </c>
      <c r="BU176" s="129" t="s">
        <v>191</v>
      </c>
      <c r="CA176" s="129" t="s">
        <v>690</v>
      </c>
      <c r="CB176" s="129" t="s">
        <v>359</v>
      </c>
      <c r="CD176" s="129" t="s">
        <v>197</v>
      </c>
      <c r="CE176" s="313"/>
    </row>
    <row r="177" spans="1:83" x14ac:dyDescent="0.25">
      <c r="A177" s="129" t="s">
        <v>995</v>
      </c>
      <c r="B177" s="129" t="s">
        <v>369</v>
      </c>
      <c r="C177" s="248" t="s">
        <v>370</v>
      </c>
      <c r="D177" s="309">
        <v>45282</v>
      </c>
      <c r="E177" s="309">
        <v>46378</v>
      </c>
      <c r="F177" s="309">
        <v>45323</v>
      </c>
      <c r="G177" s="310"/>
      <c r="H177" s="310"/>
      <c r="I177" s="315">
        <v>45995</v>
      </c>
      <c r="J177" s="129" t="s">
        <v>266</v>
      </c>
      <c r="K177" s="129" t="s">
        <v>268</v>
      </c>
      <c r="M177" s="191"/>
      <c r="O177" s="129" t="s">
        <v>996</v>
      </c>
      <c r="P177" s="129" t="s">
        <v>997</v>
      </c>
      <c r="Q177" s="129" t="s">
        <v>998</v>
      </c>
      <c r="AA177" s="312">
        <f t="shared" si="38"/>
        <v>0</v>
      </c>
      <c r="AD177" s="129">
        <v>1</v>
      </c>
      <c r="AK177" s="312">
        <f t="shared" si="39"/>
        <v>1</v>
      </c>
      <c r="AL177" s="129">
        <f t="shared" si="40"/>
        <v>0</v>
      </c>
      <c r="AM177" s="129">
        <f t="shared" si="41"/>
        <v>1</v>
      </c>
      <c r="AN177" s="129">
        <f t="shared" si="42"/>
        <v>0</v>
      </c>
      <c r="AO177" s="129">
        <f t="shared" si="43"/>
        <v>0</v>
      </c>
      <c r="AP177" s="129">
        <f t="shared" si="44"/>
        <v>0</v>
      </c>
      <c r="AQ177" s="129">
        <f t="shared" si="45"/>
        <v>0</v>
      </c>
      <c r="AR177" s="129">
        <f t="shared" si="46"/>
        <v>0</v>
      </c>
      <c r="AS177" s="129">
        <f t="shared" si="47"/>
        <v>0</v>
      </c>
      <c r="AT177" s="312">
        <f t="shared" si="48"/>
        <v>1</v>
      </c>
      <c r="AV177" s="312"/>
      <c r="AW177" s="129">
        <v>1</v>
      </c>
      <c r="BA177" s="314"/>
      <c r="BF177" s="314"/>
      <c r="BL177" s="314"/>
      <c r="BM177" s="129">
        <f t="shared" si="49"/>
        <v>1</v>
      </c>
      <c r="BN177" s="129">
        <f t="shared" si="50"/>
        <v>1</v>
      </c>
      <c r="BR177" s="129">
        <v>515687</v>
      </c>
      <c r="BS177" s="129">
        <v>171148</v>
      </c>
      <c r="BT177" s="129" t="s">
        <v>152</v>
      </c>
      <c r="BU177" s="129" t="s">
        <v>192</v>
      </c>
      <c r="CA177" s="129" t="s">
        <v>532</v>
      </c>
      <c r="CB177" s="129" t="s">
        <v>359</v>
      </c>
      <c r="CC177" s="129" t="s">
        <v>359</v>
      </c>
      <c r="CD177" s="129" t="s">
        <v>201</v>
      </c>
      <c r="CE177" s="313"/>
    </row>
    <row r="178" spans="1:83" x14ac:dyDescent="0.25">
      <c r="A178" s="129" t="s">
        <v>999</v>
      </c>
      <c r="B178" s="129" t="s">
        <v>352</v>
      </c>
      <c r="C178" s="129" t="s">
        <v>353</v>
      </c>
      <c r="D178" s="309">
        <v>45499</v>
      </c>
      <c r="E178" s="309">
        <v>46594</v>
      </c>
      <c r="F178" s="309">
        <v>45734</v>
      </c>
      <c r="G178" s="310" t="s">
        <v>359</v>
      </c>
      <c r="H178" s="310" t="s">
        <v>359</v>
      </c>
      <c r="J178" s="129" t="s">
        <v>266</v>
      </c>
      <c r="K178" s="129" t="s">
        <v>268</v>
      </c>
      <c r="M178" s="191"/>
      <c r="O178" s="129" t="s">
        <v>1000</v>
      </c>
      <c r="P178" s="129" t="s">
        <v>1001</v>
      </c>
      <c r="Q178" s="129" t="s">
        <v>1002</v>
      </c>
      <c r="AA178" s="312">
        <f t="shared" si="38"/>
        <v>0</v>
      </c>
      <c r="AE178" s="129">
        <v>1</v>
      </c>
      <c r="AK178" s="312">
        <f t="shared" si="39"/>
        <v>1</v>
      </c>
      <c r="AL178" s="129">
        <f t="shared" si="40"/>
        <v>0</v>
      </c>
      <c r="AM178" s="129">
        <f t="shared" si="41"/>
        <v>0</v>
      </c>
      <c r="AN178" s="129">
        <f t="shared" si="42"/>
        <v>1</v>
      </c>
      <c r="AO178" s="129">
        <f t="shared" si="43"/>
        <v>0</v>
      </c>
      <c r="AP178" s="129">
        <f t="shared" si="44"/>
        <v>0</v>
      </c>
      <c r="AQ178" s="129">
        <f t="shared" si="45"/>
        <v>0</v>
      </c>
      <c r="AR178" s="129">
        <f t="shared" si="46"/>
        <v>0</v>
      </c>
      <c r="AS178" s="129">
        <f t="shared" si="47"/>
        <v>0</v>
      </c>
      <c r="AT178" s="312">
        <f t="shared" si="48"/>
        <v>1</v>
      </c>
      <c r="AV178" s="312"/>
      <c r="AW178" s="129">
        <v>1</v>
      </c>
      <c r="BA178" s="314"/>
      <c r="BF178" s="314"/>
      <c r="BL178" s="314"/>
      <c r="BM178" s="129">
        <f t="shared" si="49"/>
        <v>1</v>
      </c>
      <c r="BN178" s="129">
        <f t="shared" si="50"/>
        <v>1</v>
      </c>
      <c r="BR178" s="129">
        <v>515338</v>
      </c>
      <c r="BS178" s="129">
        <v>174026</v>
      </c>
      <c r="BT178" s="129" t="s">
        <v>179</v>
      </c>
      <c r="BU178" s="129" t="s">
        <v>154</v>
      </c>
      <c r="CC178" s="129" t="s">
        <v>359</v>
      </c>
      <c r="CD178" s="129" t="s">
        <v>202</v>
      </c>
      <c r="CE178" s="313" t="s">
        <v>359</v>
      </c>
    </row>
    <row r="179" spans="1:83" x14ac:dyDescent="0.25">
      <c r="A179" s="129" t="s">
        <v>1003</v>
      </c>
      <c r="B179" s="129" t="s">
        <v>352</v>
      </c>
      <c r="C179" s="129" t="s">
        <v>353</v>
      </c>
      <c r="D179" s="309">
        <v>45602</v>
      </c>
      <c r="E179" s="309">
        <v>46697</v>
      </c>
      <c r="F179" s="309">
        <v>45602</v>
      </c>
      <c r="G179" s="310" t="s">
        <v>359</v>
      </c>
      <c r="H179" s="310" t="s">
        <v>359</v>
      </c>
      <c r="I179" s="315">
        <v>45817</v>
      </c>
      <c r="J179" s="129" t="s">
        <v>266</v>
      </c>
      <c r="K179" s="129" t="s">
        <v>268</v>
      </c>
      <c r="M179" s="191"/>
      <c r="O179" s="129" t="s">
        <v>1004</v>
      </c>
      <c r="P179" s="129" t="s">
        <v>1005</v>
      </c>
      <c r="Q179" s="129" t="s">
        <v>1006</v>
      </c>
      <c r="T179" s="129">
        <v>1</v>
      </c>
      <c r="AA179" s="312">
        <f t="shared" si="38"/>
        <v>1</v>
      </c>
      <c r="AF179" s="129">
        <v>1</v>
      </c>
      <c r="AK179" s="312">
        <f t="shared" si="39"/>
        <v>1</v>
      </c>
      <c r="AL179" s="129">
        <f t="shared" si="40"/>
        <v>0</v>
      </c>
      <c r="AM179" s="129">
        <f t="shared" si="41"/>
        <v>-1</v>
      </c>
      <c r="AN179" s="129">
        <f t="shared" si="42"/>
        <v>0</v>
      </c>
      <c r="AO179" s="129">
        <f t="shared" si="43"/>
        <v>1</v>
      </c>
      <c r="AP179" s="129">
        <f t="shared" si="44"/>
        <v>0</v>
      </c>
      <c r="AQ179" s="129">
        <f t="shared" si="45"/>
        <v>0</v>
      </c>
      <c r="AR179" s="129">
        <f t="shared" si="46"/>
        <v>0</v>
      </c>
      <c r="AS179" s="129">
        <f t="shared" si="47"/>
        <v>0</v>
      </c>
      <c r="AT179" s="312">
        <f t="shared" si="48"/>
        <v>0</v>
      </c>
      <c r="AV179" s="312"/>
      <c r="AW179" s="129">
        <v>0</v>
      </c>
      <c r="BA179" s="314"/>
      <c r="BF179" s="314"/>
      <c r="BL179" s="314"/>
      <c r="BM179" s="129">
        <f t="shared" si="49"/>
        <v>0</v>
      </c>
      <c r="BN179" s="129">
        <f t="shared" si="50"/>
        <v>0</v>
      </c>
      <c r="BR179" s="129">
        <v>519882</v>
      </c>
      <c r="BS179" s="129">
        <v>175037</v>
      </c>
      <c r="BT179" s="129" t="s">
        <v>149</v>
      </c>
      <c r="BU179" s="129" t="s">
        <v>190</v>
      </c>
      <c r="CC179" s="129" t="s">
        <v>359</v>
      </c>
      <c r="CD179" s="129" t="s">
        <v>199</v>
      </c>
      <c r="CE179" s="313"/>
    </row>
    <row r="180" spans="1:83" x14ac:dyDescent="0.25">
      <c r="A180" s="129" t="s">
        <v>1007</v>
      </c>
      <c r="B180" s="129" t="s">
        <v>369</v>
      </c>
      <c r="C180" s="248" t="s">
        <v>370</v>
      </c>
      <c r="D180" s="309">
        <v>45519</v>
      </c>
      <c r="E180" s="309">
        <v>46614</v>
      </c>
      <c r="F180" s="309">
        <v>45719</v>
      </c>
      <c r="G180" s="310" t="s">
        <v>359</v>
      </c>
      <c r="H180" s="310" t="s">
        <v>359</v>
      </c>
      <c r="J180" s="129" t="s">
        <v>266</v>
      </c>
      <c r="K180" s="129" t="s">
        <v>268</v>
      </c>
      <c r="M180" s="191"/>
      <c r="O180" s="129" t="s">
        <v>1008</v>
      </c>
      <c r="P180" s="129" t="s">
        <v>1009</v>
      </c>
      <c r="Q180" s="129" t="s">
        <v>1010</v>
      </c>
      <c r="AA180" s="312">
        <f t="shared" si="38"/>
        <v>0</v>
      </c>
      <c r="AC180" s="129">
        <v>1</v>
      </c>
      <c r="AK180" s="312">
        <f t="shared" si="39"/>
        <v>1</v>
      </c>
      <c r="AL180" s="129">
        <f t="shared" si="40"/>
        <v>1</v>
      </c>
      <c r="AM180" s="129">
        <f t="shared" si="41"/>
        <v>0</v>
      </c>
      <c r="AN180" s="129">
        <f t="shared" si="42"/>
        <v>0</v>
      </c>
      <c r="AO180" s="129">
        <f t="shared" si="43"/>
        <v>0</v>
      </c>
      <c r="AP180" s="129">
        <f t="shared" si="44"/>
        <v>0</v>
      </c>
      <c r="AQ180" s="129">
        <f t="shared" si="45"/>
        <v>0</v>
      </c>
      <c r="AR180" s="129">
        <f t="shared" si="46"/>
        <v>0</v>
      </c>
      <c r="AS180" s="129">
        <f t="shared" si="47"/>
        <v>0</v>
      </c>
      <c r="AT180" s="312">
        <f t="shared" si="48"/>
        <v>1</v>
      </c>
      <c r="AV180" s="312"/>
      <c r="AW180" s="129">
        <v>1</v>
      </c>
      <c r="BA180" s="314"/>
      <c r="BF180" s="314"/>
      <c r="BL180" s="314"/>
      <c r="BM180" s="129">
        <f t="shared" si="49"/>
        <v>1</v>
      </c>
      <c r="BN180" s="129">
        <f t="shared" si="50"/>
        <v>1</v>
      </c>
      <c r="BR180" s="129">
        <v>517552</v>
      </c>
      <c r="BS180" s="129">
        <v>174330</v>
      </c>
      <c r="BT180" s="129" t="s">
        <v>180</v>
      </c>
      <c r="BU180" s="129" t="s">
        <v>154</v>
      </c>
      <c r="BX180" s="129" t="s">
        <v>1011</v>
      </c>
      <c r="BY180" s="129" t="s">
        <v>359</v>
      </c>
      <c r="CA180" s="129" t="s">
        <v>1012</v>
      </c>
      <c r="CB180" s="129" t="s">
        <v>359</v>
      </c>
      <c r="CC180" s="129" t="s">
        <v>359</v>
      </c>
      <c r="CD180" s="129" t="s">
        <v>202</v>
      </c>
      <c r="CE180" s="313"/>
    </row>
    <row r="181" spans="1:83" x14ac:dyDescent="0.25">
      <c r="A181" s="129" t="s">
        <v>1013</v>
      </c>
      <c r="B181" s="129" t="s">
        <v>482</v>
      </c>
      <c r="C181" s="129" t="s">
        <v>353</v>
      </c>
      <c r="D181" s="309">
        <v>45610</v>
      </c>
      <c r="E181" s="309">
        <v>46705</v>
      </c>
      <c r="F181" s="309">
        <v>45719</v>
      </c>
      <c r="G181" s="310" t="s">
        <v>359</v>
      </c>
      <c r="H181" s="310" t="s">
        <v>359</v>
      </c>
      <c r="J181" s="129" t="s">
        <v>266</v>
      </c>
      <c r="K181" s="129" t="s">
        <v>268</v>
      </c>
      <c r="M181" s="191"/>
      <c r="O181" s="129" t="s">
        <v>1014</v>
      </c>
      <c r="P181" s="129" t="s">
        <v>1009</v>
      </c>
      <c r="Q181" s="129" t="s">
        <v>1010</v>
      </c>
      <c r="T181" s="129">
        <v>2</v>
      </c>
      <c r="AA181" s="312">
        <f t="shared" si="38"/>
        <v>2</v>
      </c>
      <c r="AC181" s="129">
        <v>4</v>
      </c>
      <c r="AK181" s="312">
        <f t="shared" si="39"/>
        <v>4</v>
      </c>
      <c r="AL181" s="129">
        <f t="shared" si="40"/>
        <v>4</v>
      </c>
      <c r="AM181" s="129">
        <f t="shared" si="41"/>
        <v>-2</v>
      </c>
      <c r="AN181" s="129">
        <f t="shared" si="42"/>
        <v>0</v>
      </c>
      <c r="AO181" s="129">
        <f t="shared" si="43"/>
        <v>0</v>
      </c>
      <c r="AP181" s="129">
        <f t="shared" si="44"/>
        <v>0</v>
      </c>
      <c r="AQ181" s="129">
        <f t="shared" si="45"/>
        <v>0</v>
      </c>
      <c r="AR181" s="129">
        <f t="shared" si="46"/>
        <v>0</v>
      </c>
      <c r="AS181" s="129">
        <f t="shared" si="47"/>
        <v>0</v>
      </c>
      <c r="AT181" s="312">
        <f t="shared" si="48"/>
        <v>2</v>
      </c>
      <c r="AV181" s="312"/>
      <c r="AW181" s="129">
        <v>2</v>
      </c>
      <c r="BA181" s="314"/>
      <c r="BF181" s="314"/>
      <c r="BL181" s="314"/>
      <c r="BM181" s="129">
        <f t="shared" si="49"/>
        <v>2</v>
      </c>
      <c r="BN181" s="129">
        <f t="shared" si="50"/>
        <v>2</v>
      </c>
      <c r="BR181" s="129">
        <v>517552</v>
      </c>
      <c r="BS181" s="129">
        <v>174330</v>
      </c>
      <c r="BT181" s="129" t="s">
        <v>180</v>
      </c>
      <c r="BU181" s="129" t="s">
        <v>154</v>
      </c>
      <c r="BX181" s="129" t="s">
        <v>1011</v>
      </c>
      <c r="BY181" s="129" t="s">
        <v>359</v>
      </c>
      <c r="CA181" s="129" t="s">
        <v>1012</v>
      </c>
      <c r="CB181" s="129" t="s">
        <v>359</v>
      </c>
      <c r="CC181" s="129" t="s">
        <v>359</v>
      </c>
      <c r="CD181" s="129" t="s">
        <v>202</v>
      </c>
      <c r="CE181" s="313"/>
    </row>
    <row r="182" spans="1:83" x14ac:dyDescent="0.25">
      <c r="A182" s="129" t="s">
        <v>1015</v>
      </c>
      <c r="B182" s="129" t="s">
        <v>369</v>
      </c>
      <c r="C182" s="248" t="s">
        <v>370</v>
      </c>
      <c r="D182" s="309">
        <v>45539</v>
      </c>
      <c r="E182" s="309">
        <v>46634</v>
      </c>
      <c r="F182" s="309">
        <v>45689</v>
      </c>
      <c r="G182" s="310" t="s">
        <v>359</v>
      </c>
      <c r="H182" s="310" t="s">
        <v>359</v>
      </c>
      <c r="I182" s="315">
        <v>45881</v>
      </c>
      <c r="J182" s="129" t="s">
        <v>266</v>
      </c>
      <c r="K182" s="129" t="s">
        <v>268</v>
      </c>
      <c r="M182" s="191"/>
      <c r="O182" s="129" t="s">
        <v>1016</v>
      </c>
      <c r="P182" s="129" t="s">
        <v>1017</v>
      </c>
      <c r="Q182" s="129" t="s">
        <v>1018</v>
      </c>
      <c r="AA182" s="312">
        <f t="shared" si="38"/>
        <v>0</v>
      </c>
      <c r="AE182" s="129">
        <v>1</v>
      </c>
      <c r="AK182" s="312">
        <f t="shared" si="39"/>
        <v>1</v>
      </c>
      <c r="AL182" s="129">
        <f t="shared" si="40"/>
        <v>0</v>
      </c>
      <c r="AM182" s="129">
        <f t="shared" si="41"/>
        <v>0</v>
      </c>
      <c r="AN182" s="129">
        <f t="shared" si="42"/>
        <v>1</v>
      </c>
      <c r="AO182" s="129">
        <f t="shared" si="43"/>
        <v>0</v>
      </c>
      <c r="AP182" s="129">
        <f t="shared" si="44"/>
        <v>0</v>
      </c>
      <c r="AQ182" s="129">
        <f t="shared" si="45"/>
        <v>0</v>
      </c>
      <c r="AR182" s="129">
        <f t="shared" si="46"/>
        <v>0</v>
      </c>
      <c r="AS182" s="129">
        <f t="shared" si="47"/>
        <v>0</v>
      </c>
      <c r="AT182" s="312">
        <f t="shared" si="48"/>
        <v>1</v>
      </c>
      <c r="AV182" s="312"/>
      <c r="AW182" s="129">
        <v>1</v>
      </c>
      <c r="BA182" s="314"/>
      <c r="BF182" s="314"/>
      <c r="BL182" s="314"/>
      <c r="BM182" s="129">
        <f t="shared" si="49"/>
        <v>1</v>
      </c>
      <c r="BN182" s="129">
        <f t="shared" si="50"/>
        <v>1</v>
      </c>
      <c r="BR182" s="129">
        <v>521146</v>
      </c>
      <c r="BS182" s="129">
        <v>176059</v>
      </c>
      <c r="BT182" s="129" t="s">
        <v>175</v>
      </c>
      <c r="BU182" s="129" t="s">
        <v>190</v>
      </c>
      <c r="BW182" s="129" t="s">
        <v>151</v>
      </c>
      <c r="CA182" s="129" t="s">
        <v>802</v>
      </c>
      <c r="CB182" s="129" t="s">
        <v>359</v>
      </c>
      <c r="CC182" s="129" t="s">
        <v>359</v>
      </c>
      <c r="CD182" s="129" t="s">
        <v>199</v>
      </c>
      <c r="CE182" s="313"/>
    </row>
    <row r="183" spans="1:83" x14ac:dyDescent="0.25">
      <c r="A183" s="129" t="s">
        <v>1019</v>
      </c>
      <c r="B183" s="129" t="s">
        <v>369</v>
      </c>
      <c r="C183" s="129" t="s">
        <v>534</v>
      </c>
      <c r="D183" s="309">
        <v>45561</v>
      </c>
      <c r="E183" s="309">
        <v>46656</v>
      </c>
      <c r="F183" s="309">
        <v>45597</v>
      </c>
      <c r="G183" s="310" t="s">
        <v>359</v>
      </c>
      <c r="H183" s="310" t="s">
        <v>359</v>
      </c>
      <c r="I183" s="315">
        <v>45840</v>
      </c>
      <c r="J183" s="129" t="s">
        <v>266</v>
      </c>
      <c r="K183" s="129" t="s">
        <v>268</v>
      </c>
      <c r="M183" s="191"/>
      <c r="O183" s="129" t="s">
        <v>1020</v>
      </c>
      <c r="P183" s="129" t="s">
        <v>1021</v>
      </c>
      <c r="Q183" s="129" t="s">
        <v>1022</v>
      </c>
      <c r="X183" s="129">
        <v>1</v>
      </c>
      <c r="AA183" s="312">
        <f t="shared" si="38"/>
        <v>1</v>
      </c>
      <c r="AG183" s="129">
        <v>1</v>
      </c>
      <c r="AK183" s="312">
        <f t="shared" si="39"/>
        <v>1</v>
      </c>
      <c r="AL183" s="129">
        <f t="shared" si="40"/>
        <v>0</v>
      </c>
      <c r="AM183" s="129">
        <f t="shared" si="41"/>
        <v>0</v>
      </c>
      <c r="AN183" s="129">
        <f t="shared" si="42"/>
        <v>0</v>
      </c>
      <c r="AO183" s="129">
        <f t="shared" si="43"/>
        <v>0</v>
      </c>
      <c r="AP183" s="129">
        <f t="shared" si="44"/>
        <v>1</v>
      </c>
      <c r="AQ183" s="129">
        <f t="shared" si="45"/>
        <v>-1</v>
      </c>
      <c r="AR183" s="129">
        <f t="shared" si="46"/>
        <v>0</v>
      </c>
      <c r="AS183" s="129">
        <f t="shared" si="47"/>
        <v>0</v>
      </c>
      <c r="AT183" s="312">
        <f t="shared" si="48"/>
        <v>0</v>
      </c>
      <c r="AV183" s="312"/>
      <c r="AW183" s="129">
        <v>0</v>
      </c>
      <c r="BA183" s="314"/>
      <c r="BF183" s="314"/>
      <c r="BL183" s="314"/>
      <c r="BM183" s="129">
        <f t="shared" si="49"/>
        <v>0</v>
      </c>
      <c r="BN183" s="129">
        <f t="shared" si="50"/>
        <v>0</v>
      </c>
      <c r="BQ183" s="129" t="s">
        <v>359</v>
      </c>
      <c r="BR183" s="129">
        <v>519351</v>
      </c>
      <c r="BS183" s="129">
        <v>177424</v>
      </c>
      <c r="BT183" s="129" t="s">
        <v>174</v>
      </c>
      <c r="BU183" s="129" t="s">
        <v>150</v>
      </c>
      <c r="CA183" s="129" t="s">
        <v>936</v>
      </c>
      <c r="CB183" s="129" t="s">
        <v>359</v>
      </c>
      <c r="CC183" s="129" t="s">
        <v>359</v>
      </c>
      <c r="CD183" s="129" t="s">
        <v>174</v>
      </c>
      <c r="CE183" s="313"/>
    </row>
    <row r="184" spans="1:83" x14ac:dyDescent="0.25">
      <c r="A184" s="129" t="s">
        <v>1023</v>
      </c>
      <c r="B184" s="129" t="s">
        <v>352</v>
      </c>
      <c r="C184" s="129" t="s">
        <v>353</v>
      </c>
      <c r="D184" s="309">
        <v>45602</v>
      </c>
      <c r="E184" s="309">
        <v>46697</v>
      </c>
      <c r="F184" s="309">
        <v>45474</v>
      </c>
      <c r="G184" s="310" t="s">
        <v>359</v>
      </c>
      <c r="H184" s="310" t="s">
        <v>359</v>
      </c>
      <c r="J184" s="129" t="s">
        <v>266</v>
      </c>
      <c r="K184" s="129" t="s">
        <v>268</v>
      </c>
      <c r="M184" s="191"/>
      <c r="O184" s="129" t="s">
        <v>1024</v>
      </c>
      <c r="P184" s="129" t="s">
        <v>1025</v>
      </c>
      <c r="Q184" s="129" t="s">
        <v>1026</v>
      </c>
      <c r="U184" s="129">
        <v>1</v>
      </c>
      <c r="AA184" s="312">
        <f t="shared" si="38"/>
        <v>1</v>
      </c>
      <c r="AE184" s="129">
        <v>1</v>
      </c>
      <c r="AK184" s="312">
        <f t="shared" si="39"/>
        <v>1</v>
      </c>
      <c r="AL184" s="129">
        <f t="shared" si="40"/>
        <v>0</v>
      </c>
      <c r="AM184" s="129">
        <f t="shared" si="41"/>
        <v>0</v>
      </c>
      <c r="AN184" s="129">
        <f t="shared" si="42"/>
        <v>0</v>
      </c>
      <c r="AO184" s="129">
        <f t="shared" si="43"/>
        <v>0</v>
      </c>
      <c r="AP184" s="129">
        <f t="shared" si="44"/>
        <v>0</v>
      </c>
      <c r="AQ184" s="129">
        <f t="shared" si="45"/>
        <v>0</v>
      </c>
      <c r="AR184" s="129">
        <f t="shared" si="46"/>
        <v>0</v>
      </c>
      <c r="AS184" s="129">
        <f t="shared" si="47"/>
        <v>0</v>
      </c>
      <c r="AT184" s="312">
        <f t="shared" si="48"/>
        <v>0</v>
      </c>
      <c r="AV184" s="312"/>
      <c r="AW184" s="129">
        <v>0</v>
      </c>
      <c r="BA184" s="314"/>
      <c r="BF184" s="314"/>
      <c r="BL184" s="314"/>
      <c r="BM184" s="129">
        <f t="shared" si="49"/>
        <v>0</v>
      </c>
      <c r="BN184" s="129">
        <f t="shared" si="50"/>
        <v>0</v>
      </c>
      <c r="BR184" s="129">
        <v>522350</v>
      </c>
      <c r="BS184" s="129">
        <v>177310</v>
      </c>
      <c r="BT184" s="129" t="s">
        <v>167</v>
      </c>
      <c r="BU184" s="129" t="s">
        <v>190</v>
      </c>
      <c r="CC184" s="129" t="s">
        <v>359</v>
      </c>
      <c r="CD184" s="129" t="s">
        <v>167</v>
      </c>
      <c r="CE184" s="313"/>
    </row>
    <row r="185" spans="1:83" x14ac:dyDescent="0.25">
      <c r="A185" s="129" t="s">
        <v>1027</v>
      </c>
      <c r="B185" s="129" t="s">
        <v>369</v>
      </c>
      <c r="C185" s="248" t="s">
        <v>370</v>
      </c>
      <c r="D185" s="309">
        <v>45645</v>
      </c>
      <c r="E185" s="309">
        <v>46740</v>
      </c>
      <c r="F185" s="309">
        <v>45645</v>
      </c>
      <c r="G185" s="310" t="s">
        <v>359</v>
      </c>
      <c r="H185" s="310" t="s">
        <v>359</v>
      </c>
      <c r="J185" s="129" t="s">
        <v>266</v>
      </c>
      <c r="K185" s="129" t="s">
        <v>268</v>
      </c>
      <c r="M185" s="191"/>
      <c r="O185" s="129" t="s">
        <v>1028</v>
      </c>
      <c r="P185" s="129" t="s">
        <v>1029</v>
      </c>
      <c r="Q185" s="129" t="s">
        <v>1030</v>
      </c>
      <c r="AA185" s="312">
        <f t="shared" si="38"/>
        <v>0</v>
      </c>
      <c r="AD185" s="129">
        <v>1</v>
      </c>
      <c r="AK185" s="312">
        <f t="shared" si="39"/>
        <v>1</v>
      </c>
      <c r="AL185" s="129">
        <f t="shared" si="40"/>
        <v>0</v>
      </c>
      <c r="AM185" s="129">
        <f t="shared" si="41"/>
        <v>1</v>
      </c>
      <c r="AN185" s="129">
        <f t="shared" si="42"/>
        <v>0</v>
      </c>
      <c r="AO185" s="129">
        <f t="shared" si="43"/>
        <v>0</v>
      </c>
      <c r="AP185" s="129">
        <f t="shared" si="44"/>
        <v>0</v>
      </c>
      <c r="AQ185" s="129">
        <f t="shared" si="45"/>
        <v>0</v>
      </c>
      <c r="AR185" s="129">
        <f t="shared" si="46"/>
        <v>0</v>
      </c>
      <c r="AS185" s="129">
        <f t="shared" si="47"/>
        <v>0</v>
      </c>
      <c r="AT185" s="312">
        <f t="shared" si="48"/>
        <v>1</v>
      </c>
      <c r="AV185" s="312"/>
      <c r="AW185" s="129">
        <v>0.5</v>
      </c>
      <c r="AX185" s="129">
        <v>0.5</v>
      </c>
      <c r="BA185" s="314"/>
      <c r="BF185" s="314"/>
      <c r="BL185" s="314"/>
      <c r="BM185" s="129">
        <f t="shared" si="49"/>
        <v>1</v>
      </c>
      <c r="BN185" s="129">
        <f t="shared" si="50"/>
        <v>1</v>
      </c>
      <c r="BR185" s="129">
        <v>520517</v>
      </c>
      <c r="BS185" s="129">
        <v>175511</v>
      </c>
      <c r="BT185" s="129" t="s">
        <v>149</v>
      </c>
      <c r="BU185" s="129" t="s">
        <v>190</v>
      </c>
      <c r="BV185" s="129" t="s">
        <v>149</v>
      </c>
      <c r="CA185" s="129" t="s">
        <v>617</v>
      </c>
      <c r="CB185" s="129" t="s">
        <v>359</v>
      </c>
      <c r="CC185" s="129" t="s">
        <v>359</v>
      </c>
      <c r="CD185" s="129" t="s">
        <v>199</v>
      </c>
      <c r="CE185" s="313"/>
    </row>
    <row r="186" spans="1:83" x14ac:dyDescent="0.25">
      <c r="A186" s="129" t="s">
        <v>1031</v>
      </c>
      <c r="B186" s="129" t="s">
        <v>369</v>
      </c>
      <c r="C186" s="248" t="s">
        <v>370</v>
      </c>
      <c r="D186" s="309">
        <v>45646</v>
      </c>
      <c r="E186" s="309">
        <v>46741</v>
      </c>
      <c r="F186" s="309">
        <v>45717</v>
      </c>
      <c r="G186" s="310" t="s">
        <v>359</v>
      </c>
      <c r="H186" s="310" t="s">
        <v>359</v>
      </c>
      <c r="J186" s="129" t="s">
        <v>266</v>
      </c>
      <c r="K186" s="129" t="s">
        <v>268</v>
      </c>
      <c r="M186" s="191"/>
      <c r="O186" s="129" t="s">
        <v>1032</v>
      </c>
      <c r="P186" s="129" t="s">
        <v>1033</v>
      </c>
      <c r="Q186" s="129" t="s">
        <v>1034</v>
      </c>
      <c r="AA186" s="312">
        <f t="shared" si="38"/>
        <v>0</v>
      </c>
      <c r="AC186" s="129">
        <v>1</v>
      </c>
      <c r="AD186" s="129">
        <v>2</v>
      </c>
      <c r="AK186" s="312">
        <f t="shared" si="39"/>
        <v>3</v>
      </c>
      <c r="AL186" s="129">
        <f t="shared" si="40"/>
        <v>1</v>
      </c>
      <c r="AM186" s="129">
        <f t="shared" si="41"/>
        <v>2</v>
      </c>
      <c r="AN186" s="129">
        <f t="shared" si="42"/>
        <v>0</v>
      </c>
      <c r="AO186" s="129">
        <f t="shared" si="43"/>
        <v>0</v>
      </c>
      <c r="AP186" s="129">
        <f t="shared" si="44"/>
        <v>0</v>
      </c>
      <c r="AQ186" s="129">
        <f t="shared" si="45"/>
        <v>0</v>
      </c>
      <c r="AR186" s="129">
        <f t="shared" si="46"/>
        <v>0</v>
      </c>
      <c r="AS186" s="129">
        <f t="shared" si="47"/>
        <v>0</v>
      </c>
      <c r="AT186" s="312">
        <f t="shared" si="48"/>
        <v>3</v>
      </c>
      <c r="AV186" s="312"/>
      <c r="AW186" s="129">
        <v>3</v>
      </c>
      <c r="BA186" s="314"/>
      <c r="BF186" s="314"/>
      <c r="BL186" s="314"/>
      <c r="BM186" s="129">
        <f t="shared" si="49"/>
        <v>3</v>
      </c>
      <c r="BN186" s="129">
        <f t="shared" si="50"/>
        <v>3</v>
      </c>
      <c r="BR186" s="129">
        <v>522378</v>
      </c>
      <c r="BS186" s="129">
        <v>176584</v>
      </c>
      <c r="BT186" s="129" t="s">
        <v>167</v>
      </c>
      <c r="BU186" s="129" t="s">
        <v>190</v>
      </c>
      <c r="BX186" s="129" t="s">
        <v>1035</v>
      </c>
      <c r="BY186" s="129" t="s">
        <v>359</v>
      </c>
      <c r="CA186" s="129" t="s">
        <v>612</v>
      </c>
      <c r="CB186" s="129" t="s">
        <v>359</v>
      </c>
      <c r="CC186" s="129" t="s">
        <v>359</v>
      </c>
      <c r="CD186" s="129" t="s">
        <v>167</v>
      </c>
      <c r="CE186" s="313"/>
    </row>
    <row r="187" spans="1:83" x14ac:dyDescent="0.25">
      <c r="A187" s="129" t="s">
        <v>1036</v>
      </c>
      <c r="B187" s="129" t="s">
        <v>377</v>
      </c>
      <c r="C187" s="129" t="s">
        <v>353</v>
      </c>
      <c r="D187" s="309">
        <v>45699</v>
      </c>
      <c r="E187" s="309">
        <v>46794</v>
      </c>
      <c r="F187" s="309">
        <v>45719</v>
      </c>
      <c r="G187" s="310" t="s">
        <v>359</v>
      </c>
      <c r="H187" s="310" t="s">
        <v>359</v>
      </c>
      <c r="J187" s="129" t="s">
        <v>266</v>
      </c>
      <c r="K187" s="129" t="s">
        <v>268</v>
      </c>
      <c r="M187" s="191"/>
      <c r="O187" s="129" t="s">
        <v>1037</v>
      </c>
      <c r="P187" s="129" t="s">
        <v>1009</v>
      </c>
      <c r="Q187" s="129" t="s">
        <v>1010</v>
      </c>
      <c r="AA187" s="312">
        <f t="shared" si="38"/>
        <v>0</v>
      </c>
      <c r="AD187" s="129">
        <v>1</v>
      </c>
      <c r="AK187" s="312">
        <f t="shared" si="39"/>
        <v>1</v>
      </c>
      <c r="AL187" s="129">
        <f t="shared" si="40"/>
        <v>0</v>
      </c>
      <c r="AM187" s="129">
        <f t="shared" si="41"/>
        <v>1</v>
      </c>
      <c r="AN187" s="129">
        <f t="shared" si="42"/>
        <v>0</v>
      </c>
      <c r="AO187" s="129">
        <f t="shared" si="43"/>
        <v>0</v>
      </c>
      <c r="AP187" s="129">
        <f t="shared" si="44"/>
        <v>0</v>
      </c>
      <c r="AQ187" s="129">
        <f t="shared" si="45"/>
        <v>0</v>
      </c>
      <c r="AR187" s="129">
        <f t="shared" si="46"/>
        <v>0</v>
      </c>
      <c r="AS187" s="129">
        <f t="shared" si="47"/>
        <v>0</v>
      </c>
      <c r="AT187" s="312">
        <f t="shared" si="48"/>
        <v>1</v>
      </c>
      <c r="AV187" s="312"/>
      <c r="AW187" s="129">
        <v>1</v>
      </c>
      <c r="BA187" s="314"/>
      <c r="BF187" s="314"/>
      <c r="BL187" s="314"/>
      <c r="BM187" s="129">
        <f t="shared" si="49"/>
        <v>1</v>
      </c>
      <c r="BN187" s="129">
        <f t="shared" si="50"/>
        <v>1</v>
      </c>
      <c r="BR187" s="129">
        <v>517552</v>
      </c>
      <c r="BS187" s="129">
        <v>174330</v>
      </c>
      <c r="BT187" s="129" t="s">
        <v>180</v>
      </c>
      <c r="BU187" s="129" t="s">
        <v>154</v>
      </c>
      <c r="BX187" s="129" t="s">
        <v>1011</v>
      </c>
      <c r="BY187" s="129" t="s">
        <v>359</v>
      </c>
      <c r="CA187" s="129" t="s">
        <v>1012</v>
      </c>
      <c r="CB187" s="129" t="s">
        <v>359</v>
      </c>
      <c r="CC187" s="129" t="s">
        <v>359</v>
      </c>
      <c r="CD187" s="129" t="s">
        <v>202</v>
      </c>
      <c r="CE187" s="313"/>
    </row>
    <row r="188" spans="1:83" x14ac:dyDescent="0.25">
      <c r="A188" s="129" t="s">
        <v>1038</v>
      </c>
      <c r="B188" s="129" t="s">
        <v>369</v>
      </c>
      <c r="C188" s="248" t="s">
        <v>370</v>
      </c>
      <c r="D188" s="309">
        <v>45699</v>
      </c>
      <c r="E188" s="309">
        <v>46794</v>
      </c>
      <c r="F188" s="309">
        <v>45747</v>
      </c>
      <c r="G188" s="310" t="s">
        <v>359</v>
      </c>
      <c r="H188" s="310" t="s">
        <v>359</v>
      </c>
      <c r="J188" s="129" t="s">
        <v>266</v>
      </c>
      <c r="K188" s="129" t="s">
        <v>268</v>
      </c>
      <c r="M188" s="191"/>
      <c r="O188" s="129" t="s">
        <v>1039</v>
      </c>
      <c r="P188" s="129" t="s">
        <v>1040</v>
      </c>
      <c r="Q188" s="129" t="s">
        <v>1041</v>
      </c>
      <c r="AA188" s="312">
        <f t="shared" si="38"/>
        <v>0</v>
      </c>
      <c r="AF188" s="129">
        <v>1</v>
      </c>
      <c r="AK188" s="312">
        <f t="shared" si="39"/>
        <v>1</v>
      </c>
      <c r="AL188" s="129">
        <f t="shared" si="40"/>
        <v>0</v>
      </c>
      <c r="AM188" s="129">
        <f t="shared" si="41"/>
        <v>0</v>
      </c>
      <c r="AN188" s="129">
        <f t="shared" si="42"/>
        <v>0</v>
      </c>
      <c r="AO188" s="129">
        <f t="shared" si="43"/>
        <v>1</v>
      </c>
      <c r="AP188" s="129">
        <f t="shared" si="44"/>
        <v>0</v>
      </c>
      <c r="AQ188" s="129">
        <f t="shared" si="45"/>
        <v>0</v>
      </c>
      <c r="AR188" s="129">
        <f t="shared" si="46"/>
        <v>0</v>
      </c>
      <c r="AS188" s="129">
        <f t="shared" si="47"/>
        <v>0</v>
      </c>
      <c r="AT188" s="312">
        <f t="shared" si="48"/>
        <v>1</v>
      </c>
      <c r="AV188" s="312"/>
      <c r="AW188" s="129">
        <v>0.5</v>
      </c>
      <c r="AX188" s="129">
        <v>0.5</v>
      </c>
      <c r="BA188" s="314"/>
      <c r="BF188" s="314"/>
      <c r="BL188" s="314"/>
      <c r="BM188" s="129">
        <f t="shared" si="49"/>
        <v>1</v>
      </c>
      <c r="BN188" s="129">
        <f t="shared" si="50"/>
        <v>1</v>
      </c>
      <c r="BR188" s="129">
        <v>517913</v>
      </c>
      <c r="BS188" s="129">
        <v>175202</v>
      </c>
      <c r="BT188" s="129" t="s">
        <v>177</v>
      </c>
      <c r="BU188" s="129" t="s">
        <v>150</v>
      </c>
      <c r="BV188" s="129" t="s">
        <v>150</v>
      </c>
      <c r="CA188" s="129" t="s">
        <v>606</v>
      </c>
      <c r="CB188" s="129" t="s">
        <v>359</v>
      </c>
      <c r="CC188" s="129" t="s">
        <v>359</v>
      </c>
      <c r="CD188" s="129" t="s">
        <v>200</v>
      </c>
      <c r="CE188" s="313"/>
    </row>
    <row r="189" spans="1:83" x14ac:dyDescent="0.25">
      <c r="A189" s="129" t="s">
        <v>1042</v>
      </c>
      <c r="B189" s="129" t="s">
        <v>352</v>
      </c>
      <c r="C189" s="129" t="s">
        <v>353</v>
      </c>
      <c r="D189" s="309">
        <v>45226</v>
      </c>
      <c r="E189" s="309">
        <v>46322</v>
      </c>
      <c r="J189" s="129" t="s">
        <v>267</v>
      </c>
      <c r="K189" s="129" t="s">
        <v>268</v>
      </c>
      <c r="M189" s="191"/>
      <c r="O189" s="129" t="s">
        <v>1043</v>
      </c>
      <c r="P189" s="129" t="s">
        <v>1044</v>
      </c>
      <c r="Q189" s="129" t="s">
        <v>1045</v>
      </c>
      <c r="AA189" s="312">
        <f t="shared" si="38"/>
        <v>0</v>
      </c>
      <c r="AG189" s="129">
        <v>1</v>
      </c>
      <c r="AK189" s="312">
        <f t="shared" si="39"/>
        <v>1</v>
      </c>
      <c r="AL189" s="129">
        <f t="shared" si="40"/>
        <v>0</v>
      </c>
      <c r="AM189" s="129">
        <f t="shared" si="41"/>
        <v>0</v>
      </c>
      <c r="AN189" s="129">
        <f t="shared" si="42"/>
        <v>0</v>
      </c>
      <c r="AO189" s="129">
        <f t="shared" si="43"/>
        <v>0</v>
      </c>
      <c r="AP189" s="129">
        <f t="shared" si="44"/>
        <v>1</v>
      </c>
      <c r="AQ189" s="129">
        <f t="shared" si="45"/>
        <v>0</v>
      </c>
      <c r="AR189" s="129">
        <f t="shared" si="46"/>
        <v>0</v>
      </c>
      <c r="AS189" s="129">
        <f t="shared" si="47"/>
        <v>0</v>
      </c>
      <c r="AT189" s="312">
        <f t="shared" si="48"/>
        <v>1</v>
      </c>
      <c r="AV189" s="312"/>
      <c r="AW189" s="129">
        <v>0.25</v>
      </c>
      <c r="AX189" s="129">
        <v>0.25</v>
      </c>
      <c r="AY189" s="129">
        <v>0.25</v>
      </c>
      <c r="AZ189" s="129">
        <v>0.25</v>
      </c>
      <c r="BA189" s="314"/>
      <c r="BF189" s="314"/>
      <c r="BL189" s="314"/>
      <c r="BM189" s="129">
        <f t="shared" si="49"/>
        <v>1</v>
      </c>
      <c r="BN189" s="129">
        <f t="shared" si="50"/>
        <v>1</v>
      </c>
      <c r="BR189" s="129">
        <v>513964</v>
      </c>
      <c r="BS189" s="129">
        <v>171432</v>
      </c>
      <c r="BT189" s="129" t="s">
        <v>168</v>
      </c>
      <c r="BU189" s="129" t="s">
        <v>192</v>
      </c>
      <c r="CD189" s="129" t="s">
        <v>198</v>
      </c>
      <c r="CE189" s="313" t="s">
        <v>359</v>
      </c>
    </row>
    <row r="190" spans="1:83" x14ac:dyDescent="0.25">
      <c r="A190" s="129" t="s">
        <v>1046</v>
      </c>
      <c r="B190" s="129" t="s">
        <v>352</v>
      </c>
      <c r="C190" s="129" t="s">
        <v>353</v>
      </c>
      <c r="D190" s="309">
        <v>45169</v>
      </c>
      <c r="E190" s="309">
        <v>46265</v>
      </c>
      <c r="J190" s="129" t="s">
        <v>267</v>
      </c>
      <c r="K190" s="129" t="s">
        <v>268</v>
      </c>
      <c r="M190" s="191"/>
      <c r="O190" s="129" t="s">
        <v>1047</v>
      </c>
      <c r="P190" s="129" t="s">
        <v>1048</v>
      </c>
      <c r="Q190" s="129" t="s">
        <v>1049</v>
      </c>
      <c r="AA190" s="312">
        <f t="shared" si="38"/>
        <v>0</v>
      </c>
      <c r="AG190" s="129">
        <v>2</v>
      </c>
      <c r="AK190" s="312">
        <f t="shared" si="39"/>
        <v>2</v>
      </c>
      <c r="AL190" s="129">
        <f t="shared" si="40"/>
        <v>0</v>
      </c>
      <c r="AM190" s="129">
        <f t="shared" si="41"/>
        <v>0</v>
      </c>
      <c r="AN190" s="129">
        <f t="shared" si="42"/>
        <v>0</v>
      </c>
      <c r="AO190" s="129">
        <f t="shared" si="43"/>
        <v>0</v>
      </c>
      <c r="AP190" s="129">
        <f t="shared" si="44"/>
        <v>2</v>
      </c>
      <c r="AQ190" s="129">
        <f t="shared" si="45"/>
        <v>0</v>
      </c>
      <c r="AR190" s="129">
        <f t="shared" si="46"/>
        <v>0</v>
      </c>
      <c r="AS190" s="129">
        <f t="shared" si="47"/>
        <v>0</v>
      </c>
      <c r="AT190" s="312">
        <f t="shared" si="48"/>
        <v>2</v>
      </c>
      <c r="AV190" s="312"/>
      <c r="AW190" s="129">
        <v>0.5</v>
      </c>
      <c r="AX190" s="129">
        <v>0.5</v>
      </c>
      <c r="AY190" s="129">
        <v>0.5</v>
      </c>
      <c r="AZ190" s="129">
        <v>0.5</v>
      </c>
      <c r="BA190" s="314"/>
      <c r="BF190" s="314"/>
      <c r="BL190" s="314"/>
      <c r="BM190" s="129">
        <f t="shared" si="49"/>
        <v>2</v>
      </c>
      <c r="BN190" s="129">
        <f t="shared" si="50"/>
        <v>2</v>
      </c>
      <c r="BR190" s="129">
        <v>516610</v>
      </c>
      <c r="BS190" s="129">
        <v>174980</v>
      </c>
      <c r="BT190" s="129" t="s">
        <v>179</v>
      </c>
      <c r="BU190" s="129" t="s">
        <v>154</v>
      </c>
      <c r="CA190" s="129" t="s">
        <v>1050</v>
      </c>
      <c r="CB190" s="129" t="s">
        <v>359</v>
      </c>
      <c r="CC190" s="129" t="s">
        <v>359</v>
      </c>
      <c r="CD190" s="129" t="s">
        <v>202</v>
      </c>
      <c r="CE190" s="313" t="s">
        <v>359</v>
      </c>
    </row>
    <row r="191" spans="1:83" x14ac:dyDescent="0.25">
      <c r="A191" s="129" t="s">
        <v>1051</v>
      </c>
      <c r="B191" s="129" t="s">
        <v>352</v>
      </c>
      <c r="C191" s="129" t="s">
        <v>353</v>
      </c>
      <c r="D191" s="309">
        <v>44742</v>
      </c>
      <c r="E191" s="309">
        <v>45838</v>
      </c>
      <c r="F191" s="309">
        <v>45775</v>
      </c>
      <c r="G191" s="310"/>
      <c r="H191" s="310"/>
      <c r="J191" s="129" t="s">
        <v>267</v>
      </c>
      <c r="K191" s="129" t="s">
        <v>268</v>
      </c>
      <c r="M191" s="191"/>
      <c r="O191" s="129" t="s">
        <v>1052</v>
      </c>
      <c r="P191" s="129" t="s">
        <v>1053</v>
      </c>
      <c r="Q191" s="129" t="s">
        <v>1054</v>
      </c>
      <c r="AA191" s="312">
        <f t="shared" si="38"/>
        <v>0</v>
      </c>
      <c r="AD191" s="129">
        <v>1</v>
      </c>
      <c r="AK191" s="312">
        <f t="shared" si="39"/>
        <v>1</v>
      </c>
      <c r="AL191" s="129">
        <f t="shared" si="40"/>
        <v>0</v>
      </c>
      <c r="AM191" s="129">
        <f t="shared" si="41"/>
        <v>1</v>
      </c>
      <c r="AN191" s="129">
        <f t="shared" si="42"/>
        <v>0</v>
      </c>
      <c r="AO191" s="129">
        <f t="shared" si="43"/>
        <v>0</v>
      </c>
      <c r="AP191" s="129">
        <f t="shared" si="44"/>
        <v>0</v>
      </c>
      <c r="AQ191" s="129">
        <f t="shared" si="45"/>
        <v>0</v>
      </c>
      <c r="AR191" s="129">
        <f t="shared" si="46"/>
        <v>0</v>
      </c>
      <c r="AS191" s="129">
        <f t="shared" si="47"/>
        <v>0</v>
      </c>
      <c r="AT191" s="312">
        <f t="shared" si="48"/>
        <v>1</v>
      </c>
      <c r="AV191" s="312"/>
      <c r="AW191" s="129">
        <v>0.5</v>
      </c>
      <c r="AX191" s="129">
        <v>0.5</v>
      </c>
      <c r="BA191" s="314"/>
      <c r="BF191" s="314"/>
      <c r="BL191" s="314"/>
      <c r="BM191" s="129">
        <f t="shared" si="49"/>
        <v>1</v>
      </c>
      <c r="BN191" s="129">
        <f t="shared" si="50"/>
        <v>1</v>
      </c>
      <c r="BR191" s="129">
        <v>518193</v>
      </c>
      <c r="BS191" s="129">
        <v>175740</v>
      </c>
      <c r="BT191" s="129" t="s">
        <v>176</v>
      </c>
      <c r="BU191" s="129" t="s">
        <v>150</v>
      </c>
      <c r="CC191" s="129" t="s">
        <v>359</v>
      </c>
      <c r="CD191" s="129" t="s">
        <v>200</v>
      </c>
      <c r="CE191" s="313"/>
    </row>
    <row r="192" spans="1:83" x14ac:dyDescent="0.25">
      <c r="A192" s="129" t="s">
        <v>1055</v>
      </c>
      <c r="B192" s="129" t="s">
        <v>352</v>
      </c>
      <c r="C192" s="129" t="s">
        <v>353</v>
      </c>
      <c r="D192" s="309">
        <v>45435</v>
      </c>
      <c r="E192" s="309">
        <v>46530</v>
      </c>
      <c r="H192" s="310" t="s">
        <v>359</v>
      </c>
      <c r="J192" s="129" t="s">
        <v>267</v>
      </c>
      <c r="K192" s="320" t="s">
        <v>261</v>
      </c>
      <c r="M192" s="191"/>
      <c r="O192" s="129" t="s">
        <v>1056</v>
      </c>
      <c r="P192" s="129" t="s">
        <v>1057</v>
      </c>
      <c r="Q192" s="129" t="s">
        <v>1058</v>
      </c>
      <c r="AA192" s="312">
        <f t="shared" si="38"/>
        <v>0</v>
      </c>
      <c r="AB192" s="313" t="s">
        <v>359</v>
      </c>
      <c r="AC192" s="129">
        <v>31</v>
      </c>
      <c r="AD192" s="129">
        <v>57</v>
      </c>
      <c r="AE192" s="129">
        <v>15</v>
      </c>
      <c r="AK192" s="312">
        <f t="shared" si="39"/>
        <v>103</v>
      </c>
      <c r="AL192" s="129">
        <f t="shared" si="40"/>
        <v>31</v>
      </c>
      <c r="AM192" s="129">
        <f t="shared" si="41"/>
        <v>57</v>
      </c>
      <c r="AN192" s="129">
        <f t="shared" si="42"/>
        <v>15</v>
      </c>
      <c r="AO192" s="129">
        <f t="shared" si="43"/>
        <v>0</v>
      </c>
      <c r="AP192" s="129">
        <f t="shared" si="44"/>
        <v>0</v>
      </c>
      <c r="AQ192" s="129">
        <f t="shared" si="45"/>
        <v>0</v>
      </c>
      <c r="AR192" s="129">
        <f t="shared" si="46"/>
        <v>0</v>
      </c>
      <c r="AS192" s="129">
        <f t="shared" si="47"/>
        <v>0</v>
      </c>
      <c r="AT192" s="312">
        <f t="shared" si="48"/>
        <v>103</v>
      </c>
      <c r="AU192" s="313" t="s">
        <v>359</v>
      </c>
      <c r="AV192" s="312"/>
      <c r="AZ192" s="321">
        <v>51.5</v>
      </c>
      <c r="BA192" s="322">
        <v>51.5</v>
      </c>
      <c r="BF192" s="314"/>
      <c r="BL192" s="314"/>
      <c r="BM192" s="129">
        <f t="shared" si="49"/>
        <v>103</v>
      </c>
      <c r="BN192" s="129">
        <f t="shared" si="50"/>
        <v>103</v>
      </c>
      <c r="BR192" s="129">
        <v>518903</v>
      </c>
      <c r="BS192" s="129">
        <v>175424</v>
      </c>
      <c r="BT192" s="129" t="s">
        <v>176</v>
      </c>
      <c r="BU192" s="129" t="s">
        <v>150</v>
      </c>
      <c r="CC192" s="129" t="s">
        <v>359</v>
      </c>
      <c r="CD192" s="129" t="s">
        <v>200</v>
      </c>
      <c r="CE192" s="313"/>
    </row>
    <row r="193" spans="1:83" x14ac:dyDescent="0.25">
      <c r="A193" s="129" t="s">
        <v>1055</v>
      </c>
      <c r="B193" s="129" t="s">
        <v>352</v>
      </c>
      <c r="C193" s="129" t="s">
        <v>353</v>
      </c>
      <c r="D193" s="309">
        <v>45435</v>
      </c>
      <c r="E193" s="309">
        <v>46530</v>
      </c>
      <c r="H193" s="310" t="s">
        <v>359</v>
      </c>
      <c r="J193" s="129" t="s">
        <v>267</v>
      </c>
      <c r="K193" s="320" t="s">
        <v>262</v>
      </c>
      <c r="M193" s="191"/>
      <c r="O193" s="129" t="s">
        <v>1056</v>
      </c>
      <c r="P193" s="129" t="s">
        <v>1057</v>
      </c>
      <c r="Q193" s="129" t="s">
        <v>1058</v>
      </c>
      <c r="AA193" s="312">
        <f t="shared" si="38"/>
        <v>0</v>
      </c>
      <c r="AB193" s="313" t="s">
        <v>359</v>
      </c>
      <c r="AC193" s="129">
        <v>25</v>
      </c>
      <c r="AD193" s="129">
        <v>11</v>
      </c>
      <c r="AK193" s="312">
        <f t="shared" si="39"/>
        <v>36</v>
      </c>
      <c r="AL193" s="129">
        <f t="shared" si="40"/>
        <v>25</v>
      </c>
      <c r="AM193" s="129">
        <f t="shared" si="41"/>
        <v>11</v>
      </c>
      <c r="AN193" s="129">
        <f t="shared" si="42"/>
        <v>0</v>
      </c>
      <c r="AO193" s="129">
        <f t="shared" si="43"/>
        <v>0</v>
      </c>
      <c r="AP193" s="129">
        <f t="shared" si="44"/>
        <v>0</v>
      </c>
      <c r="AQ193" s="129">
        <f t="shared" si="45"/>
        <v>0</v>
      </c>
      <c r="AR193" s="129">
        <f t="shared" si="46"/>
        <v>0</v>
      </c>
      <c r="AS193" s="129">
        <f t="shared" si="47"/>
        <v>0</v>
      </c>
      <c r="AT193" s="312">
        <f t="shared" si="48"/>
        <v>36</v>
      </c>
      <c r="AU193" s="313" t="s">
        <v>359</v>
      </c>
      <c r="AV193" s="312"/>
      <c r="AZ193" s="321">
        <v>18</v>
      </c>
      <c r="BA193" s="322">
        <v>18</v>
      </c>
      <c r="BF193" s="314"/>
      <c r="BL193" s="314"/>
      <c r="BM193" s="129">
        <f t="shared" si="49"/>
        <v>36</v>
      </c>
      <c r="BN193" s="129">
        <f t="shared" si="50"/>
        <v>36</v>
      </c>
      <c r="BR193" s="129">
        <v>518903</v>
      </c>
      <c r="BS193" s="129">
        <v>175424</v>
      </c>
      <c r="BT193" s="129" t="s">
        <v>176</v>
      </c>
      <c r="BU193" s="129" t="s">
        <v>150</v>
      </c>
      <c r="CC193" s="129" t="s">
        <v>359</v>
      </c>
      <c r="CD193" s="129" t="s">
        <v>200</v>
      </c>
      <c r="CE193" s="313"/>
    </row>
    <row r="194" spans="1:83" x14ac:dyDescent="0.25">
      <c r="A194" s="129" t="s">
        <v>1055</v>
      </c>
      <c r="B194" s="129" t="s">
        <v>352</v>
      </c>
      <c r="C194" s="129" t="s">
        <v>353</v>
      </c>
      <c r="D194" s="309">
        <v>45435</v>
      </c>
      <c r="E194" s="309">
        <v>46530</v>
      </c>
      <c r="H194" s="310" t="s">
        <v>359</v>
      </c>
      <c r="J194" s="129" t="s">
        <v>267</v>
      </c>
      <c r="K194" s="320" t="s">
        <v>268</v>
      </c>
      <c r="M194" s="191"/>
      <c r="O194" s="129" t="s">
        <v>1056</v>
      </c>
      <c r="P194" s="129" t="s">
        <v>1057</v>
      </c>
      <c r="Q194" s="129" t="s">
        <v>1058</v>
      </c>
      <c r="AA194" s="312">
        <f t="shared" ref="AA194:AA205" si="51">SUM(S194:Z194)</f>
        <v>0</v>
      </c>
      <c r="AC194" s="129">
        <v>116</v>
      </c>
      <c r="AD194" s="129">
        <v>145</v>
      </c>
      <c r="AE194" s="129">
        <v>19</v>
      </c>
      <c r="AK194" s="312">
        <f t="shared" ref="AK194:AK257" si="52">SUM(AC194:AJ194)</f>
        <v>280</v>
      </c>
      <c r="AL194" s="129">
        <f t="shared" ref="AL194:AL257" si="53">AC194-S194</f>
        <v>116</v>
      </c>
      <c r="AM194" s="129">
        <f t="shared" ref="AM194:AM257" si="54">AD194-T194</f>
        <v>145</v>
      </c>
      <c r="AN194" s="129">
        <f t="shared" ref="AN194:AN257" si="55">AE194-U194</f>
        <v>19</v>
      </c>
      <c r="AO194" s="129">
        <f t="shared" ref="AO194:AO257" si="56">AF194-V194</f>
        <v>0</v>
      </c>
      <c r="AP194" s="129">
        <f t="shared" ref="AP194:AP257" si="57">AG194-W194</f>
        <v>0</v>
      </c>
      <c r="AQ194" s="129">
        <f t="shared" ref="AQ194:AQ257" si="58">AH194-X194</f>
        <v>0</v>
      </c>
      <c r="AR194" s="129">
        <f t="shared" ref="AR194:AR257" si="59">AI194-Y194</f>
        <v>0</v>
      </c>
      <c r="AS194" s="129">
        <f t="shared" ref="AS194:AS257" si="60">AJ194-Z194</f>
        <v>0</v>
      </c>
      <c r="AT194" s="312">
        <f t="shared" ref="AT194:AT257" si="61">AK194-AA194</f>
        <v>280</v>
      </c>
      <c r="AU194" s="313" t="s">
        <v>359</v>
      </c>
      <c r="AV194" s="312"/>
      <c r="AZ194" s="321">
        <v>140</v>
      </c>
      <c r="BA194" s="322">
        <v>140</v>
      </c>
      <c r="BF194" s="314"/>
      <c r="BL194" s="314"/>
      <c r="BM194" s="129">
        <f t="shared" si="49"/>
        <v>280</v>
      </c>
      <c r="BN194" s="129">
        <f t="shared" si="50"/>
        <v>280</v>
      </c>
      <c r="BR194" s="129">
        <v>518903</v>
      </c>
      <c r="BS194" s="129">
        <v>175424</v>
      </c>
      <c r="BT194" s="129" t="s">
        <v>176</v>
      </c>
      <c r="BU194" s="129" t="s">
        <v>150</v>
      </c>
      <c r="CC194" s="129" t="s">
        <v>359</v>
      </c>
      <c r="CD194" s="129" t="s">
        <v>200</v>
      </c>
      <c r="CE194" s="313"/>
    </row>
    <row r="195" spans="1:83" x14ac:dyDescent="0.25">
      <c r="A195" s="129" t="s">
        <v>1055</v>
      </c>
      <c r="B195" s="129" t="s">
        <v>352</v>
      </c>
      <c r="C195" s="129" t="s">
        <v>353</v>
      </c>
      <c r="D195" s="309">
        <v>45435</v>
      </c>
      <c r="E195" s="309">
        <v>46530</v>
      </c>
      <c r="H195" s="310" t="s">
        <v>359</v>
      </c>
      <c r="J195" s="129" t="s">
        <v>267</v>
      </c>
      <c r="K195" s="320" t="s">
        <v>263</v>
      </c>
      <c r="M195" s="191"/>
      <c r="O195" s="129" t="s">
        <v>1056</v>
      </c>
      <c r="P195" s="129" t="s">
        <v>1057</v>
      </c>
      <c r="Q195" s="129" t="s">
        <v>1058</v>
      </c>
      <c r="AA195" s="312">
        <f t="shared" si="51"/>
        <v>0</v>
      </c>
      <c r="AB195" s="313" t="s">
        <v>359</v>
      </c>
      <c r="AC195" s="129">
        <v>1</v>
      </c>
      <c r="AD195" s="129">
        <v>33</v>
      </c>
      <c r="AK195" s="312">
        <f t="shared" si="52"/>
        <v>34</v>
      </c>
      <c r="AL195" s="129">
        <f t="shared" si="53"/>
        <v>1</v>
      </c>
      <c r="AM195" s="129">
        <f t="shared" si="54"/>
        <v>33</v>
      </c>
      <c r="AN195" s="129">
        <f t="shared" si="55"/>
        <v>0</v>
      </c>
      <c r="AO195" s="129">
        <f t="shared" si="56"/>
        <v>0</v>
      </c>
      <c r="AP195" s="129">
        <f t="shared" si="57"/>
        <v>0</v>
      </c>
      <c r="AQ195" s="129">
        <f t="shared" si="58"/>
        <v>0</v>
      </c>
      <c r="AR195" s="129">
        <f t="shared" si="59"/>
        <v>0</v>
      </c>
      <c r="AS195" s="129">
        <f t="shared" si="60"/>
        <v>0</v>
      </c>
      <c r="AT195" s="312">
        <f t="shared" si="61"/>
        <v>34</v>
      </c>
      <c r="AU195" s="313" t="s">
        <v>359</v>
      </c>
      <c r="AV195" s="312"/>
      <c r="AZ195" s="321">
        <v>17</v>
      </c>
      <c r="BA195" s="322">
        <v>17</v>
      </c>
      <c r="BF195" s="314"/>
      <c r="BL195" s="314"/>
      <c r="BM195" s="129">
        <f t="shared" si="49"/>
        <v>34</v>
      </c>
      <c r="BN195" s="129">
        <f t="shared" si="50"/>
        <v>34</v>
      </c>
      <c r="BR195" s="129">
        <v>518903</v>
      </c>
      <c r="BS195" s="129">
        <v>175424</v>
      </c>
      <c r="BT195" s="129" t="s">
        <v>176</v>
      </c>
      <c r="BU195" s="129" t="s">
        <v>150</v>
      </c>
      <c r="CC195" s="129" t="s">
        <v>359</v>
      </c>
      <c r="CD195" s="129" t="s">
        <v>200</v>
      </c>
      <c r="CE195" s="313"/>
    </row>
    <row r="196" spans="1:83" x14ac:dyDescent="0.25">
      <c r="A196" s="129" t="s">
        <v>1059</v>
      </c>
      <c r="B196" s="129" t="s">
        <v>352</v>
      </c>
      <c r="C196" s="129" t="s">
        <v>353</v>
      </c>
      <c r="D196" s="309">
        <v>45117</v>
      </c>
      <c r="E196" s="309">
        <v>46213</v>
      </c>
      <c r="J196" s="129" t="s">
        <v>267</v>
      </c>
      <c r="K196" s="129" t="s">
        <v>268</v>
      </c>
      <c r="M196" s="191"/>
      <c r="O196" s="129" t="s">
        <v>1060</v>
      </c>
      <c r="P196" s="129" t="s">
        <v>1061</v>
      </c>
      <c r="Q196" s="129" t="s">
        <v>1062</v>
      </c>
      <c r="AA196" s="312">
        <f t="shared" si="51"/>
        <v>0</v>
      </c>
      <c r="AC196" s="129">
        <v>3</v>
      </c>
      <c r="AD196" s="129">
        <v>5</v>
      </c>
      <c r="AK196" s="312">
        <f t="shared" si="52"/>
        <v>8</v>
      </c>
      <c r="AL196" s="129">
        <f t="shared" si="53"/>
        <v>3</v>
      </c>
      <c r="AM196" s="129">
        <f t="shared" si="54"/>
        <v>5</v>
      </c>
      <c r="AN196" s="129">
        <f t="shared" si="55"/>
        <v>0</v>
      </c>
      <c r="AO196" s="129">
        <f t="shared" si="56"/>
        <v>0</v>
      </c>
      <c r="AP196" s="129">
        <f t="shared" si="57"/>
        <v>0</v>
      </c>
      <c r="AQ196" s="129">
        <f t="shared" si="58"/>
        <v>0</v>
      </c>
      <c r="AR196" s="129">
        <f t="shared" si="59"/>
        <v>0</v>
      </c>
      <c r="AS196" s="129">
        <f t="shared" si="60"/>
        <v>0</v>
      </c>
      <c r="AT196" s="312">
        <f t="shared" si="61"/>
        <v>8</v>
      </c>
      <c r="AV196" s="312"/>
      <c r="AX196" s="129">
        <v>2</v>
      </c>
      <c r="AY196" s="129">
        <v>2</v>
      </c>
      <c r="AZ196" s="129">
        <v>2</v>
      </c>
      <c r="BA196" s="314">
        <v>2</v>
      </c>
      <c r="BF196" s="314"/>
      <c r="BL196" s="314"/>
      <c r="BM196" s="129">
        <f t="shared" si="49"/>
        <v>8</v>
      </c>
      <c r="BN196" s="129">
        <f t="shared" si="50"/>
        <v>8</v>
      </c>
      <c r="BR196" s="129">
        <v>516986</v>
      </c>
      <c r="BS196" s="129">
        <v>170503</v>
      </c>
      <c r="BT196" s="129" t="s">
        <v>172</v>
      </c>
      <c r="BU196" s="129" t="s">
        <v>192</v>
      </c>
      <c r="CC196" s="129" t="s">
        <v>359</v>
      </c>
      <c r="CD196" s="129" t="s">
        <v>201</v>
      </c>
      <c r="CE196" s="313" t="s">
        <v>359</v>
      </c>
    </row>
    <row r="197" spans="1:83" x14ac:dyDescent="0.25">
      <c r="A197" s="129" t="s">
        <v>1063</v>
      </c>
      <c r="B197" s="129" t="s">
        <v>352</v>
      </c>
      <c r="C197" s="129" t="s">
        <v>353</v>
      </c>
      <c r="D197" s="309">
        <v>44529</v>
      </c>
      <c r="E197" s="309">
        <v>45971</v>
      </c>
      <c r="J197" s="129" t="s">
        <v>267</v>
      </c>
      <c r="K197" s="129" t="s">
        <v>268</v>
      </c>
      <c r="M197" s="191"/>
      <c r="O197" s="129" t="s">
        <v>1064</v>
      </c>
      <c r="P197" s="129" t="s">
        <v>1065</v>
      </c>
      <c r="Q197" s="129" t="s">
        <v>671</v>
      </c>
      <c r="AA197" s="312">
        <f t="shared" si="51"/>
        <v>0</v>
      </c>
      <c r="AD197" s="129">
        <v>2</v>
      </c>
      <c r="AK197" s="312">
        <f t="shared" si="52"/>
        <v>2</v>
      </c>
      <c r="AL197" s="129">
        <f t="shared" si="53"/>
        <v>0</v>
      </c>
      <c r="AM197" s="129">
        <f t="shared" si="54"/>
        <v>2</v>
      </c>
      <c r="AN197" s="129">
        <f t="shared" si="55"/>
        <v>0</v>
      </c>
      <c r="AO197" s="129">
        <f t="shared" si="56"/>
        <v>0</v>
      </c>
      <c r="AP197" s="129">
        <f t="shared" si="57"/>
        <v>0</v>
      </c>
      <c r="AQ197" s="129">
        <f t="shared" si="58"/>
        <v>0</v>
      </c>
      <c r="AR197" s="129">
        <f t="shared" si="59"/>
        <v>0</v>
      </c>
      <c r="AS197" s="129">
        <f t="shared" si="60"/>
        <v>0</v>
      </c>
      <c r="AT197" s="312">
        <f t="shared" si="61"/>
        <v>2</v>
      </c>
      <c r="AV197" s="312"/>
      <c r="AX197" s="129">
        <v>0.5</v>
      </c>
      <c r="AY197" s="129">
        <v>0.5</v>
      </c>
      <c r="AZ197" s="129">
        <v>0.5</v>
      </c>
      <c r="BA197" s="314">
        <v>0.5</v>
      </c>
      <c r="BF197" s="314"/>
      <c r="BL197" s="314"/>
      <c r="BM197" s="129">
        <f t="shared" si="49"/>
        <v>2</v>
      </c>
      <c r="BN197" s="129">
        <f t="shared" si="50"/>
        <v>2</v>
      </c>
      <c r="BR197" s="129">
        <v>517060</v>
      </c>
      <c r="BS197" s="129">
        <v>170217</v>
      </c>
      <c r="BT197" s="129" t="s">
        <v>172</v>
      </c>
      <c r="BU197" s="129" t="s">
        <v>192</v>
      </c>
      <c r="CA197" s="129" t="s">
        <v>1066</v>
      </c>
      <c r="CB197" s="129" t="s">
        <v>359</v>
      </c>
      <c r="CC197" s="129" t="s">
        <v>359</v>
      </c>
      <c r="CD197" s="129" t="s">
        <v>201</v>
      </c>
      <c r="CE197" s="313" t="s">
        <v>359</v>
      </c>
    </row>
    <row r="198" spans="1:83" x14ac:dyDescent="0.25">
      <c r="A198" s="129" t="s">
        <v>1067</v>
      </c>
      <c r="B198" s="129" t="s">
        <v>352</v>
      </c>
      <c r="C198" s="129" t="s">
        <v>353</v>
      </c>
      <c r="D198" s="309">
        <v>44854</v>
      </c>
      <c r="E198" s="309">
        <v>45950</v>
      </c>
      <c r="J198" s="129" t="s">
        <v>267</v>
      </c>
      <c r="K198" s="129" t="s">
        <v>268</v>
      </c>
      <c r="M198" s="191"/>
      <c r="O198" s="129" t="s">
        <v>1068</v>
      </c>
      <c r="P198" s="129" t="s">
        <v>1069</v>
      </c>
      <c r="Q198" s="129" t="s">
        <v>671</v>
      </c>
      <c r="AA198" s="312">
        <f t="shared" si="51"/>
        <v>0</v>
      </c>
      <c r="AD198" s="129">
        <v>3</v>
      </c>
      <c r="AK198" s="312">
        <f t="shared" si="52"/>
        <v>3</v>
      </c>
      <c r="AL198" s="129">
        <f t="shared" si="53"/>
        <v>0</v>
      </c>
      <c r="AM198" s="129">
        <f t="shared" si="54"/>
        <v>3</v>
      </c>
      <c r="AN198" s="129">
        <f t="shared" si="55"/>
        <v>0</v>
      </c>
      <c r="AO198" s="129">
        <f t="shared" si="56"/>
        <v>0</v>
      </c>
      <c r="AP198" s="129">
        <f t="shared" si="57"/>
        <v>0</v>
      </c>
      <c r="AQ198" s="129">
        <f t="shared" si="58"/>
        <v>0</v>
      </c>
      <c r="AR198" s="129">
        <f t="shared" si="59"/>
        <v>0</v>
      </c>
      <c r="AS198" s="129">
        <f t="shared" si="60"/>
        <v>0</v>
      </c>
      <c r="AT198" s="312">
        <f t="shared" si="61"/>
        <v>3</v>
      </c>
      <c r="AV198" s="312"/>
      <c r="AW198" s="129">
        <v>0.75</v>
      </c>
      <c r="AX198" s="129">
        <v>0.75</v>
      </c>
      <c r="AY198" s="129">
        <v>0.75</v>
      </c>
      <c r="AZ198" s="129">
        <v>0.75</v>
      </c>
      <c r="BA198" s="314"/>
      <c r="BF198" s="314"/>
      <c r="BL198" s="314"/>
      <c r="BM198" s="129">
        <f t="shared" si="49"/>
        <v>3</v>
      </c>
      <c r="BN198" s="129">
        <f t="shared" si="50"/>
        <v>3</v>
      </c>
      <c r="BR198" s="129">
        <v>516900</v>
      </c>
      <c r="BS198" s="129">
        <v>170739</v>
      </c>
      <c r="BT198" s="129" t="s">
        <v>172</v>
      </c>
      <c r="BU198" s="129" t="s">
        <v>192</v>
      </c>
      <c r="CC198" s="129" t="s">
        <v>359</v>
      </c>
      <c r="CD198" s="129" t="s">
        <v>201</v>
      </c>
      <c r="CE198" s="313"/>
    </row>
    <row r="199" spans="1:83" x14ac:dyDescent="0.25">
      <c r="A199" s="129" t="s">
        <v>1070</v>
      </c>
      <c r="B199" s="129" t="s">
        <v>382</v>
      </c>
      <c r="C199" s="129" t="s">
        <v>353</v>
      </c>
      <c r="D199" s="309">
        <v>45526</v>
      </c>
      <c r="E199" s="309">
        <v>46621</v>
      </c>
      <c r="H199" s="310" t="s">
        <v>359</v>
      </c>
      <c r="J199" s="129" t="s">
        <v>267</v>
      </c>
      <c r="K199" s="129" t="s">
        <v>268</v>
      </c>
      <c r="M199" s="191"/>
      <c r="O199" s="129" t="s">
        <v>1071</v>
      </c>
      <c r="P199" s="129" t="s">
        <v>1072</v>
      </c>
      <c r="Q199" s="129" t="s">
        <v>1073</v>
      </c>
      <c r="S199" s="129">
        <v>1</v>
      </c>
      <c r="U199" s="129">
        <v>1</v>
      </c>
      <c r="AA199" s="312">
        <f t="shared" si="51"/>
        <v>2</v>
      </c>
      <c r="AC199" s="129">
        <v>2</v>
      </c>
      <c r="AD199" s="129">
        <v>2</v>
      </c>
      <c r="AK199" s="312">
        <f t="shared" si="52"/>
        <v>4</v>
      </c>
      <c r="AL199" s="129">
        <f t="shared" si="53"/>
        <v>1</v>
      </c>
      <c r="AM199" s="129">
        <f t="shared" si="54"/>
        <v>2</v>
      </c>
      <c r="AN199" s="129">
        <f t="shared" si="55"/>
        <v>-1</v>
      </c>
      <c r="AO199" s="129">
        <f t="shared" si="56"/>
        <v>0</v>
      </c>
      <c r="AP199" s="129">
        <f t="shared" si="57"/>
        <v>0</v>
      </c>
      <c r="AQ199" s="129">
        <f t="shared" si="58"/>
        <v>0</v>
      </c>
      <c r="AR199" s="129">
        <f t="shared" si="59"/>
        <v>0</v>
      </c>
      <c r="AS199" s="129">
        <f t="shared" si="60"/>
        <v>0</v>
      </c>
      <c r="AT199" s="312">
        <f t="shared" si="61"/>
        <v>2</v>
      </c>
      <c r="AV199" s="312"/>
      <c r="AW199" s="129">
        <v>0.5</v>
      </c>
      <c r="AX199" s="129">
        <v>0.5</v>
      </c>
      <c r="AY199" s="129">
        <v>0.5</v>
      </c>
      <c r="AZ199" s="129">
        <v>0.5</v>
      </c>
      <c r="BA199" s="314"/>
      <c r="BF199" s="314"/>
      <c r="BL199" s="314"/>
      <c r="BM199" s="129">
        <f t="shared" si="49"/>
        <v>2</v>
      </c>
      <c r="BN199" s="129">
        <f t="shared" si="50"/>
        <v>2</v>
      </c>
      <c r="BR199" s="129">
        <v>514662</v>
      </c>
      <c r="BS199" s="129">
        <v>171708</v>
      </c>
      <c r="BT199" s="129" t="s">
        <v>168</v>
      </c>
      <c r="BU199" s="129" t="s">
        <v>192</v>
      </c>
      <c r="CC199" s="129" t="s">
        <v>359</v>
      </c>
      <c r="CD199" s="129" t="s">
        <v>201</v>
      </c>
      <c r="CE199" s="313"/>
    </row>
    <row r="200" spans="1:83" x14ac:dyDescent="0.25">
      <c r="A200" s="129" t="s">
        <v>1074</v>
      </c>
      <c r="B200" s="129" t="s">
        <v>382</v>
      </c>
      <c r="C200" s="129" t="s">
        <v>353</v>
      </c>
      <c r="D200" s="309">
        <v>45239</v>
      </c>
      <c r="E200" s="309">
        <v>46335</v>
      </c>
      <c r="J200" s="129" t="s">
        <v>267</v>
      </c>
      <c r="K200" s="129" t="s">
        <v>268</v>
      </c>
      <c r="M200" s="191"/>
      <c r="O200" s="129" t="s">
        <v>1075</v>
      </c>
      <c r="P200" s="129" t="s">
        <v>1076</v>
      </c>
      <c r="Q200" s="129" t="s">
        <v>1077</v>
      </c>
      <c r="S200" s="129">
        <v>1</v>
      </c>
      <c r="AA200" s="312">
        <f t="shared" si="51"/>
        <v>1</v>
      </c>
      <c r="AC200" s="129">
        <v>7</v>
      </c>
      <c r="AE200" s="129">
        <v>1</v>
      </c>
      <c r="AK200" s="312">
        <f t="shared" si="52"/>
        <v>8</v>
      </c>
      <c r="AL200" s="129">
        <f t="shared" si="53"/>
        <v>6</v>
      </c>
      <c r="AM200" s="129">
        <f t="shared" si="54"/>
        <v>0</v>
      </c>
      <c r="AN200" s="129">
        <f t="shared" si="55"/>
        <v>1</v>
      </c>
      <c r="AO200" s="129">
        <f t="shared" si="56"/>
        <v>0</v>
      </c>
      <c r="AP200" s="129">
        <f t="shared" si="57"/>
        <v>0</v>
      </c>
      <c r="AQ200" s="129">
        <f t="shared" si="58"/>
        <v>0</v>
      </c>
      <c r="AR200" s="129">
        <f t="shared" si="59"/>
        <v>0</v>
      </c>
      <c r="AS200" s="129">
        <f t="shared" si="60"/>
        <v>0</v>
      </c>
      <c r="AT200" s="312">
        <f t="shared" si="61"/>
        <v>7</v>
      </c>
      <c r="AV200" s="312"/>
      <c r="AX200" s="129">
        <v>3.5</v>
      </c>
      <c r="AY200" s="129">
        <v>3.5</v>
      </c>
      <c r="BA200" s="314"/>
      <c r="BF200" s="314"/>
      <c r="BL200" s="314"/>
      <c r="BM200" s="129">
        <f t="shared" si="49"/>
        <v>7</v>
      </c>
      <c r="BN200" s="129">
        <f t="shared" si="50"/>
        <v>7</v>
      </c>
      <c r="BR200" s="129">
        <v>517534</v>
      </c>
      <c r="BS200" s="129">
        <v>169493</v>
      </c>
      <c r="BT200" s="129" t="s">
        <v>172</v>
      </c>
      <c r="BU200" s="129" t="s">
        <v>192</v>
      </c>
      <c r="BX200" s="129" t="s">
        <v>526</v>
      </c>
      <c r="BY200" s="129" t="s">
        <v>359</v>
      </c>
      <c r="CA200" s="129" t="s">
        <v>527</v>
      </c>
      <c r="CB200" s="129" t="s">
        <v>359</v>
      </c>
      <c r="CC200" s="129" t="s">
        <v>359</v>
      </c>
      <c r="CD200" s="129" t="s">
        <v>201</v>
      </c>
      <c r="CE200" s="313"/>
    </row>
    <row r="201" spans="1:83" x14ac:dyDescent="0.25">
      <c r="A201" s="129" t="s">
        <v>1078</v>
      </c>
      <c r="B201" s="129" t="s">
        <v>377</v>
      </c>
      <c r="C201" s="129" t="s">
        <v>353</v>
      </c>
      <c r="D201" s="309">
        <v>44939</v>
      </c>
      <c r="E201" s="309">
        <v>46035</v>
      </c>
      <c r="J201" s="129" t="s">
        <v>267</v>
      </c>
      <c r="K201" s="129" t="s">
        <v>268</v>
      </c>
      <c r="M201" s="191"/>
      <c r="O201" s="129" t="s">
        <v>1079</v>
      </c>
      <c r="P201" s="129" t="s">
        <v>1080</v>
      </c>
      <c r="Q201" s="129" t="s">
        <v>1081</v>
      </c>
      <c r="AA201" s="312">
        <f t="shared" si="51"/>
        <v>0</v>
      </c>
      <c r="AC201" s="129">
        <v>1</v>
      </c>
      <c r="AK201" s="312">
        <f t="shared" si="52"/>
        <v>1</v>
      </c>
      <c r="AL201" s="129">
        <f t="shared" si="53"/>
        <v>1</v>
      </c>
      <c r="AM201" s="129">
        <f t="shared" si="54"/>
        <v>0</v>
      </c>
      <c r="AN201" s="129">
        <f t="shared" si="55"/>
        <v>0</v>
      </c>
      <c r="AO201" s="129">
        <f t="shared" si="56"/>
        <v>0</v>
      </c>
      <c r="AP201" s="129">
        <f t="shared" si="57"/>
        <v>0</v>
      </c>
      <c r="AQ201" s="129">
        <f t="shared" si="58"/>
        <v>0</v>
      </c>
      <c r="AR201" s="129">
        <f t="shared" si="59"/>
        <v>0</v>
      </c>
      <c r="AS201" s="129">
        <f t="shared" si="60"/>
        <v>0</v>
      </c>
      <c r="AT201" s="312">
        <f t="shared" si="61"/>
        <v>1</v>
      </c>
      <c r="AV201" s="312"/>
      <c r="AW201" s="129">
        <v>0.25</v>
      </c>
      <c r="AX201" s="129">
        <v>0.25</v>
      </c>
      <c r="AY201" s="129">
        <v>0.25</v>
      </c>
      <c r="AZ201" s="129">
        <v>0.25</v>
      </c>
      <c r="BA201" s="314"/>
      <c r="BF201" s="314"/>
      <c r="BL201" s="314"/>
      <c r="BM201" s="129">
        <f t="shared" si="49"/>
        <v>1</v>
      </c>
      <c r="BN201" s="129">
        <f t="shared" si="50"/>
        <v>1</v>
      </c>
      <c r="BR201" s="129">
        <v>513359</v>
      </c>
      <c r="BS201" s="129">
        <v>169765</v>
      </c>
      <c r="BT201" s="129" t="s">
        <v>170</v>
      </c>
      <c r="BU201" s="129" t="s">
        <v>192</v>
      </c>
      <c r="CC201" s="129" t="s">
        <v>359</v>
      </c>
      <c r="CD201" s="129" t="s">
        <v>198</v>
      </c>
      <c r="CE201" s="313"/>
    </row>
    <row r="202" spans="1:83" x14ac:dyDescent="0.25">
      <c r="A202" s="129" t="s">
        <v>1082</v>
      </c>
      <c r="B202" s="129" t="s">
        <v>377</v>
      </c>
      <c r="C202" s="129" t="s">
        <v>353</v>
      </c>
      <c r="D202" s="309">
        <v>45302</v>
      </c>
      <c r="E202" s="309">
        <v>46398</v>
      </c>
      <c r="J202" s="129" t="s">
        <v>267</v>
      </c>
      <c r="K202" s="129" t="s">
        <v>268</v>
      </c>
      <c r="M202" s="191"/>
      <c r="O202" s="129" t="s">
        <v>1083</v>
      </c>
      <c r="P202" s="129" t="s">
        <v>1084</v>
      </c>
      <c r="Q202" s="129" t="s">
        <v>1085</v>
      </c>
      <c r="AA202" s="312">
        <f t="shared" si="51"/>
        <v>0</v>
      </c>
      <c r="AC202" s="129">
        <v>3</v>
      </c>
      <c r="AD202" s="129">
        <v>1</v>
      </c>
      <c r="AK202" s="312">
        <f t="shared" si="52"/>
        <v>4</v>
      </c>
      <c r="AL202" s="129">
        <f t="shared" si="53"/>
        <v>3</v>
      </c>
      <c r="AM202" s="129">
        <f t="shared" si="54"/>
        <v>1</v>
      </c>
      <c r="AN202" s="129">
        <f t="shared" si="55"/>
        <v>0</v>
      </c>
      <c r="AO202" s="129">
        <f t="shared" si="56"/>
        <v>0</v>
      </c>
      <c r="AP202" s="129">
        <f t="shared" si="57"/>
        <v>0</v>
      </c>
      <c r="AQ202" s="129">
        <f t="shared" si="58"/>
        <v>0</v>
      </c>
      <c r="AR202" s="129">
        <f t="shared" si="59"/>
        <v>0</v>
      </c>
      <c r="AS202" s="129">
        <f t="shared" si="60"/>
        <v>0</v>
      </c>
      <c r="AT202" s="312">
        <f t="shared" si="61"/>
        <v>4</v>
      </c>
      <c r="AV202" s="312"/>
      <c r="AX202" s="129">
        <v>1</v>
      </c>
      <c r="AY202" s="129">
        <v>1</v>
      </c>
      <c r="AZ202" s="129">
        <v>1</v>
      </c>
      <c r="BA202" s="314">
        <v>1</v>
      </c>
      <c r="BF202" s="314"/>
      <c r="BL202" s="314"/>
      <c r="BM202" s="129">
        <f t="shared" si="49"/>
        <v>4</v>
      </c>
      <c r="BN202" s="129">
        <f t="shared" si="50"/>
        <v>4</v>
      </c>
      <c r="BR202" s="129">
        <v>515974</v>
      </c>
      <c r="BS202" s="129">
        <v>173142</v>
      </c>
      <c r="BT202" s="129" t="s">
        <v>180</v>
      </c>
      <c r="BU202" s="129" t="s">
        <v>154</v>
      </c>
      <c r="BV202" s="129" t="s">
        <v>154</v>
      </c>
      <c r="CC202" s="129" t="s">
        <v>359</v>
      </c>
      <c r="CD202" s="129" t="s">
        <v>202</v>
      </c>
      <c r="CE202" s="313"/>
    </row>
    <row r="203" spans="1:83" x14ac:dyDescent="0.25">
      <c r="A203" s="129" t="s">
        <v>1086</v>
      </c>
      <c r="B203" s="129" t="s">
        <v>352</v>
      </c>
      <c r="C203" s="129" t="s">
        <v>353</v>
      </c>
      <c r="D203" s="309">
        <v>44817</v>
      </c>
      <c r="E203" s="309">
        <v>45913</v>
      </c>
      <c r="F203" s="309">
        <v>45748</v>
      </c>
      <c r="G203" s="310"/>
      <c r="H203" s="310"/>
      <c r="J203" s="129" t="s">
        <v>267</v>
      </c>
      <c r="K203" s="129" t="s">
        <v>268</v>
      </c>
      <c r="M203" s="191"/>
      <c r="O203" s="129" t="s">
        <v>1087</v>
      </c>
      <c r="P203" s="129" t="s">
        <v>1088</v>
      </c>
      <c r="Q203" s="129" t="s">
        <v>1089</v>
      </c>
      <c r="U203" s="129">
        <v>1</v>
      </c>
      <c r="AA203" s="312">
        <f t="shared" si="51"/>
        <v>1</v>
      </c>
      <c r="AG203" s="129">
        <v>1</v>
      </c>
      <c r="AK203" s="312">
        <f t="shared" si="52"/>
        <v>1</v>
      </c>
      <c r="AL203" s="129">
        <f t="shared" si="53"/>
        <v>0</v>
      </c>
      <c r="AM203" s="129">
        <f t="shared" si="54"/>
        <v>0</v>
      </c>
      <c r="AN203" s="129">
        <f t="shared" si="55"/>
        <v>-1</v>
      </c>
      <c r="AO203" s="129">
        <f t="shared" si="56"/>
        <v>0</v>
      </c>
      <c r="AP203" s="129">
        <f t="shared" si="57"/>
        <v>1</v>
      </c>
      <c r="AQ203" s="129">
        <f t="shared" si="58"/>
        <v>0</v>
      </c>
      <c r="AR203" s="129">
        <f t="shared" si="59"/>
        <v>0</v>
      </c>
      <c r="AS203" s="129">
        <f t="shared" si="60"/>
        <v>0</v>
      </c>
      <c r="AT203" s="312">
        <f t="shared" si="61"/>
        <v>0</v>
      </c>
      <c r="AV203" s="312"/>
      <c r="AW203" s="129">
        <v>0</v>
      </c>
      <c r="BA203" s="314"/>
      <c r="BF203" s="314"/>
      <c r="BL203" s="314"/>
      <c r="BM203" s="129">
        <f t="shared" si="49"/>
        <v>0</v>
      </c>
      <c r="BN203" s="129">
        <f t="shared" si="50"/>
        <v>0</v>
      </c>
      <c r="BR203" s="129">
        <v>513868</v>
      </c>
      <c r="BS203" s="129">
        <v>169976</v>
      </c>
      <c r="BT203" s="129" t="s">
        <v>170</v>
      </c>
      <c r="BU203" s="129" t="s">
        <v>192</v>
      </c>
      <c r="CC203" s="129" t="s">
        <v>359</v>
      </c>
      <c r="CD203" s="129" t="s">
        <v>198</v>
      </c>
      <c r="CE203" s="313"/>
    </row>
    <row r="204" spans="1:83" x14ac:dyDescent="0.25">
      <c r="A204" s="129" t="s">
        <v>1090</v>
      </c>
      <c r="B204" s="129" t="s">
        <v>382</v>
      </c>
      <c r="C204" s="129" t="s">
        <v>353</v>
      </c>
      <c r="D204" s="309">
        <v>44816</v>
      </c>
      <c r="E204" s="309">
        <v>45912</v>
      </c>
      <c r="F204" s="315">
        <v>45911</v>
      </c>
      <c r="J204" s="129" t="s">
        <v>267</v>
      </c>
      <c r="K204" s="129" t="s">
        <v>268</v>
      </c>
      <c r="M204" s="191"/>
      <c r="O204" s="129" t="s">
        <v>1091</v>
      </c>
      <c r="P204" s="129" t="s">
        <v>1092</v>
      </c>
      <c r="Q204" s="129" t="s">
        <v>1093</v>
      </c>
      <c r="U204" s="129">
        <v>1</v>
      </c>
      <c r="AA204" s="312">
        <f t="shared" si="51"/>
        <v>1</v>
      </c>
      <c r="AD204" s="129">
        <v>1</v>
      </c>
      <c r="AE204" s="129">
        <v>1</v>
      </c>
      <c r="AK204" s="312">
        <f t="shared" si="52"/>
        <v>2</v>
      </c>
      <c r="AL204" s="129">
        <f t="shared" si="53"/>
        <v>0</v>
      </c>
      <c r="AM204" s="129">
        <f t="shared" si="54"/>
        <v>1</v>
      </c>
      <c r="AN204" s="129">
        <f t="shared" si="55"/>
        <v>0</v>
      </c>
      <c r="AO204" s="129">
        <f t="shared" si="56"/>
        <v>0</v>
      </c>
      <c r="AP204" s="129">
        <f t="shared" si="57"/>
        <v>0</v>
      </c>
      <c r="AQ204" s="129">
        <f t="shared" si="58"/>
        <v>0</v>
      </c>
      <c r="AR204" s="129">
        <f t="shared" si="59"/>
        <v>0</v>
      </c>
      <c r="AS204" s="129">
        <f t="shared" si="60"/>
        <v>0</v>
      </c>
      <c r="AT204" s="312">
        <f t="shared" si="61"/>
        <v>1</v>
      </c>
      <c r="AV204" s="312"/>
      <c r="AW204" s="129">
        <v>0.5</v>
      </c>
      <c r="AX204" s="129">
        <v>0.5</v>
      </c>
      <c r="BA204" s="314"/>
      <c r="BF204" s="314"/>
      <c r="BL204" s="314"/>
      <c r="BM204" s="129">
        <f t="shared" ref="BM204:BM267" si="62">SUM(AW204:BA204)</f>
        <v>1</v>
      </c>
      <c r="BN204" s="129">
        <f t="shared" ref="BN204:BN267" si="63">SUM(AW204:BF204)</f>
        <v>1</v>
      </c>
      <c r="BR204" s="129">
        <v>512620</v>
      </c>
      <c r="BS204" s="129">
        <v>170020</v>
      </c>
      <c r="BT204" s="129" t="s">
        <v>170</v>
      </c>
      <c r="BU204" s="129" t="s">
        <v>192</v>
      </c>
      <c r="CC204" s="129" t="s">
        <v>359</v>
      </c>
      <c r="CD204" s="129" t="s">
        <v>198</v>
      </c>
      <c r="CE204" s="313" t="s">
        <v>359</v>
      </c>
    </row>
    <row r="205" spans="1:83" x14ac:dyDescent="0.25">
      <c r="A205" s="129" t="s">
        <v>1094</v>
      </c>
      <c r="B205" s="129" t="s">
        <v>352</v>
      </c>
      <c r="C205" s="129" t="s">
        <v>353</v>
      </c>
      <c r="D205" s="309">
        <v>44672</v>
      </c>
      <c r="E205" s="309">
        <v>45768</v>
      </c>
      <c r="J205" s="129" t="s">
        <v>267</v>
      </c>
      <c r="K205" s="129" t="s">
        <v>268</v>
      </c>
      <c r="M205" s="191"/>
      <c r="O205" s="129" t="s">
        <v>1095</v>
      </c>
      <c r="P205" s="129" t="s">
        <v>1096</v>
      </c>
      <c r="Q205" s="129" t="s">
        <v>1097</v>
      </c>
      <c r="V205" s="129">
        <v>1</v>
      </c>
      <c r="AA205" s="312">
        <f t="shared" si="51"/>
        <v>1</v>
      </c>
      <c r="AG205" s="129">
        <v>1</v>
      </c>
      <c r="AK205" s="312">
        <f t="shared" si="52"/>
        <v>1</v>
      </c>
      <c r="AL205" s="129">
        <f t="shared" si="53"/>
        <v>0</v>
      </c>
      <c r="AM205" s="129">
        <f t="shared" si="54"/>
        <v>0</v>
      </c>
      <c r="AN205" s="129">
        <f t="shared" si="55"/>
        <v>0</v>
      </c>
      <c r="AO205" s="129">
        <f t="shared" si="56"/>
        <v>-1</v>
      </c>
      <c r="AP205" s="129">
        <f t="shared" si="57"/>
        <v>1</v>
      </c>
      <c r="AQ205" s="129">
        <f t="shared" si="58"/>
        <v>0</v>
      </c>
      <c r="AR205" s="129">
        <f t="shared" si="59"/>
        <v>0</v>
      </c>
      <c r="AS205" s="129">
        <f t="shared" si="60"/>
        <v>0</v>
      </c>
      <c r="AT205" s="312">
        <f t="shared" si="61"/>
        <v>0</v>
      </c>
      <c r="AV205" s="312"/>
      <c r="AW205" s="129">
        <v>0</v>
      </c>
      <c r="BA205" s="314"/>
      <c r="BF205" s="314"/>
      <c r="BL205" s="314"/>
      <c r="BM205" s="129">
        <f t="shared" si="62"/>
        <v>0</v>
      </c>
      <c r="BN205" s="129">
        <f t="shared" si="63"/>
        <v>0</v>
      </c>
      <c r="BR205" s="129">
        <v>522088</v>
      </c>
      <c r="BS205" s="129">
        <v>177109</v>
      </c>
      <c r="BT205" s="129" t="s">
        <v>167</v>
      </c>
      <c r="BU205" s="129" t="s">
        <v>190</v>
      </c>
      <c r="CD205" s="129" t="s">
        <v>167</v>
      </c>
      <c r="CE205" s="313"/>
    </row>
    <row r="206" spans="1:83" x14ac:dyDescent="0.25">
      <c r="A206" s="129" t="s">
        <v>1098</v>
      </c>
      <c r="B206" s="129" t="s">
        <v>352</v>
      </c>
      <c r="C206" s="129" t="s">
        <v>353</v>
      </c>
      <c r="D206" s="309">
        <v>44916</v>
      </c>
      <c r="E206" s="309">
        <v>46012</v>
      </c>
      <c r="F206" s="309">
        <v>45930</v>
      </c>
      <c r="G206" s="310"/>
      <c r="H206" s="310"/>
      <c r="J206" s="129" t="s">
        <v>267</v>
      </c>
      <c r="K206" s="129" t="s">
        <v>713</v>
      </c>
      <c r="M206" s="191"/>
      <c r="O206" s="129" t="s">
        <v>1099</v>
      </c>
      <c r="P206" s="129" t="s">
        <v>1100</v>
      </c>
      <c r="Q206" s="129" t="s">
        <v>1101</v>
      </c>
      <c r="R206" s="129" t="s">
        <v>1102</v>
      </c>
      <c r="AA206" s="312">
        <f>SUM(W206:Z206)</f>
        <v>0</v>
      </c>
      <c r="AB206" s="313" t="s">
        <v>359</v>
      </c>
      <c r="AC206" s="129">
        <v>9</v>
      </c>
      <c r="AD206" s="129">
        <v>7</v>
      </c>
      <c r="AE206" s="129">
        <v>1</v>
      </c>
      <c r="AK206" s="312">
        <f t="shared" si="52"/>
        <v>17</v>
      </c>
      <c r="AL206" s="129">
        <f t="shared" si="53"/>
        <v>9</v>
      </c>
      <c r="AM206" s="129">
        <f t="shared" si="54"/>
        <v>7</v>
      </c>
      <c r="AN206" s="129">
        <f t="shared" si="55"/>
        <v>1</v>
      </c>
      <c r="AO206" s="129">
        <f t="shared" si="56"/>
        <v>0</v>
      </c>
      <c r="AP206" s="129">
        <f t="shared" si="57"/>
        <v>0</v>
      </c>
      <c r="AQ206" s="129">
        <f t="shared" si="58"/>
        <v>0</v>
      </c>
      <c r="AR206" s="129">
        <f t="shared" si="59"/>
        <v>0</v>
      </c>
      <c r="AS206" s="129">
        <f t="shared" si="60"/>
        <v>0</v>
      </c>
      <c r="AT206" s="312">
        <f t="shared" si="61"/>
        <v>17</v>
      </c>
      <c r="AU206" s="313" t="s">
        <v>359</v>
      </c>
      <c r="AV206" s="312"/>
      <c r="AY206" s="129">
        <v>17</v>
      </c>
      <c r="BA206" s="314"/>
      <c r="BF206" s="314"/>
      <c r="BL206" s="314"/>
      <c r="BM206" s="129">
        <f t="shared" si="62"/>
        <v>17</v>
      </c>
      <c r="BN206" s="129">
        <f t="shared" si="63"/>
        <v>17</v>
      </c>
      <c r="BR206" s="129">
        <v>516311</v>
      </c>
      <c r="BS206" s="129">
        <v>173216</v>
      </c>
      <c r="BT206" s="129" t="s">
        <v>180</v>
      </c>
      <c r="BU206" s="129" t="s">
        <v>154</v>
      </c>
      <c r="BV206" s="129" t="s">
        <v>154</v>
      </c>
      <c r="CA206" s="129" t="s">
        <v>386</v>
      </c>
      <c r="CB206" s="129" t="s">
        <v>359</v>
      </c>
      <c r="CC206" s="129" t="s">
        <v>359</v>
      </c>
      <c r="CD206" s="129" t="s">
        <v>202</v>
      </c>
      <c r="CE206" s="313"/>
    </row>
    <row r="207" spans="1:83" x14ac:dyDescent="0.25">
      <c r="A207" s="129" t="s">
        <v>1098</v>
      </c>
      <c r="B207" s="129" t="s">
        <v>352</v>
      </c>
      <c r="C207" s="129" t="s">
        <v>353</v>
      </c>
      <c r="D207" s="309">
        <v>44916</v>
      </c>
      <c r="E207" s="309">
        <v>46012</v>
      </c>
      <c r="F207" s="309">
        <v>45930</v>
      </c>
      <c r="G207" s="310"/>
      <c r="H207" s="310"/>
      <c r="J207" s="129" t="s">
        <v>267</v>
      </c>
      <c r="K207" s="129" t="s">
        <v>214</v>
      </c>
      <c r="M207" s="191"/>
      <c r="O207" s="129" t="s">
        <v>1099</v>
      </c>
      <c r="P207" s="129" t="s">
        <v>1100</v>
      </c>
      <c r="Q207" s="129" t="s">
        <v>1101</v>
      </c>
      <c r="R207" s="129" t="s">
        <v>1102</v>
      </c>
      <c r="AA207" s="312">
        <f>SUM(W207:Z207)</f>
        <v>0</v>
      </c>
      <c r="AB207" s="313" t="s">
        <v>359</v>
      </c>
      <c r="AC207" s="129">
        <v>2</v>
      </c>
      <c r="AD207" s="129">
        <v>2</v>
      </c>
      <c r="AK207" s="312">
        <f t="shared" si="52"/>
        <v>4</v>
      </c>
      <c r="AL207" s="129">
        <f t="shared" si="53"/>
        <v>2</v>
      </c>
      <c r="AM207" s="129">
        <f t="shared" si="54"/>
        <v>2</v>
      </c>
      <c r="AN207" s="129">
        <f t="shared" si="55"/>
        <v>0</v>
      </c>
      <c r="AO207" s="129">
        <f t="shared" si="56"/>
        <v>0</v>
      </c>
      <c r="AP207" s="129">
        <f t="shared" si="57"/>
        <v>0</v>
      </c>
      <c r="AQ207" s="129">
        <f t="shared" si="58"/>
        <v>0</v>
      </c>
      <c r="AR207" s="129">
        <f t="shared" si="59"/>
        <v>0</v>
      </c>
      <c r="AS207" s="129">
        <f t="shared" si="60"/>
        <v>0</v>
      </c>
      <c r="AT207" s="312">
        <f t="shared" si="61"/>
        <v>4</v>
      </c>
      <c r="AU207" s="313" t="s">
        <v>359</v>
      </c>
      <c r="AV207" s="312"/>
      <c r="AY207" s="129">
        <v>4</v>
      </c>
      <c r="BA207" s="314"/>
      <c r="BF207" s="314"/>
      <c r="BL207" s="314"/>
      <c r="BM207" s="129">
        <f t="shared" si="62"/>
        <v>4</v>
      </c>
      <c r="BN207" s="129">
        <f t="shared" si="63"/>
        <v>4</v>
      </c>
      <c r="BR207" s="129">
        <v>516311</v>
      </c>
      <c r="BS207" s="129">
        <v>173216</v>
      </c>
      <c r="BT207" s="129" t="s">
        <v>180</v>
      </c>
      <c r="BU207" s="129" t="s">
        <v>154</v>
      </c>
      <c r="BV207" s="129" t="s">
        <v>154</v>
      </c>
      <c r="CA207" s="129" t="s">
        <v>386</v>
      </c>
      <c r="CB207" s="129" t="s">
        <v>359</v>
      </c>
      <c r="CC207" s="129" t="s">
        <v>359</v>
      </c>
      <c r="CD207" s="129" t="s">
        <v>202</v>
      </c>
      <c r="CE207" s="313"/>
    </row>
    <row r="208" spans="1:83" x14ac:dyDescent="0.25">
      <c r="A208" s="129" t="s">
        <v>1098</v>
      </c>
      <c r="B208" s="129" t="s">
        <v>352</v>
      </c>
      <c r="C208" s="129" t="s">
        <v>353</v>
      </c>
      <c r="D208" s="309">
        <v>44916</v>
      </c>
      <c r="E208" s="309">
        <v>46012</v>
      </c>
      <c r="F208" s="309">
        <v>45930</v>
      </c>
      <c r="G208" s="310"/>
      <c r="H208" s="310"/>
      <c r="J208" s="129" t="s">
        <v>267</v>
      </c>
      <c r="K208" s="129" t="s">
        <v>268</v>
      </c>
      <c r="M208" s="191"/>
      <c r="O208" s="129" t="s">
        <v>1099</v>
      </c>
      <c r="P208" s="129" t="s">
        <v>1100</v>
      </c>
      <c r="Q208" s="129" t="s">
        <v>1101</v>
      </c>
      <c r="R208" s="129" t="s">
        <v>1103</v>
      </c>
      <c r="AA208" s="312">
        <f>SUM(W208:Z208)</f>
        <v>0</v>
      </c>
      <c r="AC208" s="129">
        <v>14</v>
      </c>
      <c r="AD208" s="129">
        <v>10</v>
      </c>
      <c r="AK208" s="312">
        <f t="shared" si="52"/>
        <v>24</v>
      </c>
      <c r="AL208" s="129">
        <f t="shared" si="53"/>
        <v>14</v>
      </c>
      <c r="AM208" s="129">
        <f t="shared" si="54"/>
        <v>10</v>
      </c>
      <c r="AN208" s="129">
        <f t="shared" si="55"/>
        <v>0</v>
      </c>
      <c r="AO208" s="129">
        <f t="shared" si="56"/>
        <v>0</v>
      </c>
      <c r="AP208" s="129">
        <f t="shared" si="57"/>
        <v>0</v>
      </c>
      <c r="AQ208" s="129">
        <f t="shared" si="58"/>
        <v>0</v>
      </c>
      <c r="AR208" s="129">
        <f t="shared" si="59"/>
        <v>0</v>
      </c>
      <c r="AS208" s="129">
        <f t="shared" si="60"/>
        <v>0</v>
      </c>
      <c r="AT208" s="312">
        <f t="shared" si="61"/>
        <v>24</v>
      </c>
      <c r="AU208" s="313" t="s">
        <v>359</v>
      </c>
      <c r="AV208" s="312"/>
      <c r="AY208" s="129">
        <v>24</v>
      </c>
      <c r="BA208" s="314"/>
      <c r="BF208" s="314"/>
      <c r="BL208" s="314"/>
      <c r="BM208" s="129">
        <f t="shared" si="62"/>
        <v>24</v>
      </c>
      <c r="BN208" s="129">
        <f t="shared" si="63"/>
        <v>24</v>
      </c>
      <c r="BR208" s="129">
        <v>516311</v>
      </c>
      <c r="BS208" s="129">
        <v>173216</v>
      </c>
      <c r="BT208" s="129" t="s">
        <v>180</v>
      </c>
      <c r="BU208" s="129" t="s">
        <v>154</v>
      </c>
      <c r="BV208" s="129" t="s">
        <v>154</v>
      </c>
      <c r="CA208" s="129" t="s">
        <v>386</v>
      </c>
      <c r="CB208" s="129" t="s">
        <v>359</v>
      </c>
      <c r="CC208" s="129" t="s">
        <v>359</v>
      </c>
      <c r="CD208" s="129" t="s">
        <v>202</v>
      </c>
      <c r="CE208" s="313"/>
    </row>
    <row r="209" spans="1:83" x14ac:dyDescent="0.25">
      <c r="A209" s="129" t="s">
        <v>1104</v>
      </c>
      <c r="B209" s="129" t="s">
        <v>369</v>
      </c>
      <c r="C209" s="129" t="s">
        <v>353</v>
      </c>
      <c r="D209" s="309">
        <v>44740</v>
      </c>
      <c r="E209" s="309">
        <v>45836</v>
      </c>
      <c r="J209" s="129" t="s">
        <v>267</v>
      </c>
      <c r="K209" s="129" t="s">
        <v>268</v>
      </c>
      <c r="M209" s="191"/>
      <c r="O209" s="129" t="s">
        <v>1105</v>
      </c>
      <c r="P209" s="129" t="s">
        <v>1106</v>
      </c>
      <c r="Q209" s="129" t="s">
        <v>1107</v>
      </c>
      <c r="AA209" s="312">
        <f t="shared" ref="AA209:AA240" si="64">SUM(S209:Z209)</f>
        <v>0</v>
      </c>
      <c r="AC209" s="129">
        <v>1</v>
      </c>
      <c r="AD209" s="129">
        <v>1</v>
      </c>
      <c r="AK209" s="312">
        <f t="shared" si="52"/>
        <v>2</v>
      </c>
      <c r="AL209" s="129">
        <f t="shared" si="53"/>
        <v>1</v>
      </c>
      <c r="AM209" s="129">
        <f t="shared" si="54"/>
        <v>1</v>
      </c>
      <c r="AN209" s="129">
        <f t="shared" si="55"/>
        <v>0</v>
      </c>
      <c r="AO209" s="129">
        <f t="shared" si="56"/>
        <v>0</v>
      </c>
      <c r="AP209" s="129">
        <f t="shared" si="57"/>
        <v>0</v>
      </c>
      <c r="AQ209" s="129">
        <f t="shared" si="58"/>
        <v>0</v>
      </c>
      <c r="AR209" s="129">
        <f t="shared" si="59"/>
        <v>0</v>
      </c>
      <c r="AS209" s="129">
        <f t="shared" si="60"/>
        <v>0</v>
      </c>
      <c r="AT209" s="312">
        <f t="shared" si="61"/>
        <v>2</v>
      </c>
      <c r="AV209" s="312"/>
      <c r="AW209" s="129">
        <v>0.5</v>
      </c>
      <c r="AX209" s="129">
        <v>0.5</v>
      </c>
      <c r="AY209" s="129">
        <v>0.5</v>
      </c>
      <c r="AZ209" s="129">
        <v>0.5</v>
      </c>
      <c r="BA209" s="314"/>
      <c r="BF209" s="314"/>
      <c r="BL209" s="314"/>
      <c r="BM209" s="129">
        <f t="shared" si="62"/>
        <v>2</v>
      </c>
      <c r="BN209" s="129">
        <f t="shared" si="63"/>
        <v>2</v>
      </c>
      <c r="BR209" s="129">
        <v>520700</v>
      </c>
      <c r="BS209" s="129">
        <v>175411</v>
      </c>
      <c r="BT209" s="129" t="s">
        <v>149</v>
      </c>
      <c r="BU209" s="129" t="s">
        <v>190</v>
      </c>
      <c r="BV209" s="129" t="s">
        <v>149</v>
      </c>
      <c r="CC209" s="129" t="s">
        <v>359</v>
      </c>
      <c r="CD209" s="129" t="s">
        <v>199</v>
      </c>
      <c r="CE209" s="313"/>
    </row>
    <row r="210" spans="1:83" x14ac:dyDescent="0.25">
      <c r="A210" s="129" t="s">
        <v>1108</v>
      </c>
      <c r="B210" s="129" t="s">
        <v>482</v>
      </c>
      <c r="C210" s="129" t="s">
        <v>353</v>
      </c>
      <c r="D210" s="309">
        <v>44911</v>
      </c>
      <c r="E210" s="309">
        <v>46007</v>
      </c>
      <c r="J210" s="129" t="s">
        <v>267</v>
      </c>
      <c r="K210" s="129" t="s">
        <v>268</v>
      </c>
      <c r="M210" s="191"/>
      <c r="O210" s="129" t="s">
        <v>1109</v>
      </c>
      <c r="P210" s="129" t="s">
        <v>1110</v>
      </c>
      <c r="Q210" s="129" t="s">
        <v>1111</v>
      </c>
      <c r="S210" s="129">
        <v>9</v>
      </c>
      <c r="AA210" s="312">
        <f t="shared" si="64"/>
        <v>9</v>
      </c>
      <c r="AC210" s="129">
        <v>1</v>
      </c>
      <c r="AD210" s="129">
        <v>3</v>
      </c>
      <c r="AK210" s="312">
        <f t="shared" si="52"/>
        <v>4</v>
      </c>
      <c r="AL210" s="129">
        <f t="shared" si="53"/>
        <v>-8</v>
      </c>
      <c r="AM210" s="129">
        <f t="shared" si="54"/>
        <v>3</v>
      </c>
      <c r="AN210" s="129">
        <f t="shared" si="55"/>
        <v>0</v>
      </c>
      <c r="AO210" s="129">
        <f t="shared" si="56"/>
        <v>0</v>
      </c>
      <c r="AP210" s="129">
        <f t="shared" si="57"/>
        <v>0</v>
      </c>
      <c r="AQ210" s="129">
        <f t="shared" si="58"/>
        <v>0</v>
      </c>
      <c r="AR210" s="129">
        <f t="shared" si="59"/>
        <v>0</v>
      </c>
      <c r="AS210" s="129">
        <f t="shared" si="60"/>
        <v>0</v>
      </c>
      <c r="AT210" s="312">
        <f t="shared" si="61"/>
        <v>-5</v>
      </c>
      <c r="AV210" s="312"/>
      <c r="AX210" s="129">
        <v>-1.25</v>
      </c>
      <c r="AY210" s="129">
        <v>-1.25</v>
      </c>
      <c r="AZ210" s="129">
        <v>-1.25</v>
      </c>
      <c r="BA210" s="314">
        <v>-1.25</v>
      </c>
      <c r="BF210" s="314"/>
      <c r="BL210" s="314"/>
      <c r="BM210" s="129">
        <f t="shared" si="62"/>
        <v>-5</v>
      </c>
      <c r="BN210" s="129">
        <f t="shared" si="63"/>
        <v>-5</v>
      </c>
      <c r="BR210" s="129">
        <v>514541</v>
      </c>
      <c r="BS210" s="129">
        <v>172794</v>
      </c>
      <c r="BT210" s="129" t="s">
        <v>181</v>
      </c>
      <c r="BU210" s="129" t="s">
        <v>154</v>
      </c>
      <c r="CC210" s="129" t="s">
        <v>359</v>
      </c>
      <c r="CD210" s="129" t="s">
        <v>202</v>
      </c>
      <c r="CE210" s="313"/>
    </row>
    <row r="211" spans="1:83" x14ac:dyDescent="0.25">
      <c r="A211" s="129" t="s">
        <v>1112</v>
      </c>
      <c r="B211" s="129" t="s">
        <v>382</v>
      </c>
      <c r="C211" s="129" t="s">
        <v>353</v>
      </c>
      <c r="D211" s="309">
        <v>44671</v>
      </c>
      <c r="E211" s="309">
        <v>45767</v>
      </c>
      <c r="J211" s="129" t="s">
        <v>267</v>
      </c>
      <c r="K211" s="129" t="s">
        <v>268</v>
      </c>
      <c r="M211" s="191"/>
      <c r="O211" s="129" t="s">
        <v>1113</v>
      </c>
      <c r="P211" s="129" t="s">
        <v>1114</v>
      </c>
      <c r="Q211" s="129" t="s">
        <v>1115</v>
      </c>
      <c r="AA211" s="312">
        <f t="shared" si="64"/>
        <v>0</v>
      </c>
      <c r="AC211" s="129">
        <v>1</v>
      </c>
      <c r="AE211" s="129">
        <v>1</v>
      </c>
      <c r="AK211" s="312">
        <f t="shared" si="52"/>
        <v>2</v>
      </c>
      <c r="AL211" s="129">
        <f t="shared" si="53"/>
        <v>1</v>
      </c>
      <c r="AM211" s="129">
        <f t="shared" si="54"/>
        <v>0</v>
      </c>
      <c r="AN211" s="129">
        <f t="shared" si="55"/>
        <v>1</v>
      </c>
      <c r="AO211" s="129">
        <f t="shared" si="56"/>
        <v>0</v>
      </c>
      <c r="AP211" s="129">
        <f t="shared" si="57"/>
        <v>0</v>
      </c>
      <c r="AQ211" s="129">
        <f t="shared" si="58"/>
        <v>0</v>
      </c>
      <c r="AR211" s="129">
        <f t="shared" si="59"/>
        <v>0</v>
      </c>
      <c r="AS211" s="129">
        <f t="shared" si="60"/>
        <v>0</v>
      </c>
      <c r="AT211" s="312">
        <f t="shared" si="61"/>
        <v>2</v>
      </c>
      <c r="AV211" s="312"/>
      <c r="AW211" s="129">
        <v>0.5</v>
      </c>
      <c r="AX211" s="129">
        <v>0.5</v>
      </c>
      <c r="AY211" s="129">
        <v>0.5</v>
      </c>
      <c r="AZ211" s="129">
        <v>0.5</v>
      </c>
      <c r="BA211" s="314"/>
      <c r="BF211" s="314"/>
      <c r="BL211" s="314"/>
      <c r="BM211" s="129">
        <f t="shared" si="62"/>
        <v>2</v>
      </c>
      <c r="BN211" s="129">
        <f t="shared" si="63"/>
        <v>2</v>
      </c>
      <c r="BR211" s="129">
        <v>517711</v>
      </c>
      <c r="BS211" s="129">
        <v>174824</v>
      </c>
      <c r="BT211" s="129" t="s">
        <v>177</v>
      </c>
      <c r="BU211" s="129" t="s">
        <v>150</v>
      </c>
      <c r="BV211" s="129" t="s">
        <v>150</v>
      </c>
      <c r="CA211" s="129" t="s">
        <v>486</v>
      </c>
      <c r="CB211" s="129" t="s">
        <v>359</v>
      </c>
      <c r="CC211" s="129" t="s">
        <v>359</v>
      </c>
      <c r="CD211" s="129" t="s">
        <v>200</v>
      </c>
      <c r="CE211" s="313"/>
    </row>
    <row r="212" spans="1:83" x14ac:dyDescent="0.25">
      <c r="A212" s="129" t="s">
        <v>1116</v>
      </c>
      <c r="B212" s="129" t="s">
        <v>352</v>
      </c>
      <c r="C212" s="129" t="s">
        <v>353</v>
      </c>
      <c r="D212" s="309">
        <v>44855</v>
      </c>
      <c r="E212" s="309">
        <v>45951</v>
      </c>
      <c r="J212" s="129" t="s">
        <v>267</v>
      </c>
      <c r="K212" s="129" t="s">
        <v>268</v>
      </c>
      <c r="M212" s="191"/>
      <c r="O212" s="129" t="s">
        <v>1117</v>
      </c>
      <c r="P212" s="129" t="s">
        <v>1118</v>
      </c>
      <c r="Q212" s="129" t="s">
        <v>1119</v>
      </c>
      <c r="U212" s="129">
        <v>1</v>
      </c>
      <c r="AA212" s="312">
        <f t="shared" si="64"/>
        <v>1</v>
      </c>
      <c r="AF212" s="129">
        <v>1</v>
      </c>
      <c r="AK212" s="312">
        <f t="shared" si="52"/>
        <v>1</v>
      </c>
      <c r="AL212" s="129">
        <f t="shared" si="53"/>
        <v>0</v>
      </c>
      <c r="AM212" s="129">
        <f t="shared" si="54"/>
        <v>0</v>
      </c>
      <c r="AN212" s="129">
        <f t="shared" si="55"/>
        <v>-1</v>
      </c>
      <c r="AO212" s="129">
        <f t="shared" si="56"/>
        <v>1</v>
      </c>
      <c r="AP212" s="129">
        <f t="shared" si="57"/>
        <v>0</v>
      </c>
      <c r="AQ212" s="129">
        <f t="shared" si="58"/>
        <v>0</v>
      </c>
      <c r="AR212" s="129">
        <f t="shared" si="59"/>
        <v>0</v>
      </c>
      <c r="AS212" s="129">
        <f t="shared" si="60"/>
        <v>0</v>
      </c>
      <c r="AT212" s="312">
        <f t="shared" si="61"/>
        <v>0</v>
      </c>
      <c r="AV212" s="312"/>
      <c r="AW212" s="129">
        <v>0</v>
      </c>
      <c r="BA212" s="314"/>
      <c r="BF212" s="314"/>
      <c r="BL212" s="314"/>
      <c r="BM212" s="129">
        <f t="shared" si="62"/>
        <v>0</v>
      </c>
      <c r="BN212" s="129">
        <f t="shared" si="63"/>
        <v>0</v>
      </c>
      <c r="BR212" s="129">
        <v>517494</v>
      </c>
      <c r="BS212" s="129">
        <v>170095</v>
      </c>
      <c r="BT212" s="129" t="s">
        <v>172</v>
      </c>
      <c r="BU212" s="129" t="s">
        <v>192</v>
      </c>
      <c r="CC212" s="129" t="s">
        <v>359</v>
      </c>
      <c r="CD212" s="129" t="s">
        <v>201</v>
      </c>
      <c r="CE212" s="313"/>
    </row>
    <row r="213" spans="1:83" x14ac:dyDescent="0.25">
      <c r="A213" s="129" t="s">
        <v>1120</v>
      </c>
      <c r="B213" s="129" t="s">
        <v>352</v>
      </c>
      <c r="C213" s="129" t="s">
        <v>353</v>
      </c>
      <c r="D213" s="309">
        <v>44809</v>
      </c>
      <c r="E213" s="309">
        <v>45905</v>
      </c>
      <c r="F213" s="315">
        <v>45894</v>
      </c>
      <c r="J213" s="129" t="s">
        <v>267</v>
      </c>
      <c r="K213" s="129" t="s">
        <v>268</v>
      </c>
      <c r="M213" s="191"/>
      <c r="O213" s="129" t="s">
        <v>1121</v>
      </c>
      <c r="P213" s="129" t="s">
        <v>1122</v>
      </c>
      <c r="Q213" s="129" t="s">
        <v>1123</v>
      </c>
      <c r="W213" s="129">
        <v>1</v>
      </c>
      <c r="AA213" s="312">
        <f t="shared" si="64"/>
        <v>1</v>
      </c>
      <c r="AG213" s="129">
        <v>1</v>
      </c>
      <c r="AK213" s="312">
        <f t="shared" si="52"/>
        <v>1</v>
      </c>
      <c r="AL213" s="129">
        <f t="shared" si="53"/>
        <v>0</v>
      </c>
      <c r="AM213" s="129">
        <f t="shared" si="54"/>
        <v>0</v>
      </c>
      <c r="AN213" s="129">
        <f t="shared" si="55"/>
        <v>0</v>
      </c>
      <c r="AO213" s="129">
        <f t="shared" si="56"/>
        <v>0</v>
      </c>
      <c r="AP213" s="129">
        <f t="shared" si="57"/>
        <v>0</v>
      </c>
      <c r="AQ213" s="129">
        <f t="shared" si="58"/>
        <v>0</v>
      </c>
      <c r="AR213" s="129">
        <f t="shared" si="59"/>
        <v>0</v>
      </c>
      <c r="AS213" s="129">
        <f t="shared" si="60"/>
        <v>0</v>
      </c>
      <c r="AT213" s="312">
        <f t="shared" si="61"/>
        <v>0</v>
      </c>
      <c r="AV213" s="312"/>
      <c r="AW213" s="129">
        <v>0</v>
      </c>
      <c r="BA213" s="314"/>
      <c r="BF213" s="314"/>
      <c r="BL213" s="314"/>
      <c r="BM213" s="129">
        <f t="shared" si="62"/>
        <v>0</v>
      </c>
      <c r="BN213" s="129">
        <f t="shared" si="63"/>
        <v>0</v>
      </c>
      <c r="BR213" s="129">
        <v>517694</v>
      </c>
      <c r="BS213" s="129">
        <v>170046</v>
      </c>
      <c r="BT213" s="129" t="s">
        <v>172</v>
      </c>
      <c r="BU213" s="129" t="s">
        <v>192</v>
      </c>
      <c r="BW213" s="129" t="s">
        <v>151</v>
      </c>
      <c r="BZ213" s="129" t="s">
        <v>1124</v>
      </c>
      <c r="CA213" s="129" t="s">
        <v>527</v>
      </c>
      <c r="CB213" s="129" t="s">
        <v>359</v>
      </c>
      <c r="CC213" s="129" t="s">
        <v>359</v>
      </c>
      <c r="CD213" s="129" t="s">
        <v>201</v>
      </c>
      <c r="CE213" s="313"/>
    </row>
    <row r="214" spans="1:83" x14ac:dyDescent="0.25">
      <c r="A214" s="129" t="s">
        <v>1125</v>
      </c>
      <c r="B214" s="129" t="s">
        <v>369</v>
      </c>
      <c r="C214" s="129" t="s">
        <v>353</v>
      </c>
      <c r="D214" s="309">
        <v>44998</v>
      </c>
      <c r="E214" s="309">
        <v>46094</v>
      </c>
      <c r="J214" s="129" t="s">
        <v>267</v>
      </c>
      <c r="K214" s="129" t="s">
        <v>268</v>
      </c>
      <c r="M214" s="191"/>
      <c r="O214" s="129" t="s">
        <v>1126</v>
      </c>
      <c r="P214" s="129" t="s">
        <v>1127</v>
      </c>
      <c r="Q214" s="129" t="s">
        <v>1128</v>
      </c>
      <c r="AA214" s="312">
        <f t="shared" si="64"/>
        <v>0</v>
      </c>
      <c r="AC214" s="129">
        <v>1</v>
      </c>
      <c r="AK214" s="312">
        <f t="shared" si="52"/>
        <v>1</v>
      </c>
      <c r="AL214" s="129">
        <f t="shared" si="53"/>
        <v>1</v>
      </c>
      <c r="AM214" s="129">
        <f t="shared" si="54"/>
        <v>0</v>
      </c>
      <c r="AN214" s="129">
        <f t="shared" si="55"/>
        <v>0</v>
      </c>
      <c r="AO214" s="129">
        <f t="shared" si="56"/>
        <v>0</v>
      </c>
      <c r="AP214" s="129">
        <f t="shared" si="57"/>
        <v>0</v>
      </c>
      <c r="AQ214" s="129">
        <f t="shared" si="58"/>
        <v>0</v>
      </c>
      <c r="AR214" s="129">
        <f t="shared" si="59"/>
        <v>0</v>
      </c>
      <c r="AS214" s="129">
        <f t="shared" si="60"/>
        <v>0</v>
      </c>
      <c r="AT214" s="312">
        <f t="shared" si="61"/>
        <v>1</v>
      </c>
      <c r="AV214" s="312"/>
      <c r="AW214" s="129">
        <v>0.25</v>
      </c>
      <c r="AX214" s="129">
        <v>0.25</v>
      </c>
      <c r="AY214" s="129">
        <v>0.25</v>
      </c>
      <c r="AZ214" s="129">
        <v>0.25</v>
      </c>
      <c r="BA214" s="314"/>
      <c r="BF214" s="314"/>
      <c r="BL214" s="314"/>
      <c r="BM214" s="129">
        <f t="shared" si="62"/>
        <v>1</v>
      </c>
      <c r="BN214" s="129">
        <f t="shared" si="63"/>
        <v>1</v>
      </c>
      <c r="BR214" s="129">
        <v>521585</v>
      </c>
      <c r="BS214" s="129">
        <v>176415</v>
      </c>
      <c r="BT214" s="129" t="s">
        <v>167</v>
      </c>
      <c r="BU214" s="129" t="s">
        <v>190</v>
      </c>
      <c r="BW214" s="129" t="s">
        <v>151</v>
      </c>
      <c r="BX214" s="129" t="s">
        <v>1129</v>
      </c>
      <c r="BY214" s="129" t="s">
        <v>359</v>
      </c>
      <c r="CA214" s="129" t="s">
        <v>612</v>
      </c>
      <c r="CB214" s="129" t="s">
        <v>359</v>
      </c>
      <c r="CC214" s="129" t="s">
        <v>359</v>
      </c>
      <c r="CD214" s="129" t="s">
        <v>167</v>
      </c>
      <c r="CE214" s="313"/>
    </row>
    <row r="215" spans="1:83" x14ac:dyDescent="0.25">
      <c r="A215" s="129" t="s">
        <v>1130</v>
      </c>
      <c r="B215" s="129" t="s">
        <v>377</v>
      </c>
      <c r="C215" s="129" t="s">
        <v>353</v>
      </c>
      <c r="D215" s="309">
        <v>45561</v>
      </c>
      <c r="E215" s="309">
        <v>46656</v>
      </c>
      <c r="H215" s="310" t="s">
        <v>359</v>
      </c>
      <c r="J215" s="129" t="s">
        <v>267</v>
      </c>
      <c r="K215" s="129" t="s">
        <v>268</v>
      </c>
      <c r="M215" s="191"/>
      <c r="O215" s="129" t="s">
        <v>1131</v>
      </c>
      <c r="P215" s="129" t="s">
        <v>1132</v>
      </c>
      <c r="Q215" s="129" t="s">
        <v>507</v>
      </c>
      <c r="AA215" s="312">
        <f t="shared" si="64"/>
        <v>0</v>
      </c>
      <c r="AC215" s="129">
        <v>5</v>
      </c>
      <c r="AD215" s="129">
        <v>1</v>
      </c>
      <c r="AK215" s="312">
        <f t="shared" si="52"/>
        <v>6</v>
      </c>
      <c r="AL215" s="129">
        <f t="shared" si="53"/>
        <v>5</v>
      </c>
      <c r="AM215" s="129">
        <f t="shared" si="54"/>
        <v>1</v>
      </c>
      <c r="AN215" s="129">
        <f t="shared" si="55"/>
        <v>0</v>
      </c>
      <c r="AO215" s="129">
        <f t="shared" si="56"/>
        <v>0</v>
      </c>
      <c r="AP215" s="129">
        <f t="shared" si="57"/>
        <v>0</v>
      </c>
      <c r="AQ215" s="129">
        <f t="shared" si="58"/>
        <v>0</v>
      </c>
      <c r="AR215" s="129">
        <f t="shared" si="59"/>
        <v>0</v>
      </c>
      <c r="AS215" s="129">
        <f t="shared" si="60"/>
        <v>0</v>
      </c>
      <c r="AT215" s="312">
        <f t="shared" si="61"/>
        <v>6</v>
      </c>
      <c r="AV215" s="312"/>
      <c r="AX215" s="129">
        <v>1.5</v>
      </c>
      <c r="AY215" s="129">
        <v>1.5</v>
      </c>
      <c r="AZ215" s="129">
        <v>1.5</v>
      </c>
      <c r="BA215" s="314">
        <v>1.5</v>
      </c>
      <c r="BF215" s="314"/>
      <c r="BL215" s="314"/>
      <c r="BM215" s="129">
        <f t="shared" si="62"/>
        <v>6</v>
      </c>
      <c r="BN215" s="129">
        <f t="shared" si="63"/>
        <v>6</v>
      </c>
      <c r="BR215" s="129">
        <v>516375</v>
      </c>
      <c r="BS215" s="129">
        <v>173378</v>
      </c>
      <c r="BT215" s="129" t="s">
        <v>180</v>
      </c>
      <c r="BU215" s="129" t="s">
        <v>154</v>
      </c>
      <c r="BV215" s="129" t="s">
        <v>154</v>
      </c>
      <c r="CA215" s="129" t="s">
        <v>386</v>
      </c>
      <c r="CB215" s="129" t="s">
        <v>359</v>
      </c>
      <c r="CC215" s="129" t="s">
        <v>359</v>
      </c>
      <c r="CD215" s="129" t="s">
        <v>202</v>
      </c>
      <c r="CE215" s="313"/>
    </row>
    <row r="216" spans="1:83" x14ac:dyDescent="0.25">
      <c r="A216" s="129" t="s">
        <v>1133</v>
      </c>
      <c r="B216" s="129" t="s">
        <v>352</v>
      </c>
      <c r="C216" s="129" t="s">
        <v>353</v>
      </c>
      <c r="D216" s="309">
        <v>44806</v>
      </c>
      <c r="E216" s="309">
        <v>45902</v>
      </c>
      <c r="J216" s="129" t="s">
        <v>267</v>
      </c>
      <c r="K216" s="129" t="s">
        <v>268</v>
      </c>
      <c r="M216" s="191"/>
      <c r="O216" s="129" t="s">
        <v>1134</v>
      </c>
      <c r="P216" s="129" t="s">
        <v>1135</v>
      </c>
      <c r="Q216" s="129" t="s">
        <v>1136</v>
      </c>
      <c r="AA216" s="312">
        <f t="shared" si="64"/>
        <v>0</v>
      </c>
      <c r="AD216" s="129">
        <v>1</v>
      </c>
      <c r="AK216" s="312">
        <f t="shared" si="52"/>
        <v>1</v>
      </c>
      <c r="AL216" s="129">
        <f t="shared" si="53"/>
        <v>0</v>
      </c>
      <c r="AM216" s="129">
        <f t="shared" si="54"/>
        <v>1</v>
      </c>
      <c r="AN216" s="129">
        <f t="shared" si="55"/>
        <v>0</v>
      </c>
      <c r="AO216" s="129">
        <f t="shared" si="56"/>
        <v>0</v>
      </c>
      <c r="AP216" s="129">
        <f t="shared" si="57"/>
        <v>0</v>
      </c>
      <c r="AQ216" s="129">
        <f t="shared" si="58"/>
        <v>0</v>
      </c>
      <c r="AR216" s="129">
        <f t="shared" si="59"/>
        <v>0</v>
      </c>
      <c r="AS216" s="129">
        <f t="shared" si="60"/>
        <v>0</v>
      </c>
      <c r="AT216" s="312">
        <f t="shared" si="61"/>
        <v>1</v>
      </c>
      <c r="AV216" s="312"/>
      <c r="AW216" s="129">
        <v>0.25</v>
      </c>
      <c r="AX216" s="129">
        <v>0.25</v>
      </c>
      <c r="AY216" s="129">
        <v>0.25</v>
      </c>
      <c r="AZ216" s="129">
        <v>0.25</v>
      </c>
      <c r="BA216" s="314"/>
      <c r="BF216" s="314"/>
      <c r="BL216" s="314"/>
      <c r="BM216" s="129">
        <f t="shared" si="62"/>
        <v>1</v>
      </c>
      <c r="BN216" s="129">
        <f t="shared" si="63"/>
        <v>1</v>
      </c>
      <c r="BR216" s="129">
        <v>516814</v>
      </c>
      <c r="BS216" s="129">
        <v>174183</v>
      </c>
      <c r="BT216" s="129" t="s">
        <v>179</v>
      </c>
      <c r="BU216" s="129" t="s">
        <v>154</v>
      </c>
      <c r="CC216" s="129" t="s">
        <v>359</v>
      </c>
      <c r="CD216" s="129" t="s">
        <v>202</v>
      </c>
      <c r="CE216" s="313"/>
    </row>
    <row r="217" spans="1:83" x14ac:dyDescent="0.25">
      <c r="A217" s="129" t="s">
        <v>1137</v>
      </c>
      <c r="B217" s="129" t="s">
        <v>352</v>
      </c>
      <c r="D217" s="309">
        <v>44818</v>
      </c>
      <c r="E217" s="309">
        <v>46293</v>
      </c>
      <c r="J217" s="129" t="s">
        <v>267</v>
      </c>
      <c r="K217" s="129" t="s">
        <v>268</v>
      </c>
      <c r="M217" s="191"/>
      <c r="O217" s="129" t="s">
        <v>1138</v>
      </c>
      <c r="P217" s="129" t="s">
        <v>1139</v>
      </c>
      <c r="Q217" s="129" t="s">
        <v>1140</v>
      </c>
      <c r="AA217" s="312">
        <f t="shared" si="64"/>
        <v>0</v>
      </c>
      <c r="AD217" s="129">
        <v>1</v>
      </c>
      <c r="AK217" s="312">
        <f t="shared" si="52"/>
        <v>1</v>
      </c>
      <c r="AL217" s="129">
        <f t="shared" si="53"/>
        <v>0</v>
      </c>
      <c r="AM217" s="129">
        <f t="shared" si="54"/>
        <v>1</v>
      </c>
      <c r="AN217" s="129">
        <f t="shared" si="55"/>
        <v>0</v>
      </c>
      <c r="AO217" s="129">
        <f t="shared" si="56"/>
        <v>0</v>
      </c>
      <c r="AP217" s="129">
        <f t="shared" si="57"/>
        <v>0</v>
      </c>
      <c r="AQ217" s="129">
        <f t="shared" si="58"/>
        <v>0</v>
      </c>
      <c r="AR217" s="129">
        <f t="shared" si="59"/>
        <v>0</v>
      </c>
      <c r="AS217" s="129">
        <f t="shared" si="60"/>
        <v>0</v>
      </c>
      <c r="AT217" s="312">
        <f t="shared" si="61"/>
        <v>1</v>
      </c>
      <c r="AV217" s="312"/>
      <c r="AW217" s="129">
        <v>0.25</v>
      </c>
      <c r="AX217" s="129">
        <v>0.25</v>
      </c>
      <c r="AY217" s="129">
        <v>0.25</v>
      </c>
      <c r="AZ217" s="129">
        <v>0.25</v>
      </c>
      <c r="BA217" s="314"/>
      <c r="BF217" s="314"/>
      <c r="BL217" s="314"/>
      <c r="BM217" s="129">
        <f t="shared" si="62"/>
        <v>1</v>
      </c>
      <c r="BN217" s="129">
        <f t="shared" si="63"/>
        <v>1</v>
      </c>
      <c r="BR217" s="129">
        <v>515083</v>
      </c>
      <c r="BS217" s="129">
        <v>172833</v>
      </c>
      <c r="BT217" s="129" t="s">
        <v>181</v>
      </c>
      <c r="BU217" s="129" t="s">
        <v>154</v>
      </c>
      <c r="CA217" s="129" t="s">
        <v>1141</v>
      </c>
      <c r="CB217" s="129" t="s">
        <v>359</v>
      </c>
      <c r="CC217" s="129" t="s">
        <v>359</v>
      </c>
      <c r="CD217" s="129" t="s">
        <v>202</v>
      </c>
      <c r="CE217" s="313" t="s">
        <v>359</v>
      </c>
    </row>
    <row r="218" spans="1:83" x14ac:dyDescent="0.25">
      <c r="A218" s="129" t="s">
        <v>1142</v>
      </c>
      <c r="B218" s="129" t="s">
        <v>352</v>
      </c>
      <c r="C218" s="129" t="s">
        <v>353</v>
      </c>
      <c r="D218" s="309">
        <v>45146</v>
      </c>
      <c r="E218" s="309">
        <v>46242</v>
      </c>
      <c r="J218" s="129" t="s">
        <v>267</v>
      </c>
      <c r="K218" s="129" t="s">
        <v>268</v>
      </c>
      <c r="M218" s="191"/>
      <c r="O218" s="129" t="s">
        <v>1143</v>
      </c>
      <c r="P218" s="129" t="s">
        <v>1144</v>
      </c>
      <c r="Q218" s="129" t="s">
        <v>953</v>
      </c>
      <c r="AA218" s="312">
        <f t="shared" si="64"/>
        <v>0</v>
      </c>
      <c r="AE218" s="129">
        <v>1</v>
      </c>
      <c r="AK218" s="312">
        <f t="shared" si="52"/>
        <v>1</v>
      </c>
      <c r="AL218" s="129">
        <f t="shared" si="53"/>
        <v>0</v>
      </c>
      <c r="AM218" s="129">
        <f t="shared" si="54"/>
        <v>0</v>
      </c>
      <c r="AN218" s="129">
        <f t="shared" si="55"/>
        <v>1</v>
      </c>
      <c r="AO218" s="129">
        <f t="shared" si="56"/>
        <v>0</v>
      </c>
      <c r="AP218" s="129">
        <f t="shared" si="57"/>
        <v>0</v>
      </c>
      <c r="AQ218" s="129">
        <f t="shared" si="58"/>
        <v>0</v>
      </c>
      <c r="AR218" s="129">
        <f t="shared" si="59"/>
        <v>0</v>
      </c>
      <c r="AS218" s="129">
        <f t="shared" si="60"/>
        <v>0</v>
      </c>
      <c r="AT218" s="312">
        <f t="shared" si="61"/>
        <v>1</v>
      </c>
      <c r="AV218" s="312"/>
      <c r="AW218" s="129">
        <v>0.25</v>
      </c>
      <c r="AX218" s="129">
        <v>0.25</v>
      </c>
      <c r="AY218" s="129">
        <v>0.25</v>
      </c>
      <c r="AZ218" s="129">
        <v>0.25</v>
      </c>
      <c r="BA218" s="314"/>
      <c r="BF218" s="314"/>
      <c r="BL218" s="314"/>
      <c r="BM218" s="129">
        <f t="shared" si="62"/>
        <v>1</v>
      </c>
      <c r="BN218" s="129">
        <f t="shared" si="63"/>
        <v>1</v>
      </c>
      <c r="BR218" s="129">
        <v>513515</v>
      </c>
      <c r="BS218" s="129">
        <v>170047</v>
      </c>
      <c r="BT218" s="129" t="s">
        <v>170</v>
      </c>
      <c r="BU218" s="129" t="s">
        <v>192</v>
      </c>
      <c r="CC218" s="129" t="s">
        <v>359</v>
      </c>
      <c r="CD218" s="129" t="s">
        <v>198</v>
      </c>
      <c r="CE218" s="313" t="s">
        <v>359</v>
      </c>
    </row>
    <row r="219" spans="1:83" x14ac:dyDescent="0.25">
      <c r="A219" s="129" t="s">
        <v>1145</v>
      </c>
      <c r="B219" s="129" t="s">
        <v>369</v>
      </c>
      <c r="C219" s="129" t="s">
        <v>353</v>
      </c>
      <c r="D219" s="309">
        <v>45408</v>
      </c>
      <c r="E219" s="309">
        <v>46503</v>
      </c>
      <c r="F219" s="309"/>
      <c r="G219" s="310"/>
      <c r="H219" s="310" t="s">
        <v>359</v>
      </c>
      <c r="J219" s="129" t="s">
        <v>267</v>
      </c>
      <c r="K219" s="320" t="s">
        <v>268</v>
      </c>
      <c r="M219" s="191"/>
      <c r="O219" s="129" t="s">
        <v>1146</v>
      </c>
      <c r="P219" s="129" t="s">
        <v>1147</v>
      </c>
      <c r="Q219" s="129" t="s">
        <v>1148</v>
      </c>
      <c r="AA219" s="312">
        <f t="shared" si="64"/>
        <v>0</v>
      </c>
      <c r="AC219" s="129">
        <v>46</v>
      </c>
      <c r="AD219" s="129">
        <v>14</v>
      </c>
      <c r="AE219" s="129">
        <v>6</v>
      </c>
      <c r="AK219" s="312">
        <f t="shared" si="52"/>
        <v>66</v>
      </c>
      <c r="AL219" s="129">
        <f t="shared" si="53"/>
        <v>46</v>
      </c>
      <c r="AM219" s="129">
        <f t="shared" si="54"/>
        <v>14</v>
      </c>
      <c r="AN219" s="129">
        <f t="shared" si="55"/>
        <v>6</v>
      </c>
      <c r="AO219" s="129">
        <f t="shared" si="56"/>
        <v>0</v>
      </c>
      <c r="AP219" s="129">
        <f t="shared" si="57"/>
        <v>0</v>
      </c>
      <c r="AQ219" s="129">
        <f t="shared" si="58"/>
        <v>0</v>
      </c>
      <c r="AR219" s="129">
        <f t="shared" si="59"/>
        <v>0</v>
      </c>
      <c r="AS219" s="129">
        <f t="shared" si="60"/>
        <v>0</v>
      </c>
      <c r="AT219" s="312">
        <f t="shared" si="61"/>
        <v>66</v>
      </c>
      <c r="AU219" s="313" t="s">
        <v>359</v>
      </c>
      <c r="AV219" s="312"/>
      <c r="AX219" s="129">
        <v>33</v>
      </c>
      <c r="AY219" s="129">
        <v>33</v>
      </c>
      <c r="BA219" s="314"/>
      <c r="BF219" s="314"/>
      <c r="BL219" s="314"/>
      <c r="BM219" s="129">
        <f t="shared" si="62"/>
        <v>66</v>
      </c>
      <c r="BN219" s="129">
        <f t="shared" si="63"/>
        <v>66</v>
      </c>
      <c r="BR219" s="129">
        <v>517487</v>
      </c>
      <c r="BS219" s="129">
        <v>169400</v>
      </c>
      <c r="BT219" s="129" t="s">
        <v>172</v>
      </c>
      <c r="BU219" s="129" t="s">
        <v>192</v>
      </c>
      <c r="BX219" s="129" t="s">
        <v>526</v>
      </c>
      <c r="BY219" s="129" t="s">
        <v>359</v>
      </c>
      <c r="CA219" s="129" t="s">
        <v>527</v>
      </c>
      <c r="CB219" s="129" t="s">
        <v>359</v>
      </c>
      <c r="CC219" s="129" t="s">
        <v>359</v>
      </c>
      <c r="CD219" s="129" t="s">
        <v>201</v>
      </c>
      <c r="CE219" s="313"/>
    </row>
    <row r="220" spans="1:83" x14ac:dyDescent="0.25">
      <c r="A220" s="129" t="s">
        <v>1145</v>
      </c>
      <c r="B220" s="129" t="s">
        <v>369</v>
      </c>
      <c r="C220" s="129" t="s">
        <v>353</v>
      </c>
      <c r="D220" s="309">
        <v>45408</v>
      </c>
      <c r="E220" s="309">
        <v>46503</v>
      </c>
      <c r="F220" s="309"/>
      <c r="G220" s="310"/>
      <c r="H220" s="310" t="s">
        <v>359</v>
      </c>
      <c r="J220" s="129" t="s">
        <v>267</v>
      </c>
      <c r="K220" s="129" t="s">
        <v>264</v>
      </c>
      <c r="M220" s="191"/>
      <c r="O220" s="129" t="s">
        <v>1146</v>
      </c>
      <c r="P220" s="129" t="s">
        <v>1147</v>
      </c>
      <c r="Q220" s="129" t="s">
        <v>1148</v>
      </c>
      <c r="AA220" s="312">
        <f t="shared" si="64"/>
        <v>0</v>
      </c>
      <c r="AB220" s="313" t="s">
        <v>359</v>
      </c>
      <c r="AC220" s="129">
        <v>2</v>
      </c>
      <c r="AD220" s="129">
        <v>1</v>
      </c>
      <c r="AE220" s="129">
        <v>1</v>
      </c>
      <c r="AK220" s="312">
        <f t="shared" si="52"/>
        <v>4</v>
      </c>
      <c r="AL220" s="129">
        <f t="shared" si="53"/>
        <v>2</v>
      </c>
      <c r="AM220" s="129">
        <f t="shared" si="54"/>
        <v>1</v>
      </c>
      <c r="AN220" s="129">
        <f t="shared" si="55"/>
        <v>1</v>
      </c>
      <c r="AO220" s="129">
        <f t="shared" si="56"/>
        <v>0</v>
      </c>
      <c r="AP220" s="129">
        <f t="shared" si="57"/>
        <v>0</v>
      </c>
      <c r="AQ220" s="129">
        <f t="shared" si="58"/>
        <v>0</v>
      </c>
      <c r="AR220" s="129">
        <f t="shared" si="59"/>
        <v>0</v>
      </c>
      <c r="AS220" s="129">
        <f t="shared" si="60"/>
        <v>0</v>
      </c>
      <c r="AT220" s="312">
        <f t="shared" si="61"/>
        <v>4</v>
      </c>
      <c r="AU220" s="313" t="s">
        <v>359</v>
      </c>
      <c r="AV220" s="312"/>
      <c r="AX220" s="129">
        <v>2</v>
      </c>
      <c r="AY220" s="129">
        <v>2</v>
      </c>
      <c r="BA220" s="314"/>
      <c r="BF220" s="314"/>
      <c r="BL220" s="314"/>
      <c r="BM220" s="129">
        <f t="shared" si="62"/>
        <v>4</v>
      </c>
      <c r="BN220" s="129">
        <f t="shared" si="63"/>
        <v>4</v>
      </c>
      <c r="BR220" s="129">
        <v>517487</v>
      </c>
      <c r="BS220" s="129">
        <v>169400</v>
      </c>
      <c r="BT220" s="129" t="s">
        <v>172</v>
      </c>
      <c r="BU220" s="129" t="s">
        <v>192</v>
      </c>
      <c r="BX220" s="129" t="s">
        <v>526</v>
      </c>
      <c r="BY220" s="129" t="s">
        <v>359</v>
      </c>
      <c r="CA220" s="129" t="s">
        <v>527</v>
      </c>
      <c r="CB220" s="129" t="s">
        <v>359</v>
      </c>
      <c r="CC220" s="129" t="s">
        <v>359</v>
      </c>
      <c r="CD220" s="129" t="s">
        <v>201</v>
      </c>
      <c r="CE220" s="313"/>
    </row>
    <row r="221" spans="1:83" x14ac:dyDescent="0.25">
      <c r="A221" s="129" t="s">
        <v>1149</v>
      </c>
      <c r="B221" s="129" t="s">
        <v>369</v>
      </c>
      <c r="C221" s="129" t="s">
        <v>353</v>
      </c>
      <c r="D221" s="309">
        <v>44964</v>
      </c>
      <c r="E221" s="309">
        <v>46060</v>
      </c>
      <c r="F221" s="315">
        <v>45498</v>
      </c>
      <c r="I221" s="315">
        <v>45791</v>
      </c>
      <c r="J221" s="129" t="s">
        <v>267</v>
      </c>
      <c r="K221" s="129" t="s">
        <v>268</v>
      </c>
      <c r="M221" s="191"/>
      <c r="O221" s="129" t="s">
        <v>1150</v>
      </c>
      <c r="P221" s="129" t="s">
        <v>1151</v>
      </c>
      <c r="Q221" s="129" t="s">
        <v>1152</v>
      </c>
      <c r="T221" s="129">
        <v>1</v>
      </c>
      <c r="AA221" s="312">
        <f t="shared" si="64"/>
        <v>1</v>
      </c>
      <c r="AK221" s="312">
        <f t="shared" si="52"/>
        <v>0</v>
      </c>
      <c r="AL221" s="129">
        <f t="shared" si="53"/>
        <v>0</v>
      </c>
      <c r="AM221" s="129">
        <f t="shared" si="54"/>
        <v>-1</v>
      </c>
      <c r="AN221" s="129">
        <f t="shared" si="55"/>
        <v>0</v>
      </c>
      <c r="AO221" s="129">
        <f t="shared" si="56"/>
        <v>0</v>
      </c>
      <c r="AP221" s="129">
        <f t="shared" si="57"/>
        <v>0</v>
      </c>
      <c r="AQ221" s="129">
        <f t="shared" si="58"/>
        <v>0</v>
      </c>
      <c r="AR221" s="129">
        <f t="shared" si="59"/>
        <v>0</v>
      </c>
      <c r="AS221" s="129">
        <f t="shared" si="60"/>
        <v>0</v>
      </c>
      <c r="AT221" s="312">
        <f t="shared" si="61"/>
        <v>-1</v>
      </c>
      <c r="AV221" s="312"/>
      <c r="AW221" s="129">
        <v>-1</v>
      </c>
      <c r="BA221" s="314"/>
      <c r="BF221" s="314"/>
      <c r="BL221" s="314"/>
      <c r="BM221" s="129">
        <f t="shared" si="62"/>
        <v>-1</v>
      </c>
      <c r="BN221" s="129">
        <f t="shared" si="63"/>
        <v>-1</v>
      </c>
      <c r="BR221" s="129">
        <v>515895</v>
      </c>
      <c r="BS221" s="129">
        <v>171171</v>
      </c>
      <c r="BT221" s="129" t="s">
        <v>152</v>
      </c>
      <c r="BU221" s="129" t="s">
        <v>192</v>
      </c>
      <c r="BV221" s="129" t="s">
        <v>152</v>
      </c>
      <c r="CA221" s="129" t="s">
        <v>1153</v>
      </c>
      <c r="CB221" s="129" t="s">
        <v>359</v>
      </c>
      <c r="CC221" s="129" t="s">
        <v>359</v>
      </c>
      <c r="CD221" s="129" t="s">
        <v>201</v>
      </c>
      <c r="CE221" s="313"/>
    </row>
    <row r="222" spans="1:83" x14ac:dyDescent="0.25">
      <c r="A222" s="129" t="s">
        <v>1154</v>
      </c>
      <c r="B222" s="129" t="s">
        <v>352</v>
      </c>
      <c r="C222" s="129" t="s">
        <v>353</v>
      </c>
      <c r="D222" s="309">
        <v>44721</v>
      </c>
      <c r="E222" s="309">
        <v>46193</v>
      </c>
      <c r="J222" s="129" t="s">
        <v>267</v>
      </c>
      <c r="K222" s="129" t="s">
        <v>268</v>
      </c>
      <c r="M222" s="191"/>
      <c r="O222" s="129" t="s">
        <v>1155</v>
      </c>
      <c r="P222" s="129" t="s">
        <v>1156</v>
      </c>
      <c r="Q222" s="129" t="s">
        <v>1157</v>
      </c>
      <c r="AA222" s="312">
        <f t="shared" si="64"/>
        <v>0</v>
      </c>
      <c r="AC222" s="129">
        <v>1</v>
      </c>
      <c r="AK222" s="312">
        <f t="shared" si="52"/>
        <v>1</v>
      </c>
      <c r="AL222" s="129">
        <f t="shared" si="53"/>
        <v>1</v>
      </c>
      <c r="AM222" s="129">
        <f t="shared" si="54"/>
        <v>0</v>
      </c>
      <c r="AN222" s="129">
        <f t="shared" si="55"/>
        <v>0</v>
      </c>
      <c r="AO222" s="129">
        <f t="shared" si="56"/>
        <v>0</v>
      </c>
      <c r="AP222" s="129">
        <f t="shared" si="57"/>
        <v>0</v>
      </c>
      <c r="AQ222" s="129">
        <f t="shared" si="58"/>
        <v>0</v>
      </c>
      <c r="AR222" s="129">
        <f t="shared" si="59"/>
        <v>0</v>
      </c>
      <c r="AS222" s="129">
        <f t="shared" si="60"/>
        <v>0</v>
      </c>
      <c r="AT222" s="312">
        <f t="shared" si="61"/>
        <v>1</v>
      </c>
      <c r="AV222" s="312"/>
      <c r="AW222" s="129">
        <v>0.25</v>
      </c>
      <c r="AX222" s="129">
        <v>0.25</v>
      </c>
      <c r="AY222" s="129">
        <v>0.25</v>
      </c>
      <c r="AZ222" s="129">
        <v>0.25</v>
      </c>
      <c r="BA222" s="314"/>
      <c r="BF222" s="314"/>
      <c r="BL222" s="314"/>
      <c r="BM222" s="129">
        <f t="shared" si="62"/>
        <v>1</v>
      </c>
      <c r="BN222" s="129">
        <f t="shared" si="63"/>
        <v>1</v>
      </c>
      <c r="BR222" s="129">
        <v>514372</v>
      </c>
      <c r="BS222" s="129">
        <v>171120</v>
      </c>
      <c r="BT222" s="129" t="s">
        <v>168</v>
      </c>
      <c r="BU222" s="129" t="s">
        <v>192</v>
      </c>
      <c r="BX222" s="129" t="s">
        <v>404</v>
      </c>
      <c r="BY222" s="129" t="s">
        <v>359</v>
      </c>
      <c r="CD222" s="129" t="s">
        <v>198</v>
      </c>
      <c r="CE222" s="313"/>
    </row>
    <row r="223" spans="1:83" x14ac:dyDescent="0.25">
      <c r="A223" s="129" t="s">
        <v>1158</v>
      </c>
      <c r="B223" s="129" t="s">
        <v>369</v>
      </c>
      <c r="C223" s="248" t="s">
        <v>370</v>
      </c>
      <c r="D223" s="309">
        <v>44711</v>
      </c>
      <c r="E223" s="309">
        <v>45807</v>
      </c>
      <c r="J223" s="129" t="s">
        <v>267</v>
      </c>
      <c r="K223" s="129" t="s">
        <v>268</v>
      </c>
      <c r="M223" s="191"/>
      <c r="O223" s="129" t="s">
        <v>1159</v>
      </c>
      <c r="P223" s="129" t="s">
        <v>1160</v>
      </c>
      <c r="Q223" s="129" t="s">
        <v>1161</v>
      </c>
      <c r="AA223" s="312">
        <f t="shared" si="64"/>
        <v>0</v>
      </c>
      <c r="AD223" s="129">
        <v>1</v>
      </c>
      <c r="AK223" s="312">
        <f t="shared" si="52"/>
        <v>1</v>
      </c>
      <c r="AL223" s="129">
        <f t="shared" si="53"/>
        <v>0</v>
      </c>
      <c r="AM223" s="129">
        <f t="shared" si="54"/>
        <v>1</v>
      </c>
      <c r="AN223" s="129">
        <f t="shared" si="55"/>
        <v>0</v>
      </c>
      <c r="AO223" s="129">
        <f t="shared" si="56"/>
        <v>0</v>
      </c>
      <c r="AP223" s="129">
        <f t="shared" si="57"/>
        <v>0</v>
      </c>
      <c r="AQ223" s="129">
        <f t="shared" si="58"/>
        <v>0</v>
      </c>
      <c r="AR223" s="129">
        <f t="shared" si="59"/>
        <v>0</v>
      </c>
      <c r="AS223" s="129">
        <f t="shared" si="60"/>
        <v>0</v>
      </c>
      <c r="AT223" s="312">
        <f t="shared" si="61"/>
        <v>1</v>
      </c>
      <c r="AV223" s="312"/>
      <c r="AW223" s="129">
        <v>0.25</v>
      </c>
      <c r="AX223" s="129">
        <v>0.25</v>
      </c>
      <c r="AY223" s="129">
        <v>0.25</v>
      </c>
      <c r="AZ223" s="129">
        <v>0.25</v>
      </c>
      <c r="BA223" s="314"/>
      <c r="BF223" s="314"/>
      <c r="BL223" s="314"/>
      <c r="BM223" s="129">
        <f t="shared" si="62"/>
        <v>1</v>
      </c>
      <c r="BN223" s="129">
        <f t="shared" si="63"/>
        <v>1</v>
      </c>
      <c r="BR223" s="129">
        <v>515985</v>
      </c>
      <c r="BS223" s="129">
        <v>171070</v>
      </c>
      <c r="BT223" s="129" t="s">
        <v>152</v>
      </c>
      <c r="BU223" s="129" t="s">
        <v>192</v>
      </c>
      <c r="BV223" s="129" t="s">
        <v>152</v>
      </c>
      <c r="CA223" s="129" t="s">
        <v>1153</v>
      </c>
      <c r="CB223" s="129" t="s">
        <v>359</v>
      </c>
      <c r="CC223" s="129" t="s">
        <v>359</v>
      </c>
      <c r="CD223" s="129" t="s">
        <v>201</v>
      </c>
      <c r="CE223" s="313"/>
    </row>
    <row r="224" spans="1:83" x14ac:dyDescent="0.25">
      <c r="A224" s="129" t="s">
        <v>1162</v>
      </c>
      <c r="B224" s="129" t="s">
        <v>482</v>
      </c>
      <c r="C224" s="129" t="s">
        <v>353</v>
      </c>
      <c r="D224" s="309">
        <v>45197</v>
      </c>
      <c r="E224" s="309">
        <v>46293</v>
      </c>
      <c r="J224" s="129" t="s">
        <v>267</v>
      </c>
      <c r="K224" s="129" t="s">
        <v>268</v>
      </c>
      <c r="M224" s="191"/>
      <c r="O224" s="129" t="s">
        <v>1163</v>
      </c>
      <c r="P224" s="129" t="s">
        <v>1164</v>
      </c>
      <c r="Q224" s="129" t="s">
        <v>1165</v>
      </c>
      <c r="U224" s="129">
        <v>1</v>
      </c>
      <c r="AA224" s="312">
        <f t="shared" si="64"/>
        <v>1</v>
      </c>
      <c r="AD224" s="129">
        <v>2</v>
      </c>
      <c r="AK224" s="312">
        <f t="shared" si="52"/>
        <v>2</v>
      </c>
      <c r="AL224" s="129">
        <f t="shared" si="53"/>
        <v>0</v>
      </c>
      <c r="AM224" s="129">
        <f t="shared" si="54"/>
        <v>2</v>
      </c>
      <c r="AN224" s="129">
        <f t="shared" si="55"/>
        <v>-1</v>
      </c>
      <c r="AO224" s="129">
        <f t="shared" si="56"/>
        <v>0</v>
      </c>
      <c r="AP224" s="129">
        <f t="shared" si="57"/>
        <v>0</v>
      </c>
      <c r="AQ224" s="129">
        <f t="shared" si="58"/>
        <v>0</v>
      </c>
      <c r="AR224" s="129">
        <f t="shared" si="59"/>
        <v>0</v>
      </c>
      <c r="AS224" s="129">
        <f t="shared" si="60"/>
        <v>0</v>
      </c>
      <c r="AT224" s="312">
        <f t="shared" si="61"/>
        <v>1</v>
      </c>
      <c r="AV224" s="312"/>
      <c r="AW224" s="129">
        <v>0.25</v>
      </c>
      <c r="AX224" s="129">
        <v>0.25</v>
      </c>
      <c r="AY224" s="129">
        <v>0.25</v>
      </c>
      <c r="AZ224" s="129">
        <v>0.25</v>
      </c>
      <c r="BA224" s="314"/>
      <c r="BF224" s="314"/>
      <c r="BL224" s="314"/>
      <c r="BM224" s="129">
        <f t="shared" si="62"/>
        <v>1</v>
      </c>
      <c r="BN224" s="129">
        <f t="shared" si="63"/>
        <v>1</v>
      </c>
      <c r="BR224" s="129">
        <v>512958</v>
      </c>
      <c r="BS224" s="129">
        <v>173983</v>
      </c>
      <c r="BT224" s="129" t="s">
        <v>173</v>
      </c>
      <c r="BU224" s="129" t="s">
        <v>156</v>
      </c>
      <c r="CD224" s="129" t="s">
        <v>203</v>
      </c>
      <c r="CE224" s="313"/>
    </row>
    <row r="225" spans="1:83" x14ac:dyDescent="0.25">
      <c r="A225" s="129" t="s">
        <v>1166</v>
      </c>
      <c r="B225" s="129" t="s">
        <v>369</v>
      </c>
      <c r="C225" s="248" t="s">
        <v>370</v>
      </c>
      <c r="D225" s="309">
        <v>44712</v>
      </c>
      <c r="E225" s="309">
        <v>45808</v>
      </c>
      <c r="F225" s="309">
        <v>45748</v>
      </c>
      <c r="G225" s="310"/>
      <c r="H225" s="310"/>
      <c r="J225" s="129" t="s">
        <v>267</v>
      </c>
      <c r="K225" s="129" t="s">
        <v>268</v>
      </c>
      <c r="M225" s="191"/>
      <c r="O225" s="129" t="s">
        <v>1167</v>
      </c>
      <c r="P225" s="129" t="s">
        <v>1168</v>
      </c>
      <c r="Q225" s="129" t="s">
        <v>1136</v>
      </c>
      <c r="AA225" s="312">
        <f t="shared" si="64"/>
        <v>0</v>
      </c>
      <c r="AD225" s="129">
        <v>1</v>
      </c>
      <c r="AK225" s="312">
        <f t="shared" si="52"/>
        <v>1</v>
      </c>
      <c r="AL225" s="129">
        <f t="shared" si="53"/>
        <v>0</v>
      </c>
      <c r="AM225" s="129">
        <f t="shared" si="54"/>
        <v>1</v>
      </c>
      <c r="AN225" s="129">
        <f t="shared" si="55"/>
        <v>0</v>
      </c>
      <c r="AO225" s="129">
        <f t="shared" si="56"/>
        <v>0</v>
      </c>
      <c r="AP225" s="129">
        <f t="shared" si="57"/>
        <v>0</v>
      </c>
      <c r="AQ225" s="129">
        <f t="shared" si="58"/>
        <v>0</v>
      </c>
      <c r="AR225" s="129">
        <f t="shared" si="59"/>
        <v>0</v>
      </c>
      <c r="AS225" s="129">
        <f t="shared" si="60"/>
        <v>0</v>
      </c>
      <c r="AT225" s="312">
        <f t="shared" si="61"/>
        <v>1</v>
      </c>
      <c r="AV225" s="312"/>
      <c r="AW225" s="129">
        <v>1</v>
      </c>
      <c r="BA225" s="314"/>
      <c r="BF225" s="314"/>
      <c r="BL225" s="314"/>
      <c r="BM225" s="129">
        <f t="shared" si="62"/>
        <v>1</v>
      </c>
      <c r="BN225" s="129">
        <f t="shared" si="63"/>
        <v>1</v>
      </c>
      <c r="BR225" s="129">
        <v>516837</v>
      </c>
      <c r="BS225" s="129">
        <v>174180</v>
      </c>
      <c r="BT225" s="129" t="s">
        <v>179</v>
      </c>
      <c r="BU225" s="129" t="s">
        <v>154</v>
      </c>
      <c r="BX225" s="129" t="s">
        <v>374</v>
      </c>
      <c r="BY225" s="129" t="s">
        <v>359</v>
      </c>
      <c r="CA225" s="129" t="s">
        <v>375</v>
      </c>
      <c r="CB225" s="129" t="s">
        <v>359</v>
      </c>
      <c r="CC225" s="129" t="s">
        <v>359</v>
      </c>
      <c r="CD225" s="129" t="s">
        <v>202</v>
      </c>
      <c r="CE225" s="313"/>
    </row>
    <row r="226" spans="1:83" x14ac:dyDescent="0.25">
      <c r="A226" s="129" t="s">
        <v>1169</v>
      </c>
      <c r="B226" s="129" t="s">
        <v>352</v>
      </c>
      <c r="C226" s="129" t="s">
        <v>353</v>
      </c>
      <c r="D226" s="309">
        <v>45189</v>
      </c>
      <c r="E226" s="309">
        <v>46285</v>
      </c>
      <c r="J226" s="129" t="s">
        <v>267</v>
      </c>
      <c r="K226" s="129" t="s">
        <v>268</v>
      </c>
      <c r="M226" s="191"/>
      <c r="O226" s="129" t="s">
        <v>1170</v>
      </c>
      <c r="P226" s="129" t="s">
        <v>1171</v>
      </c>
      <c r="Q226" s="129" t="s">
        <v>1172</v>
      </c>
      <c r="AA226" s="312">
        <f t="shared" si="64"/>
        <v>0</v>
      </c>
      <c r="AF226" s="129">
        <v>2</v>
      </c>
      <c r="AK226" s="312">
        <f t="shared" si="52"/>
        <v>2</v>
      </c>
      <c r="AL226" s="129">
        <f t="shared" si="53"/>
        <v>0</v>
      </c>
      <c r="AM226" s="129">
        <f t="shared" si="54"/>
        <v>0</v>
      </c>
      <c r="AN226" s="129">
        <f t="shared" si="55"/>
        <v>0</v>
      </c>
      <c r="AO226" s="129">
        <f t="shared" si="56"/>
        <v>2</v>
      </c>
      <c r="AP226" s="129">
        <f t="shared" si="57"/>
        <v>0</v>
      </c>
      <c r="AQ226" s="129">
        <f t="shared" si="58"/>
        <v>0</v>
      </c>
      <c r="AR226" s="129">
        <f t="shared" si="59"/>
        <v>0</v>
      </c>
      <c r="AS226" s="129">
        <f t="shared" si="60"/>
        <v>0</v>
      </c>
      <c r="AT226" s="312">
        <f t="shared" si="61"/>
        <v>2</v>
      </c>
      <c r="AV226" s="312"/>
      <c r="AW226" s="129">
        <v>0.5</v>
      </c>
      <c r="AX226" s="129">
        <v>0.5</v>
      </c>
      <c r="AY226" s="129">
        <v>0.5</v>
      </c>
      <c r="AZ226" s="129">
        <v>0.5</v>
      </c>
      <c r="BA226" s="314"/>
      <c r="BF226" s="314"/>
      <c r="BL226" s="314"/>
      <c r="BM226" s="129">
        <f t="shared" si="62"/>
        <v>2</v>
      </c>
      <c r="BN226" s="129">
        <f t="shared" si="63"/>
        <v>2</v>
      </c>
      <c r="BR226" s="129">
        <v>516805</v>
      </c>
      <c r="BS226" s="129">
        <v>172149</v>
      </c>
      <c r="BT226" s="129" t="s">
        <v>169</v>
      </c>
      <c r="BU226" s="129" t="s">
        <v>191</v>
      </c>
      <c r="CD226" s="129" t="s">
        <v>197</v>
      </c>
      <c r="CE226" s="313"/>
    </row>
    <row r="227" spans="1:83" x14ac:dyDescent="0.25">
      <c r="A227" s="129" t="s">
        <v>1173</v>
      </c>
      <c r="B227" s="129" t="s">
        <v>352</v>
      </c>
      <c r="C227" s="129" t="s">
        <v>353</v>
      </c>
      <c r="D227" s="309">
        <v>44935</v>
      </c>
      <c r="E227" s="309">
        <v>46031</v>
      </c>
      <c r="J227" s="129" t="s">
        <v>267</v>
      </c>
      <c r="K227" s="129" t="s">
        <v>268</v>
      </c>
      <c r="M227" s="191"/>
      <c r="O227" s="129" t="s">
        <v>1174</v>
      </c>
      <c r="P227" s="129" t="s">
        <v>1175</v>
      </c>
      <c r="Q227" s="129" t="s">
        <v>1176</v>
      </c>
      <c r="AA227" s="312">
        <f t="shared" si="64"/>
        <v>0</v>
      </c>
      <c r="AD227" s="129">
        <v>1</v>
      </c>
      <c r="AK227" s="312">
        <f t="shared" si="52"/>
        <v>1</v>
      </c>
      <c r="AL227" s="129">
        <f t="shared" si="53"/>
        <v>0</v>
      </c>
      <c r="AM227" s="129">
        <f t="shared" si="54"/>
        <v>1</v>
      </c>
      <c r="AN227" s="129">
        <f t="shared" si="55"/>
        <v>0</v>
      </c>
      <c r="AO227" s="129">
        <f t="shared" si="56"/>
        <v>0</v>
      </c>
      <c r="AP227" s="129">
        <f t="shared" si="57"/>
        <v>0</v>
      </c>
      <c r="AQ227" s="129">
        <f t="shared" si="58"/>
        <v>0</v>
      </c>
      <c r="AR227" s="129">
        <f t="shared" si="59"/>
        <v>0</v>
      </c>
      <c r="AS227" s="129">
        <f t="shared" si="60"/>
        <v>0</v>
      </c>
      <c r="AT227" s="312">
        <f t="shared" si="61"/>
        <v>1</v>
      </c>
      <c r="AV227" s="312"/>
      <c r="AW227" s="129">
        <v>0.25</v>
      </c>
      <c r="AX227" s="129">
        <v>0.25</v>
      </c>
      <c r="AY227" s="129">
        <v>0.25</v>
      </c>
      <c r="AZ227" s="129">
        <v>0.25</v>
      </c>
      <c r="BA227" s="314"/>
      <c r="BF227" s="314"/>
      <c r="BL227" s="314"/>
      <c r="BM227" s="129">
        <f t="shared" si="62"/>
        <v>1</v>
      </c>
      <c r="BN227" s="129">
        <f t="shared" si="63"/>
        <v>1</v>
      </c>
      <c r="BR227" s="129">
        <v>514428</v>
      </c>
      <c r="BS227" s="129">
        <v>171230</v>
      </c>
      <c r="BT227" s="129" t="s">
        <v>168</v>
      </c>
      <c r="BU227" s="129" t="s">
        <v>192</v>
      </c>
      <c r="CC227" s="129" t="s">
        <v>359</v>
      </c>
      <c r="CD227" s="129" t="s">
        <v>198</v>
      </c>
      <c r="CE227" s="313"/>
    </row>
    <row r="228" spans="1:83" x14ac:dyDescent="0.25">
      <c r="A228" s="129" t="s">
        <v>1177</v>
      </c>
      <c r="B228" s="129" t="s">
        <v>369</v>
      </c>
      <c r="C228" s="248" t="s">
        <v>370</v>
      </c>
      <c r="D228" s="309">
        <v>44767</v>
      </c>
      <c r="E228" s="309">
        <v>45918</v>
      </c>
      <c r="J228" s="129" t="s">
        <v>267</v>
      </c>
      <c r="K228" s="129" t="s">
        <v>268</v>
      </c>
      <c r="M228" s="191"/>
      <c r="O228" s="129" t="s">
        <v>1178</v>
      </c>
      <c r="P228" s="129" t="s">
        <v>1179</v>
      </c>
      <c r="Q228" s="129" t="s">
        <v>1180</v>
      </c>
      <c r="AA228" s="312">
        <f t="shared" si="64"/>
        <v>0</v>
      </c>
      <c r="AC228" s="129">
        <v>2</v>
      </c>
      <c r="AK228" s="312">
        <f t="shared" si="52"/>
        <v>2</v>
      </c>
      <c r="AL228" s="129">
        <f t="shared" si="53"/>
        <v>2</v>
      </c>
      <c r="AM228" s="129">
        <f t="shared" si="54"/>
        <v>0</v>
      </c>
      <c r="AN228" s="129">
        <f t="shared" si="55"/>
        <v>0</v>
      </c>
      <c r="AO228" s="129">
        <f t="shared" si="56"/>
        <v>0</v>
      </c>
      <c r="AP228" s="129">
        <f t="shared" si="57"/>
        <v>0</v>
      </c>
      <c r="AQ228" s="129">
        <f t="shared" si="58"/>
        <v>0</v>
      </c>
      <c r="AR228" s="129">
        <f t="shared" si="59"/>
        <v>0</v>
      </c>
      <c r="AS228" s="129">
        <f t="shared" si="60"/>
        <v>0</v>
      </c>
      <c r="AT228" s="312">
        <f t="shared" si="61"/>
        <v>2</v>
      </c>
      <c r="AV228" s="312"/>
      <c r="AW228" s="129">
        <v>0.5</v>
      </c>
      <c r="AX228" s="129">
        <v>0.5</v>
      </c>
      <c r="AY228" s="129">
        <v>0.5</v>
      </c>
      <c r="AZ228" s="129">
        <v>0.5</v>
      </c>
      <c r="BA228" s="314"/>
      <c r="BF228" s="314"/>
      <c r="BL228" s="314"/>
      <c r="BM228" s="129">
        <f t="shared" si="62"/>
        <v>2</v>
      </c>
      <c r="BN228" s="129">
        <f t="shared" si="63"/>
        <v>2</v>
      </c>
      <c r="BR228" s="129">
        <v>514180</v>
      </c>
      <c r="BS228" s="129">
        <v>173646</v>
      </c>
      <c r="BT228" s="129" t="s">
        <v>156</v>
      </c>
      <c r="BU228" s="129" t="s">
        <v>156</v>
      </c>
      <c r="BV228" s="129" t="s">
        <v>156</v>
      </c>
      <c r="CC228" s="129" t="s">
        <v>359</v>
      </c>
      <c r="CD228" s="129" t="s">
        <v>203</v>
      </c>
      <c r="CE228" s="313"/>
    </row>
    <row r="229" spans="1:83" x14ac:dyDescent="0.25">
      <c r="A229" s="129" t="s">
        <v>1181</v>
      </c>
      <c r="B229" s="129" t="s">
        <v>352</v>
      </c>
      <c r="C229" s="129" t="s">
        <v>353</v>
      </c>
      <c r="D229" s="309">
        <v>44872</v>
      </c>
      <c r="E229" s="309">
        <v>45968</v>
      </c>
      <c r="J229" s="129" t="s">
        <v>267</v>
      </c>
      <c r="K229" s="129" t="s">
        <v>264</v>
      </c>
      <c r="M229" s="191"/>
      <c r="O229" s="129" t="s">
        <v>1182</v>
      </c>
      <c r="P229" s="129" t="s">
        <v>1183</v>
      </c>
      <c r="Q229" s="129" t="s">
        <v>1184</v>
      </c>
      <c r="U229" s="129">
        <v>1</v>
      </c>
      <c r="AA229" s="312">
        <f t="shared" si="64"/>
        <v>1</v>
      </c>
      <c r="AB229" s="313" t="s">
        <v>359</v>
      </c>
      <c r="AC229" s="129">
        <v>3</v>
      </c>
      <c r="AD229" s="129">
        <v>1</v>
      </c>
      <c r="AK229" s="312">
        <f t="shared" si="52"/>
        <v>4</v>
      </c>
      <c r="AL229" s="129">
        <f t="shared" si="53"/>
        <v>3</v>
      </c>
      <c r="AM229" s="129">
        <f t="shared" si="54"/>
        <v>1</v>
      </c>
      <c r="AN229" s="129">
        <f t="shared" si="55"/>
        <v>-1</v>
      </c>
      <c r="AO229" s="129">
        <f t="shared" si="56"/>
        <v>0</v>
      </c>
      <c r="AP229" s="129">
        <f t="shared" si="57"/>
        <v>0</v>
      </c>
      <c r="AQ229" s="129">
        <f t="shared" si="58"/>
        <v>0</v>
      </c>
      <c r="AR229" s="129">
        <f t="shared" si="59"/>
        <v>0</v>
      </c>
      <c r="AS229" s="129">
        <f t="shared" si="60"/>
        <v>0</v>
      </c>
      <c r="AT229" s="312">
        <f t="shared" si="61"/>
        <v>3</v>
      </c>
      <c r="AV229" s="312"/>
      <c r="AW229" s="129">
        <v>0.75</v>
      </c>
      <c r="AX229" s="129">
        <v>0.75</v>
      </c>
      <c r="AY229" s="129">
        <v>0.75</v>
      </c>
      <c r="AZ229" s="129">
        <v>0.75</v>
      </c>
      <c r="BA229" s="314"/>
      <c r="BF229" s="314"/>
      <c r="BL229" s="314"/>
      <c r="BM229" s="129">
        <f t="shared" si="62"/>
        <v>3</v>
      </c>
      <c r="BN229" s="129">
        <f t="shared" si="63"/>
        <v>3</v>
      </c>
      <c r="BR229" s="129">
        <v>516734</v>
      </c>
      <c r="BS229" s="129">
        <v>173647</v>
      </c>
      <c r="BT229" s="129" t="s">
        <v>180</v>
      </c>
      <c r="BU229" s="129" t="s">
        <v>154</v>
      </c>
      <c r="BZ229" s="129" t="s">
        <v>1185</v>
      </c>
      <c r="CA229" s="129" t="s">
        <v>386</v>
      </c>
      <c r="CB229" s="129" t="s">
        <v>359</v>
      </c>
      <c r="CC229" s="129" t="s">
        <v>359</v>
      </c>
      <c r="CD229" s="129" t="s">
        <v>202</v>
      </c>
      <c r="CE229" s="313"/>
    </row>
    <row r="230" spans="1:83" x14ac:dyDescent="0.25">
      <c r="A230" s="129" t="s">
        <v>1186</v>
      </c>
      <c r="B230" s="129" t="s">
        <v>352</v>
      </c>
      <c r="C230" s="129" t="s">
        <v>353</v>
      </c>
      <c r="D230" s="309">
        <v>45044</v>
      </c>
      <c r="E230" s="309">
        <v>46140</v>
      </c>
      <c r="F230" s="309">
        <v>45748</v>
      </c>
      <c r="G230" s="310"/>
      <c r="H230" s="310"/>
      <c r="J230" s="129" t="s">
        <v>267</v>
      </c>
      <c r="K230" s="129" t="s">
        <v>268</v>
      </c>
      <c r="M230" s="191"/>
      <c r="O230" s="129" t="s">
        <v>1187</v>
      </c>
      <c r="P230" s="129" t="s">
        <v>1188</v>
      </c>
      <c r="Q230" s="129" t="s">
        <v>1189</v>
      </c>
      <c r="AA230" s="312">
        <f t="shared" si="64"/>
        <v>0</v>
      </c>
      <c r="AD230" s="129">
        <v>1</v>
      </c>
      <c r="AF230" s="129">
        <v>1</v>
      </c>
      <c r="AK230" s="312">
        <f t="shared" si="52"/>
        <v>2</v>
      </c>
      <c r="AL230" s="129">
        <f t="shared" si="53"/>
        <v>0</v>
      </c>
      <c r="AM230" s="129">
        <f t="shared" si="54"/>
        <v>1</v>
      </c>
      <c r="AN230" s="129">
        <f t="shared" si="55"/>
        <v>0</v>
      </c>
      <c r="AO230" s="129">
        <f t="shared" si="56"/>
        <v>1</v>
      </c>
      <c r="AP230" s="129">
        <f t="shared" si="57"/>
        <v>0</v>
      </c>
      <c r="AQ230" s="129">
        <f t="shared" si="58"/>
        <v>0</v>
      </c>
      <c r="AR230" s="129">
        <f t="shared" si="59"/>
        <v>0</v>
      </c>
      <c r="AS230" s="129">
        <f t="shared" si="60"/>
        <v>0</v>
      </c>
      <c r="AT230" s="312">
        <f t="shared" si="61"/>
        <v>2</v>
      </c>
      <c r="AV230" s="312"/>
      <c r="AX230" s="129">
        <v>1</v>
      </c>
      <c r="AY230" s="129">
        <v>1</v>
      </c>
      <c r="BA230" s="314"/>
      <c r="BF230" s="314"/>
      <c r="BL230" s="314"/>
      <c r="BM230" s="129">
        <f t="shared" si="62"/>
        <v>2</v>
      </c>
      <c r="BN230" s="129">
        <f t="shared" si="63"/>
        <v>2</v>
      </c>
      <c r="BR230" s="129">
        <v>512514</v>
      </c>
      <c r="BS230" s="129">
        <v>173445</v>
      </c>
      <c r="BT230" s="129" t="s">
        <v>173</v>
      </c>
      <c r="BU230" s="129" t="s">
        <v>156</v>
      </c>
      <c r="CD230" s="129" t="s">
        <v>203</v>
      </c>
      <c r="CE230" s="313" t="s">
        <v>359</v>
      </c>
    </row>
    <row r="231" spans="1:83" x14ac:dyDescent="0.25">
      <c r="A231" s="129" t="s">
        <v>1190</v>
      </c>
      <c r="B231" s="129" t="s">
        <v>352</v>
      </c>
      <c r="C231" s="129" t="s">
        <v>353</v>
      </c>
      <c r="D231" s="309">
        <v>44846</v>
      </c>
      <c r="E231" s="309">
        <v>45942</v>
      </c>
      <c r="J231" s="129" t="s">
        <v>267</v>
      </c>
      <c r="K231" s="129" t="s">
        <v>268</v>
      </c>
      <c r="M231" s="191"/>
      <c r="O231" s="129" t="s">
        <v>1191</v>
      </c>
      <c r="P231" s="129" t="s">
        <v>1192</v>
      </c>
      <c r="Q231" s="129" t="s">
        <v>1193</v>
      </c>
      <c r="U231" s="129">
        <v>1</v>
      </c>
      <c r="AA231" s="312">
        <f t="shared" si="64"/>
        <v>1</v>
      </c>
      <c r="AG231" s="129">
        <v>1</v>
      </c>
      <c r="AK231" s="312">
        <f t="shared" si="52"/>
        <v>1</v>
      </c>
      <c r="AL231" s="129">
        <f t="shared" si="53"/>
        <v>0</v>
      </c>
      <c r="AM231" s="129">
        <f t="shared" si="54"/>
        <v>0</v>
      </c>
      <c r="AN231" s="129">
        <f t="shared" si="55"/>
        <v>-1</v>
      </c>
      <c r="AO231" s="129">
        <f t="shared" si="56"/>
        <v>0</v>
      </c>
      <c r="AP231" s="129">
        <f t="shared" si="57"/>
        <v>1</v>
      </c>
      <c r="AQ231" s="129">
        <f t="shared" si="58"/>
        <v>0</v>
      </c>
      <c r="AR231" s="129">
        <f t="shared" si="59"/>
        <v>0</v>
      </c>
      <c r="AS231" s="129">
        <f t="shared" si="60"/>
        <v>0</v>
      </c>
      <c r="AT231" s="312">
        <f t="shared" si="61"/>
        <v>0</v>
      </c>
      <c r="AV231" s="312"/>
      <c r="AW231" s="129">
        <v>0</v>
      </c>
      <c r="BA231" s="314"/>
      <c r="BF231" s="314"/>
      <c r="BL231" s="314"/>
      <c r="BM231" s="129">
        <f t="shared" si="62"/>
        <v>0</v>
      </c>
      <c r="BN231" s="129">
        <f t="shared" si="63"/>
        <v>0</v>
      </c>
      <c r="BR231" s="129">
        <v>517777</v>
      </c>
      <c r="BS231" s="129">
        <v>172645</v>
      </c>
      <c r="BT231" s="129" t="s">
        <v>169</v>
      </c>
      <c r="BU231" s="129" t="s">
        <v>191</v>
      </c>
      <c r="CD231" s="129" t="s">
        <v>197</v>
      </c>
      <c r="CE231" s="313"/>
    </row>
    <row r="232" spans="1:83" x14ac:dyDescent="0.25">
      <c r="A232" s="129" t="s">
        <v>1194</v>
      </c>
      <c r="B232" s="129" t="s">
        <v>482</v>
      </c>
      <c r="C232" s="129" t="s">
        <v>353</v>
      </c>
      <c r="D232" s="309">
        <v>44908</v>
      </c>
      <c r="E232" s="309">
        <v>46004</v>
      </c>
      <c r="F232" s="315">
        <v>45986</v>
      </c>
      <c r="J232" s="129" t="s">
        <v>267</v>
      </c>
      <c r="K232" s="129" t="s">
        <v>268</v>
      </c>
      <c r="M232" s="191"/>
      <c r="O232" s="129" t="s">
        <v>1195</v>
      </c>
      <c r="P232" s="129" t="s">
        <v>1196</v>
      </c>
      <c r="Q232" s="129" t="s">
        <v>1197</v>
      </c>
      <c r="S232" s="129">
        <v>1</v>
      </c>
      <c r="T232" s="129">
        <v>1</v>
      </c>
      <c r="AA232" s="312">
        <f t="shared" si="64"/>
        <v>2</v>
      </c>
      <c r="AF232" s="129">
        <v>1</v>
      </c>
      <c r="AK232" s="312">
        <f t="shared" si="52"/>
        <v>1</v>
      </c>
      <c r="AL232" s="129">
        <f t="shared" si="53"/>
        <v>-1</v>
      </c>
      <c r="AM232" s="129">
        <f t="shared" si="54"/>
        <v>-1</v>
      </c>
      <c r="AN232" s="129">
        <f t="shared" si="55"/>
        <v>0</v>
      </c>
      <c r="AO232" s="129">
        <f t="shared" si="56"/>
        <v>1</v>
      </c>
      <c r="AP232" s="129">
        <f t="shared" si="57"/>
        <v>0</v>
      </c>
      <c r="AQ232" s="129">
        <f t="shared" si="58"/>
        <v>0</v>
      </c>
      <c r="AR232" s="129">
        <f t="shared" si="59"/>
        <v>0</v>
      </c>
      <c r="AS232" s="129">
        <f t="shared" si="60"/>
        <v>0</v>
      </c>
      <c r="AT232" s="312">
        <f t="shared" si="61"/>
        <v>-1</v>
      </c>
      <c r="AV232" s="312"/>
      <c r="AX232" s="129">
        <v>-0.5</v>
      </c>
      <c r="AY232" s="129">
        <v>-0.5</v>
      </c>
      <c r="BA232" s="314"/>
      <c r="BF232" s="314"/>
      <c r="BL232" s="314"/>
      <c r="BM232" s="129">
        <f t="shared" si="62"/>
        <v>-1</v>
      </c>
      <c r="BN232" s="129">
        <f t="shared" si="63"/>
        <v>-1</v>
      </c>
      <c r="BR232" s="129">
        <v>520649</v>
      </c>
      <c r="BS232" s="129">
        <v>175098</v>
      </c>
      <c r="BT232" s="129" t="s">
        <v>149</v>
      </c>
      <c r="BU232" s="129" t="s">
        <v>190</v>
      </c>
      <c r="CC232" s="129" t="s">
        <v>359</v>
      </c>
      <c r="CD232" s="129" t="s">
        <v>199</v>
      </c>
      <c r="CE232" s="313"/>
    </row>
    <row r="233" spans="1:83" x14ac:dyDescent="0.25">
      <c r="A233" s="129" t="s">
        <v>1198</v>
      </c>
      <c r="B233" s="129" t="s">
        <v>352</v>
      </c>
      <c r="C233" s="129" t="s">
        <v>353</v>
      </c>
      <c r="D233" s="309">
        <v>45118</v>
      </c>
      <c r="E233" s="309">
        <v>46214</v>
      </c>
      <c r="J233" s="129" t="s">
        <v>267</v>
      </c>
      <c r="K233" s="129" t="s">
        <v>268</v>
      </c>
      <c r="M233" s="191"/>
      <c r="O233" s="129" t="s">
        <v>1199</v>
      </c>
      <c r="P233" s="129" t="s">
        <v>1200</v>
      </c>
      <c r="Q233" s="129" t="s">
        <v>1201</v>
      </c>
      <c r="U233" s="129">
        <v>1</v>
      </c>
      <c r="AA233" s="312">
        <f t="shared" si="64"/>
        <v>1</v>
      </c>
      <c r="AH233" s="129">
        <v>1</v>
      </c>
      <c r="AK233" s="312">
        <f t="shared" si="52"/>
        <v>1</v>
      </c>
      <c r="AL233" s="129">
        <f t="shared" si="53"/>
        <v>0</v>
      </c>
      <c r="AM233" s="129">
        <f t="shared" si="54"/>
        <v>0</v>
      </c>
      <c r="AN233" s="129">
        <f t="shared" si="55"/>
        <v>-1</v>
      </c>
      <c r="AO233" s="129">
        <f t="shared" si="56"/>
        <v>0</v>
      </c>
      <c r="AP233" s="129">
        <f t="shared" si="57"/>
        <v>0</v>
      </c>
      <c r="AQ233" s="129">
        <f t="shared" si="58"/>
        <v>1</v>
      </c>
      <c r="AR233" s="129">
        <f t="shared" si="59"/>
        <v>0</v>
      </c>
      <c r="AS233" s="129">
        <f t="shared" si="60"/>
        <v>0</v>
      </c>
      <c r="AT233" s="312">
        <f t="shared" si="61"/>
        <v>0</v>
      </c>
      <c r="AV233" s="312"/>
      <c r="AW233" s="129">
        <v>0</v>
      </c>
      <c r="BA233" s="314"/>
      <c r="BF233" s="314"/>
      <c r="BL233" s="314"/>
      <c r="BM233" s="129">
        <f t="shared" si="62"/>
        <v>0</v>
      </c>
      <c r="BN233" s="129">
        <f t="shared" si="63"/>
        <v>0</v>
      </c>
      <c r="BR233" s="129">
        <v>516358</v>
      </c>
      <c r="BS233" s="129">
        <v>171680</v>
      </c>
      <c r="BT233" s="129" t="s">
        <v>152</v>
      </c>
      <c r="BU233" s="129" t="s">
        <v>192</v>
      </c>
      <c r="BW233" s="129" t="s">
        <v>151</v>
      </c>
      <c r="CC233" s="129" t="s">
        <v>359</v>
      </c>
      <c r="CD233" s="129" t="s">
        <v>201</v>
      </c>
      <c r="CE233" s="313"/>
    </row>
    <row r="234" spans="1:83" x14ac:dyDescent="0.25">
      <c r="A234" s="129" t="s">
        <v>1202</v>
      </c>
      <c r="B234" s="129" t="s">
        <v>352</v>
      </c>
      <c r="C234" s="129" t="s">
        <v>353</v>
      </c>
      <c r="D234" s="309">
        <v>45569</v>
      </c>
      <c r="E234" s="309">
        <v>46664</v>
      </c>
      <c r="H234" s="310" t="s">
        <v>359</v>
      </c>
      <c r="J234" s="129" t="s">
        <v>267</v>
      </c>
      <c r="K234" s="129" t="s">
        <v>268</v>
      </c>
      <c r="M234" s="191"/>
      <c r="O234" s="129" t="s">
        <v>1203</v>
      </c>
      <c r="P234" s="129" t="s">
        <v>1204</v>
      </c>
      <c r="Q234" s="129" t="s">
        <v>1205</v>
      </c>
      <c r="AA234" s="312">
        <f t="shared" si="64"/>
        <v>0</v>
      </c>
      <c r="AC234" s="129">
        <v>1</v>
      </c>
      <c r="AK234" s="312">
        <f t="shared" si="52"/>
        <v>1</v>
      </c>
      <c r="AL234" s="129">
        <f t="shared" si="53"/>
        <v>1</v>
      </c>
      <c r="AM234" s="129">
        <f t="shared" si="54"/>
        <v>0</v>
      </c>
      <c r="AN234" s="129">
        <f t="shared" si="55"/>
        <v>0</v>
      </c>
      <c r="AO234" s="129">
        <f t="shared" si="56"/>
        <v>0</v>
      </c>
      <c r="AP234" s="129">
        <f t="shared" si="57"/>
        <v>0</v>
      </c>
      <c r="AQ234" s="129">
        <f t="shared" si="58"/>
        <v>0</v>
      </c>
      <c r="AR234" s="129">
        <f t="shared" si="59"/>
        <v>0</v>
      </c>
      <c r="AS234" s="129">
        <f t="shared" si="60"/>
        <v>0</v>
      </c>
      <c r="AT234" s="312">
        <f t="shared" si="61"/>
        <v>1</v>
      </c>
      <c r="AV234" s="312"/>
      <c r="AW234" s="129">
        <v>0.25</v>
      </c>
      <c r="AX234" s="129">
        <v>0.25</v>
      </c>
      <c r="AY234" s="129">
        <v>0.25</v>
      </c>
      <c r="AZ234" s="129">
        <v>0.25</v>
      </c>
      <c r="BA234" s="314"/>
      <c r="BF234" s="314"/>
      <c r="BL234" s="314"/>
      <c r="BM234" s="129">
        <f t="shared" si="62"/>
        <v>1</v>
      </c>
      <c r="BN234" s="129">
        <f t="shared" si="63"/>
        <v>1</v>
      </c>
      <c r="BR234" s="129">
        <v>514736</v>
      </c>
      <c r="BS234" s="129">
        <v>172131</v>
      </c>
      <c r="BT234" s="129" t="s">
        <v>181</v>
      </c>
      <c r="BU234" s="129" t="s">
        <v>154</v>
      </c>
      <c r="CC234" s="129" t="s">
        <v>359</v>
      </c>
      <c r="CD234" s="129" t="s">
        <v>202</v>
      </c>
      <c r="CE234" s="313"/>
    </row>
    <row r="235" spans="1:83" x14ac:dyDescent="0.25">
      <c r="A235" s="129" t="s">
        <v>1206</v>
      </c>
      <c r="B235" s="129" t="s">
        <v>352</v>
      </c>
      <c r="C235" s="129" t="s">
        <v>353</v>
      </c>
      <c r="D235" s="309">
        <v>44965</v>
      </c>
      <c r="E235" s="309">
        <v>46061</v>
      </c>
      <c r="J235" s="129" t="s">
        <v>267</v>
      </c>
      <c r="K235" s="129" t="s">
        <v>268</v>
      </c>
      <c r="M235" s="191"/>
      <c r="O235" s="129" t="s">
        <v>1207</v>
      </c>
      <c r="P235" s="129" t="s">
        <v>1208</v>
      </c>
      <c r="Q235" s="129" t="s">
        <v>1209</v>
      </c>
      <c r="V235" s="129">
        <v>1</v>
      </c>
      <c r="AA235" s="312">
        <f t="shared" si="64"/>
        <v>1</v>
      </c>
      <c r="AE235" s="129">
        <v>2</v>
      </c>
      <c r="AK235" s="312">
        <f t="shared" si="52"/>
        <v>2</v>
      </c>
      <c r="AL235" s="129">
        <f t="shared" si="53"/>
        <v>0</v>
      </c>
      <c r="AM235" s="129">
        <f t="shared" si="54"/>
        <v>0</v>
      </c>
      <c r="AN235" s="129">
        <f t="shared" si="55"/>
        <v>2</v>
      </c>
      <c r="AO235" s="129">
        <f t="shared" si="56"/>
        <v>-1</v>
      </c>
      <c r="AP235" s="129">
        <f t="shared" si="57"/>
        <v>0</v>
      </c>
      <c r="AQ235" s="129">
        <f t="shared" si="58"/>
        <v>0</v>
      </c>
      <c r="AR235" s="129">
        <f t="shared" si="59"/>
        <v>0</v>
      </c>
      <c r="AS235" s="129">
        <f t="shared" si="60"/>
        <v>0</v>
      </c>
      <c r="AT235" s="312">
        <f t="shared" si="61"/>
        <v>1</v>
      </c>
      <c r="AV235" s="312"/>
      <c r="AW235" s="129">
        <v>0.25</v>
      </c>
      <c r="AX235" s="129">
        <v>0.25</v>
      </c>
      <c r="AY235" s="129">
        <v>0.25</v>
      </c>
      <c r="AZ235" s="129">
        <v>0.25</v>
      </c>
      <c r="BA235" s="314"/>
      <c r="BF235" s="314"/>
      <c r="BL235" s="314"/>
      <c r="BM235" s="129">
        <f t="shared" si="62"/>
        <v>1</v>
      </c>
      <c r="BN235" s="129">
        <f t="shared" si="63"/>
        <v>1</v>
      </c>
      <c r="BR235" s="129">
        <v>519780</v>
      </c>
      <c r="BS235" s="129">
        <v>175098</v>
      </c>
      <c r="BT235" s="129" t="s">
        <v>149</v>
      </c>
      <c r="BU235" s="129" t="s">
        <v>190</v>
      </c>
      <c r="CC235" s="129" t="s">
        <v>359</v>
      </c>
      <c r="CD235" s="129" t="s">
        <v>199</v>
      </c>
      <c r="CE235" s="313" t="s">
        <v>359</v>
      </c>
    </row>
    <row r="236" spans="1:83" x14ac:dyDescent="0.25">
      <c r="A236" s="129" t="s">
        <v>1210</v>
      </c>
      <c r="B236" s="129" t="s">
        <v>369</v>
      </c>
      <c r="C236" s="248" t="s">
        <v>370</v>
      </c>
      <c r="D236" s="309">
        <v>44907</v>
      </c>
      <c r="E236" s="309">
        <v>46003</v>
      </c>
      <c r="J236" s="129" t="s">
        <v>267</v>
      </c>
      <c r="K236" s="129" t="s">
        <v>268</v>
      </c>
      <c r="M236" s="191"/>
      <c r="O236" s="129" t="s">
        <v>1211</v>
      </c>
      <c r="P236" s="129" t="s">
        <v>1212</v>
      </c>
      <c r="Q236" s="129" t="s">
        <v>1176</v>
      </c>
      <c r="AA236" s="312">
        <f t="shared" si="64"/>
        <v>0</v>
      </c>
      <c r="AD236" s="129">
        <v>2</v>
      </c>
      <c r="AK236" s="312">
        <f t="shared" si="52"/>
        <v>2</v>
      </c>
      <c r="AL236" s="129">
        <f t="shared" si="53"/>
        <v>0</v>
      </c>
      <c r="AM236" s="129">
        <f t="shared" si="54"/>
        <v>2</v>
      </c>
      <c r="AN236" s="129">
        <f t="shared" si="55"/>
        <v>0</v>
      </c>
      <c r="AO236" s="129">
        <f t="shared" si="56"/>
        <v>0</v>
      </c>
      <c r="AP236" s="129">
        <f t="shared" si="57"/>
        <v>0</v>
      </c>
      <c r="AQ236" s="129">
        <f t="shared" si="58"/>
        <v>0</v>
      </c>
      <c r="AR236" s="129">
        <f t="shared" si="59"/>
        <v>0</v>
      </c>
      <c r="AS236" s="129">
        <f t="shared" si="60"/>
        <v>0</v>
      </c>
      <c r="AT236" s="312">
        <f t="shared" si="61"/>
        <v>2</v>
      </c>
      <c r="AV236" s="312"/>
      <c r="AW236" s="129">
        <v>0.5</v>
      </c>
      <c r="AX236" s="129">
        <v>0.5</v>
      </c>
      <c r="AY236" s="129">
        <v>0.5</v>
      </c>
      <c r="AZ236" s="129">
        <v>0.5</v>
      </c>
      <c r="BA236" s="314"/>
      <c r="BF236" s="314"/>
      <c r="BL236" s="314"/>
      <c r="BM236" s="129">
        <f t="shared" si="62"/>
        <v>2</v>
      </c>
      <c r="BN236" s="129">
        <f t="shared" si="63"/>
        <v>2</v>
      </c>
      <c r="BR236" s="129">
        <v>514405</v>
      </c>
      <c r="BS236" s="129">
        <v>171101</v>
      </c>
      <c r="BT236" s="129" t="s">
        <v>168</v>
      </c>
      <c r="BU236" s="129" t="s">
        <v>192</v>
      </c>
      <c r="BX236" s="129" t="s">
        <v>404</v>
      </c>
      <c r="BY236" s="129" t="s">
        <v>359</v>
      </c>
      <c r="CA236" s="129" t="s">
        <v>835</v>
      </c>
      <c r="CB236" s="129" t="s">
        <v>359</v>
      </c>
      <c r="CD236" s="129" t="s">
        <v>198</v>
      </c>
      <c r="CE236" s="313"/>
    </row>
    <row r="237" spans="1:83" x14ac:dyDescent="0.25">
      <c r="A237" s="129" t="s">
        <v>1213</v>
      </c>
      <c r="B237" s="129" t="s">
        <v>369</v>
      </c>
      <c r="C237" s="248" t="s">
        <v>370</v>
      </c>
      <c r="D237" s="309">
        <v>44895</v>
      </c>
      <c r="E237" s="309">
        <v>45991</v>
      </c>
      <c r="J237" s="129" t="s">
        <v>267</v>
      </c>
      <c r="K237" s="129" t="s">
        <v>268</v>
      </c>
      <c r="M237" s="191"/>
      <c r="O237" s="129" t="s">
        <v>569</v>
      </c>
      <c r="P237" s="129" t="s">
        <v>1214</v>
      </c>
      <c r="Q237" s="129" t="s">
        <v>1215</v>
      </c>
      <c r="AA237" s="312">
        <f t="shared" si="64"/>
        <v>0</v>
      </c>
      <c r="AC237" s="129">
        <v>1</v>
      </c>
      <c r="AK237" s="312">
        <f t="shared" si="52"/>
        <v>1</v>
      </c>
      <c r="AL237" s="129">
        <f t="shared" si="53"/>
        <v>1</v>
      </c>
      <c r="AM237" s="129">
        <f t="shared" si="54"/>
        <v>0</v>
      </c>
      <c r="AN237" s="129">
        <f t="shared" si="55"/>
        <v>0</v>
      </c>
      <c r="AO237" s="129">
        <f t="shared" si="56"/>
        <v>0</v>
      </c>
      <c r="AP237" s="129">
        <f t="shared" si="57"/>
        <v>0</v>
      </c>
      <c r="AQ237" s="129">
        <f t="shared" si="58"/>
        <v>0</v>
      </c>
      <c r="AR237" s="129">
        <f t="shared" si="59"/>
        <v>0</v>
      </c>
      <c r="AS237" s="129">
        <f t="shared" si="60"/>
        <v>0</v>
      </c>
      <c r="AT237" s="312">
        <f t="shared" si="61"/>
        <v>1</v>
      </c>
      <c r="AV237" s="312"/>
      <c r="AW237" s="129">
        <v>0.25</v>
      </c>
      <c r="AX237" s="129">
        <v>0.25</v>
      </c>
      <c r="AY237" s="129">
        <v>0.25</v>
      </c>
      <c r="AZ237" s="129">
        <v>0.25</v>
      </c>
      <c r="BA237" s="314"/>
      <c r="BF237" s="314"/>
      <c r="BL237" s="314"/>
      <c r="BM237" s="129">
        <f t="shared" si="62"/>
        <v>1</v>
      </c>
      <c r="BN237" s="129">
        <f t="shared" si="63"/>
        <v>1</v>
      </c>
      <c r="BR237" s="129">
        <v>520553</v>
      </c>
      <c r="BS237" s="129">
        <v>175393</v>
      </c>
      <c r="BT237" s="129" t="s">
        <v>149</v>
      </c>
      <c r="BU237" s="129" t="s">
        <v>190</v>
      </c>
      <c r="BV237" s="129" t="s">
        <v>149</v>
      </c>
      <c r="CC237" s="129" t="s">
        <v>359</v>
      </c>
      <c r="CD237" s="129" t="s">
        <v>199</v>
      </c>
      <c r="CE237" s="313"/>
    </row>
    <row r="238" spans="1:83" x14ac:dyDescent="0.25">
      <c r="A238" s="129" t="s">
        <v>1216</v>
      </c>
      <c r="B238" s="129" t="s">
        <v>369</v>
      </c>
      <c r="C238" s="129" t="s">
        <v>353</v>
      </c>
      <c r="D238" s="309">
        <v>45244</v>
      </c>
      <c r="E238" s="309">
        <v>46340</v>
      </c>
      <c r="J238" s="129" t="s">
        <v>267</v>
      </c>
      <c r="K238" s="129" t="s">
        <v>268</v>
      </c>
      <c r="M238" s="191"/>
      <c r="O238" s="129" t="s">
        <v>1217</v>
      </c>
      <c r="P238" s="129" t="s">
        <v>1218</v>
      </c>
      <c r="Q238" s="129" t="s">
        <v>1219</v>
      </c>
      <c r="AA238" s="312">
        <f t="shared" si="64"/>
        <v>0</v>
      </c>
      <c r="AC238" s="129">
        <v>2</v>
      </c>
      <c r="AK238" s="312">
        <f t="shared" si="52"/>
        <v>2</v>
      </c>
      <c r="AL238" s="129">
        <f t="shared" si="53"/>
        <v>2</v>
      </c>
      <c r="AM238" s="129">
        <f t="shared" si="54"/>
        <v>0</v>
      </c>
      <c r="AN238" s="129">
        <f t="shared" si="55"/>
        <v>0</v>
      </c>
      <c r="AO238" s="129">
        <f t="shared" si="56"/>
        <v>0</v>
      </c>
      <c r="AP238" s="129">
        <f t="shared" si="57"/>
        <v>0</v>
      </c>
      <c r="AQ238" s="129">
        <f t="shared" si="58"/>
        <v>0</v>
      </c>
      <c r="AR238" s="129">
        <f t="shared" si="59"/>
        <v>0</v>
      </c>
      <c r="AS238" s="129">
        <f t="shared" si="60"/>
        <v>0</v>
      </c>
      <c r="AT238" s="312">
        <f t="shared" si="61"/>
        <v>2</v>
      </c>
      <c r="AV238" s="312"/>
      <c r="AW238" s="129">
        <v>0.5</v>
      </c>
      <c r="AX238" s="129">
        <v>0.5</v>
      </c>
      <c r="AY238" s="129">
        <v>0.5</v>
      </c>
      <c r="AZ238" s="129">
        <v>0.5</v>
      </c>
      <c r="BA238" s="314"/>
      <c r="BF238" s="314"/>
      <c r="BL238" s="314"/>
      <c r="BM238" s="129">
        <f t="shared" si="62"/>
        <v>2</v>
      </c>
      <c r="BN238" s="129">
        <f t="shared" si="63"/>
        <v>2</v>
      </c>
      <c r="BR238" s="129">
        <v>520486</v>
      </c>
      <c r="BS238" s="129">
        <v>175416</v>
      </c>
      <c r="BT238" s="129" t="s">
        <v>149</v>
      </c>
      <c r="BU238" s="129" t="s">
        <v>190</v>
      </c>
      <c r="BV238" s="129" t="s">
        <v>149</v>
      </c>
      <c r="CA238" s="129" t="s">
        <v>617</v>
      </c>
      <c r="CB238" s="129" t="s">
        <v>359</v>
      </c>
      <c r="CC238" s="129" t="s">
        <v>359</v>
      </c>
      <c r="CD238" s="129" t="s">
        <v>199</v>
      </c>
      <c r="CE238" s="313"/>
    </row>
    <row r="239" spans="1:83" x14ac:dyDescent="0.25">
      <c r="A239" s="129" t="s">
        <v>1220</v>
      </c>
      <c r="B239" s="129" t="s">
        <v>352</v>
      </c>
      <c r="C239" s="129" t="s">
        <v>353</v>
      </c>
      <c r="D239" s="309">
        <v>45183</v>
      </c>
      <c r="E239" s="309">
        <v>46279</v>
      </c>
      <c r="F239" s="309"/>
      <c r="G239" s="310"/>
      <c r="H239" s="310"/>
      <c r="J239" s="129" t="s">
        <v>267</v>
      </c>
      <c r="K239" s="129" t="s">
        <v>262</v>
      </c>
      <c r="M239" s="191"/>
      <c r="O239" s="129" t="s">
        <v>1221</v>
      </c>
      <c r="P239" s="129" t="s">
        <v>1222</v>
      </c>
      <c r="Q239" s="129" t="s">
        <v>1223</v>
      </c>
      <c r="AA239" s="312">
        <f t="shared" si="64"/>
        <v>0</v>
      </c>
      <c r="AB239" s="313" t="s">
        <v>359</v>
      </c>
      <c r="AC239" s="129">
        <v>2</v>
      </c>
      <c r="AD239" s="129">
        <v>3</v>
      </c>
      <c r="AK239" s="312">
        <f t="shared" si="52"/>
        <v>5</v>
      </c>
      <c r="AL239" s="129">
        <f t="shared" si="53"/>
        <v>2</v>
      </c>
      <c r="AM239" s="129">
        <f t="shared" si="54"/>
        <v>3</v>
      </c>
      <c r="AN239" s="129">
        <f t="shared" si="55"/>
        <v>0</v>
      </c>
      <c r="AO239" s="129">
        <f t="shared" si="56"/>
        <v>0</v>
      </c>
      <c r="AP239" s="129">
        <f t="shared" si="57"/>
        <v>0</v>
      </c>
      <c r="AQ239" s="129">
        <f t="shared" si="58"/>
        <v>0</v>
      </c>
      <c r="AR239" s="129">
        <f t="shared" si="59"/>
        <v>0</v>
      </c>
      <c r="AS239" s="129">
        <f t="shared" si="60"/>
        <v>0</v>
      </c>
      <c r="AT239" s="312">
        <f t="shared" si="61"/>
        <v>5</v>
      </c>
      <c r="AU239" s="313" t="s">
        <v>359</v>
      </c>
      <c r="AV239" s="312"/>
      <c r="AY239" s="129">
        <v>2.5</v>
      </c>
      <c r="AZ239" s="129">
        <v>2.5</v>
      </c>
      <c r="BA239" s="314"/>
      <c r="BF239" s="314"/>
      <c r="BL239" s="314"/>
      <c r="BM239" s="129">
        <f t="shared" si="62"/>
        <v>5</v>
      </c>
      <c r="BN239" s="129">
        <f t="shared" si="63"/>
        <v>5</v>
      </c>
      <c r="BR239" s="129">
        <v>518385</v>
      </c>
      <c r="BS239" s="129">
        <v>174928</v>
      </c>
      <c r="BT239" s="129" t="s">
        <v>177</v>
      </c>
      <c r="BU239" s="129" t="s">
        <v>150</v>
      </c>
      <c r="CA239" s="129" t="s">
        <v>738</v>
      </c>
      <c r="CB239" s="129" t="s">
        <v>359</v>
      </c>
      <c r="CC239" s="129" t="s">
        <v>359</v>
      </c>
      <c r="CD239" s="129" t="s">
        <v>200</v>
      </c>
      <c r="CE239" s="313"/>
    </row>
    <row r="240" spans="1:83" x14ac:dyDescent="0.25">
      <c r="A240" s="129" t="s">
        <v>1220</v>
      </c>
      <c r="B240" s="129" t="s">
        <v>352</v>
      </c>
      <c r="C240" s="129" t="s">
        <v>353</v>
      </c>
      <c r="D240" s="309">
        <v>45183</v>
      </c>
      <c r="E240" s="309">
        <v>46279</v>
      </c>
      <c r="F240" s="309"/>
      <c r="G240" s="310"/>
      <c r="H240" s="310"/>
      <c r="J240" s="129" t="s">
        <v>267</v>
      </c>
      <c r="K240" s="129" t="s">
        <v>264</v>
      </c>
      <c r="M240" s="191"/>
      <c r="O240" s="129" t="s">
        <v>1221</v>
      </c>
      <c r="P240" s="129" t="s">
        <v>1222</v>
      </c>
      <c r="Q240" s="129" t="s">
        <v>1223</v>
      </c>
      <c r="AA240" s="312">
        <f t="shared" si="64"/>
        <v>0</v>
      </c>
      <c r="AB240" s="313" t="s">
        <v>359</v>
      </c>
      <c r="AC240" s="129">
        <v>7</v>
      </c>
      <c r="AK240" s="312">
        <f t="shared" si="52"/>
        <v>7</v>
      </c>
      <c r="AL240" s="129">
        <f t="shared" si="53"/>
        <v>7</v>
      </c>
      <c r="AM240" s="129">
        <f t="shared" si="54"/>
        <v>0</v>
      </c>
      <c r="AN240" s="129">
        <f t="shared" si="55"/>
        <v>0</v>
      </c>
      <c r="AO240" s="129">
        <f t="shared" si="56"/>
        <v>0</v>
      </c>
      <c r="AP240" s="129">
        <f t="shared" si="57"/>
        <v>0</v>
      </c>
      <c r="AQ240" s="129">
        <f t="shared" si="58"/>
        <v>0</v>
      </c>
      <c r="AR240" s="129">
        <f t="shared" si="59"/>
        <v>0</v>
      </c>
      <c r="AS240" s="129">
        <f t="shared" si="60"/>
        <v>0</v>
      </c>
      <c r="AT240" s="312">
        <f t="shared" si="61"/>
        <v>7</v>
      </c>
      <c r="AU240" s="313" t="s">
        <v>359</v>
      </c>
      <c r="AV240" s="312"/>
      <c r="AY240" s="129">
        <v>3.5</v>
      </c>
      <c r="AZ240" s="129">
        <v>3.5</v>
      </c>
      <c r="BA240" s="314"/>
      <c r="BF240" s="314"/>
      <c r="BL240" s="314"/>
      <c r="BM240" s="129">
        <f t="shared" si="62"/>
        <v>7</v>
      </c>
      <c r="BN240" s="129">
        <f t="shared" si="63"/>
        <v>7</v>
      </c>
      <c r="BP240" s="129" t="s">
        <v>359</v>
      </c>
      <c r="BR240" s="129">
        <v>518385</v>
      </c>
      <c r="BS240" s="129">
        <v>174928</v>
      </c>
      <c r="BT240" s="129" t="s">
        <v>177</v>
      </c>
      <c r="BU240" s="129" t="s">
        <v>150</v>
      </c>
      <c r="CA240" s="129" t="s">
        <v>738</v>
      </c>
      <c r="CB240" s="129" t="s">
        <v>359</v>
      </c>
      <c r="CC240" s="129" t="s">
        <v>359</v>
      </c>
      <c r="CD240" s="129" t="s">
        <v>200</v>
      </c>
      <c r="CE240" s="313"/>
    </row>
    <row r="241" spans="1:83" x14ac:dyDescent="0.25">
      <c r="A241" s="129" t="s">
        <v>1224</v>
      </c>
      <c r="B241" s="129" t="s">
        <v>482</v>
      </c>
      <c r="C241" s="129" t="s">
        <v>353</v>
      </c>
      <c r="D241" s="309">
        <v>44914</v>
      </c>
      <c r="E241" s="309">
        <v>46010</v>
      </c>
      <c r="F241" s="315">
        <v>46028</v>
      </c>
      <c r="J241" s="129" t="s">
        <v>267</v>
      </c>
      <c r="K241" s="129" t="s">
        <v>268</v>
      </c>
      <c r="M241" s="191"/>
      <c r="O241" s="129" t="s">
        <v>1225</v>
      </c>
      <c r="P241" s="129" t="s">
        <v>1226</v>
      </c>
      <c r="Q241" s="129" t="s">
        <v>1227</v>
      </c>
      <c r="T241" s="129">
        <v>1</v>
      </c>
      <c r="AA241" s="312">
        <f t="shared" ref="AA241:AA272" si="65">SUM(S241:Z241)</f>
        <v>1</v>
      </c>
      <c r="AC241" s="129">
        <v>1</v>
      </c>
      <c r="AD241" s="129">
        <v>1</v>
      </c>
      <c r="AK241" s="312">
        <f t="shared" si="52"/>
        <v>2</v>
      </c>
      <c r="AL241" s="129">
        <f t="shared" si="53"/>
        <v>1</v>
      </c>
      <c r="AM241" s="129">
        <f t="shared" si="54"/>
        <v>0</v>
      </c>
      <c r="AN241" s="129">
        <f t="shared" si="55"/>
        <v>0</v>
      </c>
      <c r="AO241" s="129">
        <f t="shared" si="56"/>
        <v>0</v>
      </c>
      <c r="AP241" s="129">
        <f t="shared" si="57"/>
        <v>0</v>
      </c>
      <c r="AQ241" s="129">
        <f t="shared" si="58"/>
        <v>0</v>
      </c>
      <c r="AR241" s="129">
        <f t="shared" si="59"/>
        <v>0</v>
      </c>
      <c r="AS241" s="129">
        <f t="shared" si="60"/>
        <v>0</v>
      </c>
      <c r="AT241" s="312">
        <f t="shared" si="61"/>
        <v>1</v>
      </c>
      <c r="AV241" s="312"/>
      <c r="AX241" s="129">
        <v>0.5</v>
      </c>
      <c r="AY241" s="129">
        <v>0.5</v>
      </c>
      <c r="BA241" s="314"/>
      <c r="BF241" s="314"/>
      <c r="BL241" s="314"/>
      <c r="BM241" s="129">
        <f t="shared" si="62"/>
        <v>1</v>
      </c>
      <c r="BN241" s="129">
        <f t="shared" si="63"/>
        <v>1</v>
      </c>
      <c r="BR241" s="129">
        <v>520360</v>
      </c>
      <c r="BS241" s="129">
        <v>175325</v>
      </c>
      <c r="BT241" s="129" t="s">
        <v>149</v>
      </c>
      <c r="BU241" s="129" t="s">
        <v>190</v>
      </c>
      <c r="BV241" s="129" t="s">
        <v>149</v>
      </c>
      <c r="CC241" s="129" t="s">
        <v>359</v>
      </c>
      <c r="CD241" s="129" t="s">
        <v>199</v>
      </c>
      <c r="CE241" s="313"/>
    </row>
    <row r="242" spans="1:83" x14ac:dyDescent="0.25">
      <c r="A242" s="129" t="s">
        <v>1228</v>
      </c>
      <c r="B242" s="129" t="s">
        <v>352</v>
      </c>
      <c r="C242" s="129" t="s">
        <v>353</v>
      </c>
      <c r="D242" s="309">
        <v>45705</v>
      </c>
      <c r="E242" s="309">
        <v>46800</v>
      </c>
      <c r="F242" s="309">
        <v>45778</v>
      </c>
      <c r="G242" s="310"/>
      <c r="H242" s="310" t="s">
        <v>359</v>
      </c>
      <c r="J242" s="129" t="s">
        <v>267</v>
      </c>
      <c r="K242" s="129" t="s">
        <v>268</v>
      </c>
      <c r="M242" s="191"/>
      <c r="O242" s="129" t="s">
        <v>1229</v>
      </c>
      <c r="P242" s="129" t="s">
        <v>1230</v>
      </c>
      <c r="Q242" s="129" t="s">
        <v>1231</v>
      </c>
      <c r="AA242" s="312">
        <f t="shared" si="65"/>
        <v>0</v>
      </c>
      <c r="AC242" s="129">
        <v>4</v>
      </c>
      <c r="AD242" s="129">
        <v>4</v>
      </c>
      <c r="AK242" s="312">
        <f t="shared" si="52"/>
        <v>8</v>
      </c>
      <c r="AL242" s="129">
        <f t="shared" si="53"/>
        <v>4</v>
      </c>
      <c r="AM242" s="129">
        <f t="shared" si="54"/>
        <v>4</v>
      </c>
      <c r="AN242" s="129">
        <f t="shared" si="55"/>
        <v>0</v>
      </c>
      <c r="AO242" s="129">
        <f t="shared" si="56"/>
        <v>0</v>
      </c>
      <c r="AP242" s="129">
        <f t="shared" si="57"/>
        <v>0</v>
      </c>
      <c r="AQ242" s="129">
        <f t="shared" si="58"/>
        <v>0</v>
      </c>
      <c r="AR242" s="129">
        <f t="shared" si="59"/>
        <v>0</v>
      </c>
      <c r="AS242" s="129">
        <f t="shared" si="60"/>
        <v>0</v>
      </c>
      <c r="AT242" s="312">
        <f t="shared" si="61"/>
        <v>8</v>
      </c>
      <c r="AV242" s="312"/>
      <c r="AX242" s="129">
        <v>4</v>
      </c>
      <c r="AY242" s="129">
        <v>4</v>
      </c>
      <c r="BA242" s="314"/>
      <c r="BF242" s="314"/>
      <c r="BL242" s="314"/>
      <c r="BM242" s="129">
        <f t="shared" si="62"/>
        <v>8</v>
      </c>
      <c r="BN242" s="129">
        <f t="shared" si="63"/>
        <v>8</v>
      </c>
      <c r="BR242" s="129">
        <v>519842</v>
      </c>
      <c r="BS242" s="129">
        <v>175358</v>
      </c>
      <c r="BT242" s="129" t="s">
        <v>176</v>
      </c>
      <c r="BU242" s="129" t="s">
        <v>150</v>
      </c>
      <c r="CC242" s="129" t="s">
        <v>359</v>
      </c>
      <c r="CD242" s="129" t="s">
        <v>199</v>
      </c>
      <c r="CE242" s="313"/>
    </row>
    <row r="243" spans="1:83" x14ac:dyDescent="0.25">
      <c r="A243" s="129" t="s">
        <v>1232</v>
      </c>
      <c r="B243" s="129" t="s">
        <v>482</v>
      </c>
      <c r="C243" s="129" t="s">
        <v>353</v>
      </c>
      <c r="D243" s="309">
        <v>45306</v>
      </c>
      <c r="E243" s="309">
        <v>46402</v>
      </c>
      <c r="J243" s="129" t="s">
        <v>267</v>
      </c>
      <c r="K243" s="129" t="s">
        <v>268</v>
      </c>
      <c r="M243" s="191"/>
      <c r="O243" s="129" t="s">
        <v>1233</v>
      </c>
      <c r="P243" s="129" t="s">
        <v>1234</v>
      </c>
      <c r="Q243" s="129" t="s">
        <v>1235</v>
      </c>
      <c r="V243" s="129">
        <v>1</v>
      </c>
      <c r="AA243" s="312">
        <f t="shared" si="65"/>
        <v>1</v>
      </c>
      <c r="AD243" s="129">
        <v>2</v>
      </c>
      <c r="AK243" s="312">
        <f t="shared" si="52"/>
        <v>2</v>
      </c>
      <c r="AL243" s="129">
        <f t="shared" si="53"/>
        <v>0</v>
      </c>
      <c r="AM243" s="129">
        <f t="shared" si="54"/>
        <v>2</v>
      </c>
      <c r="AN243" s="129">
        <f t="shared" si="55"/>
        <v>0</v>
      </c>
      <c r="AO243" s="129">
        <f t="shared" si="56"/>
        <v>-1</v>
      </c>
      <c r="AP243" s="129">
        <f t="shared" si="57"/>
        <v>0</v>
      </c>
      <c r="AQ243" s="129">
        <f t="shared" si="58"/>
        <v>0</v>
      </c>
      <c r="AR243" s="129">
        <f t="shared" si="59"/>
        <v>0</v>
      </c>
      <c r="AS243" s="129">
        <f t="shared" si="60"/>
        <v>0</v>
      </c>
      <c r="AT243" s="312">
        <f t="shared" si="61"/>
        <v>1</v>
      </c>
      <c r="AV243" s="312"/>
      <c r="AW243" s="129">
        <v>0.25</v>
      </c>
      <c r="AX243" s="129">
        <v>0.25</v>
      </c>
      <c r="AY243" s="129">
        <v>0.25</v>
      </c>
      <c r="AZ243" s="129">
        <v>0.25</v>
      </c>
      <c r="BA243" s="314"/>
      <c r="BF243" s="314"/>
      <c r="BL243" s="314"/>
      <c r="BM243" s="129">
        <f t="shared" si="62"/>
        <v>1</v>
      </c>
      <c r="BN243" s="129">
        <f t="shared" si="63"/>
        <v>1</v>
      </c>
      <c r="BR243" s="129">
        <v>512727</v>
      </c>
      <c r="BS243" s="129">
        <v>170496</v>
      </c>
      <c r="BT243" s="129" t="s">
        <v>171</v>
      </c>
      <c r="BU243" s="129" t="s">
        <v>192</v>
      </c>
      <c r="CD243" s="129" t="s">
        <v>198</v>
      </c>
      <c r="CE243" s="313"/>
    </row>
    <row r="244" spans="1:83" x14ac:dyDescent="0.25">
      <c r="A244" s="129" t="s">
        <v>1236</v>
      </c>
      <c r="B244" s="129" t="s">
        <v>352</v>
      </c>
      <c r="C244" s="129" t="s">
        <v>353</v>
      </c>
      <c r="D244" s="309">
        <v>45041</v>
      </c>
      <c r="E244" s="309">
        <v>46137</v>
      </c>
      <c r="J244" s="129" t="s">
        <v>267</v>
      </c>
      <c r="K244" s="129" t="s">
        <v>268</v>
      </c>
      <c r="M244" s="191"/>
      <c r="O244" s="129" t="s">
        <v>1237</v>
      </c>
      <c r="P244" s="129" t="s">
        <v>1238</v>
      </c>
      <c r="Q244" s="129" t="s">
        <v>1239</v>
      </c>
      <c r="AA244" s="312">
        <f t="shared" si="65"/>
        <v>0</v>
      </c>
      <c r="AE244" s="129">
        <v>1</v>
      </c>
      <c r="AK244" s="312">
        <f t="shared" si="52"/>
        <v>1</v>
      </c>
      <c r="AL244" s="129">
        <f t="shared" si="53"/>
        <v>0</v>
      </c>
      <c r="AM244" s="129">
        <f t="shared" si="54"/>
        <v>0</v>
      </c>
      <c r="AN244" s="129">
        <f t="shared" si="55"/>
        <v>1</v>
      </c>
      <c r="AO244" s="129">
        <f t="shared" si="56"/>
        <v>0</v>
      </c>
      <c r="AP244" s="129">
        <f t="shared" si="57"/>
        <v>0</v>
      </c>
      <c r="AQ244" s="129">
        <f t="shared" si="58"/>
        <v>0</v>
      </c>
      <c r="AR244" s="129">
        <f t="shared" si="59"/>
        <v>0</v>
      </c>
      <c r="AS244" s="129">
        <f t="shared" si="60"/>
        <v>0</v>
      </c>
      <c r="AT244" s="312">
        <f t="shared" si="61"/>
        <v>1</v>
      </c>
      <c r="AV244" s="312"/>
      <c r="AW244" s="129">
        <v>0.25</v>
      </c>
      <c r="AX244" s="129">
        <v>0.25</v>
      </c>
      <c r="AY244" s="129">
        <v>0.25</v>
      </c>
      <c r="AZ244" s="129">
        <v>0.25</v>
      </c>
      <c r="BA244" s="314"/>
      <c r="BF244" s="314"/>
      <c r="BL244" s="314"/>
      <c r="BM244" s="129">
        <f t="shared" si="62"/>
        <v>1</v>
      </c>
      <c r="BN244" s="129">
        <f t="shared" si="63"/>
        <v>1</v>
      </c>
      <c r="BR244" s="129">
        <v>519594</v>
      </c>
      <c r="BS244" s="129">
        <v>176510</v>
      </c>
      <c r="BT244" s="129" t="s">
        <v>174</v>
      </c>
      <c r="BU244" s="129" t="s">
        <v>150</v>
      </c>
      <c r="CC244" s="129" t="s">
        <v>359</v>
      </c>
      <c r="CD244" s="129" t="s">
        <v>174</v>
      </c>
      <c r="CE244" s="313"/>
    </row>
    <row r="245" spans="1:83" x14ac:dyDescent="0.25">
      <c r="A245" s="129" t="s">
        <v>1240</v>
      </c>
      <c r="B245" s="129" t="s">
        <v>482</v>
      </c>
      <c r="C245" s="129" t="s">
        <v>353</v>
      </c>
      <c r="D245" s="309">
        <v>45348</v>
      </c>
      <c r="E245" s="309">
        <v>46444</v>
      </c>
      <c r="J245" s="129" t="s">
        <v>267</v>
      </c>
      <c r="K245" s="129" t="s">
        <v>268</v>
      </c>
      <c r="M245" s="191"/>
      <c r="O245" s="129" t="s">
        <v>1241</v>
      </c>
      <c r="P245" s="129" t="s">
        <v>1242</v>
      </c>
      <c r="Q245" s="129" t="s">
        <v>1243</v>
      </c>
      <c r="AA245" s="312">
        <f t="shared" si="65"/>
        <v>0</v>
      </c>
      <c r="AD245" s="129">
        <v>1</v>
      </c>
      <c r="AK245" s="312">
        <f t="shared" si="52"/>
        <v>1</v>
      </c>
      <c r="AL245" s="129">
        <f t="shared" si="53"/>
        <v>0</v>
      </c>
      <c r="AM245" s="129">
        <f t="shared" si="54"/>
        <v>1</v>
      </c>
      <c r="AN245" s="129">
        <f t="shared" si="55"/>
        <v>0</v>
      </c>
      <c r="AO245" s="129">
        <f t="shared" si="56"/>
        <v>0</v>
      </c>
      <c r="AP245" s="129">
        <f t="shared" si="57"/>
        <v>0</v>
      </c>
      <c r="AQ245" s="129">
        <f t="shared" si="58"/>
        <v>0</v>
      </c>
      <c r="AR245" s="129">
        <f t="shared" si="59"/>
        <v>0</v>
      </c>
      <c r="AS245" s="129">
        <f t="shared" si="60"/>
        <v>0</v>
      </c>
      <c r="AT245" s="312">
        <f t="shared" si="61"/>
        <v>1</v>
      </c>
      <c r="AV245" s="312"/>
      <c r="AW245" s="129">
        <v>0.25</v>
      </c>
      <c r="AX245" s="129">
        <v>0.25</v>
      </c>
      <c r="AY245" s="129">
        <v>0.25</v>
      </c>
      <c r="AZ245" s="129">
        <v>0.25</v>
      </c>
      <c r="BA245" s="314"/>
      <c r="BF245" s="314"/>
      <c r="BL245" s="314"/>
      <c r="BM245" s="129">
        <f t="shared" si="62"/>
        <v>1</v>
      </c>
      <c r="BN245" s="129">
        <f t="shared" si="63"/>
        <v>1</v>
      </c>
      <c r="BR245" s="129">
        <v>522411</v>
      </c>
      <c r="BS245" s="129">
        <v>175485</v>
      </c>
      <c r="BT245" s="129" t="s">
        <v>175</v>
      </c>
      <c r="BU245" s="129" t="s">
        <v>190</v>
      </c>
      <c r="CA245" s="129" t="s">
        <v>1244</v>
      </c>
      <c r="CB245" s="129" t="s">
        <v>359</v>
      </c>
      <c r="CC245" s="129" t="s">
        <v>359</v>
      </c>
      <c r="CD245" s="129" t="s">
        <v>167</v>
      </c>
      <c r="CE245" s="313"/>
    </row>
    <row r="246" spans="1:83" x14ac:dyDescent="0.25">
      <c r="A246" s="129" t="s">
        <v>1245</v>
      </c>
      <c r="B246" s="129" t="s">
        <v>369</v>
      </c>
      <c r="C246" s="129" t="s">
        <v>353</v>
      </c>
      <c r="D246" s="309">
        <v>45719</v>
      </c>
      <c r="E246" s="309">
        <v>46815</v>
      </c>
      <c r="H246" s="310" t="s">
        <v>359</v>
      </c>
      <c r="J246" s="129" t="s">
        <v>267</v>
      </c>
      <c r="K246" s="129" t="s">
        <v>268</v>
      </c>
      <c r="M246" s="191"/>
      <c r="O246" s="129" t="s">
        <v>1246</v>
      </c>
      <c r="P246" s="129" t="s">
        <v>1247</v>
      </c>
      <c r="Q246" s="129" t="s">
        <v>1248</v>
      </c>
      <c r="AA246" s="312">
        <f t="shared" si="65"/>
        <v>0</v>
      </c>
      <c r="AD246" s="129">
        <v>1</v>
      </c>
      <c r="AK246" s="312">
        <f t="shared" si="52"/>
        <v>1</v>
      </c>
      <c r="AL246" s="129">
        <f t="shared" si="53"/>
        <v>0</v>
      </c>
      <c r="AM246" s="129">
        <f t="shared" si="54"/>
        <v>1</v>
      </c>
      <c r="AN246" s="129">
        <f t="shared" si="55"/>
        <v>0</v>
      </c>
      <c r="AO246" s="129">
        <f t="shared" si="56"/>
        <v>0</v>
      </c>
      <c r="AP246" s="129">
        <f t="shared" si="57"/>
        <v>0</v>
      </c>
      <c r="AQ246" s="129">
        <f t="shared" si="58"/>
        <v>0</v>
      </c>
      <c r="AR246" s="129">
        <f t="shared" si="59"/>
        <v>0</v>
      </c>
      <c r="AS246" s="129">
        <f t="shared" si="60"/>
        <v>0</v>
      </c>
      <c r="AT246" s="312">
        <f t="shared" si="61"/>
        <v>1</v>
      </c>
      <c r="AV246" s="312"/>
      <c r="AW246" s="129">
        <v>0.25</v>
      </c>
      <c r="AX246" s="129">
        <v>0.25</v>
      </c>
      <c r="AY246" s="129">
        <v>0.25</v>
      </c>
      <c r="AZ246" s="129">
        <v>0.25</v>
      </c>
      <c r="BA246" s="314"/>
      <c r="BF246" s="314"/>
      <c r="BL246" s="314"/>
      <c r="BM246" s="129">
        <f t="shared" si="62"/>
        <v>1</v>
      </c>
      <c r="BN246" s="129">
        <f t="shared" si="63"/>
        <v>1</v>
      </c>
      <c r="BR246" s="129">
        <v>515259</v>
      </c>
      <c r="BS246" s="129">
        <v>172781</v>
      </c>
      <c r="BT246" s="129" t="s">
        <v>178</v>
      </c>
      <c r="BU246" s="129" t="s">
        <v>154</v>
      </c>
      <c r="CA246" s="129" t="s">
        <v>1141</v>
      </c>
      <c r="CB246" s="129" t="s">
        <v>359</v>
      </c>
      <c r="CC246" s="129" t="s">
        <v>359</v>
      </c>
      <c r="CD246" s="129" t="s">
        <v>202</v>
      </c>
      <c r="CE246" s="313"/>
    </row>
    <row r="247" spans="1:83" x14ac:dyDescent="0.25">
      <c r="A247" s="129" t="s">
        <v>1249</v>
      </c>
      <c r="B247" s="129" t="s">
        <v>482</v>
      </c>
      <c r="C247" s="129" t="s">
        <v>353</v>
      </c>
      <c r="D247" s="309">
        <v>45072</v>
      </c>
      <c r="E247" s="309">
        <v>46168</v>
      </c>
      <c r="J247" s="129" t="s">
        <v>267</v>
      </c>
      <c r="K247" s="129" t="s">
        <v>268</v>
      </c>
      <c r="M247" s="191"/>
      <c r="O247" s="129" t="s">
        <v>1250</v>
      </c>
      <c r="P247" s="129" t="s">
        <v>1251</v>
      </c>
      <c r="Q247" s="129" t="s">
        <v>1252</v>
      </c>
      <c r="T247" s="129">
        <v>1</v>
      </c>
      <c r="U247" s="129">
        <v>1</v>
      </c>
      <c r="AA247" s="312">
        <f t="shared" si="65"/>
        <v>2</v>
      </c>
      <c r="AD247" s="129">
        <v>3</v>
      </c>
      <c r="AK247" s="312">
        <f t="shared" si="52"/>
        <v>3</v>
      </c>
      <c r="AL247" s="129">
        <f t="shared" si="53"/>
        <v>0</v>
      </c>
      <c r="AM247" s="129">
        <f t="shared" si="54"/>
        <v>2</v>
      </c>
      <c r="AN247" s="129">
        <f t="shared" si="55"/>
        <v>-1</v>
      </c>
      <c r="AO247" s="129">
        <f t="shared" si="56"/>
        <v>0</v>
      </c>
      <c r="AP247" s="129">
        <f t="shared" si="57"/>
        <v>0</v>
      </c>
      <c r="AQ247" s="129">
        <f t="shared" si="58"/>
        <v>0</v>
      </c>
      <c r="AR247" s="129">
        <f t="shared" si="59"/>
        <v>0</v>
      </c>
      <c r="AS247" s="129">
        <f t="shared" si="60"/>
        <v>0</v>
      </c>
      <c r="AT247" s="312">
        <f t="shared" si="61"/>
        <v>1</v>
      </c>
      <c r="AV247" s="312"/>
      <c r="AW247" s="129">
        <v>0.25</v>
      </c>
      <c r="AX247" s="129">
        <v>0.25</v>
      </c>
      <c r="AY247" s="129">
        <v>0.25</v>
      </c>
      <c r="AZ247" s="129">
        <v>0.25</v>
      </c>
      <c r="BA247" s="314"/>
      <c r="BF247" s="314"/>
      <c r="BL247" s="314"/>
      <c r="BM247" s="129">
        <f t="shared" si="62"/>
        <v>1</v>
      </c>
      <c r="BN247" s="129">
        <f t="shared" si="63"/>
        <v>1</v>
      </c>
      <c r="BR247" s="129">
        <v>521299</v>
      </c>
      <c r="BS247" s="129">
        <v>176041</v>
      </c>
      <c r="BT247" s="129" t="s">
        <v>175</v>
      </c>
      <c r="BU247" s="129" t="s">
        <v>190</v>
      </c>
      <c r="BX247" s="129" t="s">
        <v>807</v>
      </c>
      <c r="BY247" s="129" t="s">
        <v>359</v>
      </c>
      <c r="CA247" s="129" t="s">
        <v>391</v>
      </c>
      <c r="CB247" s="129" t="s">
        <v>359</v>
      </c>
      <c r="CC247" s="129" t="s">
        <v>359</v>
      </c>
      <c r="CD247" s="129" t="s">
        <v>167</v>
      </c>
      <c r="CE247" s="313"/>
    </row>
    <row r="248" spans="1:83" x14ac:dyDescent="0.25">
      <c r="A248" s="129" t="s">
        <v>1253</v>
      </c>
      <c r="B248" s="129" t="s">
        <v>369</v>
      </c>
      <c r="C248" s="129" t="s">
        <v>353</v>
      </c>
      <c r="D248" s="309">
        <v>45468</v>
      </c>
      <c r="E248" s="309">
        <v>46563</v>
      </c>
      <c r="H248" s="310" t="s">
        <v>359</v>
      </c>
      <c r="J248" s="129" t="s">
        <v>267</v>
      </c>
      <c r="K248" s="129" t="s">
        <v>268</v>
      </c>
      <c r="M248" s="191"/>
      <c r="O248" s="129" t="s">
        <v>1254</v>
      </c>
      <c r="P248" s="129" t="s">
        <v>1255</v>
      </c>
      <c r="Q248" s="129" t="s">
        <v>1256</v>
      </c>
      <c r="AA248" s="312">
        <f t="shared" si="65"/>
        <v>0</v>
      </c>
      <c r="AC248" s="129">
        <v>4</v>
      </c>
      <c r="AD248" s="129">
        <v>2</v>
      </c>
      <c r="AK248" s="312">
        <f t="shared" si="52"/>
        <v>6</v>
      </c>
      <c r="AL248" s="129">
        <f t="shared" si="53"/>
        <v>4</v>
      </c>
      <c r="AM248" s="129">
        <f t="shared" si="54"/>
        <v>2</v>
      </c>
      <c r="AN248" s="129">
        <f t="shared" si="55"/>
        <v>0</v>
      </c>
      <c r="AO248" s="129">
        <f t="shared" si="56"/>
        <v>0</v>
      </c>
      <c r="AP248" s="129">
        <f t="shared" si="57"/>
        <v>0</v>
      </c>
      <c r="AQ248" s="129">
        <f t="shared" si="58"/>
        <v>0</v>
      </c>
      <c r="AR248" s="129">
        <f t="shared" si="59"/>
        <v>0</v>
      </c>
      <c r="AS248" s="129">
        <f t="shared" si="60"/>
        <v>0</v>
      </c>
      <c r="AT248" s="312">
        <f t="shared" si="61"/>
        <v>6</v>
      </c>
      <c r="AV248" s="312"/>
      <c r="AX248" s="129">
        <v>1.5</v>
      </c>
      <c r="AY248" s="129">
        <v>1.5</v>
      </c>
      <c r="AZ248" s="129">
        <v>1.5</v>
      </c>
      <c r="BA248" s="314">
        <v>1.5</v>
      </c>
      <c r="BF248" s="314"/>
      <c r="BL248" s="314"/>
      <c r="BM248" s="129">
        <f t="shared" si="62"/>
        <v>6</v>
      </c>
      <c r="BN248" s="129">
        <f t="shared" si="63"/>
        <v>6</v>
      </c>
      <c r="BR248" s="129">
        <v>516137</v>
      </c>
      <c r="BS248" s="129">
        <v>173134</v>
      </c>
      <c r="BT248" s="129" t="s">
        <v>178</v>
      </c>
      <c r="BU248" s="129" t="s">
        <v>154</v>
      </c>
      <c r="BV248" s="129" t="s">
        <v>154</v>
      </c>
      <c r="CC248" s="129" t="s">
        <v>359</v>
      </c>
      <c r="CD248" s="129" t="s">
        <v>202</v>
      </c>
      <c r="CE248" s="313"/>
    </row>
    <row r="249" spans="1:83" x14ac:dyDescent="0.25">
      <c r="A249" s="129" t="s">
        <v>1257</v>
      </c>
      <c r="B249" s="129" t="s">
        <v>382</v>
      </c>
      <c r="C249" s="129" t="s">
        <v>353</v>
      </c>
      <c r="D249" s="309">
        <v>45237</v>
      </c>
      <c r="E249" s="309">
        <v>46333</v>
      </c>
      <c r="J249" s="129" t="s">
        <v>267</v>
      </c>
      <c r="K249" s="129" t="s">
        <v>268</v>
      </c>
      <c r="M249" s="191"/>
      <c r="O249" s="129" t="s">
        <v>1258</v>
      </c>
      <c r="P249" s="129" t="s">
        <v>1259</v>
      </c>
      <c r="Q249" s="129" t="s">
        <v>1227</v>
      </c>
      <c r="V249" s="129">
        <v>1</v>
      </c>
      <c r="AA249" s="312">
        <f t="shared" si="65"/>
        <v>1</v>
      </c>
      <c r="AC249" s="129">
        <v>3</v>
      </c>
      <c r="AK249" s="312">
        <f t="shared" si="52"/>
        <v>3</v>
      </c>
      <c r="AL249" s="129">
        <f t="shared" si="53"/>
        <v>3</v>
      </c>
      <c r="AM249" s="129">
        <f t="shared" si="54"/>
        <v>0</v>
      </c>
      <c r="AN249" s="129">
        <f t="shared" si="55"/>
        <v>0</v>
      </c>
      <c r="AO249" s="129">
        <f t="shared" si="56"/>
        <v>-1</v>
      </c>
      <c r="AP249" s="129">
        <f t="shared" si="57"/>
        <v>0</v>
      </c>
      <c r="AQ249" s="129">
        <f t="shared" si="58"/>
        <v>0</v>
      </c>
      <c r="AR249" s="129">
        <f t="shared" si="59"/>
        <v>0</v>
      </c>
      <c r="AS249" s="129">
        <f t="shared" si="60"/>
        <v>0</v>
      </c>
      <c r="AT249" s="312">
        <f t="shared" si="61"/>
        <v>2</v>
      </c>
      <c r="AV249" s="312"/>
      <c r="AW249" s="129">
        <v>0.5</v>
      </c>
      <c r="AX249" s="129">
        <v>0.5</v>
      </c>
      <c r="AY249" s="129">
        <v>0.5</v>
      </c>
      <c r="AZ249" s="129">
        <v>0.5</v>
      </c>
      <c r="BA249" s="314"/>
      <c r="BF249" s="314"/>
      <c r="BL249" s="314"/>
      <c r="BM249" s="129">
        <f t="shared" si="62"/>
        <v>2</v>
      </c>
      <c r="BN249" s="129">
        <f t="shared" si="63"/>
        <v>2</v>
      </c>
      <c r="BR249" s="129">
        <v>520370</v>
      </c>
      <c r="BS249" s="129">
        <v>175330</v>
      </c>
      <c r="BT249" s="129" t="s">
        <v>149</v>
      </c>
      <c r="BU249" s="129" t="s">
        <v>190</v>
      </c>
      <c r="BV249" s="129" t="s">
        <v>149</v>
      </c>
      <c r="CC249" s="129" t="s">
        <v>359</v>
      </c>
      <c r="CD249" s="129" t="s">
        <v>199</v>
      </c>
      <c r="CE249" s="313"/>
    </row>
    <row r="250" spans="1:83" x14ac:dyDescent="0.25">
      <c r="A250" s="129" t="s">
        <v>1260</v>
      </c>
      <c r="B250" s="129" t="s">
        <v>377</v>
      </c>
      <c r="C250" s="129" t="s">
        <v>353</v>
      </c>
      <c r="D250" s="309">
        <v>45324</v>
      </c>
      <c r="E250" s="309">
        <v>46420</v>
      </c>
      <c r="J250" s="129" t="s">
        <v>267</v>
      </c>
      <c r="K250" s="129" t="s">
        <v>268</v>
      </c>
      <c r="M250" s="191"/>
      <c r="O250" s="129" t="s">
        <v>1261</v>
      </c>
      <c r="P250" s="129" t="s">
        <v>1262</v>
      </c>
      <c r="Q250" s="129" t="s">
        <v>1263</v>
      </c>
      <c r="V250" s="129">
        <v>1</v>
      </c>
      <c r="AA250" s="312">
        <f t="shared" si="65"/>
        <v>1</v>
      </c>
      <c r="AC250" s="129">
        <v>1</v>
      </c>
      <c r="AE250" s="129">
        <v>1</v>
      </c>
      <c r="AK250" s="312">
        <f t="shared" si="52"/>
        <v>2</v>
      </c>
      <c r="AL250" s="129">
        <f t="shared" si="53"/>
        <v>1</v>
      </c>
      <c r="AM250" s="129">
        <f t="shared" si="54"/>
        <v>0</v>
      </c>
      <c r="AN250" s="129">
        <f t="shared" si="55"/>
        <v>1</v>
      </c>
      <c r="AO250" s="129">
        <f t="shared" si="56"/>
        <v>-1</v>
      </c>
      <c r="AP250" s="129">
        <f t="shared" si="57"/>
        <v>0</v>
      </c>
      <c r="AQ250" s="129">
        <f t="shared" si="58"/>
        <v>0</v>
      </c>
      <c r="AR250" s="129">
        <f t="shared" si="59"/>
        <v>0</v>
      </c>
      <c r="AS250" s="129">
        <f t="shared" si="60"/>
        <v>0</v>
      </c>
      <c r="AT250" s="312">
        <f t="shared" si="61"/>
        <v>1</v>
      </c>
      <c r="AV250" s="312"/>
      <c r="AW250" s="129">
        <v>0.25</v>
      </c>
      <c r="AX250" s="129">
        <v>0.25</v>
      </c>
      <c r="AY250" s="129">
        <v>0.25</v>
      </c>
      <c r="AZ250" s="129">
        <v>0.25</v>
      </c>
      <c r="BA250" s="314"/>
      <c r="BF250" s="314"/>
      <c r="BL250" s="314"/>
      <c r="BM250" s="129">
        <f t="shared" si="62"/>
        <v>1</v>
      </c>
      <c r="BN250" s="129">
        <f t="shared" si="63"/>
        <v>1</v>
      </c>
      <c r="BR250" s="129">
        <v>516676</v>
      </c>
      <c r="BS250" s="129">
        <v>173608</v>
      </c>
      <c r="BT250" s="129" t="s">
        <v>180</v>
      </c>
      <c r="BU250" s="129" t="s">
        <v>154</v>
      </c>
      <c r="CA250" s="129" t="s">
        <v>386</v>
      </c>
      <c r="CB250" s="129" t="s">
        <v>359</v>
      </c>
      <c r="CC250" s="129" t="s">
        <v>359</v>
      </c>
      <c r="CD250" s="129" t="s">
        <v>202</v>
      </c>
      <c r="CE250" s="313"/>
    </row>
    <row r="251" spans="1:83" x14ac:dyDescent="0.25">
      <c r="A251" s="129" t="s">
        <v>1264</v>
      </c>
      <c r="B251" s="129" t="s">
        <v>352</v>
      </c>
      <c r="C251" s="129" t="s">
        <v>353</v>
      </c>
      <c r="D251" s="309">
        <v>45090</v>
      </c>
      <c r="E251" s="309">
        <v>46186</v>
      </c>
      <c r="F251" s="315">
        <v>45936</v>
      </c>
      <c r="J251" s="129" t="s">
        <v>267</v>
      </c>
      <c r="K251" s="129" t="s">
        <v>268</v>
      </c>
      <c r="M251" s="191"/>
      <c r="O251" s="129" t="s">
        <v>1265</v>
      </c>
      <c r="P251" s="129" t="s">
        <v>1266</v>
      </c>
      <c r="Q251" s="129" t="s">
        <v>1267</v>
      </c>
      <c r="U251" s="129">
        <v>1</v>
      </c>
      <c r="AA251" s="312">
        <f t="shared" si="65"/>
        <v>1</v>
      </c>
      <c r="AF251" s="129">
        <v>1</v>
      </c>
      <c r="AK251" s="312">
        <f t="shared" si="52"/>
        <v>1</v>
      </c>
      <c r="AL251" s="129">
        <f t="shared" si="53"/>
        <v>0</v>
      </c>
      <c r="AM251" s="129">
        <f t="shared" si="54"/>
        <v>0</v>
      </c>
      <c r="AN251" s="129">
        <f t="shared" si="55"/>
        <v>-1</v>
      </c>
      <c r="AO251" s="129">
        <f t="shared" si="56"/>
        <v>1</v>
      </c>
      <c r="AP251" s="129">
        <f t="shared" si="57"/>
        <v>0</v>
      </c>
      <c r="AQ251" s="129">
        <f t="shared" si="58"/>
        <v>0</v>
      </c>
      <c r="AR251" s="129">
        <f t="shared" si="59"/>
        <v>0</v>
      </c>
      <c r="AS251" s="129">
        <f t="shared" si="60"/>
        <v>0</v>
      </c>
      <c r="AT251" s="312">
        <f t="shared" si="61"/>
        <v>0</v>
      </c>
      <c r="AV251" s="312"/>
      <c r="AW251" s="129">
        <v>0</v>
      </c>
      <c r="BA251" s="314"/>
      <c r="BF251" s="314"/>
      <c r="BL251" s="314"/>
      <c r="BM251" s="129">
        <f t="shared" si="62"/>
        <v>0</v>
      </c>
      <c r="BN251" s="129">
        <f t="shared" si="63"/>
        <v>0</v>
      </c>
      <c r="BR251" s="129">
        <v>522220</v>
      </c>
      <c r="BS251" s="129">
        <v>177505</v>
      </c>
      <c r="BT251" s="129" t="s">
        <v>167</v>
      </c>
      <c r="BU251" s="129" t="s">
        <v>190</v>
      </c>
      <c r="CD251" s="129" t="s">
        <v>167</v>
      </c>
      <c r="CE251" s="313"/>
    </row>
    <row r="252" spans="1:83" x14ac:dyDescent="0.25">
      <c r="A252" s="129" t="s">
        <v>1268</v>
      </c>
      <c r="B252" s="129" t="s">
        <v>352</v>
      </c>
      <c r="C252" s="129" t="s">
        <v>353</v>
      </c>
      <c r="D252" s="309">
        <v>45323</v>
      </c>
      <c r="E252" s="309">
        <v>46419</v>
      </c>
      <c r="F252" s="315">
        <v>46055</v>
      </c>
      <c r="J252" s="129" t="s">
        <v>267</v>
      </c>
      <c r="K252" s="129" t="s">
        <v>264</v>
      </c>
      <c r="M252" s="191"/>
      <c r="O252" s="129" t="s">
        <v>1269</v>
      </c>
      <c r="P252" s="129" t="s">
        <v>1270</v>
      </c>
      <c r="Q252" s="129" t="s">
        <v>750</v>
      </c>
      <c r="AA252" s="312">
        <f t="shared" si="65"/>
        <v>0</v>
      </c>
      <c r="AB252" s="313" t="s">
        <v>359</v>
      </c>
      <c r="AE252" s="129">
        <v>4</v>
      </c>
      <c r="AF252" s="129">
        <v>3</v>
      </c>
      <c r="AK252" s="312">
        <f t="shared" si="52"/>
        <v>7</v>
      </c>
      <c r="AL252" s="129">
        <f t="shared" si="53"/>
        <v>0</v>
      </c>
      <c r="AM252" s="129">
        <f t="shared" si="54"/>
        <v>0</v>
      </c>
      <c r="AN252" s="129">
        <f t="shared" si="55"/>
        <v>4</v>
      </c>
      <c r="AO252" s="129">
        <f t="shared" si="56"/>
        <v>3</v>
      </c>
      <c r="AP252" s="129">
        <f t="shared" si="57"/>
        <v>0</v>
      </c>
      <c r="AQ252" s="129">
        <f t="shared" si="58"/>
        <v>0</v>
      </c>
      <c r="AR252" s="129">
        <f t="shared" si="59"/>
        <v>0</v>
      </c>
      <c r="AS252" s="129">
        <f t="shared" si="60"/>
        <v>0</v>
      </c>
      <c r="AT252" s="312">
        <f t="shared" si="61"/>
        <v>7</v>
      </c>
      <c r="AV252" s="312"/>
      <c r="AY252" s="129">
        <v>7</v>
      </c>
      <c r="BA252" s="314"/>
      <c r="BF252" s="314"/>
      <c r="BL252" s="314"/>
      <c r="BM252" s="129">
        <f t="shared" si="62"/>
        <v>7</v>
      </c>
      <c r="BN252" s="129">
        <f t="shared" si="63"/>
        <v>7</v>
      </c>
      <c r="BR252" s="129">
        <v>515033</v>
      </c>
      <c r="BS252" s="129">
        <v>173287</v>
      </c>
      <c r="BT252" s="129" t="s">
        <v>178</v>
      </c>
      <c r="BU252" s="129" t="s">
        <v>154</v>
      </c>
      <c r="CC252" s="129" t="s">
        <v>359</v>
      </c>
      <c r="CD252" s="129" t="s">
        <v>202</v>
      </c>
      <c r="CE252" s="313"/>
    </row>
    <row r="253" spans="1:83" x14ac:dyDescent="0.25">
      <c r="A253" s="129" t="s">
        <v>1271</v>
      </c>
      <c r="B253" s="129" t="s">
        <v>369</v>
      </c>
      <c r="C253" s="248" t="s">
        <v>370</v>
      </c>
      <c r="D253" s="309">
        <v>45070</v>
      </c>
      <c r="E253" s="309">
        <v>46166</v>
      </c>
      <c r="J253" s="129" t="s">
        <v>267</v>
      </c>
      <c r="K253" s="129" t="s">
        <v>268</v>
      </c>
      <c r="M253" s="191"/>
      <c r="O253" s="129" t="s">
        <v>1272</v>
      </c>
      <c r="P253" s="129" t="s">
        <v>1273</v>
      </c>
      <c r="Q253" s="129" t="s">
        <v>1274</v>
      </c>
      <c r="AA253" s="312">
        <f t="shared" si="65"/>
        <v>0</v>
      </c>
      <c r="AC253" s="129">
        <v>1</v>
      </c>
      <c r="AK253" s="312">
        <f t="shared" si="52"/>
        <v>1</v>
      </c>
      <c r="AL253" s="129">
        <f t="shared" si="53"/>
        <v>1</v>
      </c>
      <c r="AM253" s="129">
        <f t="shared" si="54"/>
        <v>0</v>
      </c>
      <c r="AN253" s="129">
        <f t="shared" si="55"/>
        <v>0</v>
      </c>
      <c r="AO253" s="129">
        <f t="shared" si="56"/>
        <v>0</v>
      </c>
      <c r="AP253" s="129">
        <f t="shared" si="57"/>
        <v>0</v>
      </c>
      <c r="AQ253" s="129">
        <f t="shared" si="58"/>
        <v>0</v>
      </c>
      <c r="AR253" s="129">
        <f t="shared" si="59"/>
        <v>0</v>
      </c>
      <c r="AS253" s="129">
        <f t="shared" si="60"/>
        <v>0</v>
      </c>
      <c r="AT253" s="312">
        <f t="shared" si="61"/>
        <v>1</v>
      </c>
      <c r="AV253" s="312"/>
      <c r="AW253" s="129">
        <v>0.25</v>
      </c>
      <c r="AX253" s="129">
        <v>0.25</v>
      </c>
      <c r="AY253" s="129">
        <v>0.25</v>
      </c>
      <c r="AZ253" s="129">
        <v>0.25</v>
      </c>
      <c r="BA253" s="314"/>
      <c r="BF253" s="314"/>
      <c r="BL253" s="314"/>
      <c r="BM253" s="129">
        <f t="shared" si="62"/>
        <v>1</v>
      </c>
      <c r="BN253" s="129">
        <f t="shared" si="63"/>
        <v>1</v>
      </c>
      <c r="BR253" s="129">
        <v>521457</v>
      </c>
      <c r="BS253" s="129">
        <v>175623</v>
      </c>
      <c r="BT253" s="129" t="s">
        <v>175</v>
      </c>
      <c r="BU253" s="129" t="s">
        <v>190</v>
      </c>
      <c r="BX253" s="129" t="s">
        <v>945</v>
      </c>
      <c r="BY253" s="129" t="s">
        <v>359</v>
      </c>
      <c r="CC253" s="129" t="s">
        <v>359</v>
      </c>
      <c r="CD253" s="129" t="s">
        <v>167</v>
      </c>
      <c r="CE253" s="313"/>
    </row>
    <row r="254" spans="1:83" x14ac:dyDescent="0.25">
      <c r="A254" s="129" t="s">
        <v>1275</v>
      </c>
      <c r="B254" s="129" t="s">
        <v>352</v>
      </c>
      <c r="C254" s="129" t="s">
        <v>353</v>
      </c>
      <c r="D254" s="309">
        <v>45384</v>
      </c>
      <c r="E254" s="309">
        <v>46479</v>
      </c>
      <c r="H254" s="310" t="s">
        <v>359</v>
      </c>
      <c r="J254" s="129" t="s">
        <v>267</v>
      </c>
      <c r="K254" s="129" t="s">
        <v>268</v>
      </c>
      <c r="M254" s="191"/>
      <c r="O254" s="129" t="s">
        <v>1276</v>
      </c>
      <c r="P254" s="129" t="s">
        <v>1277</v>
      </c>
      <c r="Q254" s="129" t="s">
        <v>1278</v>
      </c>
      <c r="V254" s="129">
        <v>1</v>
      </c>
      <c r="AA254" s="312">
        <f t="shared" si="65"/>
        <v>1</v>
      </c>
      <c r="AF254" s="129">
        <v>2</v>
      </c>
      <c r="AK254" s="312">
        <f t="shared" si="52"/>
        <v>2</v>
      </c>
      <c r="AL254" s="129">
        <f t="shared" si="53"/>
        <v>0</v>
      </c>
      <c r="AM254" s="129">
        <f t="shared" si="54"/>
        <v>0</v>
      </c>
      <c r="AN254" s="129">
        <f t="shared" si="55"/>
        <v>0</v>
      </c>
      <c r="AO254" s="129">
        <f t="shared" si="56"/>
        <v>1</v>
      </c>
      <c r="AP254" s="129">
        <f t="shared" si="57"/>
        <v>0</v>
      </c>
      <c r="AQ254" s="129">
        <f t="shared" si="58"/>
        <v>0</v>
      </c>
      <c r="AR254" s="129">
        <f t="shared" si="59"/>
        <v>0</v>
      </c>
      <c r="AS254" s="129">
        <f t="shared" si="60"/>
        <v>0</v>
      </c>
      <c r="AT254" s="312">
        <f t="shared" si="61"/>
        <v>1</v>
      </c>
      <c r="AV254" s="312"/>
      <c r="AW254" s="129">
        <v>0.25</v>
      </c>
      <c r="AX254" s="129">
        <v>0.25</v>
      </c>
      <c r="AY254" s="129">
        <v>0.25</v>
      </c>
      <c r="AZ254" s="129">
        <v>0.25</v>
      </c>
      <c r="BA254" s="314"/>
      <c r="BF254" s="314"/>
      <c r="BL254" s="314"/>
      <c r="BM254" s="129">
        <f t="shared" si="62"/>
        <v>1</v>
      </c>
      <c r="BN254" s="129">
        <f t="shared" si="63"/>
        <v>1</v>
      </c>
      <c r="BR254" s="129">
        <v>513617</v>
      </c>
      <c r="BS254" s="129">
        <v>170628</v>
      </c>
      <c r="BT254" s="129" t="s">
        <v>171</v>
      </c>
      <c r="BU254" s="129" t="s">
        <v>192</v>
      </c>
      <c r="CD254" s="129" t="s">
        <v>198</v>
      </c>
      <c r="CE254" s="313"/>
    </row>
    <row r="255" spans="1:83" x14ac:dyDescent="0.25">
      <c r="A255" s="129" t="s">
        <v>1279</v>
      </c>
      <c r="B255" s="129" t="s">
        <v>352</v>
      </c>
      <c r="C255" s="129" t="s">
        <v>353</v>
      </c>
      <c r="D255" s="309">
        <v>45317</v>
      </c>
      <c r="E255" s="309">
        <v>46413</v>
      </c>
      <c r="F255" s="309">
        <v>45748</v>
      </c>
      <c r="G255" s="310"/>
      <c r="H255" s="310"/>
      <c r="J255" s="129" t="s">
        <v>267</v>
      </c>
      <c r="K255" s="129" t="s">
        <v>268</v>
      </c>
      <c r="M255" s="191"/>
      <c r="O255" s="129" t="s">
        <v>1280</v>
      </c>
      <c r="P255" s="129" t="s">
        <v>1281</v>
      </c>
      <c r="Q255" s="129" t="s">
        <v>1282</v>
      </c>
      <c r="U255" s="129">
        <v>1</v>
      </c>
      <c r="AA255" s="312">
        <f t="shared" si="65"/>
        <v>1</v>
      </c>
      <c r="AE255" s="129">
        <v>2</v>
      </c>
      <c r="AK255" s="312">
        <f t="shared" si="52"/>
        <v>2</v>
      </c>
      <c r="AL255" s="129">
        <f t="shared" si="53"/>
        <v>0</v>
      </c>
      <c r="AM255" s="129">
        <f t="shared" si="54"/>
        <v>0</v>
      </c>
      <c r="AN255" s="129">
        <f t="shared" si="55"/>
        <v>1</v>
      </c>
      <c r="AO255" s="129">
        <f t="shared" si="56"/>
        <v>0</v>
      </c>
      <c r="AP255" s="129">
        <f t="shared" si="57"/>
        <v>0</v>
      </c>
      <c r="AQ255" s="129">
        <f t="shared" si="58"/>
        <v>0</v>
      </c>
      <c r="AR255" s="129">
        <f t="shared" si="59"/>
        <v>0</v>
      </c>
      <c r="AS255" s="129">
        <f t="shared" si="60"/>
        <v>0</v>
      </c>
      <c r="AT255" s="312">
        <f t="shared" si="61"/>
        <v>1</v>
      </c>
      <c r="AV255" s="312"/>
      <c r="AX255" s="129">
        <v>1</v>
      </c>
      <c r="BA255" s="314"/>
      <c r="BF255" s="314"/>
      <c r="BL255" s="314"/>
      <c r="BM255" s="129">
        <f t="shared" si="62"/>
        <v>1</v>
      </c>
      <c r="BN255" s="129">
        <f t="shared" si="63"/>
        <v>1</v>
      </c>
      <c r="BR255" s="129">
        <v>513480</v>
      </c>
      <c r="BS255" s="129">
        <v>169902</v>
      </c>
      <c r="BT255" s="129" t="s">
        <v>170</v>
      </c>
      <c r="BU255" s="129" t="s">
        <v>192</v>
      </c>
      <c r="CC255" s="129" t="s">
        <v>359</v>
      </c>
      <c r="CD255" s="129" t="s">
        <v>198</v>
      </c>
      <c r="CE255" s="313"/>
    </row>
    <row r="256" spans="1:83" x14ac:dyDescent="0.25">
      <c r="A256" s="129" t="s">
        <v>1283</v>
      </c>
      <c r="B256" s="129" t="s">
        <v>352</v>
      </c>
      <c r="C256" s="129" t="s">
        <v>353</v>
      </c>
      <c r="D256" s="309">
        <v>45414</v>
      </c>
      <c r="E256" s="309">
        <v>46509</v>
      </c>
      <c r="F256" s="315">
        <v>45873</v>
      </c>
      <c r="H256" s="310" t="s">
        <v>359</v>
      </c>
      <c r="J256" s="129" t="s">
        <v>267</v>
      </c>
      <c r="K256" s="129" t="s">
        <v>268</v>
      </c>
      <c r="M256" s="191"/>
      <c r="O256" s="129" t="s">
        <v>1284</v>
      </c>
      <c r="P256" s="129" t="s">
        <v>1285</v>
      </c>
      <c r="Q256" s="129" t="s">
        <v>1286</v>
      </c>
      <c r="V256" s="129">
        <v>1</v>
      </c>
      <c r="AA256" s="312">
        <f t="shared" si="65"/>
        <v>1</v>
      </c>
      <c r="AH256" s="129">
        <v>1</v>
      </c>
      <c r="AK256" s="312">
        <f t="shared" si="52"/>
        <v>1</v>
      </c>
      <c r="AL256" s="129">
        <f t="shared" si="53"/>
        <v>0</v>
      </c>
      <c r="AM256" s="129">
        <f t="shared" si="54"/>
        <v>0</v>
      </c>
      <c r="AN256" s="129">
        <f t="shared" si="55"/>
        <v>0</v>
      </c>
      <c r="AO256" s="129">
        <f t="shared" si="56"/>
        <v>-1</v>
      </c>
      <c r="AP256" s="129">
        <f t="shared" si="57"/>
        <v>0</v>
      </c>
      <c r="AQ256" s="129">
        <f t="shared" si="58"/>
        <v>1</v>
      </c>
      <c r="AR256" s="129">
        <f t="shared" si="59"/>
        <v>0</v>
      </c>
      <c r="AS256" s="129">
        <f t="shared" si="60"/>
        <v>0</v>
      </c>
      <c r="AT256" s="312">
        <f t="shared" si="61"/>
        <v>0</v>
      </c>
      <c r="AV256" s="312"/>
      <c r="AW256" s="129">
        <v>0</v>
      </c>
      <c r="BA256" s="314"/>
      <c r="BF256" s="314"/>
      <c r="BL256" s="314"/>
      <c r="BM256" s="129">
        <f t="shared" si="62"/>
        <v>0</v>
      </c>
      <c r="BN256" s="129">
        <f t="shared" si="63"/>
        <v>0</v>
      </c>
      <c r="BR256" s="129">
        <v>519278</v>
      </c>
      <c r="BS256" s="129">
        <v>175104</v>
      </c>
      <c r="BT256" s="129" t="s">
        <v>177</v>
      </c>
      <c r="BU256" s="129" t="s">
        <v>150</v>
      </c>
      <c r="CC256" s="129" t="s">
        <v>359</v>
      </c>
      <c r="CD256" s="129" t="s">
        <v>200</v>
      </c>
      <c r="CE256" s="313"/>
    </row>
    <row r="257" spans="1:83" x14ac:dyDescent="0.25">
      <c r="A257" s="129" t="s">
        <v>1287</v>
      </c>
      <c r="B257" s="129" t="s">
        <v>369</v>
      </c>
      <c r="C257" s="129" t="s">
        <v>353</v>
      </c>
      <c r="D257" s="309">
        <v>45463</v>
      </c>
      <c r="E257" s="309">
        <v>46558</v>
      </c>
      <c r="F257" s="309">
        <v>45748</v>
      </c>
      <c r="G257" s="310"/>
      <c r="H257" s="310" t="s">
        <v>359</v>
      </c>
      <c r="J257" s="129" t="s">
        <v>267</v>
      </c>
      <c r="K257" s="129" t="s">
        <v>268</v>
      </c>
      <c r="M257" s="191"/>
      <c r="O257" s="129" t="s">
        <v>1288</v>
      </c>
      <c r="P257" s="129" t="s">
        <v>1289</v>
      </c>
      <c r="Q257" s="129" t="s">
        <v>1290</v>
      </c>
      <c r="T257" s="129">
        <v>1</v>
      </c>
      <c r="AA257" s="312">
        <f t="shared" si="65"/>
        <v>1</v>
      </c>
      <c r="AC257" s="129">
        <v>3</v>
      </c>
      <c r="AE257" s="129">
        <v>1</v>
      </c>
      <c r="AK257" s="312">
        <f t="shared" si="52"/>
        <v>4</v>
      </c>
      <c r="AL257" s="129">
        <f t="shared" si="53"/>
        <v>3</v>
      </c>
      <c r="AM257" s="129">
        <f t="shared" si="54"/>
        <v>-1</v>
      </c>
      <c r="AN257" s="129">
        <f t="shared" si="55"/>
        <v>1</v>
      </c>
      <c r="AO257" s="129">
        <f t="shared" si="56"/>
        <v>0</v>
      </c>
      <c r="AP257" s="129">
        <f t="shared" si="57"/>
        <v>0</v>
      </c>
      <c r="AQ257" s="129">
        <f t="shared" si="58"/>
        <v>0</v>
      </c>
      <c r="AR257" s="129">
        <f t="shared" si="59"/>
        <v>0</v>
      </c>
      <c r="AS257" s="129">
        <f t="shared" si="60"/>
        <v>0</v>
      </c>
      <c r="AT257" s="312">
        <f t="shared" si="61"/>
        <v>3</v>
      </c>
      <c r="AV257" s="312"/>
      <c r="AX257" s="129">
        <v>3</v>
      </c>
      <c r="BA257" s="314"/>
      <c r="BF257" s="314"/>
      <c r="BL257" s="314"/>
      <c r="BM257" s="129">
        <f t="shared" si="62"/>
        <v>3</v>
      </c>
      <c r="BN257" s="129">
        <f t="shared" si="63"/>
        <v>3</v>
      </c>
      <c r="BR257" s="129">
        <v>513441</v>
      </c>
      <c r="BS257" s="129">
        <v>170019</v>
      </c>
      <c r="BT257" s="129" t="s">
        <v>170</v>
      </c>
      <c r="BU257" s="129" t="s">
        <v>192</v>
      </c>
      <c r="CC257" s="129" t="s">
        <v>359</v>
      </c>
      <c r="CD257" s="129" t="s">
        <v>198</v>
      </c>
      <c r="CE257" s="313"/>
    </row>
    <row r="258" spans="1:83" x14ac:dyDescent="0.25">
      <c r="A258" s="129" t="s">
        <v>1291</v>
      </c>
      <c r="B258" s="129" t="s">
        <v>377</v>
      </c>
      <c r="C258" s="248" t="s">
        <v>370</v>
      </c>
      <c r="D258" s="309">
        <v>45124</v>
      </c>
      <c r="E258" s="309">
        <v>46220</v>
      </c>
      <c r="J258" s="129" t="s">
        <v>267</v>
      </c>
      <c r="K258" s="129" t="s">
        <v>268</v>
      </c>
      <c r="M258" s="191"/>
      <c r="O258" s="129" t="s">
        <v>1292</v>
      </c>
      <c r="P258" s="129" t="s">
        <v>1293</v>
      </c>
      <c r="Q258" s="129" t="s">
        <v>1294</v>
      </c>
      <c r="AA258" s="312">
        <f t="shared" si="65"/>
        <v>0</v>
      </c>
      <c r="AC258" s="129">
        <v>6</v>
      </c>
      <c r="AK258" s="312">
        <f t="shared" ref="AK258:AK321" si="66">SUM(AC258:AJ258)</f>
        <v>6</v>
      </c>
      <c r="AL258" s="129">
        <f t="shared" ref="AL258:AL321" si="67">AC258-S258</f>
        <v>6</v>
      </c>
      <c r="AM258" s="129">
        <f t="shared" ref="AM258:AM321" si="68">AD258-T258</f>
        <v>0</v>
      </c>
      <c r="AN258" s="129">
        <f t="shared" ref="AN258:AN321" si="69">AE258-U258</f>
        <v>0</v>
      </c>
      <c r="AO258" s="129">
        <f t="shared" ref="AO258:AO321" si="70">AF258-V258</f>
        <v>0</v>
      </c>
      <c r="AP258" s="129">
        <f t="shared" ref="AP258:AP321" si="71">AG258-W258</f>
        <v>0</v>
      </c>
      <c r="AQ258" s="129">
        <f t="shared" ref="AQ258:AQ321" si="72">AH258-X258</f>
        <v>0</v>
      </c>
      <c r="AR258" s="129">
        <f t="shared" ref="AR258:AR321" si="73">AI258-Y258</f>
        <v>0</v>
      </c>
      <c r="AS258" s="129">
        <f t="shared" ref="AS258:AS321" si="74">AJ258-Z258</f>
        <v>0</v>
      </c>
      <c r="AT258" s="312">
        <f t="shared" ref="AT258:AT321" si="75">AK258-AA258</f>
        <v>6</v>
      </c>
      <c r="AV258" s="312"/>
      <c r="AX258" s="129">
        <v>1.5</v>
      </c>
      <c r="AY258" s="129">
        <v>1.5</v>
      </c>
      <c r="AZ258" s="129">
        <v>1.5</v>
      </c>
      <c r="BA258" s="314">
        <v>1.5</v>
      </c>
      <c r="BF258" s="314"/>
      <c r="BL258" s="314"/>
      <c r="BM258" s="129">
        <f t="shared" si="62"/>
        <v>6</v>
      </c>
      <c r="BN258" s="129">
        <f t="shared" si="63"/>
        <v>6</v>
      </c>
      <c r="BR258" s="129">
        <v>516098</v>
      </c>
      <c r="BS258" s="129">
        <v>173924</v>
      </c>
      <c r="BT258" s="129" t="s">
        <v>179</v>
      </c>
      <c r="BU258" s="129" t="s">
        <v>154</v>
      </c>
      <c r="CC258" s="129" t="s">
        <v>359</v>
      </c>
      <c r="CD258" s="129" t="s">
        <v>202</v>
      </c>
      <c r="CE258" s="313"/>
    </row>
    <row r="259" spans="1:83" x14ac:dyDescent="0.25">
      <c r="A259" s="129" t="s">
        <v>1295</v>
      </c>
      <c r="B259" s="129" t="s">
        <v>352</v>
      </c>
      <c r="C259" s="248" t="s">
        <v>1296</v>
      </c>
      <c r="D259" s="309">
        <v>45551</v>
      </c>
      <c r="E259" s="309">
        <v>46646</v>
      </c>
      <c r="H259" s="310" t="s">
        <v>359</v>
      </c>
      <c r="J259" s="129" t="s">
        <v>267</v>
      </c>
      <c r="K259" s="129" t="s">
        <v>268</v>
      </c>
      <c r="M259" s="191"/>
      <c r="O259" s="129" t="s">
        <v>1297</v>
      </c>
      <c r="P259" s="129" t="s">
        <v>1298</v>
      </c>
      <c r="Q259" s="129" t="s">
        <v>1299</v>
      </c>
      <c r="AA259" s="312">
        <f t="shared" si="65"/>
        <v>0</v>
      </c>
      <c r="AD259" s="129">
        <v>5</v>
      </c>
      <c r="AK259" s="312">
        <f t="shared" si="66"/>
        <v>5</v>
      </c>
      <c r="AL259" s="129">
        <f t="shared" si="67"/>
        <v>0</v>
      </c>
      <c r="AM259" s="129">
        <f t="shared" si="68"/>
        <v>5</v>
      </c>
      <c r="AN259" s="129">
        <f t="shared" si="69"/>
        <v>0</v>
      </c>
      <c r="AO259" s="129">
        <f t="shared" si="70"/>
        <v>0</v>
      </c>
      <c r="AP259" s="129">
        <f t="shared" si="71"/>
        <v>0</v>
      </c>
      <c r="AQ259" s="129">
        <f t="shared" si="72"/>
        <v>0</v>
      </c>
      <c r="AR259" s="129">
        <f t="shared" si="73"/>
        <v>0</v>
      </c>
      <c r="AS259" s="129">
        <f t="shared" si="74"/>
        <v>0</v>
      </c>
      <c r="AT259" s="312">
        <f t="shared" si="75"/>
        <v>5</v>
      </c>
      <c r="AV259" s="312"/>
      <c r="AX259" s="129">
        <v>1.25</v>
      </c>
      <c r="AY259" s="129">
        <v>1.25</v>
      </c>
      <c r="AZ259" s="129">
        <v>1.25</v>
      </c>
      <c r="BA259" s="314">
        <v>1.25</v>
      </c>
      <c r="BF259" s="314"/>
      <c r="BL259" s="314"/>
      <c r="BM259" s="129">
        <f t="shared" si="62"/>
        <v>5</v>
      </c>
      <c r="BN259" s="129">
        <f t="shared" si="63"/>
        <v>5</v>
      </c>
      <c r="BR259" s="129">
        <v>520619</v>
      </c>
      <c r="BS259" s="129">
        <v>175749</v>
      </c>
      <c r="BT259" s="129" t="s">
        <v>149</v>
      </c>
      <c r="BU259" s="129" t="s">
        <v>190</v>
      </c>
      <c r="CC259" s="129" t="s">
        <v>359</v>
      </c>
      <c r="CD259" s="129" t="s">
        <v>199</v>
      </c>
      <c r="CE259" s="313"/>
    </row>
    <row r="260" spans="1:83" x14ac:dyDescent="0.25">
      <c r="A260" s="129" t="s">
        <v>1300</v>
      </c>
      <c r="B260" s="129" t="s">
        <v>369</v>
      </c>
      <c r="C260" s="248" t="s">
        <v>370</v>
      </c>
      <c r="D260" s="309">
        <v>45152</v>
      </c>
      <c r="E260" s="309">
        <v>46248</v>
      </c>
      <c r="F260" s="309">
        <v>45849</v>
      </c>
      <c r="I260" s="309">
        <v>45949</v>
      </c>
      <c r="J260" s="129" t="s">
        <v>267</v>
      </c>
      <c r="K260" s="129" t="s">
        <v>268</v>
      </c>
      <c r="M260" s="191"/>
      <c r="O260" s="129" t="s">
        <v>1301</v>
      </c>
      <c r="P260" s="129" t="s">
        <v>1302</v>
      </c>
      <c r="Q260" s="129" t="s">
        <v>1303</v>
      </c>
      <c r="AA260" s="312">
        <f t="shared" si="65"/>
        <v>0</v>
      </c>
      <c r="AC260" s="129">
        <v>1</v>
      </c>
      <c r="AK260" s="312">
        <f t="shared" si="66"/>
        <v>1</v>
      </c>
      <c r="AL260" s="129">
        <f t="shared" si="67"/>
        <v>1</v>
      </c>
      <c r="AM260" s="129">
        <f t="shared" si="68"/>
        <v>0</v>
      </c>
      <c r="AN260" s="129">
        <f t="shared" si="69"/>
        <v>0</v>
      </c>
      <c r="AO260" s="129">
        <f t="shared" si="70"/>
        <v>0</v>
      </c>
      <c r="AP260" s="129">
        <f t="shared" si="71"/>
        <v>0</v>
      </c>
      <c r="AQ260" s="129">
        <f t="shared" si="72"/>
        <v>0</v>
      </c>
      <c r="AR260" s="129">
        <f t="shared" si="73"/>
        <v>0</v>
      </c>
      <c r="AS260" s="129">
        <f t="shared" si="74"/>
        <v>0</v>
      </c>
      <c r="AT260" s="312">
        <f t="shared" si="75"/>
        <v>1</v>
      </c>
      <c r="AV260" s="312"/>
      <c r="AW260" s="129">
        <v>1</v>
      </c>
      <c r="BA260" s="314"/>
      <c r="BF260" s="314"/>
      <c r="BL260" s="314"/>
      <c r="BM260" s="129">
        <f t="shared" si="62"/>
        <v>1</v>
      </c>
      <c r="BN260" s="129">
        <f t="shared" si="63"/>
        <v>1</v>
      </c>
      <c r="BR260" s="129">
        <v>514480</v>
      </c>
      <c r="BS260" s="129">
        <v>174190</v>
      </c>
      <c r="BT260" s="129" t="s">
        <v>156</v>
      </c>
      <c r="BU260" s="129" t="s">
        <v>156</v>
      </c>
      <c r="CC260" s="129" t="s">
        <v>359</v>
      </c>
      <c r="CD260" s="129" t="s">
        <v>203</v>
      </c>
      <c r="CE260" s="313"/>
    </row>
    <row r="261" spans="1:83" x14ac:dyDescent="0.25">
      <c r="A261" s="129" t="s">
        <v>1304</v>
      </c>
      <c r="B261" s="129" t="s">
        <v>369</v>
      </c>
      <c r="C261" s="248" t="s">
        <v>370</v>
      </c>
      <c r="D261" s="309">
        <v>45135</v>
      </c>
      <c r="E261" s="309">
        <v>46231</v>
      </c>
      <c r="J261" s="129" t="s">
        <v>267</v>
      </c>
      <c r="K261" s="129" t="s">
        <v>268</v>
      </c>
      <c r="M261" s="191"/>
      <c r="O261" s="129" t="s">
        <v>1305</v>
      </c>
      <c r="P261" s="129" t="s">
        <v>1306</v>
      </c>
      <c r="Q261" s="129" t="s">
        <v>1307</v>
      </c>
      <c r="AA261" s="312">
        <f t="shared" si="65"/>
        <v>0</v>
      </c>
      <c r="AD261" s="129">
        <v>1</v>
      </c>
      <c r="AK261" s="312">
        <f t="shared" si="66"/>
        <v>1</v>
      </c>
      <c r="AL261" s="129">
        <f t="shared" si="67"/>
        <v>0</v>
      </c>
      <c r="AM261" s="129">
        <f t="shared" si="68"/>
        <v>1</v>
      </c>
      <c r="AN261" s="129">
        <f t="shared" si="69"/>
        <v>0</v>
      </c>
      <c r="AO261" s="129">
        <f t="shared" si="70"/>
        <v>0</v>
      </c>
      <c r="AP261" s="129">
        <f t="shared" si="71"/>
        <v>0</v>
      </c>
      <c r="AQ261" s="129">
        <f t="shared" si="72"/>
        <v>0</v>
      </c>
      <c r="AR261" s="129">
        <f t="shared" si="73"/>
        <v>0</v>
      </c>
      <c r="AS261" s="129">
        <f t="shared" si="74"/>
        <v>0</v>
      </c>
      <c r="AT261" s="312">
        <f t="shared" si="75"/>
        <v>1</v>
      </c>
      <c r="AV261" s="312"/>
      <c r="AW261" s="129">
        <v>0.25</v>
      </c>
      <c r="AX261" s="129">
        <v>0.25</v>
      </c>
      <c r="AY261" s="129">
        <v>0.25</v>
      </c>
      <c r="AZ261" s="129">
        <v>0.25</v>
      </c>
      <c r="BA261" s="314"/>
      <c r="BF261" s="314"/>
      <c r="BL261" s="314"/>
      <c r="BM261" s="129">
        <f t="shared" si="62"/>
        <v>1</v>
      </c>
      <c r="BN261" s="129">
        <f t="shared" si="63"/>
        <v>1</v>
      </c>
      <c r="BR261" s="129">
        <v>519072</v>
      </c>
      <c r="BS261" s="129">
        <v>176048</v>
      </c>
      <c r="BT261" s="129" t="s">
        <v>174</v>
      </c>
      <c r="BU261" s="129" t="s">
        <v>150</v>
      </c>
      <c r="CC261" s="129" t="s">
        <v>359</v>
      </c>
      <c r="CD261" s="129" t="s">
        <v>174</v>
      </c>
      <c r="CE261" s="313"/>
    </row>
    <row r="262" spans="1:83" x14ac:dyDescent="0.25">
      <c r="A262" s="129" t="s">
        <v>1308</v>
      </c>
      <c r="B262" s="129" t="s">
        <v>369</v>
      </c>
      <c r="C262" s="129" t="s">
        <v>353</v>
      </c>
      <c r="D262" s="309">
        <v>45152</v>
      </c>
      <c r="E262" s="309">
        <v>46583</v>
      </c>
      <c r="J262" s="129" t="s">
        <v>267</v>
      </c>
      <c r="K262" s="129" t="s">
        <v>268</v>
      </c>
      <c r="M262" s="191"/>
      <c r="O262" s="129" t="s">
        <v>1309</v>
      </c>
      <c r="P262" s="129" t="s">
        <v>1310</v>
      </c>
      <c r="Q262" s="129" t="s">
        <v>1311</v>
      </c>
      <c r="U262" s="129">
        <v>1</v>
      </c>
      <c r="AA262" s="312">
        <f t="shared" si="65"/>
        <v>1</v>
      </c>
      <c r="AK262" s="312">
        <f t="shared" si="66"/>
        <v>0</v>
      </c>
      <c r="AL262" s="129">
        <f t="shared" si="67"/>
        <v>0</v>
      </c>
      <c r="AM262" s="129">
        <f t="shared" si="68"/>
        <v>0</v>
      </c>
      <c r="AN262" s="129">
        <f t="shared" si="69"/>
        <v>-1</v>
      </c>
      <c r="AO262" s="129">
        <f t="shared" si="70"/>
        <v>0</v>
      </c>
      <c r="AP262" s="129">
        <f t="shared" si="71"/>
        <v>0</v>
      </c>
      <c r="AQ262" s="129">
        <f t="shared" si="72"/>
        <v>0</v>
      </c>
      <c r="AR262" s="129">
        <f t="shared" si="73"/>
        <v>0</v>
      </c>
      <c r="AS262" s="129">
        <f t="shared" si="74"/>
        <v>0</v>
      </c>
      <c r="AT262" s="312">
        <f t="shared" si="75"/>
        <v>-1</v>
      </c>
      <c r="AV262" s="312"/>
      <c r="AW262" s="129">
        <v>-0.25</v>
      </c>
      <c r="AX262" s="129">
        <v>-0.25</v>
      </c>
      <c r="AY262" s="129">
        <v>-0.25</v>
      </c>
      <c r="AZ262" s="129">
        <v>-0.25</v>
      </c>
      <c r="BA262" s="314"/>
      <c r="BF262" s="314"/>
      <c r="BL262" s="314"/>
      <c r="BM262" s="129">
        <f t="shared" si="62"/>
        <v>-1</v>
      </c>
      <c r="BN262" s="129">
        <f t="shared" si="63"/>
        <v>-1</v>
      </c>
      <c r="BR262" s="129">
        <v>515409</v>
      </c>
      <c r="BS262" s="129">
        <v>168615</v>
      </c>
      <c r="BT262" s="129" t="s">
        <v>170</v>
      </c>
      <c r="BU262" s="129" t="s">
        <v>192</v>
      </c>
      <c r="BW262" s="129" t="s">
        <v>151</v>
      </c>
      <c r="CA262" s="129" t="s">
        <v>1312</v>
      </c>
      <c r="CB262" s="129" t="s">
        <v>359</v>
      </c>
      <c r="CC262" s="129" t="s">
        <v>359</v>
      </c>
      <c r="CD262" s="129" t="s">
        <v>198</v>
      </c>
      <c r="CE262" s="313"/>
    </row>
    <row r="263" spans="1:83" x14ac:dyDescent="0.25">
      <c r="A263" s="129" t="s">
        <v>1313</v>
      </c>
      <c r="B263" s="129" t="s">
        <v>369</v>
      </c>
      <c r="C263" s="129" t="s">
        <v>353</v>
      </c>
      <c r="D263" s="309">
        <v>45517</v>
      </c>
      <c r="E263" s="309">
        <v>46612</v>
      </c>
      <c r="F263" s="309">
        <v>45748</v>
      </c>
      <c r="G263" s="310"/>
      <c r="H263" s="310" t="s">
        <v>359</v>
      </c>
      <c r="J263" s="129" t="s">
        <v>267</v>
      </c>
      <c r="K263" s="129" t="s">
        <v>268</v>
      </c>
      <c r="M263" s="191"/>
      <c r="O263" s="129" t="s">
        <v>1314</v>
      </c>
      <c r="P263" s="129" t="s">
        <v>1315</v>
      </c>
      <c r="Q263" s="129" t="s">
        <v>1316</v>
      </c>
      <c r="AA263" s="312">
        <f t="shared" si="65"/>
        <v>0</v>
      </c>
      <c r="AI263" s="129">
        <v>1</v>
      </c>
      <c r="AK263" s="312">
        <f t="shared" si="66"/>
        <v>1</v>
      </c>
      <c r="AL263" s="129">
        <f t="shared" si="67"/>
        <v>0</v>
      </c>
      <c r="AM263" s="129">
        <f t="shared" si="68"/>
        <v>0</v>
      </c>
      <c r="AN263" s="129">
        <f t="shared" si="69"/>
        <v>0</v>
      </c>
      <c r="AO263" s="129">
        <f t="shared" si="70"/>
        <v>0</v>
      </c>
      <c r="AP263" s="129">
        <f t="shared" si="71"/>
        <v>0</v>
      </c>
      <c r="AQ263" s="129">
        <f t="shared" si="72"/>
        <v>0</v>
      </c>
      <c r="AR263" s="129">
        <f t="shared" si="73"/>
        <v>1</v>
      </c>
      <c r="AS263" s="129">
        <f t="shared" si="74"/>
        <v>0</v>
      </c>
      <c r="AT263" s="312">
        <f t="shared" si="75"/>
        <v>1</v>
      </c>
      <c r="AV263" s="312"/>
      <c r="AW263" s="129">
        <v>1</v>
      </c>
      <c r="BA263" s="314"/>
      <c r="BF263" s="314"/>
      <c r="BL263" s="314"/>
      <c r="BM263" s="129">
        <f t="shared" si="62"/>
        <v>1</v>
      </c>
      <c r="BN263" s="129">
        <f t="shared" si="63"/>
        <v>1</v>
      </c>
      <c r="BR263" s="129">
        <v>518603</v>
      </c>
      <c r="BS263" s="129">
        <v>174156</v>
      </c>
      <c r="BT263" s="129" t="s">
        <v>177</v>
      </c>
      <c r="BU263" s="129" t="s">
        <v>150</v>
      </c>
      <c r="CA263" s="129" t="s">
        <v>738</v>
      </c>
      <c r="CB263" s="129" t="s">
        <v>359</v>
      </c>
      <c r="CC263" s="129" t="s">
        <v>359</v>
      </c>
      <c r="CD263" s="129" t="s">
        <v>200</v>
      </c>
      <c r="CE263" s="313"/>
    </row>
    <row r="264" spans="1:83" x14ac:dyDescent="0.25">
      <c r="A264" s="129" t="s">
        <v>1317</v>
      </c>
      <c r="B264" s="129" t="s">
        <v>352</v>
      </c>
      <c r="C264" s="129" t="s">
        <v>353</v>
      </c>
      <c r="D264" s="309">
        <v>45176</v>
      </c>
      <c r="E264" s="309">
        <v>46272</v>
      </c>
      <c r="J264" s="129" t="s">
        <v>267</v>
      </c>
      <c r="K264" s="129" t="s">
        <v>268</v>
      </c>
      <c r="M264" s="191"/>
      <c r="O264" s="129" t="s">
        <v>1318</v>
      </c>
      <c r="P264" s="129" t="s">
        <v>1319</v>
      </c>
      <c r="Q264" s="129" t="s">
        <v>1320</v>
      </c>
      <c r="U264" s="129">
        <v>1</v>
      </c>
      <c r="AA264" s="312">
        <f t="shared" si="65"/>
        <v>1</v>
      </c>
      <c r="AG264" s="129">
        <v>1</v>
      </c>
      <c r="AK264" s="312">
        <f t="shared" si="66"/>
        <v>1</v>
      </c>
      <c r="AL264" s="129">
        <f t="shared" si="67"/>
        <v>0</v>
      </c>
      <c r="AM264" s="129">
        <f t="shared" si="68"/>
        <v>0</v>
      </c>
      <c r="AN264" s="129">
        <f t="shared" si="69"/>
        <v>-1</v>
      </c>
      <c r="AO264" s="129">
        <f t="shared" si="70"/>
        <v>0</v>
      </c>
      <c r="AP264" s="129">
        <f t="shared" si="71"/>
        <v>1</v>
      </c>
      <c r="AQ264" s="129">
        <f t="shared" si="72"/>
        <v>0</v>
      </c>
      <c r="AR264" s="129">
        <f t="shared" si="73"/>
        <v>0</v>
      </c>
      <c r="AS264" s="129">
        <f t="shared" si="74"/>
        <v>0</v>
      </c>
      <c r="AT264" s="312">
        <f t="shared" si="75"/>
        <v>0</v>
      </c>
      <c r="AV264" s="312"/>
      <c r="AW264" s="129">
        <v>0</v>
      </c>
      <c r="BA264" s="314"/>
      <c r="BF264" s="314"/>
      <c r="BL264" s="314"/>
      <c r="BM264" s="129">
        <f t="shared" si="62"/>
        <v>0</v>
      </c>
      <c r="BN264" s="129">
        <f t="shared" si="63"/>
        <v>0</v>
      </c>
      <c r="BR264" s="129">
        <v>518160</v>
      </c>
      <c r="BS264" s="129">
        <v>173124</v>
      </c>
      <c r="BT264" s="129" t="s">
        <v>169</v>
      </c>
      <c r="BU264" s="129" t="s">
        <v>191</v>
      </c>
      <c r="CD264" s="129" t="s">
        <v>197</v>
      </c>
      <c r="CE264" s="313"/>
    </row>
    <row r="265" spans="1:83" x14ac:dyDescent="0.25">
      <c r="A265" s="129" t="s">
        <v>1321</v>
      </c>
      <c r="B265" s="129" t="s">
        <v>382</v>
      </c>
      <c r="C265" s="129" t="s">
        <v>353</v>
      </c>
      <c r="D265" s="309">
        <v>45187</v>
      </c>
      <c r="E265" s="309">
        <v>46283</v>
      </c>
      <c r="J265" s="129" t="s">
        <v>267</v>
      </c>
      <c r="K265" s="129" t="s">
        <v>268</v>
      </c>
      <c r="M265" s="191"/>
      <c r="O265" s="129" t="s">
        <v>1322</v>
      </c>
      <c r="P265" s="129" t="s">
        <v>1323</v>
      </c>
      <c r="Q265" s="129" t="s">
        <v>1324</v>
      </c>
      <c r="U265" s="129">
        <v>1</v>
      </c>
      <c r="AA265" s="312">
        <f t="shared" si="65"/>
        <v>1</v>
      </c>
      <c r="AC265" s="129">
        <v>8</v>
      </c>
      <c r="AK265" s="312">
        <f t="shared" si="66"/>
        <v>8</v>
      </c>
      <c r="AL265" s="129">
        <f t="shared" si="67"/>
        <v>8</v>
      </c>
      <c r="AM265" s="129">
        <f t="shared" si="68"/>
        <v>0</v>
      </c>
      <c r="AN265" s="129">
        <f t="shared" si="69"/>
        <v>-1</v>
      </c>
      <c r="AO265" s="129">
        <f t="shared" si="70"/>
        <v>0</v>
      </c>
      <c r="AP265" s="129">
        <f t="shared" si="71"/>
        <v>0</v>
      </c>
      <c r="AQ265" s="129">
        <f t="shared" si="72"/>
        <v>0</v>
      </c>
      <c r="AR265" s="129">
        <f t="shared" si="73"/>
        <v>0</v>
      </c>
      <c r="AS265" s="129">
        <f t="shared" si="74"/>
        <v>0</v>
      </c>
      <c r="AT265" s="312">
        <f t="shared" si="75"/>
        <v>7</v>
      </c>
      <c r="AV265" s="312"/>
      <c r="AX265" s="129">
        <v>3.5</v>
      </c>
      <c r="AY265" s="129">
        <v>3.5</v>
      </c>
      <c r="BA265" s="314"/>
      <c r="BF265" s="314"/>
      <c r="BL265" s="314"/>
      <c r="BM265" s="129">
        <f t="shared" si="62"/>
        <v>7</v>
      </c>
      <c r="BN265" s="129">
        <f t="shared" si="63"/>
        <v>7</v>
      </c>
      <c r="BR265" s="129">
        <v>514554</v>
      </c>
      <c r="BS265" s="129">
        <v>171260</v>
      </c>
      <c r="BT265" s="129" t="s">
        <v>168</v>
      </c>
      <c r="BU265" s="129" t="s">
        <v>192</v>
      </c>
      <c r="BX265" s="129" t="s">
        <v>404</v>
      </c>
      <c r="BY265" s="129" t="s">
        <v>359</v>
      </c>
      <c r="CC265" s="129" t="s">
        <v>359</v>
      </c>
      <c r="CD265" s="129" t="s">
        <v>198</v>
      </c>
      <c r="CE265" s="313"/>
    </row>
    <row r="266" spans="1:83" x14ac:dyDescent="0.25">
      <c r="A266" s="129" t="s">
        <v>1325</v>
      </c>
      <c r="B266" s="129" t="s">
        <v>482</v>
      </c>
      <c r="C266" s="129" t="s">
        <v>353</v>
      </c>
      <c r="D266" s="309">
        <v>45391</v>
      </c>
      <c r="E266" s="309">
        <v>46486</v>
      </c>
      <c r="H266" s="310" t="s">
        <v>359</v>
      </c>
      <c r="J266" s="129" t="s">
        <v>267</v>
      </c>
      <c r="K266" s="129" t="s">
        <v>268</v>
      </c>
      <c r="M266" s="191"/>
      <c r="O266" s="129" t="s">
        <v>1326</v>
      </c>
      <c r="P266" s="129" t="s">
        <v>1327</v>
      </c>
      <c r="Q266" s="129" t="s">
        <v>1328</v>
      </c>
      <c r="AA266" s="312">
        <f t="shared" si="65"/>
        <v>0</v>
      </c>
      <c r="AC266" s="129">
        <v>1</v>
      </c>
      <c r="AK266" s="312">
        <f t="shared" si="66"/>
        <v>1</v>
      </c>
      <c r="AL266" s="129">
        <f t="shared" si="67"/>
        <v>1</v>
      </c>
      <c r="AM266" s="129">
        <f t="shared" si="68"/>
        <v>0</v>
      </c>
      <c r="AN266" s="129">
        <f t="shared" si="69"/>
        <v>0</v>
      </c>
      <c r="AO266" s="129">
        <f t="shared" si="70"/>
        <v>0</v>
      </c>
      <c r="AP266" s="129">
        <f t="shared" si="71"/>
        <v>0</v>
      </c>
      <c r="AQ266" s="129">
        <f t="shared" si="72"/>
        <v>0</v>
      </c>
      <c r="AR266" s="129">
        <f t="shared" si="73"/>
        <v>0</v>
      </c>
      <c r="AS266" s="129">
        <f t="shared" si="74"/>
        <v>0</v>
      </c>
      <c r="AT266" s="312">
        <f t="shared" si="75"/>
        <v>1</v>
      </c>
      <c r="AV266" s="312"/>
      <c r="AW266" s="129">
        <v>0.25</v>
      </c>
      <c r="AX266" s="129">
        <v>0.25</v>
      </c>
      <c r="AY266" s="129">
        <v>0.25</v>
      </c>
      <c r="AZ266" s="129">
        <v>0.25</v>
      </c>
      <c r="BA266" s="314"/>
      <c r="BF266" s="314"/>
      <c r="BL266" s="314"/>
      <c r="BM266" s="129">
        <f t="shared" si="62"/>
        <v>1</v>
      </c>
      <c r="BN266" s="129">
        <f t="shared" si="63"/>
        <v>1</v>
      </c>
      <c r="BR266" s="129">
        <v>520522</v>
      </c>
      <c r="BS266" s="129">
        <v>175644</v>
      </c>
      <c r="BT266" s="129" t="s">
        <v>149</v>
      </c>
      <c r="BU266" s="129" t="s">
        <v>190</v>
      </c>
      <c r="BV266" s="129" t="s">
        <v>149</v>
      </c>
      <c r="CC266" s="129" t="s">
        <v>359</v>
      </c>
      <c r="CD266" s="129" t="s">
        <v>199</v>
      </c>
      <c r="CE266" s="313"/>
    </row>
    <row r="267" spans="1:83" x14ac:dyDescent="0.25">
      <c r="A267" s="129" t="s">
        <v>1329</v>
      </c>
      <c r="B267" s="129" t="s">
        <v>352</v>
      </c>
      <c r="C267" s="129" t="s">
        <v>353</v>
      </c>
      <c r="D267" s="309">
        <v>45281</v>
      </c>
      <c r="E267" s="309">
        <v>46377</v>
      </c>
      <c r="J267" s="129" t="s">
        <v>267</v>
      </c>
      <c r="K267" s="129" t="s">
        <v>268</v>
      </c>
      <c r="M267" s="191"/>
      <c r="O267" s="129" t="s">
        <v>1330</v>
      </c>
      <c r="P267" s="129" t="s">
        <v>1331</v>
      </c>
      <c r="Q267" s="129" t="s">
        <v>1332</v>
      </c>
      <c r="V267" s="129">
        <v>1</v>
      </c>
      <c r="AA267" s="312">
        <f t="shared" si="65"/>
        <v>1</v>
      </c>
      <c r="AE267" s="129">
        <v>2</v>
      </c>
      <c r="AK267" s="312">
        <f t="shared" si="66"/>
        <v>2</v>
      </c>
      <c r="AL267" s="129">
        <f t="shared" si="67"/>
        <v>0</v>
      </c>
      <c r="AM267" s="129">
        <f t="shared" si="68"/>
        <v>0</v>
      </c>
      <c r="AN267" s="129">
        <f t="shared" si="69"/>
        <v>2</v>
      </c>
      <c r="AO267" s="129">
        <f t="shared" si="70"/>
        <v>-1</v>
      </c>
      <c r="AP267" s="129">
        <f t="shared" si="71"/>
        <v>0</v>
      </c>
      <c r="AQ267" s="129">
        <f t="shared" si="72"/>
        <v>0</v>
      </c>
      <c r="AR267" s="129">
        <f t="shared" si="73"/>
        <v>0</v>
      </c>
      <c r="AS267" s="129">
        <f t="shared" si="74"/>
        <v>0</v>
      </c>
      <c r="AT267" s="312">
        <f t="shared" si="75"/>
        <v>1</v>
      </c>
      <c r="AV267" s="312"/>
      <c r="AW267" s="129">
        <v>0.25</v>
      </c>
      <c r="AX267" s="129">
        <v>0.25</v>
      </c>
      <c r="AY267" s="129">
        <v>0.25</v>
      </c>
      <c r="AZ267" s="129">
        <v>0.25</v>
      </c>
      <c r="BA267" s="314"/>
      <c r="BF267" s="314"/>
      <c r="BL267" s="314"/>
      <c r="BM267" s="129">
        <f t="shared" si="62"/>
        <v>1</v>
      </c>
      <c r="BN267" s="129">
        <f t="shared" si="63"/>
        <v>1</v>
      </c>
      <c r="BR267" s="129">
        <v>513815</v>
      </c>
      <c r="BS267" s="129">
        <v>173889</v>
      </c>
      <c r="BT267" s="129" t="s">
        <v>156</v>
      </c>
      <c r="BU267" s="129" t="s">
        <v>156</v>
      </c>
      <c r="CC267" s="129" t="s">
        <v>359</v>
      </c>
      <c r="CD267" s="129" t="s">
        <v>203</v>
      </c>
      <c r="CE267" s="313"/>
    </row>
    <row r="268" spans="1:83" x14ac:dyDescent="0.25">
      <c r="A268" s="129" t="s">
        <v>1333</v>
      </c>
      <c r="B268" s="129" t="s">
        <v>382</v>
      </c>
      <c r="C268" s="129" t="s">
        <v>353</v>
      </c>
      <c r="D268" s="309">
        <v>45526</v>
      </c>
      <c r="E268" s="309">
        <v>46621</v>
      </c>
      <c r="H268" s="310" t="s">
        <v>359</v>
      </c>
      <c r="J268" s="129" t="s">
        <v>267</v>
      </c>
      <c r="K268" s="129" t="s">
        <v>268</v>
      </c>
      <c r="M268" s="191"/>
      <c r="O268" s="129" t="s">
        <v>1334</v>
      </c>
      <c r="P268" s="129" t="s">
        <v>1335</v>
      </c>
      <c r="Q268" s="129" t="s">
        <v>917</v>
      </c>
      <c r="S268" s="129">
        <v>1</v>
      </c>
      <c r="AA268" s="312">
        <f t="shared" si="65"/>
        <v>1</v>
      </c>
      <c r="AC268" s="129">
        <v>1</v>
      </c>
      <c r="AD268" s="129">
        <v>1</v>
      </c>
      <c r="AK268" s="312">
        <f t="shared" si="66"/>
        <v>2</v>
      </c>
      <c r="AL268" s="129">
        <f t="shared" si="67"/>
        <v>0</v>
      </c>
      <c r="AM268" s="129">
        <f t="shared" si="68"/>
        <v>1</v>
      </c>
      <c r="AN268" s="129">
        <f t="shared" si="69"/>
        <v>0</v>
      </c>
      <c r="AO268" s="129">
        <f t="shared" si="70"/>
        <v>0</v>
      </c>
      <c r="AP268" s="129">
        <f t="shared" si="71"/>
        <v>0</v>
      </c>
      <c r="AQ268" s="129">
        <f t="shared" si="72"/>
        <v>0</v>
      </c>
      <c r="AR268" s="129">
        <f t="shared" si="73"/>
        <v>0</v>
      </c>
      <c r="AS268" s="129">
        <f t="shared" si="74"/>
        <v>0</v>
      </c>
      <c r="AT268" s="312">
        <f t="shared" si="75"/>
        <v>1</v>
      </c>
      <c r="AV268" s="312"/>
      <c r="AW268" s="129">
        <v>0.25</v>
      </c>
      <c r="AX268" s="129">
        <v>0.25</v>
      </c>
      <c r="AY268" s="129">
        <v>0.25</v>
      </c>
      <c r="AZ268" s="129">
        <v>0.25</v>
      </c>
      <c r="BA268" s="314"/>
      <c r="BF268" s="314"/>
      <c r="BL268" s="314"/>
      <c r="BM268" s="129">
        <f t="shared" ref="BM268:BM331" si="76">SUM(AW268:BA268)</f>
        <v>1</v>
      </c>
      <c r="BN268" s="129">
        <f t="shared" ref="BN268:BN331" si="77">SUM(AW268:BF268)</f>
        <v>1</v>
      </c>
      <c r="BR268" s="129">
        <v>515611</v>
      </c>
      <c r="BS268" s="129">
        <v>170996</v>
      </c>
      <c r="BT268" s="129" t="s">
        <v>152</v>
      </c>
      <c r="BU268" s="129" t="s">
        <v>192</v>
      </c>
      <c r="BV268" s="129" t="s">
        <v>152</v>
      </c>
      <c r="CC268" s="129" t="s">
        <v>359</v>
      </c>
      <c r="CD268" s="129" t="s">
        <v>201</v>
      </c>
      <c r="CE268" s="313"/>
    </row>
    <row r="269" spans="1:83" x14ac:dyDescent="0.25">
      <c r="A269" s="129" t="s">
        <v>1336</v>
      </c>
      <c r="B269" s="129" t="s">
        <v>352</v>
      </c>
      <c r="C269" s="129" t="s">
        <v>353</v>
      </c>
      <c r="D269" s="309">
        <v>45632</v>
      </c>
      <c r="E269" s="309">
        <v>46727</v>
      </c>
      <c r="F269" s="315">
        <v>45967</v>
      </c>
      <c r="H269" s="310" t="s">
        <v>359</v>
      </c>
      <c r="J269" s="129" t="s">
        <v>267</v>
      </c>
      <c r="K269" s="129" t="s">
        <v>268</v>
      </c>
      <c r="M269" s="191"/>
      <c r="O269" s="129" t="s">
        <v>1337</v>
      </c>
      <c r="P269" s="129" t="s">
        <v>1338</v>
      </c>
      <c r="Q269" s="129" t="s">
        <v>1339</v>
      </c>
      <c r="T269" s="129">
        <v>1</v>
      </c>
      <c r="AA269" s="312">
        <f t="shared" si="65"/>
        <v>1</v>
      </c>
      <c r="AE269" s="129">
        <v>2</v>
      </c>
      <c r="AK269" s="312">
        <f t="shared" si="66"/>
        <v>2</v>
      </c>
      <c r="AL269" s="129">
        <f t="shared" si="67"/>
        <v>0</v>
      </c>
      <c r="AM269" s="129">
        <f t="shared" si="68"/>
        <v>-1</v>
      </c>
      <c r="AN269" s="129">
        <f t="shared" si="69"/>
        <v>2</v>
      </c>
      <c r="AO269" s="129">
        <f t="shared" si="70"/>
        <v>0</v>
      </c>
      <c r="AP269" s="129">
        <f t="shared" si="71"/>
        <v>0</v>
      </c>
      <c r="AQ269" s="129">
        <f t="shared" si="72"/>
        <v>0</v>
      </c>
      <c r="AR269" s="129">
        <f t="shared" si="73"/>
        <v>0</v>
      </c>
      <c r="AS269" s="129">
        <f t="shared" si="74"/>
        <v>0</v>
      </c>
      <c r="AT269" s="312">
        <f t="shared" si="75"/>
        <v>1</v>
      </c>
      <c r="AV269" s="312"/>
      <c r="AX269" s="129">
        <v>0.5</v>
      </c>
      <c r="AY269" s="129">
        <v>0.5</v>
      </c>
      <c r="BA269" s="314"/>
      <c r="BF269" s="314"/>
      <c r="BL269" s="314"/>
      <c r="BM269" s="129">
        <f t="shared" si="76"/>
        <v>1</v>
      </c>
      <c r="BN269" s="129">
        <f t="shared" si="77"/>
        <v>1</v>
      </c>
      <c r="BR269" s="129">
        <v>516348</v>
      </c>
      <c r="BS269" s="129">
        <v>170774</v>
      </c>
      <c r="BT269" s="129" t="s">
        <v>172</v>
      </c>
      <c r="BU269" s="129" t="s">
        <v>192</v>
      </c>
      <c r="CC269" s="129" t="s">
        <v>359</v>
      </c>
      <c r="CD269" s="129" t="s">
        <v>201</v>
      </c>
      <c r="CE269" s="313"/>
    </row>
    <row r="270" spans="1:83" x14ac:dyDescent="0.25">
      <c r="A270" s="129" t="s">
        <v>1340</v>
      </c>
      <c r="B270" s="129" t="s">
        <v>352</v>
      </c>
      <c r="C270" s="129" t="s">
        <v>353</v>
      </c>
      <c r="D270" s="309">
        <v>45364</v>
      </c>
      <c r="E270" s="309">
        <v>46459</v>
      </c>
      <c r="F270" s="309">
        <v>45778</v>
      </c>
      <c r="G270" s="310"/>
      <c r="H270" s="310"/>
      <c r="J270" s="129" t="s">
        <v>267</v>
      </c>
      <c r="K270" s="129" t="s">
        <v>268</v>
      </c>
      <c r="M270" s="191"/>
      <c r="O270" s="129" t="s">
        <v>1341</v>
      </c>
      <c r="P270" s="129" t="s">
        <v>1342</v>
      </c>
      <c r="Q270" s="129" t="s">
        <v>1328</v>
      </c>
      <c r="AA270" s="312">
        <f t="shared" si="65"/>
        <v>0</v>
      </c>
      <c r="AD270" s="129">
        <v>1</v>
      </c>
      <c r="AK270" s="312">
        <f t="shared" si="66"/>
        <v>1</v>
      </c>
      <c r="AL270" s="129">
        <f t="shared" si="67"/>
        <v>0</v>
      </c>
      <c r="AM270" s="129">
        <f t="shared" si="68"/>
        <v>1</v>
      </c>
      <c r="AN270" s="129">
        <f t="shared" si="69"/>
        <v>0</v>
      </c>
      <c r="AO270" s="129">
        <f t="shared" si="70"/>
        <v>0</v>
      </c>
      <c r="AP270" s="129">
        <f t="shared" si="71"/>
        <v>0</v>
      </c>
      <c r="AQ270" s="129">
        <f t="shared" si="72"/>
        <v>0</v>
      </c>
      <c r="AR270" s="129">
        <f t="shared" si="73"/>
        <v>0</v>
      </c>
      <c r="AS270" s="129">
        <f t="shared" si="74"/>
        <v>0</v>
      </c>
      <c r="AT270" s="312">
        <f t="shared" si="75"/>
        <v>1</v>
      </c>
      <c r="AV270" s="312"/>
      <c r="AW270" s="129">
        <v>0.5</v>
      </c>
      <c r="AX270" s="129">
        <v>0.5</v>
      </c>
      <c r="BA270" s="314"/>
      <c r="BF270" s="314"/>
      <c r="BL270" s="314"/>
      <c r="BM270" s="129">
        <f t="shared" si="76"/>
        <v>1</v>
      </c>
      <c r="BN270" s="129">
        <f t="shared" si="77"/>
        <v>1</v>
      </c>
      <c r="BR270" s="129">
        <v>520508</v>
      </c>
      <c r="BS270" s="129">
        <v>175676</v>
      </c>
      <c r="BT270" s="129" t="s">
        <v>149</v>
      </c>
      <c r="BU270" s="129" t="s">
        <v>190</v>
      </c>
      <c r="BV270" s="129" t="s">
        <v>149</v>
      </c>
      <c r="CA270" s="129" t="s">
        <v>617</v>
      </c>
      <c r="CB270" s="129" t="s">
        <v>359</v>
      </c>
      <c r="CC270" s="129" t="s">
        <v>359</v>
      </c>
      <c r="CD270" s="129" t="s">
        <v>199</v>
      </c>
      <c r="CE270" s="313"/>
    </row>
    <row r="271" spans="1:83" x14ac:dyDescent="0.25">
      <c r="A271" s="129" t="s">
        <v>1343</v>
      </c>
      <c r="B271" s="129" t="s">
        <v>352</v>
      </c>
      <c r="C271" s="129" t="s">
        <v>353</v>
      </c>
      <c r="D271" s="309">
        <v>45482</v>
      </c>
      <c r="E271" s="309">
        <v>46577</v>
      </c>
      <c r="F271" s="315">
        <v>45996</v>
      </c>
      <c r="H271" s="310" t="s">
        <v>359</v>
      </c>
      <c r="J271" s="129" t="s">
        <v>267</v>
      </c>
      <c r="K271" s="129" t="s">
        <v>268</v>
      </c>
      <c r="M271" s="191"/>
      <c r="O271" s="129" t="s">
        <v>1344</v>
      </c>
      <c r="P271" s="129" t="s">
        <v>1345</v>
      </c>
      <c r="Q271" s="129" t="s">
        <v>1346</v>
      </c>
      <c r="AA271" s="312">
        <f t="shared" si="65"/>
        <v>0</v>
      </c>
      <c r="AE271" s="129">
        <v>1</v>
      </c>
      <c r="AK271" s="312">
        <f t="shared" si="66"/>
        <v>1</v>
      </c>
      <c r="AL271" s="129">
        <f t="shared" si="67"/>
        <v>0</v>
      </c>
      <c r="AM271" s="129">
        <f t="shared" si="68"/>
        <v>0</v>
      </c>
      <c r="AN271" s="129">
        <f t="shared" si="69"/>
        <v>1</v>
      </c>
      <c r="AO271" s="129">
        <f t="shared" si="70"/>
        <v>0</v>
      </c>
      <c r="AP271" s="129">
        <f t="shared" si="71"/>
        <v>0</v>
      </c>
      <c r="AQ271" s="129">
        <f t="shared" si="72"/>
        <v>0</v>
      </c>
      <c r="AR271" s="129">
        <f t="shared" si="73"/>
        <v>0</v>
      </c>
      <c r="AS271" s="129">
        <f t="shared" si="74"/>
        <v>0</v>
      </c>
      <c r="AT271" s="312">
        <f t="shared" si="75"/>
        <v>1</v>
      </c>
      <c r="AV271" s="312"/>
      <c r="AX271" s="129">
        <v>0.5</v>
      </c>
      <c r="AY271" s="129">
        <v>0.5</v>
      </c>
      <c r="BA271" s="314"/>
      <c r="BF271" s="314"/>
      <c r="BL271" s="314"/>
      <c r="BM271" s="129">
        <f t="shared" si="76"/>
        <v>1</v>
      </c>
      <c r="BN271" s="129">
        <f t="shared" si="77"/>
        <v>1</v>
      </c>
      <c r="BR271" s="129">
        <v>518414</v>
      </c>
      <c r="BS271" s="129">
        <v>174349</v>
      </c>
      <c r="BT271" s="129" t="s">
        <v>177</v>
      </c>
      <c r="BU271" s="129" t="s">
        <v>150</v>
      </c>
      <c r="CA271" s="129" t="s">
        <v>738</v>
      </c>
      <c r="CB271" s="129" t="s">
        <v>359</v>
      </c>
      <c r="CC271" s="129" t="s">
        <v>359</v>
      </c>
      <c r="CD271" s="129" t="s">
        <v>200</v>
      </c>
      <c r="CE271" s="313"/>
    </row>
    <row r="272" spans="1:83" x14ac:dyDescent="0.25">
      <c r="A272" s="129" t="s">
        <v>1347</v>
      </c>
      <c r="B272" s="129" t="s">
        <v>352</v>
      </c>
      <c r="C272" s="129" t="s">
        <v>353</v>
      </c>
      <c r="D272" s="309">
        <v>45315</v>
      </c>
      <c r="E272" s="309">
        <v>46411</v>
      </c>
      <c r="J272" s="129" t="s">
        <v>267</v>
      </c>
      <c r="K272" s="129" t="s">
        <v>268</v>
      </c>
      <c r="M272" s="191"/>
      <c r="O272" s="129" t="s">
        <v>1348</v>
      </c>
      <c r="P272" s="129" t="s">
        <v>1349</v>
      </c>
      <c r="Q272" s="129" t="s">
        <v>1350</v>
      </c>
      <c r="U272" s="129">
        <v>1</v>
      </c>
      <c r="AA272" s="312">
        <f t="shared" si="65"/>
        <v>1</v>
      </c>
      <c r="AF272" s="129">
        <v>1</v>
      </c>
      <c r="AK272" s="312">
        <f t="shared" si="66"/>
        <v>1</v>
      </c>
      <c r="AL272" s="129">
        <f t="shared" si="67"/>
        <v>0</v>
      </c>
      <c r="AM272" s="129">
        <f t="shared" si="68"/>
        <v>0</v>
      </c>
      <c r="AN272" s="129">
        <f t="shared" si="69"/>
        <v>-1</v>
      </c>
      <c r="AO272" s="129">
        <f t="shared" si="70"/>
        <v>1</v>
      </c>
      <c r="AP272" s="129">
        <f t="shared" si="71"/>
        <v>0</v>
      </c>
      <c r="AQ272" s="129">
        <f t="shared" si="72"/>
        <v>0</v>
      </c>
      <c r="AR272" s="129">
        <f t="shared" si="73"/>
        <v>0</v>
      </c>
      <c r="AS272" s="129">
        <f t="shared" si="74"/>
        <v>0</v>
      </c>
      <c r="AT272" s="312">
        <f t="shared" si="75"/>
        <v>0</v>
      </c>
      <c r="AV272" s="312"/>
      <c r="AW272" s="129">
        <v>0</v>
      </c>
      <c r="BA272" s="314"/>
      <c r="BF272" s="314"/>
      <c r="BL272" s="314"/>
      <c r="BM272" s="129">
        <f t="shared" si="76"/>
        <v>0</v>
      </c>
      <c r="BN272" s="129">
        <f t="shared" si="77"/>
        <v>0</v>
      </c>
      <c r="BR272" s="129">
        <v>514998</v>
      </c>
      <c r="BS272" s="129">
        <v>172653</v>
      </c>
      <c r="BT272" s="129" t="s">
        <v>181</v>
      </c>
      <c r="BU272" s="129" t="s">
        <v>154</v>
      </c>
      <c r="CC272" s="129" t="s">
        <v>359</v>
      </c>
      <c r="CD272" s="129" t="s">
        <v>202</v>
      </c>
      <c r="CE272" s="313"/>
    </row>
    <row r="273" spans="1:83" x14ac:dyDescent="0.25">
      <c r="A273" s="129" t="s">
        <v>1351</v>
      </c>
      <c r="B273" s="129" t="s">
        <v>352</v>
      </c>
      <c r="C273" s="129" t="s">
        <v>353</v>
      </c>
      <c r="D273" s="309">
        <v>45334</v>
      </c>
      <c r="E273" s="309">
        <v>46739</v>
      </c>
      <c r="J273" s="129" t="s">
        <v>267</v>
      </c>
      <c r="K273" s="129" t="s">
        <v>268</v>
      </c>
      <c r="M273" s="191"/>
      <c r="O273" s="129" t="s">
        <v>1352</v>
      </c>
      <c r="P273" s="129" t="s">
        <v>1353</v>
      </c>
      <c r="Q273" s="129" t="s">
        <v>1354</v>
      </c>
      <c r="U273" s="129">
        <v>1</v>
      </c>
      <c r="AA273" s="312">
        <f t="shared" ref="AA273:AA304" si="78">SUM(S273:Z273)</f>
        <v>1</v>
      </c>
      <c r="AF273" s="129">
        <v>1</v>
      </c>
      <c r="AK273" s="312">
        <f t="shared" si="66"/>
        <v>1</v>
      </c>
      <c r="AL273" s="129">
        <f t="shared" si="67"/>
        <v>0</v>
      </c>
      <c r="AM273" s="129">
        <f t="shared" si="68"/>
        <v>0</v>
      </c>
      <c r="AN273" s="129">
        <f t="shared" si="69"/>
        <v>-1</v>
      </c>
      <c r="AO273" s="129">
        <f t="shared" si="70"/>
        <v>1</v>
      </c>
      <c r="AP273" s="129">
        <f t="shared" si="71"/>
        <v>0</v>
      </c>
      <c r="AQ273" s="129">
        <f t="shared" si="72"/>
        <v>0</v>
      </c>
      <c r="AR273" s="129">
        <f t="shared" si="73"/>
        <v>0</v>
      </c>
      <c r="AS273" s="129">
        <f t="shared" si="74"/>
        <v>0</v>
      </c>
      <c r="AT273" s="312">
        <f t="shared" si="75"/>
        <v>0</v>
      </c>
      <c r="AV273" s="312"/>
      <c r="AW273" s="129">
        <v>0</v>
      </c>
      <c r="BA273" s="314"/>
      <c r="BF273" s="314"/>
      <c r="BL273" s="314"/>
      <c r="BM273" s="129">
        <f t="shared" si="76"/>
        <v>0</v>
      </c>
      <c r="BN273" s="129">
        <f t="shared" si="77"/>
        <v>0</v>
      </c>
      <c r="BR273" s="129">
        <v>515364</v>
      </c>
      <c r="BS273" s="129">
        <v>171027</v>
      </c>
      <c r="BT273" s="129" t="s">
        <v>152</v>
      </c>
      <c r="BU273" s="129" t="s">
        <v>192</v>
      </c>
      <c r="CC273" s="129" t="s">
        <v>359</v>
      </c>
      <c r="CD273" s="129" t="s">
        <v>201</v>
      </c>
      <c r="CE273" s="313"/>
    </row>
    <row r="274" spans="1:83" x14ac:dyDescent="0.25">
      <c r="A274" s="129" t="s">
        <v>1355</v>
      </c>
      <c r="B274" s="129" t="s">
        <v>482</v>
      </c>
      <c r="C274" s="129" t="s">
        <v>353</v>
      </c>
      <c r="D274" s="309">
        <v>45274</v>
      </c>
      <c r="E274" s="309">
        <v>46370</v>
      </c>
      <c r="J274" s="129" t="s">
        <v>267</v>
      </c>
      <c r="K274" s="129" t="s">
        <v>268</v>
      </c>
      <c r="M274" s="191"/>
      <c r="O274" s="129" t="s">
        <v>1356</v>
      </c>
      <c r="P274" s="129" t="s">
        <v>1357</v>
      </c>
      <c r="Q274" s="129" t="s">
        <v>1358</v>
      </c>
      <c r="T274" s="129">
        <v>1</v>
      </c>
      <c r="AA274" s="312">
        <f t="shared" si="78"/>
        <v>1</v>
      </c>
      <c r="AC274" s="129">
        <v>2</v>
      </c>
      <c r="AK274" s="312">
        <f t="shared" si="66"/>
        <v>2</v>
      </c>
      <c r="AL274" s="129">
        <f t="shared" si="67"/>
        <v>2</v>
      </c>
      <c r="AM274" s="129">
        <f t="shared" si="68"/>
        <v>-1</v>
      </c>
      <c r="AN274" s="129">
        <f t="shared" si="69"/>
        <v>0</v>
      </c>
      <c r="AO274" s="129">
        <f t="shared" si="70"/>
        <v>0</v>
      </c>
      <c r="AP274" s="129">
        <f t="shared" si="71"/>
        <v>0</v>
      </c>
      <c r="AQ274" s="129">
        <f t="shared" si="72"/>
        <v>0</v>
      </c>
      <c r="AR274" s="129">
        <f t="shared" si="73"/>
        <v>0</v>
      </c>
      <c r="AS274" s="129">
        <f t="shared" si="74"/>
        <v>0</v>
      </c>
      <c r="AT274" s="312">
        <f t="shared" si="75"/>
        <v>1</v>
      </c>
      <c r="AV274" s="312"/>
      <c r="AW274" s="129">
        <v>0.25</v>
      </c>
      <c r="AX274" s="129">
        <v>0.25</v>
      </c>
      <c r="AY274" s="129">
        <v>0.25</v>
      </c>
      <c r="AZ274" s="129">
        <v>0.25</v>
      </c>
      <c r="BA274" s="314"/>
      <c r="BF274" s="314"/>
      <c r="BL274" s="314"/>
      <c r="BM274" s="129">
        <f t="shared" si="76"/>
        <v>1</v>
      </c>
      <c r="BN274" s="129">
        <f t="shared" si="77"/>
        <v>1</v>
      </c>
      <c r="BR274" s="129">
        <v>517804</v>
      </c>
      <c r="BS274" s="129">
        <v>174681</v>
      </c>
      <c r="BT274" s="129" t="s">
        <v>177</v>
      </c>
      <c r="BU274" s="129" t="s">
        <v>150</v>
      </c>
      <c r="BV274" s="129" t="s">
        <v>150</v>
      </c>
      <c r="CA274" s="129" t="s">
        <v>606</v>
      </c>
      <c r="CB274" s="129" t="s">
        <v>359</v>
      </c>
      <c r="CC274" s="129" t="s">
        <v>359</v>
      </c>
      <c r="CD274" s="129" t="s">
        <v>200</v>
      </c>
      <c r="CE274" s="313"/>
    </row>
    <row r="275" spans="1:83" x14ac:dyDescent="0.25">
      <c r="A275" s="129" t="s">
        <v>1359</v>
      </c>
      <c r="B275" s="129" t="s">
        <v>352</v>
      </c>
      <c r="C275" s="129" t="s">
        <v>353</v>
      </c>
      <c r="D275" s="309">
        <v>45482</v>
      </c>
      <c r="E275" s="309">
        <v>46577</v>
      </c>
      <c r="H275" s="310" t="s">
        <v>359</v>
      </c>
      <c r="J275" s="129" t="s">
        <v>267</v>
      </c>
      <c r="K275" s="129" t="s">
        <v>268</v>
      </c>
      <c r="M275" s="191"/>
      <c r="O275" s="129" t="s">
        <v>1360</v>
      </c>
      <c r="P275" s="129" t="s">
        <v>1361</v>
      </c>
      <c r="Q275" s="129" t="s">
        <v>1362</v>
      </c>
      <c r="U275" s="129">
        <v>1</v>
      </c>
      <c r="AA275" s="312">
        <f t="shared" si="78"/>
        <v>1</v>
      </c>
      <c r="AF275" s="129">
        <v>2</v>
      </c>
      <c r="AK275" s="312">
        <f t="shared" si="66"/>
        <v>2</v>
      </c>
      <c r="AL275" s="129">
        <f t="shared" si="67"/>
        <v>0</v>
      </c>
      <c r="AM275" s="129">
        <f t="shared" si="68"/>
        <v>0</v>
      </c>
      <c r="AN275" s="129">
        <f t="shared" si="69"/>
        <v>-1</v>
      </c>
      <c r="AO275" s="129">
        <f t="shared" si="70"/>
        <v>2</v>
      </c>
      <c r="AP275" s="129">
        <f t="shared" si="71"/>
        <v>0</v>
      </c>
      <c r="AQ275" s="129">
        <f t="shared" si="72"/>
        <v>0</v>
      </c>
      <c r="AR275" s="129">
        <f t="shared" si="73"/>
        <v>0</v>
      </c>
      <c r="AS275" s="129">
        <f t="shared" si="74"/>
        <v>0</v>
      </c>
      <c r="AT275" s="312">
        <f t="shared" si="75"/>
        <v>1</v>
      </c>
      <c r="AV275" s="312"/>
      <c r="AW275" s="129">
        <v>0.25</v>
      </c>
      <c r="AX275" s="129">
        <v>0.25</v>
      </c>
      <c r="AY275" s="129">
        <v>0.25</v>
      </c>
      <c r="AZ275" s="129">
        <v>0.25</v>
      </c>
      <c r="BA275" s="314"/>
      <c r="BF275" s="314"/>
      <c r="BL275" s="314"/>
      <c r="BM275" s="129">
        <f t="shared" si="76"/>
        <v>1</v>
      </c>
      <c r="BN275" s="129">
        <f t="shared" si="77"/>
        <v>1</v>
      </c>
      <c r="BR275" s="129">
        <v>515306</v>
      </c>
      <c r="BS275" s="129">
        <v>171319</v>
      </c>
      <c r="BT275" s="129" t="s">
        <v>168</v>
      </c>
      <c r="BU275" s="129" t="s">
        <v>192</v>
      </c>
      <c r="CC275" s="129" t="s">
        <v>359</v>
      </c>
      <c r="CD275" s="129" t="s">
        <v>201</v>
      </c>
      <c r="CE275" s="313"/>
    </row>
    <row r="276" spans="1:83" x14ac:dyDescent="0.25">
      <c r="A276" s="129" t="s">
        <v>1363</v>
      </c>
      <c r="B276" s="129" t="s">
        <v>369</v>
      </c>
      <c r="C276" s="129" t="s">
        <v>353</v>
      </c>
      <c r="D276" s="309">
        <v>45623</v>
      </c>
      <c r="E276" s="309">
        <v>46718</v>
      </c>
      <c r="H276" s="310" t="s">
        <v>359</v>
      </c>
      <c r="J276" s="129" t="s">
        <v>267</v>
      </c>
      <c r="K276" s="129" t="s">
        <v>268</v>
      </c>
      <c r="M276" s="191"/>
      <c r="O276" s="129" t="s">
        <v>1364</v>
      </c>
      <c r="P276" s="129" t="s">
        <v>1365</v>
      </c>
      <c r="Q276" s="129" t="s">
        <v>1115</v>
      </c>
      <c r="AA276" s="312">
        <f t="shared" si="78"/>
        <v>0</v>
      </c>
      <c r="AC276" s="129">
        <v>1</v>
      </c>
      <c r="AK276" s="312">
        <f t="shared" si="66"/>
        <v>1</v>
      </c>
      <c r="AL276" s="129">
        <f t="shared" si="67"/>
        <v>1</v>
      </c>
      <c r="AM276" s="129">
        <f t="shared" si="68"/>
        <v>0</v>
      </c>
      <c r="AN276" s="129">
        <f t="shared" si="69"/>
        <v>0</v>
      </c>
      <c r="AO276" s="129">
        <f t="shared" si="70"/>
        <v>0</v>
      </c>
      <c r="AP276" s="129">
        <f t="shared" si="71"/>
        <v>0</v>
      </c>
      <c r="AQ276" s="129">
        <f t="shared" si="72"/>
        <v>0</v>
      </c>
      <c r="AR276" s="129">
        <f t="shared" si="73"/>
        <v>0</v>
      </c>
      <c r="AS276" s="129">
        <f t="shared" si="74"/>
        <v>0</v>
      </c>
      <c r="AT276" s="312">
        <f t="shared" si="75"/>
        <v>1</v>
      </c>
      <c r="AV276" s="312"/>
      <c r="AW276" s="129">
        <v>0.25</v>
      </c>
      <c r="AX276" s="129">
        <v>0.25</v>
      </c>
      <c r="AY276" s="129">
        <v>0.25</v>
      </c>
      <c r="AZ276" s="129">
        <v>0.25</v>
      </c>
      <c r="BA276" s="314"/>
      <c r="BF276" s="314"/>
      <c r="BL276" s="314"/>
      <c r="BM276" s="129">
        <f t="shared" si="76"/>
        <v>1</v>
      </c>
      <c r="BN276" s="129">
        <f t="shared" si="77"/>
        <v>1</v>
      </c>
      <c r="BR276" s="129">
        <v>517717</v>
      </c>
      <c r="BS276" s="129">
        <v>174791</v>
      </c>
      <c r="BT276" s="129" t="s">
        <v>177</v>
      </c>
      <c r="BU276" s="129" t="s">
        <v>150</v>
      </c>
      <c r="BV276" s="129" t="s">
        <v>150</v>
      </c>
      <c r="CA276" s="129" t="s">
        <v>606</v>
      </c>
      <c r="CB276" s="129" t="s">
        <v>359</v>
      </c>
      <c r="CC276" s="129" t="s">
        <v>359</v>
      </c>
      <c r="CD276" s="129" t="s">
        <v>200</v>
      </c>
      <c r="CE276" s="313"/>
    </row>
    <row r="277" spans="1:83" x14ac:dyDescent="0.25">
      <c r="A277" s="129" t="s">
        <v>1366</v>
      </c>
      <c r="B277" s="129" t="s">
        <v>352</v>
      </c>
      <c r="C277" s="129" t="s">
        <v>353</v>
      </c>
      <c r="D277" s="309">
        <v>45408</v>
      </c>
      <c r="E277" s="309">
        <v>46503</v>
      </c>
      <c r="H277" s="310" t="s">
        <v>359</v>
      </c>
      <c r="J277" s="129" t="s">
        <v>267</v>
      </c>
      <c r="K277" s="129" t="s">
        <v>268</v>
      </c>
      <c r="M277" s="191"/>
      <c r="O277" s="129" t="s">
        <v>1367</v>
      </c>
      <c r="P277" s="129" t="s">
        <v>1368</v>
      </c>
      <c r="Q277" s="129" t="s">
        <v>1369</v>
      </c>
      <c r="AA277" s="312">
        <f t="shared" si="78"/>
        <v>0</v>
      </c>
      <c r="AD277" s="129">
        <v>1</v>
      </c>
      <c r="AK277" s="312">
        <f t="shared" si="66"/>
        <v>1</v>
      </c>
      <c r="AL277" s="129">
        <f t="shared" si="67"/>
        <v>0</v>
      </c>
      <c r="AM277" s="129">
        <f t="shared" si="68"/>
        <v>1</v>
      </c>
      <c r="AN277" s="129">
        <f t="shared" si="69"/>
        <v>0</v>
      </c>
      <c r="AO277" s="129">
        <f t="shared" si="70"/>
        <v>0</v>
      </c>
      <c r="AP277" s="129">
        <f t="shared" si="71"/>
        <v>0</v>
      </c>
      <c r="AQ277" s="129">
        <f t="shared" si="72"/>
        <v>0</v>
      </c>
      <c r="AR277" s="129">
        <f t="shared" si="73"/>
        <v>0</v>
      </c>
      <c r="AS277" s="129">
        <f t="shared" si="74"/>
        <v>0</v>
      </c>
      <c r="AT277" s="312">
        <f t="shared" si="75"/>
        <v>1</v>
      </c>
      <c r="AV277" s="312"/>
      <c r="AW277" s="129">
        <v>0.25</v>
      </c>
      <c r="AX277" s="129">
        <v>0.25</v>
      </c>
      <c r="AY277" s="129">
        <v>0.25</v>
      </c>
      <c r="AZ277" s="129">
        <v>0.25</v>
      </c>
      <c r="BA277" s="314"/>
      <c r="BF277" s="314"/>
      <c r="BL277" s="314"/>
      <c r="BM277" s="129">
        <f t="shared" si="76"/>
        <v>1</v>
      </c>
      <c r="BN277" s="129">
        <f t="shared" si="77"/>
        <v>1</v>
      </c>
      <c r="BR277" s="129">
        <v>514442</v>
      </c>
      <c r="BS277" s="129">
        <v>173117</v>
      </c>
      <c r="BT277" s="129" t="s">
        <v>181</v>
      </c>
      <c r="BU277" s="129" t="s">
        <v>154</v>
      </c>
      <c r="CC277" s="129" t="s">
        <v>359</v>
      </c>
      <c r="CD277" s="129" t="s">
        <v>202</v>
      </c>
      <c r="CE277" s="313"/>
    </row>
    <row r="278" spans="1:83" x14ac:dyDescent="0.25">
      <c r="A278" s="129" t="s">
        <v>1370</v>
      </c>
      <c r="B278" s="129" t="s">
        <v>377</v>
      </c>
      <c r="C278" s="129" t="s">
        <v>353</v>
      </c>
      <c r="D278" s="309">
        <v>45428</v>
      </c>
      <c r="E278" s="309">
        <v>46523</v>
      </c>
      <c r="H278" s="310" t="s">
        <v>359</v>
      </c>
      <c r="J278" s="129" t="s">
        <v>267</v>
      </c>
      <c r="K278" s="129" t="s">
        <v>268</v>
      </c>
      <c r="M278" s="191"/>
      <c r="O278" s="129" t="s">
        <v>1371</v>
      </c>
      <c r="P278" s="129" t="s">
        <v>1372</v>
      </c>
      <c r="Q278" s="129" t="s">
        <v>1373</v>
      </c>
      <c r="AA278" s="312">
        <f t="shared" si="78"/>
        <v>0</v>
      </c>
      <c r="AE278" s="129">
        <v>1</v>
      </c>
      <c r="AK278" s="312">
        <f t="shared" si="66"/>
        <v>1</v>
      </c>
      <c r="AL278" s="129">
        <f t="shared" si="67"/>
        <v>0</v>
      </c>
      <c r="AM278" s="129">
        <f t="shared" si="68"/>
        <v>0</v>
      </c>
      <c r="AN278" s="129">
        <f t="shared" si="69"/>
        <v>1</v>
      </c>
      <c r="AO278" s="129">
        <f t="shared" si="70"/>
        <v>0</v>
      </c>
      <c r="AP278" s="129">
        <f t="shared" si="71"/>
        <v>0</v>
      </c>
      <c r="AQ278" s="129">
        <f t="shared" si="72"/>
        <v>0</v>
      </c>
      <c r="AR278" s="129">
        <f t="shared" si="73"/>
        <v>0</v>
      </c>
      <c r="AS278" s="129">
        <f t="shared" si="74"/>
        <v>0</v>
      </c>
      <c r="AT278" s="312">
        <f t="shared" si="75"/>
        <v>1</v>
      </c>
      <c r="AV278" s="312"/>
      <c r="AW278" s="129">
        <v>0.25</v>
      </c>
      <c r="AX278" s="129">
        <v>0.25</v>
      </c>
      <c r="AY278" s="129">
        <v>0.25</v>
      </c>
      <c r="AZ278" s="129">
        <v>0.25</v>
      </c>
      <c r="BA278" s="314"/>
      <c r="BF278" s="314"/>
      <c r="BL278" s="314"/>
      <c r="BM278" s="129">
        <f t="shared" si="76"/>
        <v>1</v>
      </c>
      <c r="BN278" s="129">
        <f t="shared" si="77"/>
        <v>1</v>
      </c>
      <c r="BR278" s="129">
        <v>519823</v>
      </c>
      <c r="BS278" s="129">
        <v>175563</v>
      </c>
      <c r="BT278" s="129" t="s">
        <v>176</v>
      </c>
      <c r="BU278" s="129" t="s">
        <v>150</v>
      </c>
      <c r="CC278" s="129" t="s">
        <v>359</v>
      </c>
      <c r="CD278" s="129" t="s">
        <v>199</v>
      </c>
      <c r="CE278" s="313"/>
    </row>
    <row r="279" spans="1:83" x14ac:dyDescent="0.25">
      <c r="A279" s="129" t="s">
        <v>1374</v>
      </c>
      <c r="B279" s="129" t="s">
        <v>482</v>
      </c>
      <c r="C279" s="129" t="s">
        <v>353</v>
      </c>
      <c r="D279" s="309">
        <v>45639</v>
      </c>
      <c r="E279" s="309">
        <v>46734</v>
      </c>
      <c r="H279" s="310" t="s">
        <v>359</v>
      </c>
      <c r="J279" s="129" t="s">
        <v>267</v>
      </c>
      <c r="K279" s="129" t="s">
        <v>268</v>
      </c>
      <c r="M279" s="191"/>
      <c r="O279" s="129" t="s">
        <v>1375</v>
      </c>
      <c r="P279" s="129" t="s">
        <v>1376</v>
      </c>
      <c r="Q279" s="129" t="s">
        <v>1377</v>
      </c>
      <c r="AA279" s="312">
        <f t="shared" si="78"/>
        <v>0</v>
      </c>
      <c r="AD279" s="129">
        <v>1</v>
      </c>
      <c r="AK279" s="312">
        <f t="shared" si="66"/>
        <v>1</v>
      </c>
      <c r="AL279" s="129">
        <f t="shared" si="67"/>
        <v>0</v>
      </c>
      <c r="AM279" s="129">
        <f t="shared" si="68"/>
        <v>1</v>
      </c>
      <c r="AN279" s="129">
        <f t="shared" si="69"/>
        <v>0</v>
      </c>
      <c r="AO279" s="129">
        <f t="shared" si="70"/>
        <v>0</v>
      </c>
      <c r="AP279" s="129">
        <f t="shared" si="71"/>
        <v>0</v>
      </c>
      <c r="AQ279" s="129">
        <f t="shared" si="72"/>
        <v>0</v>
      </c>
      <c r="AR279" s="129">
        <f t="shared" si="73"/>
        <v>0</v>
      </c>
      <c r="AS279" s="129">
        <f t="shared" si="74"/>
        <v>0</v>
      </c>
      <c r="AT279" s="312">
        <f t="shared" si="75"/>
        <v>1</v>
      </c>
      <c r="AV279" s="312"/>
      <c r="AW279" s="129">
        <v>0.25</v>
      </c>
      <c r="AX279" s="129">
        <v>0.25</v>
      </c>
      <c r="AY279" s="129">
        <v>0.25</v>
      </c>
      <c r="AZ279" s="129">
        <v>0.25</v>
      </c>
      <c r="BA279" s="314"/>
      <c r="BF279" s="314"/>
      <c r="BL279" s="314"/>
      <c r="BM279" s="129">
        <f t="shared" si="76"/>
        <v>1</v>
      </c>
      <c r="BN279" s="129">
        <f t="shared" si="77"/>
        <v>1</v>
      </c>
      <c r="BR279" s="129">
        <v>520354</v>
      </c>
      <c r="BS279" s="129">
        <v>174562</v>
      </c>
      <c r="BT279" s="129" t="s">
        <v>149</v>
      </c>
      <c r="BU279" s="129" t="s">
        <v>190</v>
      </c>
      <c r="CA279" s="129" t="s">
        <v>1378</v>
      </c>
      <c r="CB279" s="129" t="s">
        <v>359</v>
      </c>
      <c r="CC279" s="129" t="s">
        <v>359</v>
      </c>
      <c r="CD279" s="129" t="s">
        <v>199</v>
      </c>
      <c r="CE279" s="313"/>
    </row>
    <row r="280" spans="1:83" x14ac:dyDescent="0.25">
      <c r="A280" s="129" t="s">
        <v>1379</v>
      </c>
      <c r="B280" s="129" t="s">
        <v>482</v>
      </c>
      <c r="C280" s="129" t="s">
        <v>353</v>
      </c>
      <c r="D280" s="309">
        <v>45421</v>
      </c>
      <c r="E280" s="309">
        <v>46516</v>
      </c>
      <c r="H280" s="310" t="s">
        <v>359</v>
      </c>
      <c r="J280" s="129" t="s">
        <v>267</v>
      </c>
      <c r="K280" s="129" t="s">
        <v>268</v>
      </c>
      <c r="M280" s="191"/>
      <c r="O280" s="129" t="s">
        <v>1380</v>
      </c>
      <c r="P280" s="129" t="s">
        <v>1381</v>
      </c>
      <c r="Q280" s="129" t="s">
        <v>1382</v>
      </c>
      <c r="S280" s="129">
        <v>2</v>
      </c>
      <c r="T280" s="129">
        <v>1</v>
      </c>
      <c r="AA280" s="312">
        <f t="shared" si="78"/>
        <v>3</v>
      </c>
      <c r="AG280" s="129">
        <v>1</v>
      </c>
      <c r="AK280" s="312">
        <f t="shared" si="66"/>
        <v>1</v>
      </c>
      <c r="AL280" s="129">
        <f t="shared" si="67"/>
        <v>-2</v>
      </c>
      <c r="AM280" s="129">
        <f t="shared" si="68"/>
        <v>-1</v>
      </c>
      <c r="AN280" s="129">
        <f t="shared" si="69"/>
        <v>0</v>
      </c>
      <c r="AO280" s="129">
        <f t="shared" si="70"/>
        <v>0</v>
      </c>
      <c r="AP280" s="129">
        <f t="shared" si="71"/>
        <v>1</v>
      </c>
      <c r="AQ280" s="129">
        <f t="shared" si="72"/>
        <v>0</v>
      </c>
      <c r="AR280" s="129">
        <f t="shared" si="73"/>
        <v>0</v>
      </c>
      <c r="AS280" s="129">
        <f t="shared" si="74"/>
        <v>0</v>
      </c>
      <c r="AT280" s="312">
        <f t="shared" si="75"/>
        <v>-2</v>
      </c>
      <c r="AV280" s="312"/>
      <c r="AW280" s="129">
        <v>-0.5</v>
      </c>
      <c r="AX280" s="129">
        <v>-0.5</v>
      </c>
      <c r="AY280" s="129">
        <v>-0.5</v>
      </c>
      <c r="AZ280" s="129">
        <v>-0.5</v>
      </c>
      <c r="BA280" s="314"/>
      <c r="BF280" s="314"/>
      <c r="BL280" s="314"/>
      <c r="BM280" s="129">
        <f t="shared" si="76"/>
        <v>-2</v>
      </c>
      <c r="BN280" s="129">
        <f t="shared" si="77"/>
        <v>-2</v>
      </c>
      <c r="BR280" s="129">
        <v>516870</v>
      </c>
      <c r="BS280" s="129">
        <v>174825</v>
      </c>
      <c r="BT280" s="129" t="s">
        <v>179</v>
      </c>
      <c r="BU280" s="129" t="s">
        <v>154</v>
      </c>
      <c r="CA280" s="129" t="s">
        <v>1050</v>
      </c>
      <c r="CB280" s="129" t="s">
        <v>359</v>
      </c>
      <c r="CC280" s="129" t="s">
        <v>359</v>
      </c>
      <c r="CD280" s="129" t="s">
        <v>202</v>
      </c>
      <c r="CE280" s="313"/>
    </row>
    <row r="281" spans="1:83" x14ac:dyDescent="0.25">
      <c r="A281" s="129" t="s">
        <v>1383</v>
      </c>
      <c r="B281" s="129" t="s">
        <v>352</v>
      </c>
      <c r="C281" s="129" t="s">
        <v>353</v>
      </c>
      <c r="D281" s="309">
        <v>45607</v>
      </c>
      <c r="E281" s="309">
        <v>46702</v>
      </c>
      <c r="H281" s="310" t="s">
        <v>359</v>
      </c>
      <c r="J281" s="129" t="s">
        <v>267</v>
      </c>
      <c r="K281" s="129" t="s">
        <v>268</v>
      </c>
      <c r="M281" s="191"/>
      <c r="O281" s="129" t="s">
        <v>1384</v>
      </c>
      <c r="P281" s="129" t="s">
        <v>1385</v>
      </c>
      <c r="Q281" s="129" t="s">
        <v>671</v>
      </c>
      <c r="AA281" s="312">
        <f t="shared" si="78"/>
        <v>0</v>
      </c>
      <c r="AF281" s="129">
        <v>3</v>
      </c>
      <c r="AK281" s="312">
        <f t="shared" si="66"/>
        <v>3</v>
      </c>
      <c r="AL281" s="129">
        <f t="shared" si="67"/>
        <v>0</v>
      </c>
      <c r="AM281" s="129">
        <f t="shared" si="68"/>
        <v>0</v>
      </c>
      <c r="AN281" s="129">
        <f t="shared" si="69"/>
        <v>0</v>
      </c>
      <c r="AO281" s="129">
        <f t="shared" si="70"/>
        <v>3</v>
      </c>
      <c r="AP281" s="129">
        <f t="shared" si="71"/>
        <v>0</v>
      </c>
      <c r="AQ281" s="129">
        <f t="shared" si="72"/>
        <v>0</v>
      </c>
      <c r="AR281" s="129">
        <f t="shared" si="73"/>
        <v>0</v>
      </c>
      <c r="AS281" s="129">
        <f t="shared" si="74"/>
        <v>0</v>
      </c>
      <c r="AT281" s="312">
        <f t="shared" si="75"/>
        <v>3</v>
      </c>
      <c r="AV281" s="312"/>
      <c r="AW281" s="129">
        <v>0.75</v>
      </c>
      <c r="AX281" s="129">
        <v>0.75</v>
      </c>
      <c r="AY281" s="129">
        <v>0.75</v>
      </c>
      <c r="AZ281" s="129">
        <v>0.75</v>
      </c>
      <c r="BA281" s="314"/>
      <c r="BF281" s="314"/>
      <c r="BL281" s="314"/>
      <c r="BM281" s="129">
        <f t="shared" si="76"/>
        <v>3</v>
      </c>
      <c r="BN281" s="129">
        <f t="shared" si="77"/>
        <v>3</v>
      </c>
      <c r="BR281" s="129">
        <v>515674</v>
      </c>
      <c r="BS281" s="129">
        <v>171025</v>
      </c>
      <c r="BT281" s="129" t="s">
        <v>152</v>
      </c>
      <c r="BU281" s="129" t="s">
        <v>192</v>
      </c>
      <c r="BV281" s="129" t="s">
        <v>152</v>
      </c>
      <c r="CC281" s="129" t="s">
        <v>359</v>
      </c>
      <c r="CD281" s="129" t="s">
        <v>201</v>
      </c>
      <c r="CE281" s="313"/>
    </row>
    <row r="282" spans="1:83" x14ac:dyDescent="0.25">
      <c r="A282" s="129" t="s">
        <v>1386</v>
      </c>
      <c r="B282" s="129" t="s">
        <v>382</v>
      </c>
      <c r="C282" s="129" t="s">
        <v>353</v>
      </c>
      <c r="D282" s="309">
        <v>45454</v>
      </c>
      <c r="E282" s="309">
        <v>46549</v>
      </c>
      <c r="H282" s="310" t="s">
        <v>359</v>
      </c>
      <c r="J282" s="129" t="s">
        <v>267</v>
      </c>
      <c r="K282" s="129" t="s">
        <v>268</v>
      </c>
      <c r="M282" s="191"/>
      <c r="O282" s="129" t="s">
        <v>1387</v>
      </c>
      <c r="P282" s="129" t="s">
        <v>1388</v>
      </c>
      <c r="Q282" s="129" t="s">
        <v>1389</v>
      </c>
      <c r="AA282" s="312">
        <f t="shared" si="78"/>
        <v>0</v>
      </c>
      <c r="AC282" s="129">
        <v>3</v>
      </c>
      <c r="AD282" s="129">
        <v>4</v>
      </c>
      <c r="AK282" s="312">
        <f t="shared" si="66"/>
        <v>7</v>
      </c>
      <c r="AL282" s="129">
        <f t="shared" si="67"/>
        <v>3</v>
      </c>
      <c r="AM282" s="129">
        <f t="shared" si="68"/>
        <v>4</v>
      </c>
      <c r="AN282" s="129">
        <f t="shared" si="69"/>
        <v>0</v>
      </c>
      <c r="AO282" s="129">
        <f t="shared" si="70"/>
        <v>0</v>
      </c>
      <c r="AP282" s="129">
        <f t="shared" si="71"/>
        <v>0</v>
      </c>
      <c r="AQ282" s="129">
        <f t="shared" si="72"/>
        <v>0</v>
      </c>
      <c r="AR282" s="129">
        <f t="shared" si="73"/>
        <v>0</v>
      </c>
      <c r="AS282" s="129">
        <f t="shared" si="74"/>
        <v>0</v>
      </c>
      <c r="AT282" s="312">
        <f t="shared" si="75"/>
        <v>7</v>
      </c>
      <c r="AV282" s="312"/>
      <c r="AX282" s="129">
        <v>1.75</v>
      </c>
      <c r="AY282" s="129">
        <v>1.75</v>
      </c>
      <c r="AZ282" s="129">
        <v>1.75</v>
      </c>
      <c r="BA282" s="314">
        <v>1.75</v>
      </c>
      <c r="BF282" s="314"/>
      <c r="BL282" s="314"/>
      <c r="BM282" s="129">
        <f t="shared" si="76"/>
        <v>7</v>
      </c>
      <c r="BN282" s="129">
        <f t="shared" si="77"/>
        <v>7</v>
      </c>
      <c r="BR282" s="129">
        <v>518068</v>
      </c>
      <c r="BS282" s="129">
        <v>175208</v>
      </c>
      <c r="BT282" s="129" t="s">
        <v>177</v>
      </c>
      <c r="BU282" s="129" t="s">
        <v>150</v>
      </c>
      <c r="BV282" s="129" t="s">
        <v>150</v>
      </c>
      <c r="CA282" s="129" t="s">
        <v>606</v>
      </c>
      <c r="CB282" s="129" t="s">
        <v>359</v>
      </c>
      <c r="CC282" s="129" t="s">
        <v>359</v>
      </c>
      <c r="CD282" s="129" t="s">
        <v>200</v>
      </c>
      <c r="CE282" s="313"/>
    </row>
    <row r="283" spans="1:83" x14ac:dyDescent="0.25">
      <c r="A283" s="129" t="s">
        <v>1390</v>
      </c>
      <c r="B283" s="129" t="s">
        <v>377</v>
      </c>
      <c r="C283" s="248" t="s">
        <v>370</v>
      </c>
      <c r="D283" s="309">
        <v>45327</v>
      </c>
      <c r="E283" s="309">
        <v>46423</v>
      </c>
      <c r="J283" s="129" t="s">
        <v>267</v>
      </c>
      <c r="K283" s="129" t="s">
        <v>268</v>
      </c>
      <c r="M283" s="191"/>
      <c r="O283" s="129" t="s">
        <v>1391</v>
      </c>
      <c r="P283" s="129" t="s">
        <v>1392</v>
      </c>
      <c r="Q283" s="129" t="s">
        <v>1393</v>
      </c>
      <c r="AA283" s="312">
        <f t="shared" si="78"/>
        <v>0</v>
      </c>
      <c r="AD283" s="129">
        <v>8</v>
      </c>
      <c r="AK283" s="312">
        <f t="shared" si="66"/>
        <v>8</v>
      </c>
      <c r="AL283" s="129">
        <f t="shared" si="67"/>
        <v>0</v>
      </c>
      <c r="AM283" s="129">
        <f t="shared" si="68"/>
        <v>8</v>
      </c>
      <c r="AN283" s="129">
        <f t="shared" si="69"/>
        <v>0</v>
      </c>
      <c r="AO283" s="129">
        <f t="shared" si="70"/>
        <v>0</v>
      </c>
      <c r="AP283" s="129">
        <f t="shared" si="71"/>
        <v>0</v>
      </c>
      <c r="AQ283" s="129">
        <f t="shared" si="72"/>
        <v>0</v>
      </c>
      <c r="AR283" s="129">
        <f t="shared" si="73"/>
        <v>0</v>
      </c>
      <c r="AS283" s="129">
        <f t="shared" si="74"/>
        <v>0</v>
      </c>
      <c r="AT283" s="312">
        <f t="shared" si="75"/>
        <v>8</v>
      </c>
      <c r="AV283" s="312"/>
      <c r="AX283" s="129">
        <v>2</v>
      </c>
      <c r="AY283" s="129">
        <v>2</v>
      </c>
      <c r="AZ283" s="129">
        <v>2</v>
      </c>
      <c r="BA283" s="314">
        <v>2</v>
      </c>
      <c r="BF283" s="314"/>
      <c r="BL283" s="314"/>
      <c r="BM283" s="129">
        <f t="shared" si="76"/>
        <v>8</v>
      </c>
      <c r="BN283" s="129">
        <f t="shared" si="77"/>
        <v>8</v>
      </c>
      <c r="BR283" s="129">
        <v>514983</v>
      </c>
      <c r="BS283" s="129">
        <v>174123</v>
      </c>
      <c r="BT283" s="129" t="s">
        <v>156</v>
      </c>
      <c r="BU283" s="129" t="s">
        <v>156</v>
      </c>
      <c r="CC283" s="129" t="s">
        <v>359</v>
      </c>
      <c r="CD283" s="129" t="s">
        <v>203</v>
      </c>
      <c r="CE283" s="313"/>
    </row>
    <row r="284" spans="1:83" x14ac:dyDescent="0.25">
      <c r="A284" s="129" t="s">
        <v>1394</v>
      </c>
      <c r="B284" s="129" t="s">
        <v>377</v>
      </c>
      <c r="C284" s="248" t="s">
        <v>370</v>
      </c>
      <c r="D284" s="309">
        <v>45327</v>
      </c>
      <c r="E284" s="309">
        <v>46423</v>
      </c>
      <c r="J284" s="129" t="s">
        <v>267</v>
      </c>
      <c r="K284" s="129" t="s">
        <v>268</v>
      </c>
      <c r="M284" s="191"/>
      <c r="O284" s="129" t="s">
        <v>1391</v>
      </c>
      <c r="P284" s="129" t="s">
        <v>1395</v>
      </c>
      <c r="Q284" s="129" t="s">
        <v>1393</v>
      </c>
      <c r="AA284" s="312">
        <f t="shared" si="78"/>
        <v>0</v>
      </c>
      <c r="AD284" s="129">
        <v>8</v>
      </c>
      <c r="AK284" s="312">
        <f t="shared" si="66"/>
        <v>8</v>
      </c>
      <c r="AL284" s="129">
        <f t="shared" si="67"/>
        <v>0</v>
      </c>
      <c r="AM284" s="129">
        <f t="shared" si="68"/>
        <v>8</v>
      </c>
      <c r="AN284" s="129">
        <f t="shared" si="69"/>
        <v>0</v>
      </c>
      <c r="AO284" s="129">
        <f t="shared" si="70"/>
        <v>0</v>
      </c>
      <c r="AP284" s="129">
        <f t="shared" si="71"/>
        <v>0</v>
      </c>
      <c r="AQ284" s="129">
        <f t="shared" si="72"/>
        <v>0</v>
      </c>
      <c r="AR284" s="129">
        <f t="shared" si="73"/>
        <v>0</v>
      </c>
      <c r="AS284" s="129">
        <f t="shared" si="74"/>
        <v>0</v>
      </c>
      <c r="AT284" s="312">
        <f t="shared" si="75"/>
        <v>8</v>
      </c>
      <c r="AV284" s="312"/>
      <c r="AX284" s="129">
        <v>2</v>
      </c>
      <c r="AY284" s="129">
        <v>2</v>
      </c>
      <c r="AZ284" s="129">
        <v>2</v>
      </c>
      <c r="BA284" s="314">
        <v>2</v>
      </c>
      <c r="BF284" s="314"/>
      <c r="BL284" s="314"/>
      <c r="BM284" s="129">
        <f t="shared" si="76"/>
        <v>8</v>
      </c>
      <c r="BN284" s="129">
        <f t="shared" si="77"/>
        <v>8</v>
      </c>
      <c r="BR284" s="129">
        <v>514985</v>
      </c>
      <c r="BS284" s="129">
        <v>174185</v>
      </c>
      <c r="BT284" s="129" t="s">
        <v>156</v>
      </c>
      <c r="BU284" s="129" t="s">
        <v>156</v>
      </c>
      <c r="CC284" s="129" t="s">
        <v>359</v>
      </c>
      <c r="CD284" s="129" t="s">
        <v>203</v>
      </c>
      <c r="CE284" s="313"/>
    </row>
    <row r="285" spans="1:83" x14ac:dyDescent="0.25">
      <c r="A285" s="129" t="s">
        <v>1396</v>
      </c>
      <c r="B285" s="129" t="s">
        <v>352</v>
      </c>
      <c r="C285" s="129" t="s">
        <v>353</v>
      </c>
      <c r="D285" s="309">
        <v>45537</v>
      </c>
      <c r="E285" s="309">
        <v>46632</v>
      </c>
      <c r="F285" s="309">
        <v>45748</v>
      </c>
      <c r="G285" s="310"/>
      <c r="H285" s="310" t="s">
        <v>359</v>
      </c>
      <c r="J285" s="129" t="s">
        <v>267</v>
      </c>
      <c r="K285" s="129" t="s">
        <v>268</v>
      </c>
      <c r="M285" s="191"/>
      <c r="O285" s="129" t="s">
        <v>1397</v>
      </c>
      <c r="P285" s="129" t="s">
        <v>1398</v>
      </c>
      <c r="Q285" s="129" t="s">
        <v>1399</v>
      </c>
      <c r="U285" s="129">
        <v>1</v>
      </c>
      <c r="AA285" s="312">
        <f t="shared" si="78"/>
        <v>1</v>
      </c>
      <c r="AF285" s="129">
        <v>1</v>
      </c>
      <c r="AK285" s="312">
        <f t="shared" si="66"/>
        <v>1</v>
      </c>
      <c r="AL285" s="129">
        <f t="shared" si="67"/>
        <v>0</v>
      </c>
      <c r="AM285" s="129">
        <f t="shared" si="68"/>
        <v>0</v>
      </c>
      <c r="AN285" s="129">
        <f t="shared" si="69"/>
        <v>-1</v>
      </c>
      <c r="AO285" s="129">
        <f t="shared" si="70"/>
        <v>1</v>
      </c>
      <c r="AP285" s="129">
        <f t="shared" si="71"/>
        <v>0</v>
      </c>
      <c r="AQ285" s="129">
        <f t="shared" si="72"/>
        <v>0</v>
      </c>
      <c r="AR285" s="129">
        <f t="shared" si="73"/>
        <v>0</v>
      </c>
      <c r="AS285" s="129">
        <f t="shared" si="74"/>
        <v>0</v>
      </c>
      <c r="AT285" s="312">
        <f t="shared" si="75"/>
        <v>0</v>
      </c>
      <c r="AV285" s="312"/>
      <c r="AW285" s="129">
        <v>0</v>
      </c>
      <c r="BA285" s="314"/>
      <c r="BF285" s="314"/>
      <c r="BL285" s="314"/>
      <c r="BM285" s="129">
        <f t="shared" si="76"/>
        <v>0</v>
      </c>
      <c r="BN285" s="129">
        <f t="shared" si="77"/>
        <v>0</v>
      </c>
      <c r="BR285" s="129">
        <v>521968</v>
      </c>
      <c r="BS285" s="129">
        <v>176878</v>
      </c>
      <c r="BT285" s="129" t="s">
        <v>167</v>
      </c>
      <c r="BU285" s="129" t="s">
        <v>190</v>
      </c>
      <c r="CD285" s="129" t="s">
        <v>167</v>
      </c>
      <c r="CE285" s="313"/>
    </row>
    <row r="286" spans="1:83" x14ac:dyDescent="0.25">
      <c r="A286" s="129" t="s">
        <v>1400</v>
      </c>
      <c r="B286" s="129" t="s">
        <v>352</v>
      </c>
      <c r="C286" s="129" t="s">
        <v>353</v>
      </c>
      <c r="D286" s="309">
        <v>45540</v>
      </c>
      <c r="E286" s="309">
        <v>46635</v>
      </c>
      <c r="H286" s="310" t="s">
        <v>359</v>
      </c>
      <c r="J286" s="129" t="s">
        <v>267</v>
      </c>
      <c r="K286" s="129" t="s">
        <v>268</v>
      </c>
      <c r="M286" s="191"/>
      <c r="O286" s="129" t="s">
        <v>1401</v>
      </c>
      <c r="P286" s="129" t="s">
        <v>1402</v>
      </c>
      <c r="Q286" s="129" t="s">
        <v>1403</v>
      </c>
      <c r="AA286" s="312">
        <f t="shared" si="78"/>
        <v>0</v>
      </c>
      <c r="AE286" s="129">
        <v>1</v>
      </c>
      <c r="AK286" s="312">
        <f t="shared" si="66"/>
        <v>1</v>
      </c>
      <c r="AL286" s="129">
        <f t="shared" si="67"/>
        <v>0</v>
      </c>
      <c r="AM286" s="129">
        <f t="shared" si="68"/>
        <v>0</v>
      </c>
      <c r="AN286" s="129">
        <f t="shared" si="69"/>
        <v>1</v>
      </c>
      <c r="AO286" s="129">
        <f t="shared" si="70"/>
        <v>0</v>
      </c>
      <c r="AP286" s="129">
        <f t="shared" si="71"/>
        <v>0</v>
      </c>
      <c r="AQ286" s="129">
        <f t="shared" si="72"/>
        <v>0</v>
      </c>
      <c r="AR286" s="129">
        <f t="shared" si="73"/>
        <v>0</v>
      </c>
      <c r="AS286" s="129">
        <f t="shared" si="74"/>
        <v>0</v>
      </c>
      <c r="AT286" s="312">
        <f t="shared" si="75"/>
        <v>1</v>
      </c>
      <c r="AV286" s="312"/>
      <c r="AW286" s="129">
        <v>0.25</v>
      </c>
      <c r="AX286" s="129">
        <v>0.25</v>
      </c>
      <c r="AY286" s="129">
        <v>0.25</v>
      </c>
      <c r="AZ286" s="129">
        <v>0.25</v>
      </c>
      <c r="BA286" s="314"/>
      <c r="BF286" s="314"/>
      <c r="BL286" s="314"/>
      <c r="BM286" s="129">
        <f t="shared" si="76"/>
        <v>1</v>
      </c>
      <c r="BN286" s="129">
        <f t="shared" si="77"/>
        <v>1</v>
      </c>
      <c r="BR286" s="129">
        <v>521623</v>
      </c>
      <c r="BS286" s="129">
        <v>175758</v>
      </c>
      <c r="BT286" s="129" t="s">
        <v>175</v>
      </c>
      <c r="BU286" s="129" t="s">
        <v>190</v>
      </c>
      <c r="CC286" s="129" t="s">
        <v>359</v>
      </c>
      <c r="CD286" s="129" t="s">
        <v>167</v>
      </c>
      <c r="CE286" s="313"/>
    </row>
    <row r="287" spans="1:83" x14ac:dyDescent="0.25">
      <c r="A287" s="129" t="s">
        <v>1404</v>
      </c>
      <c r="B287" s="129" t="s">
        <v>369</v>
      </c>
      <c r="C287" s="248" t="s">
        <v>370</v>
      </c>
      <c r="D287" s="309">
        <v>45376</v>
      </c>
      <c r="E287" s="309">
        <v>46471</v>
      </c>
      <c r="J287" s="129" t="s">
        <v>267</v>
      </c>
      <c r="K287" s="129" t="s">
        <v>268</v>
      </c>
      <c r="M287" s="191"/>
      <c r="O287" s="129" t="s">
        <v>1405</v>
      </c>
      <c r="P287" s="129" t="s">
        <v>1406</v>
      </c>
      <c r="Q287" s="129" t="s">
        <v>1407</v>
      </c>
      <c r="AA287" s="312">
        <f t="shared" si="78"/>
        <v>0</v>
      </c>
      <c r="AC287" s="129">
        <v>1</v>
      </c>
      <c r="AK287" s="312">
        <f t="shared" si="66"/>
        <v>1</v>
      </c>
      <c r="AL287" s="129">
        <f t="shared" si="67"/>
        <v>1</v>
      </c>
      <c r="AM287" s="129">
        <f t="shared" si="68"/>
        <v>0</v>
      </c>
      <c r="AN287" s="129">
        <f t="shared" si="69"/>
        <v>0</v>
      </c>
      <c r="AO287" s="129">
        <f t="shared" si="70"/>
        <v>0</v>
      </c>
      <c r="AP287" s="129">
        <f t="shared" si="71"/>
        <v>0</v>
      </c>
      <c r="AQ287" s="129">
        <f t="shared" si="72"/>
        <v>0</v>
      </c>
      <c r="AR287" s="129">
        <f t="shared" si="73"/>
        <v>0</v>
      </c>
      <c r="AS287" s="129">
        <f t="shared" si="74"/>
        <v>0</v>
      </c>
      <c r="AT287" s="312">
        <f t="shared" si="75"/>
        <v>1</v>
      </c>
      <c r="AV287" s="312"/>
      <c r="AW287" s="129">
        <v>0.25</v>
      </c>
      <c r="AX287" s="129">
        <v>0.25</v>
      </c>
      <c r="AY287" s="129">
        <v>0.25</v>
      </c>
      <c r="AZ287" s="129">
        <v>0.25</v>
      </c>
      <c r="BA287" s="314"/>
      <c r="BF287" s="314"/>
      <c r="BL287" s="314"/>
      <c r="BM287" s="129">
        <f t="shared" si="76"/>
        <v>1</v>
      </c>
      <c r="BN287" s="129">
        <f t="shared" si="77"/>
        <v>1</v>
      </c>
      <c r="BR287" s="129">
        <v>514200</v>
      </c>
      <c r="BS287" s="129">
        <v>173509</v>
      </c>
      <c r="BT287" s="129" t="s">
        <v>173</v>
      </c>
      <c r="BU287" s="129" t="s">
        <v>156</v>
      </c>
      <c r="BV287" s="129" t="s">
        <v>156</v>
      </c>
      <c r="CC287" s="129" t="s">
        <v>359</v>
      </c>
      <c r="CD287" s="129" t="s">
        <v>203</v>
      </c>
      <c r="CE287" s="313"/>
    </row>
    <row r="288" spans="1:83" x14ac:dyDescent="0.25">
      <c r="A288" s="129" t="s">
        <v>1408</v>
      </c>
      <c r="B288" s="129" t="s">
        <v>482</v>
      </c>
      <c r="C288" s="129" t="s">
        <v>353</v>
      </c>
      <c r="D288" s="309">
        <v>45714</v>
      </c>
      <c r="E288" s="309">
        <v>46809</v>
      </c>
      <c r="H288" s="310" t="s">
        <v>359</v>
      </c>
      <c r="I288" s="315">
        <v>45943</v>
      </c>
      <c r="J288" s="129" t="s">
        <v>267</v>
      </c>
      <c r="K288" s="129" t="s">
        <v>268</v>
      </c>
      <c r="M288" s="191"/>
      <c r="O288" s="129" t="s">
        <v>1409</v>
      </c>
      <c r="P288" s="129" t="s">
        <v>1410</v>
      </c>
      <c r="Q288" s="129" t="s">
        <v>1411</v>
      </c>
      <c r="U288" s="129">
        <v>1</v>
      </c>
      <c r="AA288" s="312">
        <f t="shared" si="78"/>
        <v>1</v>
      </c>
      <c r="AC288" s="129">
        <v>2</v>
      </c>
      <c r="AK288" s="312">
        <f t="shared" si="66"/>
        <v>2</v>
      </c>
      <c r="AL288" s="129">
        <f t="shared" si="67"/>
        <v>2</v>
      </c>
      <c r="AM288" s="129">
        <f t="shared" si="68"/>
        <v>0</v>
      </c>
      <c r="AN288" s="129">
        <f t="shared" si="69"/>
        <v>-1</v>
      </c>
      <c r="AO288" s="129">
        <f t="shared" si="70"/>
        <v>0</v>
      </c>
      <c r="AP288" s="129">
        <f t="shared" si="71"/>
        <v>0</v>
      </c>
      <c r="AQ288" s="129">
        <f t="shared" si="72"/>
        <v>0</v>
      </c>
      <c r="AR288" s="129">
        <f t="shared" si="73"/>
        <v>0</v>
      </c>
      <c r="AS288" s="129">
        <f t="shared" si="74"/>
        <v>0</v>
      </c>
      <c r="AT288" s="312">
        <f t="shared" si="75"/>
        <v>1</v>
      </c>
      <c r="AV288" s="312"/>
      <c r="AW288" s="129">
        <v>1</v>
      </c>
      <c r="BA288" s="314"/>
      <c r="BF288" s="314"/>
      <c r="BL288" s="314"/>
      <c r="BM288" s="129">
        <f t="shared" si="76"/>
        <v>1</v>
      </c>
      <c r="BN288" s="129">
        <f t="shared" si="77"/>
        <v>1</v>
      </c>
      <c r="BR288" s="129">
        <v>520029</v>
      </c>
      <c r="BS288" s="129">
        <v>175366</v>
      </c>
      <c r="BT288" s="129" t="s">
        <v>176</v>
      </c>
      <c r="BU288" s="129" t="s">
        <v>150</v>
      </c>
      <c r="BV288" s="129" t="s">
        <v>149</v>
      </c>
      <c r="CC288" s="129" t="s">
        <v>359</v>
      </c>
      <c r="CD288" s="129" t="s">
        <v>199</v>
      </c>
      <c r="CE288" s="313"/>
    </row>
    <row r="289" spans="1:83" x14ac:dyDescent="0.25">
      <c r="A289" s="129" t="s">
        <v>1412</v>
      </c>
      <c r="B289" s="129" t="s">
        <v>352</v>
      </c>
      <c r="C289" s="129" t="s">
        <v>353</v>
      </c>
      <c r="D289" s="309">
        <v>45414</v>
      </c>
      <c r="E289" s="309">
        <v>46509</v>
      </c>
      <c r="H289" s="310" t="s">
        <v>359</v>
      </c>
      <c r="J289" s="129" t="s">
        <v>267</v>
      </c>
      <c r="K289" s="129" t="s">
        <v>268</v>
      </c>
      <c r="M289" s="191"/>
      <c r="O289" s="129" t="s">
        <v>1413</v>
      </c>
      <c r="P289" s="129" t="s">
        <v>1414</v>
      </c>
      <c r="Q289" s="129" t="s">
        <v>1415</v>
      </c>
      <c r="U289" s="129">
        <v>1</v>
      </c>
      <c r="AA289" s="312">
        <f t="shared" si="78"/>
        <v>1</v>
      </c>
      <c r="AF289" s="129">
        <v>1</v>
      </c>
      <c r="AK289" s="312">
        <f t="shared" si="66"/>
        <v>1</v>
      </c>
      <c r="AL289" s="129">
        <f t="shared" si="67"/>
        <v>0</v>
      </c>
      <c r="AM289" s="129">
        <f t="shared" si="68"/>
        <v>0</v>
      </c>
      <c r="AN289" s="129">
        <f t="shared" si="69"/>
        <v>-1</v>
      </c>
      <c r="AO289" s="129">
        <f t="shared" si="70"/>
        <v>1</v>
      </c>
      <c r="AP289" s="129">
        <f t="shared" si="71"/>
        <v>0</v>
      </c>
      <c r="AQ289" s="129">
        <f t="shared" si="72"/>
        <v>0</v>
      </c>
      <c r="AR289" s="129">
        <f t="shared" si="73"/>
        <v>0</v>
      </c>
      <c r="AS289" s="129">
        <f t="shared" si="74"/>
        <v>0</v>
      </c>
      <c r="AT289" s="312">
        <f t="shared" si="75"/>
        <v>0</v>
      </c>
      <c r="AV289" s="312"/>
      <c r="AW289" s="129">
        <v>0</v>
      </c>
      <c r="BA289" s="314"/>
      <c r="BF289" s="314"/>
      <c r="BL289" s="314"/>
      <c r="BM289" s="129">
        <f t="shared" si="76"/>
        <v>0</v>
      </c>
      <c r="BN289" s="129">
        <f t="shared" si="77"/>
        <v>0</v>
      </c>
      <c r="BR289" s="129">
        <v>522561</v>
      </c>
      <c r="BS289" s="129">
        <v>177624</v>
      </c>
      <c r="BT289" s="129" t="s">
        <v>167</v>
      </c>
      <c r="BU289" s="129" t="s">
        <v>190</v>
      </c>
      <c r="CD289" s="129" t="s">
        <v>167</v>
      </c>
      <c r="CE289" s="313"/>
    </row>
    <row r="290" spans="1:83" x14ac:dyDescent="0.25">
      <c r="A290" s="129" t="s">
        <v>1416</v>
      </c>
      <c r="B290" s="129" t="s">
        <v>369</v>
      </c>
      <c r="C290" s="129" t="s">
        <v>353</v>
      </c>
      <c r="D290" s="309">
        <v>45607</v>
      </c>
      <c r="E290" s="309">
        <v>46702</v>
      </c>
      <c r="H290" s="310" t="s">
        <v>359</v>
      </c>
      <c r="J290" s="129" t="s">
        <v>267</v>
      </c>
      <c r="K290" s="129" t="s">
        <v>268</v>
      </c>
      <c r="M290" s="191"/>
      <c r="O290" s="129" t="s">
        <v>1417</v>
      </c>
      <c r="P290" s="129" t="s">
        <v>1418</v>
      </c>
      <c r="Q290" s="129" t="s">
        <v>1419</v>
      </c>
      <c r="AA290" s="312">
        <f t="shared" si="78"/>
        <v>0</v>
      </c>
      <c r="AC290" s="129">
        <v>4</v>
      </c>
      <c r="AD290" s="129">
        <v>3</v>
      </c>
      <c r="AK290" s="312">
        <f t="shared" si="66"/>
        <v>7</v>
      </c>
      <c r="AL290" s="129">
        <f t="shared" si="67"/>
        <v>4</v>
      </c>
      <c r="AM290" s="129">
        <f t="shared" si="68"/>
        <v>3</v>
      </c>
      <c r="AN290" s="129">
        <f t="shared" si="69"/>
        <v>0</v>
      </c>
      <c r="AO290" s="129">
        <f t="shared" si="70"/>
        <v>0</v>
      </c>
      <c r="AP290" s="129">
        <f t="shared" si="71"/>
        <v>0</v>
      </c>
      <c r="AQ290" s="129">
        <f t="shared" si="72"/>
        <v>0</v>
      </c>
      <c r="AR290" s="129">
        <f t="shared" si="73"/>
        <v>0</v>
      </c>
      <c r="AS290" s="129">
        <f t="shared" si="74"/>
        <v>0</v>
      </c>
      <c r="AT290" s="312">
        <f t="shared" si="75"/>
        <v>7</v>
      </c>
      <c r="AV290" s="312"/>
      <c r="AX290" s="129">
        <v>1.75</v>
      </c>
      <c r="AY290" s="129">
        <v>1.75</v>
      </c>
      <c r="AZ290" s="129">
        <v>1.75</v>
      </c>
      <c r="BA290" s="314">
        <v>1.75</v>
      </c>
      <c r="BF290" s="314"/>
      <c r="BL290" s="314"/>
      <c r="BM290" s="129">
        <f t="shared" si="76"/>
        <v>7</v>
      </c>
      <c r="BN290" s="129">
        <f t="shared" si="77"/>
        <v>7</v>
      </c>
      <c r="BR290" s="129">
        <v>517897</v>
      </c>
      <c r="BS290" s="129">
        <v>174945</v>
      </c>
      <c r="BT290" s="129" t="s">
        <v>177</v>
      </c>
      <c r="BU290" s="129" t="s">
        <v>150</v>
      </c>
      <c r="BV290" s="129" t="s">
        <v>150</v>
      </c>
      <c r="CA290" s="129" t="s">
        <v>606</v>
      </c>
      <c r="CB290" s="129" t="s">
        <v>359</v>
      </c>
      <c r="CC290" s="129" t="s">
        <v>359</v>
      </c>
      <c r="CD290" s="129" t="s">
        <v>200</v>
      </c>
      <c r="CE290" s="313"/>
    </row>
    <row r="291" spans="1:83" x14ac:dyDescent="0.25">
      <c r="A291" s="129" t="s">
        <v>1420</v>
      </c>
      <c r="B291" s="129" t="s">
        <v>377</v>
      </c>
      <c r="C291" s="248" t="s">
        <v>370</v>
      </c>
      <c r="D291" s="309">
        <v>45407</v>
      </c>
      <c r="E291" s="309">
        <v>46502</v>
      </c>
      <c r="H291" s="310" t="s">
        <v>359</v>
      </c>
      <c r="J291" s="129" t="s">
        <v>267</v>
      </c>
      <c r="K291" s="129" t="s">
        <v>268</v>
      </c>
      <c r="M291" s="191"/>
      <c r="O291" s="129" t="s">
        <v>1421</v>
      </c>
      <c r="P291" s="129" t="s">
        <v>1422</v>
      </c>
      <c r="Q291" s="129" t="s">
        <v>416</v>
      </c>
      <c r="AA291" s="312">
        <f t="shared" si="78"/>
        <v>0</v>
      </c>
      <c r="AC291" s="129">
        <v>1</v>
      </c>
      <c r="AD291" s="129">
        <v>2</v>
      </c>
      <c r="AK291" s="312">
        <f t="shared" si="66"/>
        <v>3</v>
      </c>
      <c r="AL291" s="129">
        <f t="shared" si="67"/>
        <v>1</v>
      </c>
      <c r="AM291" s="129">
        <f t="shared" si="68"/>
        <v>2</v>
      </c>
      <c r="AN291" s="129">
        <f t="shared" si="69"/>
        <v>0</v>
      </c>
      <c r="AO291" s="129">
        <f t="shared" si="70"/>
        <v>0</v>
      </c>
      <c r="AP291" s="129">
        <f t="shared" si="71"/>
        <v>0</v>
      </c>
      <c r="AQ291" s="129">
        <f t="shared" si="72"/>
        <v>0</v>
      </c>
      <c r="AR291" s="129">
        <f t="shared" si="73"/>
        <v>0</v>
      </c>
      <c r="AS291" s="129">
        <f t="shared" si="74"/>
        <v>0</v>
      </c>
      <c r="AT291" s="312">
        <f t="shared" si="75"/>
        <v>3</v>
      </c>
      <c r="AV291" s="312"/>
      <c r="AW291" s="129">
        <v>0.75</v>
      </c>
      <c r="AX291" s="129">
        <v>0.75</v>
      </c>
      <c r="AY291" s="129">
        <v>0.75</v>
      </c>
      <c r="AZ291" s="129">
        <v>0.75</v>
      </c>
      <c r="BA291" s="314"/>
      <c r="BF291" s="314"/>
      <c r="BL291" s="314"/>
      <c r="BM291" s="129">
        <f t="shared" si="76"/>
        <v>3</v>
      </c>
      <c r="BN291" s="129">
        <f t="shared" si="77"/>
        <v>3</v>
      </c>
      <c r="BR291" s="129">
        <v>516087</v>
      </c>
      <c r="BS291" s="129">
        <v>173122</v>
      </c>
      <c r="BT291" s="129" t="s">
        <v>178</v>
      </c>
      <c r="BU291" s="129" t="s">
        <v>154</v>
      </c>
      <c r="BV291" s="129" t="s">
        <v>154</v>
      </c>
      <c r="CC291" s="129" t="s">
        <v>359</v>
      </c>
      <c r="CD291" s="129" t="s">
        <v>202</v>
      </c>
      <c r="CE291" s="313"/>
    </row>
    <row r="292" spans="1:83" x14ac:dyDescent="0.25">
      <c r="A292" s="129" t="s">
        <v>1423</v>
      </c>
      <c r="B292" s="129" t="s">
        <v>369</v>
      </c>
      <c r="C292" s="129" t="s">
        <v>353</v>
      </c>
      <c r="D292" s="309">
        <v>45554</v>
      </c>
      <c r="E292" s="309">
        <v>46649</v>
      </c>
      <c r="H292" s="310" t="s">
        <v>359</v>
      </c>
      <c r="J292" s="129" t="s">
        <v>267</v>
      </c>
      <c r="K292" s="129" t="s">
        <v>268</v>
      </c>
      <c r="M292" s="191"/>
      <c r="O292" s="129" t="s">
        <v>1424</v>
      </c>
      <c r="P292" s="129" t="s">
        <v>1425</v>
      </c>
      <c r="Q292" s="129" t="s">
        <v>1426</v>
      </c>
      <c r="AA292" s="312">
        <f t="shared" si="78"/>
        <v>0</v>
      </c>
      <c r="AD292" s="129">
        <v>1</v>
      </c>
      <c r="AE292" s="129">
        <v>3</v>
      </c>
      <c r="AK292" s="312">
        <f t="shared" si="66"/>
        <v>4</v>
      </c>
      <c r="AL292" s="129">
        <f t="shared" si="67"/>
        <v>0</v>
      </c>
      <c r="AM292" s="129">
        <f t="shared" si="68"/>
        <v>1</v>
      </c>
      <c r="AN292" s="129">
        <f t="shared" si="69"/>
        <v>3</v>
      </c>
      <c r="AO292" s="129">
        <f t="shared" si="70"/>
        <v>0</v>
      </c>
      <c r="AP292" s="129">
        <f t="shared" si="71"/>
        <v>0</v>
      </c>
      <c r="AQ292" s="129">
        <f t="shared" si="72"/>
        <v>0</v>
      </c>
      <c r="AR292" s="129">
        <f t="shared" si="73"/>
        <v>0</v>
      </c>
      <c r="AS292" s="129">
        <f t="shared" si="74"/>
        <v>0</v>
      </c>
      <c r="AT292" s="312">
        <f t="shared" si="75"/>
        <v>4</v>
      </c>
      <c r="AV292" s="312"/>
      <c r="AX292" s="129">
        <v>1</v>
      </c>
      <c r="AY292" s="129">
        <v>1</v>
      </c>
      <c r="AZ292" s="129">
        <v>1</v>
      </c>
      <c r="BA292" s="314">
        <v>1</v>
      </c>
      <c r="BF292" s="314"/>
      <c r="BL292" s="314"/>
      <c r="BM292" s="129">
        <f t="shared" si="76"/>
        <v>4</v>
      </c>
      <c r="BN292" s="129">
        <f t="shared" si="77"/>
        <v>4</v>
      </c>
      <c r="BR292" s="129">
        <v>520256</v>
      </c>
      <c r="BS292" s="129">
        <v>175337</v>
      </c>
      <c r="BT292" s="129" t="s">
        <v>149</v>
      </c>
      <c r="BU292" s="129" t="s">
        <v>190</v>
      </c>
      <c r="BV292" s="129" t="s">
        <v>149</v>
      </c>
      <c r="CC292" s="129" t="s">
        <v>359</v>
      </c>
      <c r="CD292" s="129" t="s">
        <v>199</v>
      </c>
      <c r="CE292" s="313"/>
    </row>
    <row r="293" spans="1:83" x14ac:dyDescent="0.25">
      <c r="A293" s="129" t="s">
        <v>1427</v>
      </c>
      <c r="B293" s="129" t="s">
        <v>352</v>
      </c>
      <c r="C293" s="129" t="s">
        <v>353</v>
      </c>
      <c r="D293" s="309">
        <v>45588</v>
      </c>
      <c r="E293" s="309">
        <v>46683</v>
      </c>
      <c r="H293" s="310" t="s">
        <v>359</v>
      </c>
      <c r="J293" s="129" t="s">
        <v>267</v>
      </c>
      <c r="K293" s="129" t="s">
        <v>268</v>
      </c>
      <c r="M293" s="191"/>
      <c r="O293" s="129" t="s">
        <v>1428</v>
      </c>
      <c r="P293" s="129" t="s">
        <v>1429</v>
      </c>
      <c r="Q293" s="129" t="s">
        <v>1193</v>
      </c>
      <c r="U293" s="129">
        <v>1</v>
      </c>
      <c r="AA293" s="312">
        <f t="shared" si="78"/>
        <v>1</v>
      </c>
      <c r="AG293" s="129">
        <v>1</v>
      </c>
      <c r="AK293" s="312">
        <f t="shared" si="66"/>
        <v>1</v>
      </c>
      <c r="AL293" s="129">
        <f t="shared" si="67"/>
        <v>0</v>
      </c>
      <c r="AM293" s="129">
        <f t="shared" si="68"/>
        <v>0</v>
      </c>
      <c r="AN293" s="129">
        <f t="shared" si="69"/>
        <v>-1</v>
      </c>
      <c r="AO293" s="129">
        <f t="shared" si="70"/>
        <v>0</v>
      </c>
      <c r="AP293" s="129">
        <f t="shared" si="71"/>
        <v>1</v>
      </c>
      <c r="AQ293" s="129">
        <f t="shared" si="72"/>
        <v>0</v>
      </c>
      <c r="AR293" s="129">
        <f t="shared" si="73"/>
        <v>0</v>
      </c>
      <c r="AS293" s="129">
        <f t="shared" si="74"/>
        <v>0</v>
      </c>
      <c r="AT293" s="312">
        <f t="shared" si="75"/>
        <v>0</v>
      </c>
      <c r="AV293" s="312"/>
      <c r="AW293" s="129">
        <v>0</v>
      </c>
      <c r="BA293" s="314"/>
      <c r="BF293" s="314"/>
      <c r="BL293" s="314"/>
      <c r="BM293" s="129">
        <f t="shared" si="76"/>
        <v>0</v>
      </c>
      <c r="BN293" s="129">
        <f t="shared" si="77"/>
        <v>0</v>
      </c>
      <c r="BR293" s="129">
        <v>517870</v>
      </c>
      <c r="BS293" s="129">
        <v>172671</v>
      </c>
      <c r="BT293" s="129" t="s">
        <v>169</v>
      </c>
      <c r="BU293" s="129" t="s">
        <v>191</v>
      </c>
      <c r="CD293" s="129" t="s">
        <v>197</v>
      </c>
      <c r="CE293" s="313"/>
    </row>
    <row r="294" spans="1:83" x14ac:dyDescent="0.25">
      <c r="A294" s="129" t="s">
        <v>1430</v>
      </c>
      <c r="B294" s="129" t="s">
        <v>369</v>
      </c>
      <c r="C294" s="248" t="s">
        <v>370</v>
      </c>
      <c r="D294" s="309">
        <v>45420</v>
      </c>
      <c r="E294" s="309">
        <v>46515</v>
      </c>
      <c r="H294" s="310" t="s">
        <v>359</v>
      </c>
      <c r="J294" s="129" t="s">
        <v>267</v>
      </c>
      <c r="K294" s="129" t="s">
        <v>268</v>
      </c>
      <c r="M294" s="191"/>
      <c r="O294" s="129" t="s">
        <v>1431</v>
      </c>
      <c r="P294" s="129" t="s">
        <v>1323</v>
      </c>
      <c r="Q294" s="129" t="s">
        <v>1324</v>
      </c>
      <c r="AA294" s="312">
        <f t="shared" si="78"/>
        <v>0</v>
      </c>
      <c r="AC294" s="129">
        <v>2</v>
      </c>
      <c r="AK294" s="312">
        <f t="shared" si="66"/>
        <v>2</v>
      </c>
      <c r="AL294" s="129">
        <f t="shared" si="67"/>
        <v>2</v>
      </c>
      <c r="AM294" s="129">
        <f t="shared" si="68"/>
        <v>0</v>
      </c>
      <c r="AN294" s="129">
        <f t="shared" si="69"/>
        <v>0</v>
      </c>
      <c r="AO294" s="129">
        <f t="shared" si="70"/>
        <v>0</v>
      </c>
      <c r="AP294" s="129">
        <f t="shared" si="71"/>
        <v>0</v>
      </c>
      <c r="AQ294" s="129">
        <f t="shared" si="72"/>
        <v>0</v>
      </c>
      <c r="AR294" s="129">
        <f t="shared" si="73"/>
        <v>0</v>
      </c>
      <c r="AS294" s="129">
        <f t="shared" si="74"/>
        <v>0</v>
      </c>
      <c r="AT294" s="312">
        <f t="shared" si="75"/>
        <v>2</v>
      </c>
      <c r="AV294" s="312"/>
      <c r="AW294" s="129">
        <v>0.5</v>
      </c>
      <c r="AX294" s="129">
        <v>0.5</v>
      </c>
      <c r="AY294" s="129">
        <v>0.5</v>
      </c>
      <c r="AZ294" s="129">
        <v>0.5</v>
      </c>
      <c r="BA294" s="314"/>
      <c r="BF294" s="314"/>
      <c r="BL294" s="314"/>
      <c r="BM294" s="129">
        <f t="shared" si="76"/>
        <v>2</v>
      </c>
      <c r="BN294" s="129">
        <f t="shared" si="77"/>
        <v>2</v>
      </c>
      <c r="BR294" s="129">
        <v>514554</v>
      </c>
      <c r="BS294" s="129">
        <v>171260</v>
      </c>
      <c r="BT294" s="129" t="s">
        <v>168</v>
      </c>
      <c r="BU294" s="129" t="s">
        <v>192</v>
      </c>
      <c r="BX294" s="129" t="s">
        <v>404</v>
      </c>
      <c r="BY294" s="129" t="s">
        <v>359</v>
      </c>
      <c r="CC294" s="129" t="s">
        <v>359</v>
      </c>
      <c r="CD294" s="129" t="s">
        <v>198</v>
      </c>
      <c r="CE294" s="313"/>
    </row>
    <row r="295" spans="1:83" x14ac:dyDescent="0.25">
      <c r="A295" s="129" t="s">
        <v>1432</v>
      </c>
      <c r="B295" s="129" t="s">
        <v>369</v>
      </c>
      <c r="C295" s="129" t="s">
        <v>353</v>
      </c>
      <c r="D295" s="309">
        <v>45635</v>
      </c>
      <c r="E295" s="309">
        <v>46730</v>
      </c>
      <c r="H295" s="310" t="s">
        <v>359</v>
      </c>
      <c r="J295" s="129" t="s">
        <v>267</v>
      </c>
      <c r="K295" s="129" t="s">
        <v>268</v>
      </c>
      <c r="M295" s="191"/>
      <c r="O295" s="129" t="s">
        <v>1433</v>
      </c>
      <c r="P295" s="129" t="s">
        <v>1434</v>
      </c>
      <c r="Q295" s="129" t="s">
        <v>1435</v>
      </c>
      <c r="U295" s="129">
        <v>1</v>
      </c>
      <c r="V295" s="129">
        <v>1</v>
      </c>
      <c r="AA295" s="312">
        <f t="shared" si="78"/>
        <v>2</v>
      </c>
      <c r="AF295" s="129">
        <v>2</v>
      </c>
      <c r="AK295" s="312">
        <f t="shared" si="66"/>
        <v>2</v>
      </c>
      <c r="AL295" s="129">
        <f t="shared" si="67"/>
        <v>0</v>
      </c>
      <c r="AM295" s="129">
        <f t="shared" si="68"/>
        <v>0</v>
      </c>
      <c r="AN295" s="129">
        <f t="shared" si="69"/>
        <v>-1</v>
      </c>
      <c r="AO295" s="129">
        <f t="shared" si="70"/>
        <v>1</v>
      </c>
      <c r="AP295" s="129">
        <f t="shared" si="71"/>
        <v>0</v>
      </c>
      <c r="AQ295" s="129">
        <f t="shared" si="72"/>
        <v>0</v>
      </c>
      <c r="AR295" s="129">
        <f t="shared" si="73"/>
        <v>0</v>
      </c>
      <c r="AS295" s="129">
        <f t="shared" si="74"/>
        <v>0</v>
      </c>
      <c r="AT295" s="312">
        <f t="shared" si="75"/>
        <v>0</v>
      </c>
      <c r="AV295" s="312"/>
      <c r="AW295" s="129">
        <v>0</v>
      </c>
      <c r="BA295" s="314"/>
      <c r="BF295" s="314"/>
      <c r="BL295" s="314"/>
      <c r="BM295" s="129">
        <f t="shared" si="76"/>
        <v>0</v>
      </c>
      <c r="BN295" s="129">
        <f t="shared" si="77"/>
        <v>0</v>
      </c>
      <c r="BR295" s="129">
        <v>519756</v>
      </c>
      <c r="BS295" s="129">
        <v>175319</v>
      </c>
      <c r="BT295" s="129" t="s">
        <v>149</v>
      </c>
      <c r="BU295" s="129" t="s">
        <v>190</v>
      </c>
      <c r="CC295" s="129" t="s">
        <v>359</v>
      </c>
      <c r="CD295" s="129" t="s">
        <v>199</v>
      </c>
      <c r="CE295" s="313"/>
    </row>
    <row r="296" spans="1:83" x14ac:dyDescent="0.25">
      <c r="A296" s="129" t="s">
        <v>1436</v>
      </c>
      <c r="B296" s="129" t="s">
        <v>352</v>
      </c>
      <c r="C296" s="129" t="s">
        <v>353</v>
      </c>
      <c r="D296" s="309">
        <v>45594</v>
      </c>
      <c r="E296" s="309">
        <v>46689</v>
      </c>
      <c r="H296" s="310" t="s">
        <v>359</v>
      </c>
      <c r="J296" s="129" t="s">
        <v>267</v>
      </c>
      <c r="K296" s="129" t="s">
        <v>268</v>
      </c>
      <c r="M296" s="191"/>
      <c r="O296" s="129" t="s">
        <v>1437</v>
      </c>
      <c r="P296" s="129" t="s">
        <v>1438</v>
      </c>
      <c r="Q296" s="129" t="s">
        <v>1439</v>
      </c>
      <c r="AA296" s="312">
        <f t="shared" si="78"/>
        <v>0</v>
      </c>
      <c r="AE296" s="129">
        <v>1</v>
      </c>
      <c r="AK296" s="312">
        <f t="shared" si="66"/>
        <v>1</v>
      </c>
      <c r="AL296" s="129">
        <f t="shared" si="67"/>
        <v>0</v>
      </c>
      <c r="AM296" s="129">
        <f t="shared" si="68"/>
        <v>0</v>
      </c>
      <c r="AN296" s="129">
        <f t="shared" si="69"/>
        <v>1</v>
      </c>
      <c r="AO296" s="129">
        <f t="shared" si="70"/>
        <v>0</v>
      </c>
      <c r="AP296" s="129">
        <f t="shared" si="71"/>
        <v>0</v>
      </c>
      <c r="AQ296" s="129">
        <f t="shared" si="72"/>
        <v>0</v>
      </c>
      <c r="AR296" s="129">
        <f t="shared" si="73"/>
        <v>0</v>
      </c>
      <c r="AS296" s="129">
        <f t="shared" si="74"/>
        <v>0</v>
      </c>
      <c r="AT296" s="312">
        <f t="shared" si="75"/>
        <v>1</v>
      </c>
      <c r="AV296" s="312"/>
      <c r="AW296" s="129">
        <v>0.25</v>
      </c>
      <c r="AX296" s="129">
        <v>0.25</v>
      </c>
      <c r="AY296" s="129">
        <v>0.25</v>
      </c>
      <c r="AZ296" s="129">
        <v>0.25</v>
      </c>
      <c r="BA296" s="314"/>
      <c r="BF296" s="314"/>
      <c r="BL296" s="314"/>
      <c r="BM296" s="129">
        <f t="shared" si="76"/>
        <v>1</v>
      </c>
      <c r="BN296" s="129">
        <f t="shared" si="77"/>
        <v>1</v>
      </c>
      <c r="BR296" s="129">
        <v>520076</v>
      </c>
      <c r="BS296" s="129">
        <v>175642</v>
      </c>
      <c r="BT296" s="129" t="s">
        <v>176</v>
      </c>
      <c r="BU296" s="129" t="s">
        <v>150</v>
      </c>
      <c r="CC296" s="129" t="s">
        <v>359</v>
      </c>
      <c r="CD296" s="129" t="s">
        <v>199</v>
      </c>
      <c r="CE296" s="313" t="s">
        <v>359</v>
      </c>
    </row>
    <row r="297" spans="1:83" x14ac:dyDescent="0.25">
      <c r="A297" s="129" t="s">
        <v>1440</v>
      </c>
      <c r="B297" s="129" t="s">
        <v>369</v>
      </c>
      <c r="C297" s="129" t="s">
        <v>353</v>
      </c>
      <c r="D297" s="309">
        <v>45614</v>
      </c>
      <c r="E297" s="309">
        <v>46709</v>
      </c>
      <c r="H297" s="310" t="s">
        <v>359</v>
      </c>
      <c r="J297" s="129" t="s">
        <v>267</v>
      </c>
      <c r="K297" s="129" t="s">
        <v>268</v>
      </c>
      <c r="M297" s="191"/>
      <c r="O297" s="129" t="s">
        <v>1441</v>
      </c>
      <c r="P297" s="129" t="s">
        <v>1442</v>
      </c>
      <c r="Q297" s="129" t="s">
        <v>1443</v>
      </c>
      <c r="AA297" s="312">
        <f t="shared" si="78"/>
        <v>0</v>
      </c>
      <c r="AC297" s="129">
        <v>3</v>
      </c>
      <c r="AD297" s="129">
        <v>2</v>
      </c>
      <c r="AK297" s="312">
        <f t="shared" si="66"/>
        <v>5</v>
      </c>
      <c r="AL297" s="129">
        <f t="shared" si="67"/>
        <v>3</v>
      </c>
      <c r="AM297" s="129">
        <f t="shared" si="68"/>
        <v>2</v>
      </c>
      <c r="AN297" s="129">
        <f t="shared" si="69"/>
        <v>0</v>
      </c>
      <c r="AO297" s="129">
        <f t="shared" si="70"/>
        <v>0</v>
      </c>
      <c r="AP297" s="129">
        <f t="shared" si="71"/>
        <v>0</v>
      </c>
      <c r="AQ297" s="129">
        <f t="shared" si="72"/>
        <v>0</v>
      </c>
      <c r="AR297" s="129">
        <f t="shared" si="73"/>
        <v>0</v>
      </c>
      <c r="AS297" s="129">
        <f t="shared" si="74"/>
        <v>0</v>
      </c>
      <c r="AT297" s="312">
        <f t="shared" si="75"/>
        <v>5</v>
      </c>
      <c r="AV297" s="312"/>
      <c r="AX297" s="129">
        <v>1.25</v>
      </c>
      <c r="AY297" s="129">
        <v>1.25</v>
      </c>
      <c r="AZ297" s="129">
        <v>1.25</v>
      </c>
      <c r="BA297" s="314">
        <v>1.25</v>
      </c>
      <c r="BF297" s="314"/>
      <c r="BL297" s="314"/>
      <c r="BM297" s="129">
        <f t="shared" si="76"/>
        <v>5</v>
      </c>
      <c r="BN297" s="129">
        <f t="shared" si="77"/>
        <v>5</v>
      </c>
      <c r="BR297" s="129">
        <v>520965</v>
      </c>
      <c r="BS297" s="129">
        <v>175430</v>
      </c>
      <c r="BT297" s="129" t="s">
        <v>149</v>
      </c>
      <c r="BU297" s="129" t="s">
        <v>190</v>
      </c>
      <c r="BV297" s="129" t="s">
        <v>149</v>
      </c>
      <c r="CC297" s="129" t="s">
        <v>359</v>
      </c>
      <c r="CD297" s="129" t="s">
        <v>199</v>
      </c>
      <c r="CE297" s="313"/>
    </row>
    <row r="298" spans="1:83" x14ac:dyDescent="0.25">
      <c r="A298" s="129" t="s">
        <v>1444</v>
      </c>
      <c r="B298" s="129" t="s">
        <v>369</v>
      </c>
      <c r="C298" s="248" t="s">
        <v>370</v>
      </c>
      <c r="D298" s="309">
        <v>45457</v>
      </c>
      <c r="E298" s="309">
        <v>46552</v>
      </c>
      <c r="H298" s="310" t="s">
        <v>359</v>
      </c>
      <c r="J298" s="129" t="s">
        <v>267</v>
      </c>
      <c r="K298" s="129" t="s">
        <v>268</v>
      </c>
      <c r="M298" s="191"/>
      <c r="O298" s="129" t="s">
        <v>1445</v>
      </c>
      <c r="P298" s="129" t="s">
        <v>1446</v>
      </c>
      <c r="Q298" s="129" t="s">
        <v>1447</v>
      </c>
      <c r="AA298" s="312">
        <f t="shared" si="78"/>
        <v>0</v>
      </c>
      <c r="AD298" s="129">
        <v>2</v>
      </c>
      <c r="AK298" s="312">
        <f t="shared" si="66"/>
        <v>2</v>
      </c>
      <c r="AL298" s="129">
        <f t="shared" si="67"/>
        <v>0</v>
      </c>
      <c r="AM298" s="129">
        <f t="shared" si="68"/>
        <v>2</v>
      </c>
      <c r="AN298" s="129">
        <f t="shared" si="69"/>
        <v>0</v>
      </c>
      <c r="AO298" s="129">
        <f t="shared" si="70"/>
        <v>0</v>
      </c>
      <c r="AP298" s="129">
        <f t="shared" si="71"/>
        <v>0</v>
      </c>
      <c r="AQ298" s="129">
        <f t="shared" si="72"/>
        <v>0</v>
      </c>
      <c r="AR298" s="129">
        <f t="shared" si="73"/>
        <v>0</v>
      </c>
      <c r="AS298" s="129">
        <f t="shared" si="74"/>
        <v>0</v>
      </c>
      <c r="AT298" s="312">
        <f t="shared" si="75"/>
        <v>2</v>
      </c>
      <c r="AV298" s="312"/>
      <c r="AW298" s="129">
        <v>0.5</v>
      </c>
      <c r="AX298" s="129">
        <v>0.5</v>
      </c>
      <c r="AY298" s="129">
        <v>0.5</v>
      </c>
      <c r="AZ298" s="129">
        <v>0.5</v>
      </c>
      <c r="BA298" s="314"/>
      <c r="BF298" s="314"/>
      <c r="BL298" s="314"/>
      <c r="BM298" s="129">
        <f t="shared" si="76"/>
        <v>2</v>
      </c>
      <c r="BN298" s="129">
        <f t="shared" si="77"/>
        <v>2</v>
      </c>
      <c r="BR298" s="129">
        <v>520495</v>
      </c>
      <c r="BS298" s="129">
        <v>175597</v>
      </c>
      <c r="BT298" s="129" t="s">
        <v>149</v>
      </c>
      <c r="BU298" s="129" t="s">
        <v>190</v>
      </c>
      <c r="BV298" s="129" t="s">
        <v>149</v>
      </c>
      <c r="CA298" s="129" t="s">
        <v>617</v>
      </c>
      <c r="CB298" s="129" t="s">
        <v>359</v>
      </c>
      <c r="CC298" s="129" t="s">
        <v>359</v>
      </c>
      <c r="CD298" s="129" t="s">
        <v>199</v>
      </c>
      <c r="CE298" s="313"/>
    </row>
    <row r="299" spans="1:83" x14ac:dyDescent="0.25">
      <c r="A299" s="129" t="s">
        <v>1448</v>
      </c>
      <c r="B299" s="129" t="s">
        <v>377</v>
      </c>
      <c r="C299" s="129" t="s">
        <v>353</v>
      </c>
      <c r="D299" s="309">
        <v>45666</v>
      </c>
      <c r="E299" s="309">
        <v>46761</v>
      </c>
      <c r="H299" s="310" t="s">
        <v>359</v>
      </c>
      <c r="J299" s="129" t="s">
        <v>267</v>
      </c>
      <c r="K299" s="129" t="s">
        <v>268</v>
      </c>
      <c r="M299" s="191"/>
      <c r="O299" s="129" t="s">
        <v>1449</v>
      </c>
      <c r="P299" s="129" t="s">
        <v>1450</v>
      </c>
      <c r="Q299" s="129" t="s">
        <v>605</v>
      </c>
      <c r="AA299" s="312">
        <f t="shared" si="78"/>
        <v>0</v>
      </c>
      <c r="AK299" s="312">
        <f t="shared" si="66"/>
        <v>0</v>
      </c>
      <c r="AL299" s="129">
        <f t="shared" si="67"/>
        <v>0</v>
      </c>
      <c r="AM299" s="129">
        <f t="shared" si="68"/>
        <v>0</v>
      </c>
      <c r="AN299" s="129">
        <f t="shared" si="69"/>
        <v>0</v>
      </c>
      <c r="AO299" s="129">
        <f t="shared" si="70"/>
        <v>0</v>
      </c>
      <c r="AP299" s="129">
        <f t="shared" si="71"/>
        <v>0</v>
      </c>
      <c r="AQ299" s="129">
        <f t="shared" si="72"/>
        <v>0</v>
      </c>
      <c r="AR299" s="129">
        <f t="shared" si="73"/>
        <v>0</v>
      </c>
      <c r="AS299" s="129">
        <f t="shared" si="74"/>
        <v>0</v>
      </c>
      <c r="AT299" s="312">
        <f t="shared" si="75"/>
        <v>0</v>
      </c>
      <c r="AV299" s="312"/>
      <c r="AW299" s="129">
        <v>0</v>
      </c>
      <c r="BA299" s="314"/>
      <c r="BF299" s="314"/>
      <c r="BL299" s="314"/>
      <c r="BM299" s="129">
        <f t="shared" si="76"/>
        <v>0</v>
      </c>
      <c r="BN299" s="129">
        <f t="shared" si="77"/>
        <v>0</v>
      </c>
      <c r="BR299" s="129">
        <v>518061</v>
      </c>
      <c r="BS299" s="129">
        <v>175273</v>
      </c>
      <c r="BT299" s="129" t="s">
        <v>177</v>
      </c>
      <c r="BU299" s="129" t="s">
        <v>150</v>
      </c>
      <c r="BV299" s="129" t="s">
        <v>150</v>
      </c>
      <c r="CA299" s="129" t="s">
        <v>606</v>
      </c>
      <c r="CB299" s="129" t="s">
        <v>359</v>
      </c>
      <c r="CC299" s="129" t="s">
        <v>359</v>
      </c>
      <c r="CD299" s="129" t="s">
        <v>200</v>
      </c>
      <c r="CE299" s="313"/>
    </row>
    <row r="300" spans="1:83" x14ac:dyDescent="0.25">
      <c r="A300" s="129" t="s">
        <v>1451</v>
      </c>
      <c r="B300" s="129" t="s">
        <v>382</v>
      </c>
      <c r="C300" s="129" t="s">
        <v>353</v>
      </c>
      <c r="D300" s="309">
        <v>45597</v>
      </c>
      <c r="E300" s="309">
        <v>46692</v>
      </c>
      <c r="F300" s="309">
        <v>45748</v>
      </c>
      <c r="G300" s="310"/>
      <c r="H300" s="310" t="s">
        <v>359</v>
      </c>
      <c r="J300" s="129" t="s">
        <v>267</v>
      </c>
      <c r="K300" s="129" t="s">
        <v>268</v>
      </c>
      <c r="M300" s="191"/>
      <c r="O300" s="129" t="s">
        <v>1452</v>
      </c>
      <c r="P300" s="129" t="s">
        <v>1453</v>
      </c>
      <c r="Q300" s="129" t="s">
        <v>1454</v>
      </c>
      <c r="U300" s="129">
        <v>1</v>
      </c>
      <c r="AA300" s="312">
        <f t="shared" si="78"/>
        <v>1</v>
      </c>
      <c r="AF300" s="129">
        <v>1</v>
      </c>
      <c r="AK300" s="312">
        <f t="shared" si="66"/>
        <v>1</v>
      </c>
      <c r="AL300" s="129">
        <f t="shared" si="67"/>
        <v>0</v>
      </c>
      <c r="AM300" s="129">
        <f t="shared" si="68"/>
        <v>0</v>
      </c>
      <c r="AN300" s="129">
        <f t="shared" si="69"/>
        <v>-1</v>
      </c>
      <c r="AO300" s="129">
        <f t="shared" si="70"/>
        <v>1</v>
      </c>
      <c r="AP300" s="129">
        <f t="shared" si="71"/>
        <v>0</v>
      </c>
      <c r="AQ300" s="129">
        <f t="shared" si="72"/>
        <v>0</v>
      </c>
      <c r="AR300" s="129">
        <f t="shared" si="73"/>
        <v>0</v>
      </c>
      <c r="AS300" s="129">
        <f t="shared" si="74"/>
        <v>0</v>
      </c>
      <c r="AT300" s="312">
        <f t="shared" si="75"/>
        <v>0</v>
      </c>
      <c r="AV300" s="312"/>
      <c r="AW300" s="129">
        <v>0</v>
      </c>
      <c r="BA300" s="314"/>
      <c r="BF300" s="314"/>
      <c r="BL300" s="314"/>
      <c r="BM300" s="129">
        <f t="shared" si="76"/>
        <v>0</v>
      </c>
      <c r="BN300" s="129">
        <f t="shared" si="77"/>
        <v>0</v>
      </c>
      <c r="BR300" s="129">
        <v>515323</v>
      </c>
      <c r="BS300" s="129">
        <v>173040</v>
      </c>
      <c r="BT300" s="129" t="s">
        <v>178</v>
      </c>
      <c r="BU300" s="129" t="s">
        <v>154</v>
      </c>
      <c r="BX300" s="129" t="s">
        <v>1455</v>
      </c>
      <c r="BY300" s="129" t="s">
        <v>359</v>
      </c>
      <c r="CA300" s="129" t="s">
        <v>1141</v>
      </c>
      <c r="CB300" s="129" t="s">
        <v>359</v>
      </c>
      <c r="CC300" s="129" t="s">
        <v>359</v>
      </c>
      <c r="CD300" s="129" t="s">
        <v>202</v>
      </c>
      <c r="CE300" s="313"/>
    </row>
    <row r="301" spans="1:83" x14ac:dyDescent="0.25">
      <c r="A301" s="129" t="s">
        <v>1456</v>
      </c>
      <c r="B301" s="129" t="s">
        <v>369</v>
      </c>
      <c r="C301" s="248" t="s">
        <v>370</v>
      </c>
      <c r="D301" s="309">
        <v>45488</v>
      </c>
      <c r="E301" s="309">
        <v>46583</v>
      </c>
      <c r="H301" s="310" t="s">
        <v>359</v>
      </c>
      <c r="J301" s="129" t="s">
        <v>267</v>
      </c>
      <c r="K301" s="129" t="s">
        <v>268</v>
      </c>
      <c r="M301" s="191"/>
      <c r="O301" s="129" t="s">
        <v>1457</v>
      </c>
      <c r="P301" s="129" t="s">
        <v>1458</v>
      </c>
      <c r="Q301" s="129" t="s">
        <v>1459</v>
      </c>
      <c r="AA301" s="312">
        <f t="shared" si="78"/>
        <v>0</v>
      </c>
      <c r="AD301" s="129">
        <v>1</v>
      </c>
      <c r="AK301" s="312">
        <f t="shared" si="66"/>
        <v>1</v>
      </c>
      <c r="AL301" s="129">
        <f t="shared" si="67"/>
        <v>0</v>
      </c>
      <c r="AM301" s="129">
        <f t="shared" si="68"/>
        <v>1</v>
      </c>
      <c r="AN301" s="129">
        <f t="shared" si="69"/>
        <v>0</v>
      </c>
      <c r="AO301" s="129">
        <f t="shared" si="70"/>
        <v>0</v>
      </c>
      <c r="AP301" s="129">
        <f t="shared" si="71"/>
        <v>0</v>
      </c>
      <c r="AQ301" s="129">
        <f t="shared" si="72"/>
        <v>0</v>
      </c>
      <c r="AR301" s="129">
        <f t="shared" si="73"/>
        <v>0</v>
      </c>
      <c r="AS301" s="129">
        <f t="shared" si="74"/>
        <v>0</v>
      </c>
      <c r="AT301" s="312">
        <f t="shared" si="75"/>
        <v>1</v>
      </c>
      <c r="AV301" s="312"/>
      <c r="AW301" s="129">
        <v>0.25</v>
      </c>
      <c r="AX301" s="129">
        <v>0.25</v>
      </c>
      <c r="AY301" s="129">
        <v>0.25</v>
      </c>
      <c r="AZ301" s="129">
        <v>0.25</v>
      </c>
      <c r="BA301" s="314"/>
      <c r="BF301" s="314"/>
      <c r="BL301" s="314"/>
      <c r="BM301" s="129">
        <f t="shared" si="76"/>
        <v>1</v>
      </c>
      <c r="BN301" s="129">
        <f t="shared" si="77"/>
        <v>1</v>
      </c>
      <c r="BR301" s="129">
        <v>515652</v>
      </c>
      <c r="BS301" s="129">
        <v>171261</v>
      </c>
      <c r="BT301" s="129" t="s">
        <v>152</v>
      </c>
      <c r="BU301" s="129" t="s">
        <v>192</v>
      </c>
      <c r="CC301" s="129" t="s">
        <v>359</v>
      </c>
      <c r="CD301" s="129" t="s">
        <v>201</v>
      </c>
      <c r="CE301" s="313"/>
    </row>
    <row r="302" spans="1:83" x14ac:dyDescent="0.25">
      <c r="A302" s="129" t="s">
        <v>1460</v>
      </c>
      <c r="B302" s="129" t="s">
        <v>382</v>
      </c>
      <c r="C302" s="129" t="s">
        <v>353</v>
      </c>
      <c r="D302" s="309">
        <v>45673</v>
      </c>
      <c r="E302" s="309">
        <v>46768</v>
      </c>
      <c r="H302" s="310" t="s">
        <v>359</v>
      </c>
      <c r="J302" s="129" t="s">
        <v>267</v>
      </c>
      <c r="K302" s="129" t="s">
        <v>268</v>
      </c>
      <c r="M302" s="191"/>
      <c r="O302" s="129" t="s">
        <v>1461</v>
      </c>
      <c r="P302" s="129" t="s">
        <v>1214</v>
      </c>
      <c r="Q302" s="129" t="s">
        <v>1215</v>
      </c>
      <c r="AA302" s="312">
        <f t="shared" si="78"/>
        <v>0</v>
      </c>
      <c r="AD302" s="129">
        <v>2</v>
      </c>
      <c r="AK302" s="312">
        <f t="shared" si="66"/>
        <v>2</v>
      </c>
      <c r="AL302" s="129">
        <f t="shared" si="67"/>
        <v>0</v>
      </c>
      <c r="AM302" s="129">
        <f t="shared" si="68"/>
        <v>2</v>
      </c>
      <c r="AN302" s="129">
        <f t="shared" si="69"/>
        <v>0</v>
      </c>
      <c r="AO302" s="129">
        <f t="shared" si="70"/>
        <v>0</v>
      </c>
      <c r="AP302" s="129">
        <f t="shared" si="71"/>
        <v>0</v>
      </c>
      <c r="AQ302" s="129">
        <f t="shared" si="72"/>
        <v>0</v>
      </c>
      <c r="AR302" s="129">
        <f t="shared" si="73"/>
        <v>0</v>
      </c>
      <c r="AS302" s="129">
        <f t="shared" si="74"/>
        <v>0</v>
      </c>
      <c r="AT302" s="312">
        <f t="shared" si="75"/>
        <v>2</v>
      </c>
      <c r="AV302" s="312"/>
      <c r="AW302" s="129">
        <v>0.5</v>
      </c>
      <c r="AX302" s="129">
        <v>0.5</v>
      </c>
      <c r="AY302" s="129">
        <v>0.5</v>
      </c>
      <c r="AZ302" s="129">
        <v>0.5</v>
      </c>
      <c r="BA302" s="314"/>
      <c r="BF302" s="314"/>
      <c r="BL302" s="314"/>
      <c r="BM302" s="129">
        <f t="shared" si="76"/>
        <v>2</v>
      </c>
      <c r="BN302" s="129">
        <f t="shared" si="77"/>
        <v>2</v>
      </c>
      <c r="BR302" s="129">
        <v>520553</v>
      </c>
      <c r="BS302" s="129">
        <v>175393</v>
      </c>
      <c r="BT302" s="129" t="s">
        <v>149</v>
      </c>
      <c r="BU302" s="129" t="s">
        <v>190</v>
      </c>
      <c r="BV302" s="129" t="s">
        <v>149</v>
      </c>
      <c r="CC302" s="129" t="s">
        <v>359</v>
      </c>
      <c r="CD302" s="129" t="s">
        <v>199</v>
      </c>
      <c r="CE302" s="313"/>
    </row>
    <row r="303" spans="1:83" x14ac:dyDescent="0.25">
      <c r="A303" s="129" t="s">
        <v>1462</v>
      </c>
      <c r="B303" s="129" t="s">
        <v>369</v>
      </c>
      <c r="C303" s="248" t="s">
        <v>370</v>
      </c>
      <c r="D303" s="309">
        <v>45523</v>
      </c>
      <c r="E303" s="309">
        <v>46563</v>
      </c>
      <c r="H303" s="310" t="s">
        <v>359</v>
      </c>
      <c r="J303" s="129" t="s">
        <v>267</v>
      </c>
      <c r="K303" s="129" t="s">
        <v>268</v>
      </c>
      <c r="M303" s="191"/>
      <c r="O303" s="129" t="s">
        <v>1463</v>
      </c>
      <c r="P303" s="129" t="s">
        <v>1323</v>
      </c>
      <c r="Q303" s="129" t="s">
        <v>1324</v>
      </c>
      <c r="AA303" s="312">
        <f t="shared" si="78"/>
        <v>0</v>
      </c>
      <c r="AC303" s="129">
        <v>2</v>
      </c>
      <c r="AK303" s="312">
        <f t="shared" si="66"/>
        <v>2</v>
      </c>
      <c r="AL303" s="129">
        <f t="shared" si="67"/>
        <v>2</v>
      </c>
      <c r="AM303" s="129">
        <f t="shared" si="68"/>
        <v>0</v>
      </c>
      <c r="AN303" s="129">
        <f t="shared" si="69"/>
        <v>0</v>
      </c>
      <c r="AO303" s="129">
        <f t="shared" si="70"/>
        <v>0</v>
      </c>
      <c r="AP303" s="129">
        <f t="shared" si="71"/>
        <v>0</v>
      </c>
      <c r="AQ303" s="129">
        <f t="shared" si="72"/>
        <v>0</v>
      </c>
      <c r="AR303" s="129">
        <f t="shared" si="73"/>
        <v>0</v>
      </c>
      <c r="AS303" s="129">
        <f t="shared" si="74"/>
        <v>0</v>
      </c>
      <c r="AT303" s="312">
        <f t="shared" si="75"/>
        <v>2</v>
      </c>
      <c r="AV303" s="312"/>
      <c r="AW303" s="129">
        <v>0.5</v>
      </c>
      <c r="AX303" s="129">
        <v>0.5</v>
      </c>
      <c r="AY303" s="129">
        <v>0.5</v>
      </c>
      <c r="AZ303" s="129">
        <v>0.5</v>
      </c>
      <c r="BA303" s="314"/>
      <c r="BF303" s="314"/>
      <c r="BL303" s="314"/>
      <c r="BM303" s="129">
        <f t="shared" si="76"/>
        <v>2</v>
      </c>
      <c r="BN303" s="129">
        <f t="shared" si="77"/>
        <v>2</v>
      </c>
      <c r="BR303" s="129">
        <v>514554</v>
      </c>
      <c r="BS303" s="129">
        <v>171260</v>
      </c>
      <c r="BT303" s="129" t="s">
        <v>168</v>
      </c>
      <c r="BU303" s="129" t="s">
        <v>192</v>
      </c>
      <c r="BX303" s="129" t="s">
        <v>404</v>
      </c>
      <c r="BY303" s="129" t="s">
        <v>359</v>
      </c>
      <c r="CC303" s="129" t="s">
        <v>359</v>
      </c>
      <c r="CD303" s="129" t="s">
        <v>198</v>
      </c>
      <c r="CE303" s="313"/>
    </row>
    <row r="304" spans="1:83" x14ac:dyDescent="0.25">
      <c r="A304" s="129" t="s">
        <v>1464</v>
      </c>
      <c r="B304" s="129" t="s">
        <v>369</v>
      </c>
      <c r="C304" s="248" t="s">
        <v>370</v>
      </c>
      <c r="D304" s="309">
        <v>45518</v>
      </c>
      <c r="E304" s="309">
        <v>46613</v>
      </c>
      <c r="H304" s="310" t="s">
        <v>359</v>
      </c>
      <c r="J304" s="129" t="s">
        <v>267</v>
      </c>
      <c r="K304" s="129" t="s">
        <v>268</v>
      </c>
      <c r="M304" s="191"/>
      <c r="O304" s="129" t="s">
        <v>1465</v>
      </c>
      <c r="P304" s="129" t="s">
        <v>1466</v>
      </c>
      <c r="Q304" s="129" t="s">
        <v>1467</v>
      </c>
      <c r="AA304" s="312">
        <f t="shared" si="78"/>
        <v>0</v>
      </c>
      <c r="AC304" s="129">
        <v>1</v>
      </c>
      <c r="AK304" s="312">
        <f t="shared" si="66"/>
        <v>1</v>
      </c>
      <c r="AL304" s="129">
        <f t="shared" si="67"/>
        <v>1</v>
      </c>
      <c r="AM304" s="129">
        <f t="shared" si="68"/>
        <v>0</v>
      </c>
      <c r="AN304" s="129">
        <f t="shared" si="69"/>
        <v>0</v>
      </c>
      <c r="AO304" s="129">
        <f t="shared" si="70"/>
        <v>0</v>
      </c>
      <c r="AP304" s="129">
        <f t="shared" si="71"/>
        <v>0</v>
      </c>
      <c r="AQ304" s="129">
        <f t="shared" si="72"/>
        <v>0</v>
      </c>
      <c r="AR304" s="129">
        <f t="shared" si="73"/>
        <v>0</v>
      </c>
      <c r="AS304" s="129">
        <f t="shared" si="74"/>
        <v>0</v>
      </c>
      <c r="AT304" s="312">
        <f t="shared" si="75"/>
        <v>1</v>
      </c>
      <c r="AV304" s="312"/>
      <c r="AW304" s="129">
        <v>0.25</v>
      </c>
      <c r="AX304" s="129">
        <v>0.25</v>
      </c>
      <c r="AY304" s="129">
        <v>0.25</v>
      </c>
      <c r="AZ304" s="129">
        <v>0.25</v>
      </c>
      <c r="BA304" s="314"/>
      <c r="BF304" s="314"/>
      <c r="BL304" s="314"/>
      <c r="BM304" s="129">
        <f t="shared" si="76"/>
        <v>1</v>
      </c>
      <c r="BN304" s="129">
        <f t="shared" si="77"/>
        <v>1</v>
      </c>
      <c r="BR304" s="129">
        <v>515923</v>
      </c>
      <c r="BS304" s="129">
        <v>173141</v>
      </c>
      <c r="BT304" s="129" t="s">
        <v>180</v>
      </c>
      <c r="BU304" s="129" t="s">
        <v>154</v>
      </c>
      <c r="BV304" s="129" t="s">
        <v>154</v>
      </c>
      <c r="CC304" s="129" t="s">
        <v>359</v>
      </c>
      <c r="CD304" s="129" t="s">
        <v>202</v>
      </c>
      <c r="CE304" s="313"/>
    </row>
    <row r="305" spans="1:83" x14ac:dyDescent="0.25">
      <c r="A305" s="129" t="s">
        <v>1468</v>
      </c>
      <c r="B305" s="129" t="s">
        <v>369</v>
      </c>
      <c r="C305" s="248" t="s">
        <v>370</v>
      </c>
      <c r="D305" s="309">
        <v>45523</v>
      </c>
      <c r="E305" s="309">
        <v>46618</v>
      </c>
      <c r="H305" s="310" t="s">
        <v>359</v>
      </c>
      <c r="J305" s="129" t="s">
        <v>267</v>
      </c>
      <c r="K305" s="129" t="s">
        <v>268</v>
      </c>
      <c r="M305" s="191"/>
      <c r="O305" s="129" t="s">
        <v>1469</v>
      </c>
      <c r="P305" s="129" t="s">
        <v>1470</v>
      </c>
      <c r="Q305" s="129" t="s">
        <v>1471</v>
      </c>
      <c r="AA305" s="312">
        <f t="shared" ref="AA305:AA334" si="79">SUM(S305:Z305)</f>
        <v>0</v>
      </c>
      <c r="AD305" s="129">
        <v>1</v>
      </c>
      <c r="AK305" s="312">
        <f t="shared" si="66"/>
        <v>1</v>
      </c>
      <c r="AL305" s="129">
        <f t="shared" si="67"/>
        <v>0</v>
      </c>
      <c r="AM305" s="129">
        <f t="shared" si="68"/>
        <v>1</v>
      </c>
      <c r="AN305" s="129">
        <f t="shared" si="69"/>
        <v>0</v>
      </c>
      <c r="AO305" s="129">
        <f t="shared" si="70"/>
        <v>0</v>
      </c>
      <c r="AP305" s="129">
        <f t="shared" si="71"/>
        <v>0</v>
      </c>
      <c r="AQ305" s="129">
        <f t="shared" si="72"/>
        <v>0</v>
      </c>
      <c r="AR305" s="129">
        <f t="shared" si="73"/>
        <v>0</v>
      </c>
      <c r="AS305" s="129">
        <f t="shared" si="74"/>
        <v>0</v>
      </c>
      <c r="AT305" s="312">
        <f t="shared" si="75"/>
        <v>1</v>
      </c>
      <c r="AV305" s="312"/>
      <c r="AW305" s="129">
        <v>0.25</v>
      </c>
      <c r="AX305" s="129">
        <v>0.25</v>
      </c>
      <c r="AY305" s="129">
        <v>0.25</v>
      </c>
      <c r="AZ305" s="129">
        <v>0.25</v>
      </c>
      <c r="BA305" s="314"/>
      <c r="BF305" s="314"/>
      <c r="BL305" s="314"/>
      <c r="BM305" s="129">
        <f t="shared" si="76"/>
        <v>1</v>
      </c>
      <c r="BN305" s="129">
        <f t="shared" si="77"/>
        <v>1</v>
      </c>
      <c r="BR305" s="129">
        <v>517024</v>
      </c>
      <c r="BS305" s="129">
        <v>170121</v>
      </c>
      <c r="BT305" s="129" t="s">
        <v>172</v>
      </c>
      <c r="BU305" s="129" t="s">
        <v>192</v>
      </c>
      <c r="CA305" s="129" t="s">
        <v>1066</v>
      </c>
      <c r="CB305" s="129" t="s">
        <v>359</v>
      </c>
      <c r="CC305" s="129" t="s">
        <v>359</v>
      </c>
      <c r="CD305" s="129" t="s">
        <v>201</v>
      </c>
      <c r="CE305" s="313"/>
    </row>
    <row r="306" spans="1:83" x14ac:dyDescent="0.25">
      <c r="A306" s="129" t="s">
        <v>1472</v>
      </c>
      <c r="B306" s="129" t="s">
        <v>482</v>
      </c>
      <c r="C306" s="129" t="s">
        <v>353</v>
      </c>
      <c r="D306" s="309">
        <v>45702</v>
      </c>
      <c r="E306" s="309">
        <v>46797</v>
      </c>
      <c r="H306" s="310" t="s">
        <v>359</v>
      </c>
      <c r="J306" s="129" t="s">
        <v>267</v>
      </c>
      <c r="K306" s="129" t="s">
        <v>268</v>
      </c>
      <c r="M306" s="191"/>
      <c r="O306" s="129" t="s">
        <v>1473</v>
      </c>
      <c r="P306" s="129" t="s">
        <v>1474</v>
      </c>
      <c r="Q306" s="129" t="s">
        <v>1475</v>
      </c>
      <c r="T306" s="129">
        <v>1</v>
      </c>
      <c r="AA306" s="312">
        <f t="shared" si="79"/>
        <v>1</v>
      </c>
      <c r="AC306" s="129">
        <v>2</v>
      </c>
      <c r="AK306" s="312">
        <f t="shared" si="66"/>
        <v>2</v>
      </c>
      <c r="AL306" s="129">
        <f t="shared" si="67"/>
        <v>2</v>
      </c>
      <c r="AM306" s="129">
        <f t="shared" si="68"/>
        <v>-1</v>
      </c>
      <c r="AN306" s="129">
        <f t="shared" si="69"/>
        <v>0</v>
      </c>
      <c r="AO306" s="129">
        <f t="shared" si="70"/>
        <v>0</v>
      </c>
      <c r="AP306" s="129">
        <f t="shared" si="71"/>
        <v>0</v>
      </c>
      <c r="AQ306" s="129">
        <f t="shared" si="72"/>
        <v>0</v>
      </c>
      <c r="AR306" s="129">
        <f t="shared" si="73"/>
        <v>0</v>
      </c>
      <c r="AS306" s="129">
        <f t="shared" si="74"/>
        <v>0</v>
      </c>
      <c r="AT306" s="312">
        <f t="shared" si="75"/>
        <v>1</v>
      </c>
      <c r="AV306" s="312"/>
      <c r="AW306" s="129">
        <v>0.25</v>
      </c>
      <c r="AX306" s="129">
        <v>0.25</v>
      </c>
      <c r="AY306" s="129">
        <v>0.25</v>
      </c>
      <c r="AZ306" s="129">
        <v>0.25</v>
      </c>
      <c r="BA306" s="314"/>
      <c r="BF306" s="314"/>
      <c r="BL306" s="314"/>
      <c r="BM306" s="129">
        <f t="shared" si="76"/>
        <v>1</v>
      </c>
      <c r="BN306" s="129">
        <f t="shared" si="77"/>
        <v>1</v>
      </c>
      <c r="BR306" s="129">
        <v>517587</v>
      </c>
      <c r="BS306" s="129">
        <v>169488</v>
      </c>
      <c r="BT306" s="129" t="s">
        <v>172</v>
      </c>
      <c r="BU306" s="129" t="s">
        <v>192</v>
      </c>
      <c r="BX306" s="129" t="s">
        <v>526</v>
      </c>
      <c r="BY306" s="129" t="s">
        <v>359</v>
      </c>
      <c r="CA306" s="129" t="s">
        <v>527</v>
      </c>
      <c r="CB306" s="129" t="s">
        <v>359</v>
      </c>
      <c r="CC306" s="129" t="s">
        <v>359</v>
      </c>
      <c r="CD306" s="129" t="s">
        <v>201</v>
      </c>
      <c r="CE306" s="313"/>
    </row>
    <row r="307" spans="1:83" x14ac:dyDescent="0.25">
      <c r="A307" s="129" t="s">
        <v>1476</v>
      </c>
      <c r="B307" s="129" t="s">
        <v>369</v>
      </c>
      <c r="C307" s="129" t="s">
        <v>353</v>
      </c>
      <c r="D307" s="309">
        <v>45678</v>
      </c>
      <c r="E307" s="309">
        <v>46773</v>
      </c>
      <c r="F307" s="309">
        <v>45848</v>
      </c>
      <c r="G307" s="310"/>
      <c r="H307" s="310" t="s">
        <v>359</v>
      </c>
      <c r="J307" s="129" t="s">
        <v>267</v>
      </c>
      <c r="K307" s="129" t="s">
        <v>268</v>
      </c>
      <c r="M307" s="191"/>
      <c r="O307" s="129" t="s">
        <v>1477</v>
      </c>
      <c r="P307" s="129" t="s">
        <v>1478</v>
      </c>
      <c r="Q307" s="129" t="s">
        <v>385</v>
      </c>
      <c r="AA307" s="312">
        <f t="shared" si="79"/>
        <v>0</v>
      </c>
      <c r="AC307" s="129">
        <v>5</v>
      </c>
      <c r="AD307" s="129">
        <v>1</v>
      </c>
      <c r="AK307" s="312">
        <f t="shared" si="66"/>
        <v>6</v>
      </c>
      <c r="AL307" s="129">
        <f t="shared" si="67"/>
        <v>5</v>
      </c>
      <c r="AM307" s="129">
        <f t="shared" si="68"/>
        <v>1</v>
      </c>
      <c r="AN307" s="129">
        <f t="shared" si="69"/>
        <v>0</v>
      </c>
      <c r="AO307" s="129">
        <f t="shared" si="70"/>
        <v>0</v>
      </c>
      <c r="AP307" s="129">
        <f t="shared" si="71"/>
        <v>0</v>
      </c>
      <c r="AQ307" s="129">
        <f t="shared" si="72"/>
        <v>0</v>
      </c>
      <c r="AR307" s="129">
        <f t="shared" si="73"/>
        <v>0</v>
      </c>
      <c r="AS307" s="129">
        <f t="shared" si="74"/>
        <v>0</v>
      </c>
      <c r="AT307" s="312">
        <f t="shared" si="75"/>
        <v>6</v>
      </c>
      <c r="AV307" s="312"/>
      <c r="AX307" s="129">
        <v>3</v>
      </c>
      <c r="AY307" s="129">
        <v>3</v>
      </c>
      <c r="BA307" s="314"/>
      <c r="BF307" s="314"/>
      <c r="BL307" s="314"/>
      <c r="BM307" s="129">
        <f t="shared" si="76"/>
        <v>6</v>
      </c>
      <c r="BN307" s="129">
        <f t="shared" si="77"/>
        <v>6</v>
      </c>
      <c r="BR307" s="129">
        <v>516277</v>
      </c>
      <c r="BS307" s="129">
        <v>173330</v>
      </c>
      <c r="BT307" s="129" t="s">
        <v>180</v>
      </c>
      <c r="BU307" s="129" t="s">
        <v>154</v>
      </c>
      <c r="BV307" s="129" t="s">
        <v>154</v>
      </c>
      <c r="CA307" s="129" t="s">
        <v>386</v>
      </c>
      <c r="CB307" s="129" t="s">
        <v>359</v>
      </c>
      <c r="CC307" s="129" t="s">
        <v>359</v>
      </c>
      <c r="CD307" s="129" t="s">
        <v>202</v>
      </c>
      <c r="CE307" s="313"/>
    </row>
    <row r="308" spans="1:83" x14ac:dyDescent="0.25">
      <c r="A308" s="129" t="s">
        <v>1479</v>
      </c>
      <c r="B308" s="129" t="s">
        <v>369</v>
      </c>
      <c r="C308" s="248" t="s">
        <v>370</v>
      </c>
      <c r="D308" s="309">
        <v>45537</v>
      </c>
      <c r="E308" s="309">
        <v>46632</v>
      </c>
      <c r="H308" s="310" t="s">
        <v>359</v>
      </c>
      <c r="J308" s="129" t="s">
        <v>267</v>
      </c>
      <c r="K308" s="129" t="s">
        <v>268</v>
      </c>
      <c r="M308" s="191"/>
      <c r="O308" s="129" t="s">
        <v>1480</v>
      </c>
      <c r="P308" s="129" t="s">
        <v>1481</v>
      </c>
      <c r="Q308" s="129" t="s">
        <v>1482</v>
      </c>
      <c r="AA308" s="312">
        <f t="shared" si="79"/>
        <v>0</v>
      </c>
      <c r="AD308" s="129">
        <v>1</v>
      </c>
      <c r="AK308" s="312">
        <f t="shared" si="66"/>
        <v>1</v>
      </c>
      <c r="AL308" s="129">
        <f t="shared" si="67"/>
        <v>0</v>
      </c>
      <c r="AM308" s="129">
        <f t="shared" si="68"/>
        <v>1</v>
      </c>
      <c r="AN308" s="129">
        <f t="shared" si="69"/>
        <v>0</v>
      </c>
      <c r="AO308" s="129">
        <f t="shared" si="70"/>
        <v>0</v>
      </c>
      <c r="AP308" s="129">
        <f t="shared" si="71"/>
        <v>0</v>
      </c>
      <c r="AQ308" s="129">
        <f t="shared" si="72"/>
        <v>0</v>
      </c>
      <c r="AR308" s="129">
        <f t="shared" si="73"/>
        <v>0</v>
      </c>
      <c r="AS308" s="129">
        <f t="shared" si="74"/>
        <v>0</v>
      </c>
      <c r="AT308" s="312">
        <f t="shared" si="75"/>
        <v>1</v>
      </c>
      <c r="AV308" s="312"/>
      <c r="AW308" s="129">
        <v>0.25</v>
      </c>
      <c r="AX308" s="129">
        <v>0.25</v>
      </c>
      <c r="AY308" s="129">
        <v>0.25</v>
      </c>
      <c r="AZ308" s="129">
        <v>0.25</v>
      </c>
      <c r="BA308" s="314"/>
      <c r="BF308" s="314"/>
      <c r="BL308" s="314"/>
      <c r="BM308" s="129">
        <f t="shared" si="76"/>
        <v>1</v>
      </c>
      <c r="BN308" s="129">
        <f t="shared" si="77"/>
        <v>1</v>
      </c>
      <c r="BR308" s="129">
        <v>515621</v>
      </c>
      <c r="BS308" s="129">
        <v>171705</v>
      </c>
      <c r="BT308" s="129" t="s">
        <v>152</v>
      </c>
      <c r="BU308" s="129" t="s">
        <v>192</v>
      </c>
      <c r="BX308" s="129" t="s">
        <v>1483</v>
      </c>
      <c r="BY308" s="129" t="s">
        <v>359</v>
      </c>
      <c r="CC308" s="129" t="s">
        <v>359</v>
      </c>
      <c r="CD308" s="129" t="s">
        <v>201</v>
      </c>
      <c r="CE308" s="313"/>
    </row>
    <row r="309" spans="1:83" x14ac:dyDescent="0.25">
      <c r="A309" s="129" t="s">
        <v>1484</v>
      </c>
      <c r="B309" s="129" t="s">
        <v>482</v>
      </c>
      <c r="C309" s="129" t="s">
        <v>353</v>
      </c>
      <c r="D309" s="309">
        <v>45566</v>
      </c>
      <c r="E309" s="309">
        <v>46661</v>
      </c>
      <c r="F309" s="315">
        <v>45809</v>
      </c>
      <c r="H309" s="310" t="s">
        <v>359</v>
      </c>
      <c r="I309" s="315">
        <v>45847</v>
      </c>
      <c r="J309" s="129" t="s">
        <v>267</v>
      </c>
      <c r="K309" s="129" t="s">
        <v>268</v>
      </c>
      <c r="M309" s="191"/>
      <c r="O309" s="129" t="s">
        <v>1485</v>
      </c>
      <c r="P309" s="129" t="s">
        <v>1486</v>
      </c>
      <c r="Q309" s="129" t="s">
        <v>1487</v>
      </c>
      <c r="S309" s="129">
        <v>1</v>
      </c>
      <c r="U309" s="129">
        <v>1</v>
      </c>
      <c r="AA309" s="312">
        <f t="shared" si="79"/>
        <v>2</v>
      </c>
      <c r="AC309" s="129">
        <v>3</v>
      </c>
      <c r="AK309" s="312">
        <f t="shared" si="66"/>
        <v>3</v>
      </c>
      <c r="AL309" s="129">
        <f t="shared" si="67"/>
        <v>2</v>
      </c>
      <c r="AM309" s="129">
        <f t="shared" si="68"/>
        <v>0</v>
      </c>
      <c r="AN309" s="129">
        <f t="shared" si="69"/>
        <v>-1</v>
      </c>
      <c r="AO309" s="129">
        <f t="shared" si="70"/>
        <v>0</v>
      </c>
      <c r="AP309" s="129">
        <f t="shared" si="71"/>
        <v>0</v>
      </c>
      <c r="AQ309" s="129">
        <f t="shared" si="72"/>
        <v>0</v>
      </c>
      <c r="AR309" s="129">
        <f t="shared" si="73"/>
        <v>0</v>
      </c>
      <c r="AS309" s="129">
        <f t="shared" si="74"/>
        <v>0</v>
      </c>
      <c r="AT309" s="312">
        <f t="shared" si="75"/>
        <v>1</v>
      </c>
      <c r="AV309" s="312"/>
      <c r="AW309" s="129">
        <v>1</v>
      </c>
      <c r="BA309" s="314"/>
      <c r="BF309" s="314"/>
      <c r="BL309" s="314"/>
      <c r="BM309" s="129">
        <f t="shared" si="76"/>
        <v>1</v>
      </c>
      <c r="BN309" s="129">
        <f t="shared" si="77"/>
        <v>1</v>
      </c>
      <c r="BR309" s="129">
        <v>512713</v>
      </c>
      <c r="BS309" s="129">
        <v>173573</v>
      </c>
      <c r="BT309" s="129" t="s">
        <v>173</v>
      </c>
      <c r="BU309" s="129" t="s">
        <v>156</v>
      </c>
      <c r="BX309" s="129" t="s">
        <v>676</v>
      </c>
      <c r="BY309" s="129" t="s">
        <v>359</v>
      </c>
      <c r="CD309" s="129" t="s">
        <v>203</v>
      </c>
      <c r="CE309" s="313"/>
    </row>
    <row r="310" spans="1:83" x14ac:dyDescent="0.25">
      <c r="A310" s="129" t="s">
        <v>1488</v>
      </c>
      <c r="B310" s="129" t="s">
        <v>369</v>
      </c>
      <c r="C310" s="248" t="s">
        <v>370</v>
      </c>
      <c r="D310" s="309">
        <v>45544</v>
      </c>
      <c r="E310" s="309">
        <v>46639</v>
      </c>
      <c r="H310" s="310" t="s">
        <v>359</v>
      </c>
      <c r="J310" s="129" t="s">
        <v>267</v>
      </c>
      <c r="K310" s="129" t="s">
        <v>268</v>
      </c>
      <c r="M310" s="191"/>
      <c r="O310" s="129" t="s">
        <v>1489</v>
      </c>
      <c r="P310" s="129" t="s">
        <v>1490</v>
      </c>
      <c r="Q310" s="129" t="s">
        <v>1491</v>
      </c>
      <c r="AA310" s="312">
        <f t="shared" si="79"/>
        <v>0</v>
      </c>
      <c r="AC310" s="129">
        <v>4</v>
      </c>
      <c r="AD310" s="129">
        <v>1</v>
      </c>
      <c r="AK310" s="312">
        <f t="shared" si="66"/>
        <v>5</v>
      </c>
      <c r="AL310" s="129">
        <f t="shared" si="67"/>
        <v>4</v>
      </c>
      <c r="AM310" s="129">
        <f t="shared" si="68"/>
        <v>1</v>
      </c>
      <c r="AN310" s="129">
        <f t="shared" si="69"/>
        <v>0</v>
      </c>
      <c r="AO310" s="129">
        <f t="shared" si="70"/>
        <v>0</v>
      </c>
      <c r="AP310" s="129">
        <f t="shared" si="71"/>
        <v>0</v>
      </c>
      <c r="AQ310" s="129">
        <f t="shared" si="72"/>
        <v>0</v>
      </c>
      <c r="AR310" s="129">
        <f t="shared" si="73"/>
        <v>0</v>
      </c>
      <c r="AS310" s="129">
        <f t="shared" si="74"/>
        <v>0</v>
      </c>
      <c r="AT310" s="312">
        <f t="shared" si="75"/>
        <v>5</v>
      </c>
      <c r="AV310" s="312"/>
      <c r="AX310" s="129">
        <v>1.25</v>
      </c>
      <c r="AY310" s="129">
        <v>1.25</v>
      </c>
      <c r="AZ310" s="129">
        <v>1.25</v>
      </c>
      <c r="BA310" s="314">
        <v>1.25</v>
      </c>
      <c r="BF310" s="314"/>
      <c r="BL310" s="314"/>
      <c r="BM310" s="129">
        <f t="shared" si="76"/>
        <v>5</v>
      </c>
      <c r="BN310" s="129">
        <f t="shared" si="77"/>
        <v>5</v>
      </c>
      <c r="BR310" s="129">
        <v>514188</v>
      </c>
      <c r="BS310" s="129">
        <v>170550</v>
      </c>
      <c r="BT310" s="129" t="s">
        <v>168</v>
      </c>
      <c r="BU310" s="129" t="s">
        <v>192</v>
      </c>
      <c r="CA310" s="129" t="s">
        <v>835</v>
      </c>
      <c r="CB310" s="129" t="s">
        <v>359</v>
      </c>
      <c r="CD310" s="129" t="s">
        <v>198</v>
      </c>
      <c r="CE310" s="313"/>
    </row>
    <row r="311" spans="1:83" x14ac:dyDescent="0.25">
      <c r="A311" s="129" t="s">
        <v>1492</v>
      </c>
      <c r="B311" s="129" t="s">
        <v>369</v>
      </c>
      <c r="C311" s="248" t="s">
        <v>370</v>
      </c>
      <c r="D311" s="309">
        <v>45579</v>
      </c>
      <c r="E311" s="309">
        <v>46674</v>
      </c>
      <c r="H311" s="310" t="s">
        <v>359</v>
      </c>
      <c r="J311" s="129" t="s">
        <v>267</v>
      </c>
      <c r="K311" s="129" t="s">
        <v>268</v>
      </c>
      <c r="M311" s="191"/>
      <c r="O311" s="129" t="s">
        <v>1493</v>
      </c>
      <c r="P311" s="129" t="s">
        <v>1494</v>
      </c>
      <c r="Q311" s="129" t="s">
        <v>1495</v>
      </c>
      <c r="AA311" s="312">
        <f t="shared" si="79"/>
        <v>0</v>
      </c>
      <c r="AD311" s="129">
        <v>4</v>
      </c>
      <c r="AE311" s="129">
        <v>2</v>
      </c>
      <c r="AK311" s="312">
        <f t="shared" si="66"/>
        <v>6</v>
      </c>
      <c r="AL311" s="129">
        <f t="shared" si="67"/>
        <v>0</v>
      </c>
      <c r="AM311" s="129">
        <f t="shared" si="68"/>
        <v>4</v>
      </c>
      <c r="AN311" s="129">
        <f t="shared" si="69"/>
        <v>2</v>
      </c>
      <c r="AO311" s="129">
        <f t="shared" si="70"/>
        <v>0</v>
      </c>
      <c r="AP311" s="129">
        <f t="shared" si="71"/>
        <v>0</v>
      </c>
      <c r="AQ311" s="129">
        <f t="shared" si="72"/>
        <v>0</v>
      </c>
      <c r="AR311" s="129">
        <f t="shared" si="73"/>
        <v>0</v>
      </c>
      <c r="AS311" s="129">
        <f t="shared" si="74"/>
        <v>0</v>
      </c>
      <c r="AT311" s="312">
        <f t="shared" si="75"/>
        <v>6</v>
      </c>
      <c r="AV311" s="312"/>
      <c r="AX311" s="129">
        <v>1.5</v>
      </c>
      <c r="AY311" s="129">
        <v>1.5</v>
      </c>
      <c r="AZ311" s="129">
        <v>1.5</v>
      </c>
      <c r="BA311" s="314">
        <v>1.5</v>
      </c>
      <c r="BF311" s="314"/>
      <c r="BL311" s="314"/>
      <c r="BM311" s="129">
        <f t="shared" si="76"/>
        <v>6</v>
      </c>
      <c r="BN311" s="129">
        <f t="shared" si="77"/>
        <v>6</v>
      </c>
      <c r="BR311" s="129">
        <v>516112</v>
      </c>
      <c r="BS311" s="129">
        <v>173409</v>
      </c>
      <c r="BT311" s="129" t="s">
        <v>180</v>
      </c>
      <c r="BU311" s="129" t="s">
        <v>154</v>
      </c>
      <c r="BV311" s="129" t="s">
        <v>154</v>
      </c>
      <c r="CA311" s="129" t="s">
        <v>1496</v>
      </c>
      <c r="CB311" s="129" t="s">
        <v>359</v>
      </c>
      <c r="CC311" s="129" t="s">
        <v>359</v>
      </c>
      <c r="CD311" s="129" t="s">
        <v>202</v>
      </c>
      <c r="CE311" s="313"/>
    </row>
    <row r="312" spans="1:83" x14ac:dyDescent="0.25">
      <c r="A312" s="129" t="s">
        <v>1497</v>
      </c>
      <c r="B312" s="129" t="s">
        <v>369</v>
      </c>
      <c r="C312" s="248" t="s">
        <v>370</v>
      </c>
      <c r="D312" s="309">
        <v>45561</v>
      </c>
      <c r="E312" s="309">
        <v>46656</v>
      </c>
      <c r="H312" s="310" t="s">
        <v>359</v>
      </c>
      <c r="J312" s="129" t="s">
        <v>267</v>
      </c>
      <c r="K312" s="129" t="s">
        <v>268</v>
      </c>
      <c r="M312" s="191"/>
      <c r="O312" s="129" t="s">
        <v>1498</v>
      </c>
      <c r="P312" s="129" t="s">
        <v>1499</v>
      </c>
      <c r="Q312" s="129" t="s">
        <v>1500</v>
      </c>
      <c r="AA312" s="312">
        <f t="shared" si="79"/>
        <v>0</v>
      </c>
      <c r="AD312" s="129">
        <v>2</v>
      </c>
      <c r="AK312" s="312">
        <f t="shared" si="66"/>
        <v>2</v>
      </c>
      <c r="AL312" s="129">
        <f t="shared" si="67"/>
        <v>0</v>
      </c>
      <c r="AM312" s="129">
        <f t="shared" si="68"/>
        <v>2</v>
      </c>
      <c r="AN312" s="129">
        <f t="shared" si="69"/>
        <v>0</v>
      </c>
      <c r="AO312" s="129">
        <f t="shared" si="70"/>
        <v>0</v>
      </c>
      <c r="AP312" s="129">
        <f t="shared" si="71"/>
        <v>0</v>
      </c>
      <c r="AQ312" s="129">
        <f t="shared" si="72"/>
        <v>0</v>
      </c>
      <c r="AR312" s="129">
        <f t="shared" si="73"/>
        <v>0</v>
      </c>
      <c r="AS312" s="129">
        <f t="shared" si="74"/>
        <v>0</v>
      </c>
      <c r="AT312" s="312">
        <f t="shared" si="75"/>
        <v>2</v>
      </c>
      <c r="AV312" s="312"/>
      <c r="AW312" s="129">
        <v>0.5</v>
      </c>
      <c r="AX312" s="129">
        <v>0.5</v>
      </c>
      <c r="AY312" s="129">
        <v>0.5</v>
      </c>
      <c r="AZ312" s="129">
        <v>0.5</v>
      </c>
      <c r="BA312" s="314"/>
      <c r="BF312" s="314"/>
      <c r="BL312" s="314"/>
      <c r="BM312" s="129">
        <f t="shared" si="76"/>
        <v>2</v>
      </c>
      <c r="BN312" s="129">
        <f t="shared" si="77"/>
        <v>2</v>
      </c>
      <c r="BR312" s="129">
        <v>522553</v>
      </c>
      <c r="BS312" s="129">
        <v>177889</v>
      </c>
      <c r="BT312" s="129" t="s">
        <v>167</v>
      </c>
      <c r="BU312" s="129" t="s">
        <v>190</v>
      </c>
      <c r="CA312" s="129" t="s">
        <v>584</v>
      </c>
      <c r="CB312" s="129" t="s">
        <v>359</v>
      </c>
      <c r="CC312" s="129" t="s">
        <v>359</v>
      </c>
      <c r="CD312" s="129" t="s">
        <v>167</v>
      </c>
      <c r="CE312" s="313"/>
    </row>
    <row r="313" spans="1:83" x14ac:dyDescent="0.25">
      <c r="A313" s="129" t="s">
        <v>1501</v>
      </c>
      <c r="B313" s="129" t="s">
        <v>369</v>
      </c>
      <c r="C313" s="248" t="s">
        <v>370</v>
      </c>
      <c r="D313" s="309">
        <v>45559</v>
      </c>
      <c r="E313" s="309">
        <v>46654</v>
      </c>
      <c r="H313" s="310" t="s">
        <v>359</v>
      </c>
      <c r="J313" s="129" t="s">
        <v>267</v>
      </c>
      <c r="K313" s="129" t="s">
        <v>268</v>
      </c>
      <c r="M313" s="191"/>
      <c r="O313" s="129" t="s">
        <v>1502</v>
      </c>
      <c r="P313" s="129" t="s">
        <v>1503</v>
      </c>
      <c r="Q313" s="129" t="s">
        <v>1030</v>
      </c>
      <c r="AA313" s="312">
        <f t="shared" si="79"/>
        <v>0</v>
      </c>
      <c r="AC313" s="129">
        <v>2</v>
      </c>
      <c r="AK313" s="312">
        <f t="shared" si="66"/>
        <v>2</v>
      </c>
      <c r="AL313" s="129">
        <f t="shared" si="67"/>
        <v>2</v>
      </c>
      <c r="AM313" s="129">
        <f t="shared" si="68"/>
        <v>0</v>
      </c>
      <c r="AN313" s="129">
        <f t="shared" si="69"/>
        <v>0</v>
      </c>
      <c r="AO313" s="129">
        <f t="shared" si="70"/>
        <v>0</v>
      </c>
      <c r="AP313" s="129">
        <f t="shared" si="71"/>
        <v>0</v>
      </c>
      <c r="AQ313" s="129">
        <f t="shared" si="72"/>
        <v>0</v>
      </c>
      <c r="AR313" s="129">
        <f t="shared" si="73"/>
        <v>0</v>
      </c>
      <c r="AS313" s="129">
        <f t="shared" si="74"/>
        <v>0</v>
      </c>
      <c r="AT313" s="312">
        <f t="shared" si="75"/>
        <v>2</v>
      </c>
      <c r="AV313" s="312"/>
      <c r="AW313" s="129">
        <v>0.5</v>
      </c>
      <c r="AX313" s="129">
        <v>0.5</v>
      </c>
      <c r="AY313" s="129">
        <v>0.5</v>
      </c>
      <c r="AZ313" s="129">
        <v>0.5</v>
      </c>
      <c r="BA313" s="314"/>
      <c r="BF313" s="314"/>
      <c r="BL313" s="314"/>
      <c r="BM313" s="129">
        <f t="shared" si="76"/>
        <v>2</v>
      </c>
      <c r="BN313" s="129">
        <f t="shared" si="77"/>
        <v>2</v>
      </c>
      <c r="BR313" s="129">
        <v>520522</v>
      </c>
      <c r="BS313" s="129">
        <v>175477</v>
      </c>
      <c r="BT313" s="129" t="s">
        <v>149</v>
      </c>
      <c r="BU313" s="129" t="s">
        <v>190</v>
      </c>
      <c r="BV313" s="129" t="s">
        <v>149</v>
      </c>
      <c r="CA313" s="129" t="s">
        <v>617</v>
      </c>
      <c r="CB313" s="129" t="s">
        <v>359</v>
      </c>
      <c r="CC313" s="129" t="s">
        <v>359</v>
      </c>
      <c r="CD313" s="129" t="s">
        <v>199</v>
      </c>
      <c r="CE313" s="313"/>
    </row>
    <row r="314" spans="1:83" x14ac:dyDescent="0.25">
      <c r="A314" s="129" t="s">
        <v>1504</v>
      </c>
      <c r="B314" s="129" t="s">
        <v>369</v>
      </c>
      <c r="C314" s="129" t="s">
        <v>353</v>
      </c>
      <c r="D314" s="309">
        <v>45644</v>
      </c>
      <c r="E314" s="309">
        <v>46739</v>
      </c>
      <c r="F314" s="315">
        <v>45919</v>
      </c>
      <c r="H314" s="310" t="s">
        <v>359</v>
      </c>
      <c r="J314" s="129" t="s">
        <v>267</v>
      </c>
      <c r="K314" s="129" t="s">
        <v>268</v>
      </c>
      <c r="M314" s="191"/>
      <c r="O314" s="129" t="s">
        <v>1505</v>
      </c>
      <c r="P314" s="129" t="s">
        <v>1506</v>
      </c>
      <c r="Q314" s="129" t="s">
        <v>1507</v>
      </c>
      <c r="T314" s="129">
        <v>1</v>
      </c>
      <c r="AA314" s="312">
        <f t="shared" si="79"/>
        <v>1</v>
      </c>
      <c r="AK314" s="312">
        <f t="shared" si="66"/>
        <v>0</v>
      </c>
      <c r="AL314" s="129">
        <f t="shared" si="67"/>
        <v>0</v>
      </c>
      <c r="AM314" s="129">
        <f t="shared" si="68"/>
        <v>-1</v>
      </c>
      <c r="AN314" s="129">
        <f t="shared" si="69"/>
        <v>0</v>
      </c>
      <c r="AO314" s="129">
        <f t="shared" si="70"/>
        <v>0</v>
      </c>
      <c r="AP314" s="129">
        <f t="shared" si="71"/>
        <v>0</v>
      </c>
      <c r="AQ314" s="129">
        <f t="shared" si="72"/>
        <v>0</v>
      </c>
      <c r="AR314" s="129">
        <f t="shared" si="73"/>
        <v>0</v>
      </c>
      <c r="AS314" s="129">
        <f t="shared" si="74"/>
        <v>0</v>
      </c>
      <c r="AT314" s="312">
        <f t="shared" si="75"/>
        <v>-1</v>
      </c>
      <c r="AV314" s="312"/>
      <c r="AW314" s="129">
        <v>-0.5</v>
      </c>
      <c r="AX314" s="129">
        <v>-0.5</v>
      </c>
      <c r="BA314" s="314"/>
      <c r="BF314" s="314"/>
      <c r="BL314" s="314"/>
      <c r="BM314" s="129">
        <f t="shared" si="76"/>
        <v>-1</v>
      </c>
      <c r="BN314" s="129">
        <f t="shared" si="77"/>
        <v>-1</v>
      </c>
      <c r="BR314" s="129">
        <v>513727</v>
      </c>
      <c r="BS314" s="129">
        <v>169746</v>
      </c>
      <c r="BT314" s="129" t="s">
        <v>170</v>
      </c>
      <c r="BU314" s="129" t="s">
        <v>192</v>
      </c>
      <c r="BX314" s="129" t="s">
        <v>1508</v>
      </c>
      <c r="BY314" s="129" t="s">
        <v>359</v>
      </c>
      <c r="CA314" s="129" t="s">
        <v>421</v>
      </c>
      <c r="CB314" s="129" t="s">
        <v>359</v>
      </c>
      <c r="CC314" s="129" t="s">
        <v>359</v>
      </c>
      <c r="CD314" s="129" t="s">
        <v>198</v>
      </c>
      <c r="CE314" s="313"/>
    </row>
    <row r="315" spans="1:83" x14ac:dyDescent="0.25">
      <c r="A315" s="129" t="s">
        <v>1509</v>
      </c>
      <c r="B315" s="129" t="s">
        <v>369</v>
      </c>
      <c r="C315" s="248" t="s">
        <v>370</v>
      </c>
      <c r="D315" s="309">
        <v>45569</v>
      </c>
      <c r="E315" s="309">
        <v>46664</v>
      </c>
      <c r="H315" s="310" t="s">
        <v>359</v>
      </c>
      <c r="J315" s="129" t="s">
        <v>267</v>
      </c>
      <c r="K315" s="129" t="s">
        <v>268</v>
      </c>
      <c r="M315" s="191"/>
      <c r="O315" s="129" t="s">
        <v>1510</v>
      </c>
      <c r="P315" s="129" t="s">
        <v>1511</v>
      </c>
      <c r="Q315" s="129" t="s">
        <v>1512</v>
      </c>
      <c r="AA315" s="312">
        <f t="shared" si="79"/>
        <v>0</v>
      </c>
      <c r="AD315" s="129">
        <v>2</v>
      </c>
      <c r="AK315" s="312">
        <f t="shared" si="66"/>
        <v>2</v>
      </c>
      <c r="AL315" s="129">
        <f t="shared" si="67"/>
        <v>0</v>
      </c>
      <c r="AM315" s="129">
        <f t="shared" si="68"/>
        <v>2</v>
      </c>
      <c r="AN315" s="129">
        <f t="shared" si="69"/>
        <v>0</v>
      </c>
      <c r="AO315" s="129">
        <f t="shared" si="70"/>
        <v>0</v>
      </c>
      <c r="AP315" s="129">
        <f t="shared" si="71"/>
        <v>0</v>
      </c>
      <c r="AQ315" s="129">
        <f t="shared" si="72"/>
        <v>0</v>
      </c>
      <c r="AR315" s="129">
        <f t="shared" si="73"/>
        <v>0</v>
      </c>
      <c r="AS315" s="129">
        <f t="shared" si="74"/>
        <v>0</v>
      </c>
      <c r="AT315" s="312">
        <f t="shared" si="75"/>
        <v>2</v>
      </c>
      <c r="AV315" s="312"/>
      <c r="AW315" s="129">
        <v>0.5</v>
      </c>
      <c r="AX315" s="129">
        <v>0.5</v>
      </c>
      <c r="AY315" s="129">
        <v>0.5</v>
      </c>
      <c r="AZ315" s="129">
        <v>0.5</v>
      </c>
      <c r="BA315" s="314"/>
      <c r="BF315" s="314"/>
      <c r="BL315" s="314"/>
      <c r="BM315" s="129">
        <f t="shared" si="76"/>
        <v>2</v>
      </c>
      <c r="BN315" s="129">
        <f t="shared" si="77"/>
        <v>2</v>
      </c>
      <c r="BR315" s="129">
        <v>518929</v>
      </c>
      <c r="BS315" s="129">
        <v>175587</v>
      </c>
      <c r="BT315" s="129" t="s">
        <v>176</v>
      </c>
      <c r="BU315" s="129" t="s">
        <v>150</v>
      </c>
      <c r="CC315" s="129" t="s">
        <v>359</v>
      </c>
      <c r="CD315" s="129" t="s">
        <v>200</v>
      </c>
      <c r="CE315" s="313"/>
    </row>
    <row r="316" spans="1:83" x14ac:dyDescent="0.25">
      <c r="A316" s="129" t="s">
        <v>1513</v>
      </c>
      <c r="B316" s="129" t="s">
        <v>482</v>
      </c>
      <c r="C316" s="129" t="s">
        <v>353</v>
      </c>
      <c r="D316" s="309">
        <v>45721</v>
      </c>
      <c r="E316" s="309">
        <v>46817</v>
      </c>
      <c r="F316" s="315">
        <v>45931</v>
      </c>
      <c r="H316" s="310" t="s">
        <v>359</v>
      </c>
      <c r="I316" s="315">
        <v>46010</v>
      </c>
      <c r="J316" s="129" t="s">
        <v>267</v>
      </c>
      <c r="K316" s="129" t="s">
        <v>268</v>
      </c>
      <c r="M316" s="191"/>
      <c r="O316" s="129" t="s">
        <v>1514</v>
      </c>
      <c r="P316" s="129" t="s">
        <v>1515</v>
      </c>
      <c r="Q316" s="129" t="s">
        <v>1516</v>
      </c>
      <c r="S316" s="129">
        <v>1</v>
      </c>
      <c r="W316" s="129">
        <v>1</v>
      </c>
      <c r="AA316" s="312">
        <f t="shared" si="79"/>
        <v>2</v>
      </c>
      <c r="AG316" s="129">
        <v>1</v>
      </c>
      <c r="AK316" s="312">
        <f t="shared" si="66"/>
        <v>1</v>
      </c>
      <c r="AL316" s="129">
        <f t="shared" si="67"/>
        <v>-1</v>
      </c>
      <c r="AM316" s="129">
        <f t="shared" si="68"/>
        <v>0</v>
      </c>
      <c r="AN316" s="129">
        <f t="shared" si="69"/>
        <v>0</v>
      </c>
      <c r="AO316" s="129">
        <f t="shared" si="70"/>
        <v>0</v>
      </c>
      <c r="AP316" s="129">
        <f t="shared" si="71"/>
        <v>0</v>
      </c>
      <c r="AQ316" s="129">
        <f t="shared" si="72"/>
        <v>0</v>
      </c>
      <c r="AR316" s="129">
        <f t="shared" si="73"/>
        <v>0</v>
      </c>
      <c r="AS316" s="129">
        <f t="shared" si="74"/>
        <v>0</v>
      </c>
      <c r="AT316" s="312">
        <f t="shared" si="75"/>
        <v>-1</v>
      </c>
      <c r="AV316" s="312"/>
      <c r="AW316" s="129">
        <v>-1</v>
      </c>
      <c r="BA316" s="314"/>
      <c r="BF316" s="314"/>
      <c r="BL316" s="314"/>
      <c r="BM316" s="129">
        <f t="shared" si="76"/>
        <v>-1</v>
      </c>
      <c r="BN316" s="129">
        <f t="shared" si="77"/>
        <v>-1</v>
      </c>
      <c r="BR316" s="129">
        <v>516490</v>
      </c>
      <c r="BS316" s="129">
        <v>173705</v>
      </c>
      <c r="BT316" s="129" t="s">
        <v>180</v>
      </c>
      <c r="BU316" s="129" t="s">
        <v>154</v>
      </c>
      <c r="CA316" s="129" t="s">
        <v>1517</v>
      </c>
      <c r="CB316" s="129" t="s">
        <v>359</v>
      </c>
      <c r="CC316" s="129" t="s">
        <v>359</v>
      </c>
      <c r="CD316" s="129" t="s">
        <v>202</v>
      </c>
      <c r="CE316" s="313"/>
    </row>
    <row r="317" spans="1:83" x14ac:dyDescent="0.25">
      <c r="A317" s="129" t="s">
        <v>1518</v>
      </c>
      <c r="B317" s="129" t="s">
        <v>352</v>
      </c>
      <c r="C317" s="129" t="s">
        <v>353</v>
      </c>
      <c r="D317" s="309">
        <v>45611</v>
      </c>
      <c r="E317" s="309">
        <v>46706</v>
      </c>
      <c r="H317" s="310" t="s">
        <v>359</v>
      </c>
      <c r="J317" s="129" t="s">
        <v>267</v>
      </c>
      <c r="K317" s="129" t="s">
        <v>268</v>
      </c>
      <c r="M317" s="191"/>
      <c r="O317" s="129" t="s">
        <v>1519</v>
      </c>
      <c r="P317" s="129" t="s">
        <v>1520</v>
      </c>
      <c r="Q317" s="129" t="s">
        <v>1002</v>
      </c>
      <c r="AA317" s="312">
        <f t="shared" si="79"/>
        <v>0</v>
      </c>
      <c r="AC317" s="129">
        <v>1</v>
      </c>
      <c r="AK317" s="312">
        <f t="shared" si="66"/>
        <v>1</v>
      </c>
      <c r="AL317" s="129">
        <f t="shared" si="67"/>
        <v>1</v>
      </c>
      <c r="AM317" s="129">
        <f t="shared" si="68"/>
        <v>0</v>
      </c>
      <c r="AN317" s="129">
        <f t="shared" si="69"/>
        <v>0</v>
      </c>
      <c r="AO317" s="129">
        <f t="shared" si="70"/>
        <v>0</v>
      </c>
      <c r="AP317" s="129">
        <f t="shared" si="71"/>
        <v>0</v>
      </c>
      <c r="AQ317" s="129">
        <f t="shared" si="72"/>
        <v>0</v>
      </c>
      <c r="AR317" s="129">
        <f t="shared" si="73"/>
        <v>0</v>
      </c>
      <c r="AS317" s="129">
        <f t="shared" si="74"/>
        <v>0</v>
      </c>
      <c r="AT317" s="312">
        <f t="shared" si="75"/>
        <v>1</v>
      </c>
      <c r="AV317" s="312"/>
      <c r="AW317" s="129">
        <v>0.25</v>
      </c>
      <c r="AX317" s="129">
        <v>0.25</v>
      </c>
      <c r="AY317" s="129">
        <v>0.25</v>
      </c>
      <c r="AZ317" s="129">
        <v>0.25</v>
      </c>
      <c r="BA317" s="314"/>
      <c r="BF317" s="314"/>
      <c r="BL317" s="314"/>
      <c r="BM317" s="129">
        <f t="shared" si="76"/>
        <v>1</v>
      </c>
      <c r="BN317" s="129">
        <f t="shared" si="77"/>
        <v>1</v>
      </c>
      <c r="BR317" s="129">
        <v>515398</v>
      </c>
      <c r="BS317" s="129">
        <v>174060</v>
      </c>
      <c r="BT317" s="129" t="s">
        <v>179</v>
      </c>
      <c r="BU317" s="129" t="s">
        <v>154</v>
      </c>
      <c r="CC317" s="129" t="s">
        <v>359</v>
      </c>
      <c r="CD317" s="129" t="s">
        <v>202</v>
      </c>
      <c r="CE317" s="313"/>
    </row>
    <row r="318" spans="1:83" x14ac:dyDescent="0.25">
      <c r="A318" s="129" t="s">
        <v>1521</v>
      </c>
      <c r="B318" s="129" t="s">
        <v>369</v>
      </c>
      <c r="C318" s="248" t="s">
        <v>370</v>
      </c>
      <c r="D318" s="309">
        <v>45621</v>
      </c>
      <c r="E318" s="309">
        <v>46716</v>
      </c>
      <c r="H318" s="310" t="s">
        <v>359</v>
      </c>
      <c r="J318" s="129" t="s">
        <v>267</v>
      </c>
      <c r="K318" s="129" t="s">
        <v>268</v>
      </c>
      <c r="M318" s="191"/>
      <c r="O318" s="129" t="s">
        <v>1522</v>
      </c>
      <c r="P318" s="129" t="s">
        <v>1523</v>
      </c>
      <c r="Q318" s="129" t="s">
        <v>1524</v>
      </c>
      <c r="AA318" s="312">
        <f t="shared" si="79"/>
        <v>0</v>
      </c>
      <c r="AC318" s="129">
        <v>1</v>
      </c>
      <c r="AD318" s="129">
        <v>2</v>
      </c>
      <c r="AK318" s="312">
        <f t="shared" si="66"/>
        <v>3</v>
      </c>
      <c r="AL318" s="129">
        <f t="shared" si="67"/>
        <v>1</v>
      </c>
      <c r="AM318" s="129">
        <f t="shared" si="68"/>
        <v>2</v>
      </c>
      <c r="AN318" s="129">
        <f t="shared" si="69"/>
        <v>0</v>
      </c>
      <c r="AO318" s="129">
        <f t="shared" si="70"/>
        <v>0</v>
      </c>
      <c r="AP318" s="129">
        <f t="shared" si="71"/>
        <v>0</v>
      </c>
      <c r="AQ318" s="129">
        <f t="shared" si="72"/>
        <v>0</v>
      </c>
      <c r="AR318" s="129">
        <f t="shared" si="73"/>
        <v>0</v>
      </c>
      <c r="AS318" s="129">
        <f t="shared" si="74"/>
        <v>0</v>
      </c>
      <c r="AT318" s="312">
        <f t="shared" si="75"/>
        <v>3</v>
      </c>
      <c r="AV318" s="312"/>
      <c r="AW318" s="129">
        <v>0.75</v>
      </c>
      <c r="AX318" s="129">
        <v>0.75</v>
      </c>
      <c r="AY318" s="129">
        <v>0.75</v>
      </c>
      <c r="AZ318" s="129">
        <v>0.75</v>
      </c>
      <c r="BA318" s="314"/>
      <c r="BF318" s="314"/>
      <c r="BL318" s="314"/>
      <c r="BM318" s="129">
        <f t="shared" si="76"/>
        <v>3</v>
      </c>
      <c r="BN318" s="129">
        <f t="shared" si="77"/>
        <v>3</v>
      </c>
      <c r="BR318" s="129">
        <v>515110</v>
      </c>
      <c r="BS318" s="129">
        <v>172754</v>
      </c>
      <c r="BT318" s="129" t="s">
        <v>181</v>
      </c>
      <c r="BU318" s="129" t="s">
        <v>154</v>
      </c>
      <c r="BX318" s="129" t="s">
        <v>542</v>
      </c>
      <c r="BY318" s="129" t="s">
        <v>359</v>
      </c>
      <c r="CC318" s="129" t="s">
        <v>359</v>
      </c>
      <c r="CD318" s="129" t="s">
        <v>202</v>
      </c>
      <c r="CE318" s="313"/>
    </row>
    <row r="319" spans="1:83" x14ac:dyDescent="0.25">
      <c r="A319" s="129" t="s">
        <v>1525</v>
      </c>
      <c r="B319" s="129" t="s">
        <v>369</v>
      </c>
      <c r="C319" s="248" t="s">
        <v>370</v>
      </c>
      <c r="D319" s="309">
        <v>45628</v>
      </c>
      <c r="E319" s="309">
        <v>46723</v>
      </c>
      <c r="H319" s="310" t="s">
        <v>359</v>
      </c>
      <c r="J319" s="129" t="s">
        <v>267</v>
      </c>
      <c r="K319" s="129" t="s">
        <v>268</v>
      </c>
      <c r="M319" s="191"/>
      <c r="O319" s="129" t="s">
        <v>1526</v>
      </c>
      <c r="P319" s="129" t="s">
        <v>1527</v>
      </c>
      <c r="Q319" s="129" t="s">
        <v>1307</v>
      </c>
      <c r="AA319" s="312">
        <f t="shared" si="79"/>
        <v>0</v>
      </c>
      <c r="AE319" s="129">
        <v>1</v>
      </c>
      <c r="AK319" s="312">
        <f t="shared" si="66"/>
        <v>1</v>
      </c>
      <c r="AL319" s="129">
        <f t="shared" si="67"/>
        <v>0</v>
      </c>
      <c r="AM319" s="129">
        <f t="shared" si="68"/>
        <v>0</v>
      </c>
      <c r="AN319" s="129">
        <f t="shared" si="69"/>
        <v>1</v>
      </c>
      <c r="AO319" s="129">
        <f t="shared" si="70"/>
        <v>0</v>
      </c>
      <c r="AP319" s="129">
        <f t="shared" si="71"/>
        <v>0</v>
      </c>
      <c r="AQ319" s="129">
        <f t="shared" si="72"/>
        <v>0</v>
      </c>
      <c r="AR319" s="129">
        <f t="shared" si="73"/>
        <v>0</v>
      </c>
      <c r="AS319" s="129">
        <f t="shared" si="74"/>
        <v>0</v>
      </c>
      <c r="AT319" s="312">
        <f t="shared" si="75"/>
        <v>1</v>
      </c>
      <c r="AV319" s="312"/>
      <c r="AW319" s="129">
        <v>0.25</v>
      </c>
      <c r="AX319" s="129">
        <v>0.25</v>
      </c>
      <c r="AY319" s="129">
        <v>0.25</v>
      </c>
      <c r="AZ319" s="129">
        <v>0.25</v>
      </c>
      <c r="BA319" s="314"/>
      <c r="BF319" s="314"/>
      <c r="BL319" s="314"/>
      <c r="BM319" s="129">
        <f t="shared" si="76"/>
        <v>1</v>
      </c>
      <c r="BN319" s="129">
        <f t="shared" si="77"/>
        <v>1</v>
      </c>
      <c r="BR319" s="129">
        <v>519072</v>
      </c>
      <c r="BS319" s="129">
        <v>176048</v>
      </c>
      <c r="BT319" s="129" t="s">
        <v>174</v>
      </c>
      <c r="BU319" s="129" t="s">
        <v>150</v>
      </c>
      <c r="CC319" s="129" t="s">
        <v>359</v>
      </c>
      <c r="CD319" s="129" t="s">
        <v>174</v>
      </c>
      <c r="CE319" s="313"/>
    </row>
    <row r="320" spans="1:83" x14ac:dyDescent="0.25">
      <c r="A320" s="129" t="s">
        <v>1528</v>
      </c>
      <c r="B320" s="129" t="s">
        <v>369</v>
      </c>
      <c r="C320" s="248" t="s">
        <v>370</v>
      </c>
      <c r="D320" s="309">
        <v>45646</v>
      </c>
      <c r="E320" s="309">
        <v>46741</v>
      </c>
      <c r="F320" s="309">
        <v>45775</v>
      </c>
      <c r="G320" s="310"/>
      <c r="H320" s="310" t="s">
        <v>359</v>
      </c>
      <c r="J320" s="129" t="s">
        <v>267</v>
      </c>
      <c r="K320" s="129" t="s">
        <v>268</v>
      </c>
      <c r="M320" s="191"/>
      <c r="O320" s="129" t="s">
        <v>1529</v>
      </c>
      <c r="P320" s="129" t="s">
        <v>1530</v>
      </c>
      <c r="Q320" s="129" t="s">
        <v>1531</v>
      </c>
      <c r="AA320" s="312">
        <f t="shared" si="79"/>
        <v>0</v>
      </c>
      <c r="AC320" s="129">
        <v>1</v>
      </c>
      <c r="AD320" s="129">
        <v>1</v>
      </c>
      <c r="AK320" s="312">
        <f t="shared" si="66"/>
        <v>2</v>
      </c>
      <c r="AL320" s="129">
        <f t="shared" si="67"/>
        <v>1</v>
      </c>
      <c r="AM320" s="129">
        <f t="shared" si="68"/>
        <v>1</v>
      </c>
      <c r="AN320" s="129">
        <f t="shared" si="69"/>
        <v>0</v>
      </c>
      <c r="AO320" s="129">
        <f t="shared" si="70"/>
        <v>0</v>
      </c>
      <c r="AP320" s="129">
        <f t="shared" si="71"/>
        <v>0</v>
      </c>
      <c r="AQ320" s="129">
        <f t="shared" si="72"/>
        <v>0</v>
      </c>
      <c r="AR320" s="129">
        <f t="shared" si="73"/>
        <v>0</v>
      </c>
      <c r="AS320" s="129">
        <f t="shared" si="74"/>
        <v>0</v>
      </c>
      <c r="AT320" s="312">
        <f t="shared" si="75"/>
        <v>2</v>
      </c>
      <c r="AV320" s="312"/>
      <c r="AX320" s="129">
        <v>2</v>
      </c>
      <c r="BA320" s="314"/>
      <c r="BF320" s="314"/>
      <c r="BL320" s="314"/>
      <c r="BM320" s="129">
        <f t="shared" si="76"/>
        <v>2</v>
      </c>
      <c r="BN320" s="129">
        <f t="shared" si="77"/>
        <v>2</v>
      </c>
      <c r="BR320" s="129">
        <v>517972</v>
      </c>
      <c r="BS320" s="129">
        <v>174793</v>
      </c>
      <c r="BT320" s="129" t="s">
        <v>177</v>
      </c>
      <c r="BU320" s="129" t="s">
        <v>150</v>
      </c>
      <c r="BV320" s="129" t="s">
        <v>150</v>
      </c>
      <c r="CA320" s="129" t="s">
        <v>606</v>
      </c>
      <c r="CB320" s="129" t="s">
        <v>359</v>
      </c>
      <c r="CC320" s="129" t="s">
        <v>359</v>
      </c>
      <c r="CD320" s="129" t="s">
        <v>200</v>
      </c>
      <c r="CE320" s="313"/>
    </row>
    <row r="321" spans="1:83" x14ac:dyDescent="0.25">
      <c r="A321" s="129" t="s">
        <v>1532</v>
      </c>
      <c r="B321" s="129" t="s">
        <v>369</v>
      </c>
      <c r="C321" s="248" t="s">
        <v>370</v>
      </c>
      <c r="D321" s="309">
        <v>45631</v>
      </c>
      <c r="E321" s="309">
        <v>46726</v>
      </c>
      <c r="H321" s="310" t="s">
        <v>359</v>
      </c>
      <c r="J321" s="129" t="s">
        <v>267</v>
      </c>
      <c r="K321" s="129" t="s">
        <v>268</v>
      </c>
      <c r="M321" s="191"/>
      <c r="O321" s="129" t="s">
        <v>1533</v>
      </c>
      <c r="P321" s="129" t="s">
        <v>1534</v>
      </c>
      <c r="Q321" s="129" t="s">
        <v>1535</v>
      </c>
      <c r="AA321" s="312">
        <f t="shared" si="79"/>
        <v>0</v>
      </c>
      <c r="AC321" s="129">
        <v>2</v>
      </c>
      <c r="AK321" s="312">
        <f t="shared" si="66"/>
        <v>2</v>
      </c>
      <c r="AL321" s="129">
        <f t="shared" si="67"/>
        <v>2</v>
      </c>
      <c r="AM321" s="129">
        <f t="shared" si="68"/>
        <v>0</v>
      </c>
      <c r="AN321" s="129">
        <f t="shared" si="69"/>
        <v>0</v>
      </c>
      <c r="AO321" s="129">
        <f t="shared" si="70"/>
        <v>0</v>
      </c>
      <c r="AP321" s="129">
        <f t="shared" si="71"/>
        <v>0</v>
      </c>
      <c r="AQ321" s="129">
        <f t="shared" si="72"/>
        <v>0</v>
      </c>
      <c r="AR321" s="129">
        <f t="shared" si="73"/>
        <v>0</v>
      </c>
      <c r="AS321" s="129">
        <f t="shared" si="74"/>
        <v>0</v>
      </c>
      <c r="AT321" s="312">
        <f t="shared" si="75"/>
        <v>2</v>
      </c>
      <c r="AV321" s="312"/>
      <c r="AW321" s="129">
        <v>0.5</v>
      </c>
      <c r="AX321" s="129">
        <v>0.5</v>
      </c>
      <c r="AY321" s="129">
        <v>0.5</v>
      </c>
      <c r="AZ321" s="129">
        <v>0.5</v>
      </c>
      <c r="BA321" s="314"/>
      <c r="BF321" s="314"/>
      <c r="BL321" s="314"/>
      <c r="BM321" s="129">
        <f t="shared" si="76"/>
        <v>2</v>
      </c>
      <c r="BN321" s="129">
        <f t="shared" si="77"/>
        <v>2</v>
      </c>
      <c r="BR321" s="129">
        <v>513719</v>
      </c>
      <c r="BS321" s="129">
        <v>169668</v>
      </c>
      <c r="BT321" s="129" t="s">
        <v>170</v>
      </c>
      <c r="BU321" s="129" t="s">
        <v>192</v>
      </c>
      <c r="BX321" s="129" t="s">
        <v>1508</v>
      </c>
      <c r="BY321" s="129" t="s">
        <v>359</v>
      </c>
      <c r="CA321" s="129" t="s">
        <v>421</v>
      </c>
      <c r="CB321" s="129" t="s">
        <v>359</v>
      </c>
      <c r="CC321" s="129" t="s">
        <v>359</v>
      </c>
      <c r="CD321" s="129" t="s">
        <v>198</v>
      </c>
      <c r="CE321" s="313"/>
    </row>
    <row r="322" spans="1:83" x14ac:dyDescent="0.25">
      <c r="A322" s="129" t="s">
        <v>1536</v>
      </c>
      <c r="B322" s="129" t="s">
        <v>369</v>
      </c>
      <c r="C322" s="248" t="s">
        <v>370</v>
      </c>
      <c r="D322" s="309">
        <v>45624</v>
      </c>
      <c r="E322" s="309">
        <v>46719</v>
      </c>
      <c r="H322" s="310" t="s">
        <v>359</v>
      </c>
      <c r="J322" s="129" t="s">
        <v>267</v>
      </c>
      <c r="K322" s="129" t="s">
        <v>268</v>
      </c>
      <c r="M322" s="191"/>
      <c r="O322" s="129" t="s">
        <v>1537</v>
      </c>
      <c r="P322" s="129" t="s">
        <v>1538</v>
      </c>
      <c r="Q322" s="129" t="s">
        <v>1539</v>
      </c>
      <c r="AA322" s="312">
        <f t="shared" si="79"/>
        <v>0</v>
      </c>
      <c r="AH322" s="129">
        <v>2</v>
      </c>
      <c r="AK322" s="312">
        <f t="shared" ref="AK322:AK334" si="80">SUM(AC322:AJ322)</f>
        <v>2</v>
      </c>
      <c r="AL322" s="129">
        <f t="shared" ref="AL322:AL334" si="81">AC322-S322</f>
        <v>0</v>
      </c>
      <c r="AM322" s="129">
        <f t="shared" ref="AM322:AM334" si="82">AD322-T322</f>
        <v>0</v>
      </c>
      <c r="AN322" s="129">
        <f t="shared" ref="AN322:AN334" si="83">AE322-U322</f>
        <v>0</v>
      </c>
      <c r="AO322" s="129">
        <f t="shared" ref="AO322:AO334" si="84">AF322-V322</f>
        <v>0</v>
      </c>
      <c r="AP322" s="129">
        <f t="shared" ref="AP322:AP334" si="85">AG322-W322</f>
        <v>0</v>
      </c>
      <c r="AQ322" s="129">
        <f t="shared" ref="AQ322:AQ334" si="86">AH322-X322</f>
        <v>2</v>
      </c>
      <c r="AR322" s="129">
        <f t="shared" ref="AR322:AR334" si="87">AI322-Y322</f>
        <v>0</v>
      </c>
      <c r="AS322" s="129">
        <f t="shared" ref="AS322:AS334" si="88">AJ322-Z322</f>
        <v>0</v>
      </c>
      <c r="AT322" s="312">
        <f t="shared" ref="AT322:AT334" si="89">AK322-AA322</f>
        <v>2</v>
      </c>
      <c r="AV322" s="312"/>
      <c r="AW322" s="129">
        <v>0.5</v>
      </c>
      <c r="AX322" s="129">
        <v>0.5</v>
      </c>
      <c r="AY322" s="129">
        <v>0.5</v>
      </c>
      <c r="AZ322" s="129">
        <v>0.5</v>
      </c>
      <c r="BA322" s="314"/>
      <c r="BF322" s="314"/>
      <c r="BL322" s="314"/>
      <c r="BM322" s="129">
        <f t="shared" si="76"/>
        <v>2</v>
      </c>
      <c r="BN322" s="129">
        <f t="shared" si="77"/>
        <v>2</v>
      </c>
      <c r="BR322" s="129">
        <v>520529</v>
      </c>
      <c r="BS322" s="129">
        <v>175363</v>
      </c>
      <c r="BT322" s="129" t="s">
        <v>149</v>
      </c>
      <c r="BU322" s="129" t="s">
        <v>190</v>
      </c>
      <c r="BV322" s="129" t="s">
        <v>149</v>
      </c>
      <c r="CC322" s="129" t="s">
        <v>359</v>
      </c>
      <c r="CD322" s="129" t="s">
        <v>199</v>
      </c>
      <c r="CE322" s="313"/>
    </row>
    <row r="323" spans="1:83" x14ac:dyDescent="0.25">
      <c r="A323" s="129" t="s">
        <v>1540</v>
      </c>
      <c r="B323" s="129" t="s">
        <v>369</v>
      </c>
      <c r="C323" s="248" t="s">
        <v>370</v>
      </c>
      <c r="D323" s="309">
        <v>45642</v>
      </c>
      <c r="E323" s="309">
        <v>46737</v>
      </c>
      <c r="H323" s="310" t="s">
        <v>359</v>
      </c>
      <c r="J323" s="129" t="s">
        <v>267</v>
      </c>
      <c r="K323" s="129" t="s">
        <v>268</v>
      </c>
      <c r="M323" s="191"/>
      <c r="O323" s="129" t="s">
        <v>1541</v>
      </c>
      <c r="P323" s="129" t="s">
        <v>1542</v>
      </c>
      <c r="Q323" s="129" t="s">
        <v>1324</v>
      </c>
      <c r="AA323" s="312">
        <f t="shared" si="79"/>
        <v>0</v>
      </c>
      <c r="AC323" s="129">
        <v>1</v>
      </c>
      <c r="AK323" s="312">
        <f t="shared" si="80"/>
        <v>1</v>
      </c>
      <c r="AL323" s="129">
        <f t="shared" si="81"/>
        <v>1</v>
      </c>
      <c r="AM323" s="129">
        <f t="shared" si="82"/>
        <v>0</v>
      </c>
      <c r="AN323" s="129">
        <f t="shared" si="83"/>
        <v>0</v>
      </c>
      <c r="AO323" s="129">
        <f t="shared" si="84"/>
        <v>0</v>
      </c>
      <c r="AP323" s="129">
        <f t="shared" si="85"/>
        <v>0</v>
      </c>
      <c r="AQ323" s="129">
        <f t="shared" si="86"/>
        <v>0</v>
      </c>
      <c r="AR323" s="129">
        <f t="shared" si="87"/>
        <v>0</v>
      </c>
      <c r="AS323" s="129">
        <f t="shared" si="88"/>
        <v>0</v>
      </c>
      <c r="AT323" s="312">
        <f t="shared" si="89"/>
        <v>1</v>
      </c>
      <c r="AV323" s="312"/>
      <c r="AW323" s="129">
        <v>0.25</v>
      </c>
      <c r="AX323" s="129">
        <v>0.25</v>
      </c>
      <c r="AY323" s="129">
        <v>0.25</v>
      </c>
      <c r="AZ323" s="129">
        <v>0.25</v>
      </c>
      <c r="BA323" s="314"/>
      <c r="BF323" s="314"/>
      <c r="BL323" s="314"/>
      <c r="BM323" s="129">
        <f t="shared" si="76"/>
        <v>1</v>
      </c>
      <c r="BN323" s="129">
        <f t="shared" si="77"/>
        <v>1</v>
      </c>
      <c r="BR323" s="129">
        <v>514567</v>
      </c>
      <c r="BS323" s="129">
        <v>171256</v>
      </c>
      <c r="BT323" s="129" t="s">
        <v>168</v>
      </c>
      <c r="BU323" s="129" t="s">
        <v>192</v>
      </c>
      <c r="BX323" s="129" t="s">
        <v>404</v>
      </c>
      <c r="BY323" s="129" t="s">
        <v>359</v>
      </c>
      <c r="CC323" s="129" t="s">
        <v>359</v>
      </c>
      <c r="CD323" s="129" t="s">
        <v>198</v>
      </c>
      <c r="CE323" s="313"/>
    </row>
    <row r="324" spans="1:83" x14ac:dyDescent="0.25">
      <c r="A324" s="129" t="s">
        <v>1543</v>
      </c>
      <c r="B324" s="129" t="s">
        <v>369</v>
      </c>
      <c r="C324" s="129" t="s">
        <v>353</v>
      </c>
      <c r="D324" s="309">
        <v>45707</v>
      </c>
      <c r="E324" s="309">
        <v>46802</v>
      </c>
      <c r="H324" s="310" t="s">
        <v>359</v>
      </c>
      <c r="J324" s="129" t="s">
        <v>267</v>
      </c>
      <c r="K324" s="129" t="s">
        <v>268</v>
      </c>
      <c r="M324" s="191"/>
      <c r="O324" s="129" t="s">
        <v>1544</v>
      </c>
      <c r="P324" s="129" t="s">
        <v>1545</v>
      </c>
      <c r="Q324" s="129" t="s">
        <v>1546</v>
      </c>
      <c r="AA324" s="312">
        <f t="shared" si="79"/>
        <v>0</v>
      </c>
      <c r="AH324" s="129">
        <v>1</v>
      </c>
      <c r="AK324" s="312">
        <f t="shared" si="80"/>
        <v>1</v>
      </c>
      <c r="AL324" s="129">
        <f t="shared" si="81"/>
        <v>0</v>
      </c>
      <c r="AM324" s="129">
        <f t="shared" si="82"/>
        <v>0</v>
      </c>
      <c r="AN324" s="129">
        <f t="shared" si="83"/>
        <v>0</v>
      </c>
      <c r="AO324" s="129">
        <f t="shared" si="84"/>
        <v>0</v>
      </c>
      <c r="AP324" s="129">
        <f t="shared" si="85"/>
        <v>0</v>
      </c>
      <c r="AQ324" s="129">
        <f t="shared" si="86"/>
        <v>1</v>
      </c>
      <c r="AR324" s="129">
        <f t="shared" si="87"/>
        <v>0</v>
      </c>
      <c r="AS324" s="129">
        <f t="shared" si="88"/>
        <v>0</v>
      </c>
      <c r="AT324" s="312">
        <f t="shared" si="89"/>
        <v>1</v>
      </c>
      <c r="AV324" s="312"/>
      <c r="AW324" s="129">
        <v>0.25</v>
      </c>
      <c r="AX324" s="129">
        <v>0.25</v>
      </c>
      <c r="AY324" s="129">
        <v>0.25</v>
      </c>
      <c r="AZ324" s="129">
        <v>0.25</v>
      </c>
      <c r="BA324" s="314"/>
      <c r="BF324" s="314"/>
      <c r="BL324" s="314"/>
      <c r="BM324" s="129">
        <f t="shared" si="76"/>
        <v>1</v>
      </c>
      <c r="BN324" s="129">
        <f t="shared" si="77"/>
        <v>1</v>
      </c>
      <c r="BR324" s="129">
        <v>517842</v>
      </c>
      <c r="BS324" s="129">
        <v>174938</v>
      </c>
      <c r="BT324" s="129" t="s">
        <v>177</v>
      </c>
      <c r="BU324" s="129" t="s">
        <v>150</v>
      </c>
      <c r="BV324" s="129" t="s">
        <v>150</v>
      </c>
      <c r="CA324" s="129" t="s">
        <v>486</v>
      </c>
      <c r="CB324" s="129" t="s">
        <v>359</v>
      </c>
      <c r="CC324" s="129" t="s">
        <v>359</v>
      </c>
      <c r="CD324" s="129" t="s">
        <v>200</v>
      </c>
      <c r="CE324" s="313"/>
    </row>
    <row r="325" spans="1:83" x14ac:dyDescent="0.25">
      <c r="A325" s="129" t="s">
        <v>1547</v>
      </c>
      <c r="B325" s="129" t="s">
        <v>369</v>
      </c>
      <c r="C325" s="248" t="s">
        <v>370</v>
      </c>
      <c r="D325" s="309">
        <v>45660</v>
      </c>
      <c r="E325" s="309">
        <v>46755</v>
      </c>
      <c r="H325" s="310" t="s">
        <v>359</v>
      </c>
      <c r="J325" s="129" t="s">
        <v>267</v>
      </c>
      <c r="K325" s="129" t="s">
        <v>268</v>
      </c>
      <c r="M325" s="191"/>
      <c r="O325" s="129" t="s">
        <v>1548</v>
      </c>
      <c r="P325" s="129" t="s">
        <v>1549</v>
      </c>
      <c r="Q325" s="129" t="s">
        <v>1550</v>
      </c>
      <c r="AA325" s="312">
        <f t="shared" si="79"/>
        <v>0</v>
      </c>
      <c r="AC325" s="129">
        <v>3</v>
      </c>
      <c r="AD325" s="129">
        <v>1</v>
      </c>
      <c r="AK325" s="312">
        <f t="shared" si="80"/>
        <v>4</v>
      </c>
      <c r="AL325" s="129">
        <f t="shared" si="81"/>
        <v>3</v>
      </c>
      <c r="AM325" s="129">
        <f t="shared" si="82"/>
        <v>1</v>
      </c>
      <c r="AN325" s="129">
        <f t="shared" si="83"/>
        <v>0</v>
      </c>
      <c r="AO325" s="129">
        <f t="shared" si="84"/>
        <v>0</v>
      </c>
      <c r="AP325" s="129">
        <f t="shared" si="85"/>
        <v>0</v>
      </c>
      <c r="AQ325" s="129">
        <f t="shared" si="86"/>
        <v>0</v>
      </c>
      <c r="AR325" s="129">
        <f t="shared" si="87"/>
        <v>0</v>
      </c>
      <c r="AS325" s="129">
        <f t="shared" si="88"/>
        <v>0</v>
      </c>
      <c r="AT325" s="312">
        <f t="shared" si="89"/>
        <v>4</v>
      </c>
      <c r="AV325" s="312"/>
      <c r="AW325" s="129">
        <v>1</v>
      </c>
      <c r="AX325" s="129">
        <v>1</v>
      </c>
      <c r="AY325" s="129">
        <v>1</v>
      </c>
      <c r="AZ325" s="129">
        <v>1</v>
      </c>
      <c r="BA325" s="314"/>
      <c r="BF325" s="314"/>
      <c r="BL325" s="314"/>
      <c r="BM325" s="129">
        <f t="shared" si="76"/>
        <v>4</v>
      </c>
      <c r="BN325" s="129">
        <f t="shared" si="77"/>
        <v>4</v>
      </c>
      <c r="BR325" s="129">
        <v>520488</v>
      </c>
      <c r="BS325" s="129">
        <v>175298</v>
      </c>
      <c r="BT325" s="129" t="s">
        <v>149</v>
      </c>
      <c r="BU325" s="129" t="s">
        <v>190</v>
      </c>
      <c r="CC325" s="129" t="s">
        <v>359</v>
      </c>
      <c r="CD325" s="129" t="s">
        <v>199</v>
      </c>
      <c r="CE325" s="313"/>
    </row>
    <row r="326" spans="1:83" x14ac:dyDescent="0.25">
      <c r="A326" s="129" t="s">
        <v>1551</v>
      </c>
      <c r="B326" s="129" t="s">
        <v>369</v>
      </c>
      <c r="C326" s="248" t="s">
        <v>370</v>
      </c>
      <c r="D326" s="309">
        <v>45665</v>
      </c>
      <c r="E326" s="309">
        <v>46760</v>
      </c>
      <c r="H326" s="310" t="s">
        <v>359</v>
      </c>
      <c r="J326" s="129" t="s">
        <v>267</v>
      </c>
      <c r="K326" s="129" t="s">
        <v>268</v>
      </c>
      <c r="M326" s="191"/>
      <c r="O326" s="129" t="s">
        <v>1552</v>
      </c>
      <c r="P326" s="129" t="s">
        <v>1553</v>
      </c>
      <c r="Q326" s="129" t="s">
        <v>1554</v>
      </c>
      <c r="AA326" s="312">
        <f t="shared" si="79"/>
        <v>0</v>
      </c>
      <c r="AC326" s="129">
        <v>3</v>
      </c>
      <c r="AK326" s="312">
        <f t="shared" si="80"/>
        <v>3</v>
      </c>
      <c r="AL326" s="129">
        <f t="shared" si="81"/>
        <v>3</v>
      </c>
      <c r="AM326" s="129">
        <f t="shared" si="82"/>
        <v>0</v>
      </c>
      <c r="AN326" s="129">
        <f t="shared" si="83"/>
        <v>0</v>
      </c>
      <c r="AO326" s="129">
        <f t="shared" si="84"/>
        <v>0</v>
      </c>
      <c r="AP326" s="129">
        <f t="shared" si="85"/>
        <v>0</v>
      </c>
      <c r="AQ326" s="129">
        <f t="shared" si="86"/>
        <v>0</v>
      </c>
      <c r="AR326" s="129">
        <f t="shared" si="87"/>
        <v>0</v>
      </c>
      <c r="AS326" s="129">
        <f t="shared" si="88"/>
        <v>0</v>
      </c>
      <c r="AT326" s="312">
        <f t="shared" si="89"/>
        <v>3</v>
      </c>
      <c r="AV326" s="312"/>
      <c r="AW326" s="129">
        <v>0.75</v>
      </c>
      <c r="AX326" s="129">
        <v>0.75</v>
      </c>
      <c r="AY326" s="129">
        <v>0.75</v>
      </c>
      <c r="AZ326" s="129">
        <v>0.75</v>
      </c>
      <c r="BA326" s="314"/>
      <c r="BF326" s="314"/>
      <c r="BL326" s="314"/>
      <c r="BM326" s="129">
        <f t="shared" si="76"/>
        <v>3</v>
      </c>
      <c r="BN326" s="129">
        <f t="shared" si="77"/>
        <v>3</v>
      </c>
      <c r="BR326" s="129">
        <v>520467</v>
      </c>
      <c r="BS326" s="129">
        <v>175568</v>
      </c>
      <c r="BT326" s="129" t="s">
        <v>149</v>
      </c>
      <c r="BU326" s="129" t="s">
        <v>190</v>
      </c>
      <c r="BV326" s="129" t="s">
        <v>149</v>
      </c>
      <c r="CA326" s="129" t="s">
        <v>617</v>
      </c>
      <c r="CB326" s="129" t="s">
        <v>359</v>
      </c>
      <c r="CC326" s="129" t="s">
        <v>359</v>
      </c>
      <c r="CD326" s="129" t="s">
        <v>199</v>
      </c>
      <c r="CE326" s="313"/>
    </row>
    <row r="327" spans="1:83" x14ac:dyDescent="0.25">
      <c r="A327" s="129" t="s">
        <v>1555</v>
      </c>
      <c r="B327" s="129" t="s">
        <v>369</v>
      </c>
      <c r="C327" s="248" t="s">
        <v>370</v>
      </c>
      <c r="D327" s="309">
        <v>45665</v>
      </c>
      <c r="E327" s="309">
        <v>46760</v>
      </c>
      <c r="H327" s="310" t="s">
        <v>359</v>
      </c>
      <c r="J327" s="129" t="s">
        <v>267</v>
      </c>
      <c r="K327" s="129" t="s">
        <v>268</v>
      </c>
      <c r="L327" s="129" t="s">
        <v>634</v>
      </c>
      <c r="M327" s="191"/>
      <c r="O327" s="129" t="s">
        <v>1556</v>
      </c>
      <c r="P327" s="129" t="s">
        <v>1553</v>
      </c>
      <c r="Q327" s="129" t="s">
        <v>1554</v>
      </c>
      <c r="AA327" s="312">
        <f t="shared" si="79"/>
        <v>0</v>
      </c>
      <c r="AE327" s="129">
        <v>1</v>
      </c>
      <c r="AK327" s="312">
        <f t="shared" si="80"/>
        <v>1</v>
      </c>
      <c r="AL327" s="129">
        <f t="shared" si="81"/>
        <v>0</v>
      </c>
      <c r="AM327" s="129">
        <f t="shared" si="82"/>
        <v>0</v>
      </c>
      <c r="AN327" s="129">
        <f t="shared" si="83"/>
        <v>1</v>
      </c>
      <c r="AO327" s="129">
        <f t="shared" si="84"/>
        <v>0</v>
      </c>
      <c r="AP327" s="129">
        <f t="shared" si="85"/>
        <v>0</v>
      </c>
      <c r="AQ327" s="129">
        <f t="shared" si="86"/>
        <v>0</v>
      </c>
      <c r="AR327" s="129">
        <f t="shared" si="87"/>
        <v>0</v>
      </c>
      <c r="AS327" s="129">
        <f t="shared" si="88"/>
        <v>0</v>
      </c>
      <c r="AT327" s="312">
        <f t="shared" si="89"/>
        <v>1</v>
      </c>
      <c r="AV327" s="312"/>
      <c r="AW327" s="129">
        <v>0.25</v>
      </c>
      <c r="AX327" s="129">
        <v>0.25</v>
      </c>
      <c r="AY327" s="129">
        <v>0.25</v>
      </c>
      <c r="AZ327" s="129">
        <v>0.25</v>
      </c>
      <c r="BA327" s="314"/>
      <c r="BF327" s="314"/>
      <c r="BL327" s="314"/>
      <c r="BM327" s="129">
        <f t="shared" si="76"/>
        <v>1</v>
      </c>
      <c r="BN327" s="129">
        <f t="shared" si="77"/>
        <v>1</v>
      </c>
      <c r="BR327" s="129">
        <v>520467</v>
      </c>
      <c r="BS327" s="129">
        <v>175568</v>
      </c>
      <c r="BT327" s="129" t="s">
        <v>149</v>
      </c>
      <c r="BU327" s="129" t="s">
        <v>190</v>
      </c>
      <c r="BV327" s="129" t="s">
        <v>149</v>
      </c>
      <c r="CA327" s="129" t="s">
        <v>617</v>
      </c>
      <c r="CB327" s="129" t="s">
        <v>359</v>
      </c>
      <c r="CC327" s="129" t="s">
        <v>359</v>
      </c>
      <c r="CD327" s="129" t="s">
        <v>199</v>
      </c>
      <c r="CE327" s="313"/>
    </row>
    <row r="328" spans="1:83" x14ac:dyDescent="0.25">
      <c r="A328" s="129" t="s">
        <v>1557</v>
      </c>
      <c r="B328" s="129" t="s">
        <v>482</v>
      </c>
      <c r="C328" s="129" t="s">
        <v>353</v>
      </c>
      <c r="D328" s="309">
        <v>45712</v>
      </c>
      <c r="E328" s="309">
        <v>46807</v>
      </c>
      <c r="F328" s="309">
        <v>45748</v>
      </c>
      <c r="G328" s="310"/>
      <c r="H328" s="310" t="s">
        <v>359</v>
      </c>
      <c r="J328" s="129" t="s">
        <v>267</v>
      </c>
      <c r="K328" s="129" t="s">
        <v>268</v>
      </c>
      <c r="M328" s="191"/>
      <c r="O328" s="129" t="s">
        <v>1558</v>
      </c>
      <c r="P328" s="129" t="s">
        <v>1559</v>
      </c>
      <c r="Q328" s="129" t="s">
        <v>1560</v>
      </c>
      <c r="T328" s="129">
        <v>1</v>
      </c>
      <c r="V328" s="129">
        <v>1</v>
      </c>
      <c r="AA328" s="312">
        <f t="shared" si="79"/>
        <v>2</v>
      </c>
      <c r="AI328" s="129">
        <v>1</v>
      </c>
      <c r="AK328" s="312">
        <f t="shared" si="80"/>
        <v>1</v>
      </c>
      <c r="AL328" s="129">
        <f t="shared" si="81"/>
        <v>0</v>
      </c>
      <c r="AM328" s="129">
        <f t="shared" si="82"/>
        <v>-1</v>
      </c>
      <c r="AN328" s="129">
        <f t="shared" si="83"/>
        <v>0</v>
      </c>
      <c r="AO328" s="129">
        <f t="shared" si="84"/>
        <v>-1</v>
      </c>
      <c r="AP328" s="129">
        <f t="shared" si="85"/>
        <v>0</v>
      </c>
      <c r="AQ328" s="129">
        <f t="shared" si="86"/>
        <v>0</v>
      </c>
      <c r="AR328" s="129">
        <f t="shared" si="87"/>
        <v>1</v>
      </c>
      <c r="AS328" s="129">
        <f t="shared" si="88"/>
        <v>0</v>
      </c>
      <c r="AT328" s="312">
        <f t="shared" si="89"/>
        <v>-1</v>
      </c>
      <c r="AV328" s="312"/>
      <c r="AW328" s="129">
        <v>-1</v>
      </c>
      <c r="BA328" s="314"/>
      <c r="BF328" s="314"/>
      <c r="BL328" s="314"/>
      <c r="BM328" s="129">
        <f t="shared" si="76"/>
        <v>-1</v>
      </c>
      <c r="BN328" s="129">
        <f t="shared" si="77"/>
        <v>-1</v>
      </c>
      <c r="BR328" s="129">
        <v>520451</v>
      </c>
      <c r="BS328" s="129">
        <v>174895</v>
      </c>
      <c r="BT328" s="129" t="s">
        <v>149</v>
      </c>
      <c r="BU328" s="129" t="s">
        <v>190</v>
      </c>
      <c r="CA328" s="129" t="s">
        <v>1561</v>
      </c>
      <c r="CB328" s="129" t="s">
        <v>359</v>
      </c>
      <c r="CC328" s="129" t="s">
        <v>359</v>
      </c>
      <c r="CD328" s="129" t="s">
        <v>199</v>
      </c>
      <c r="CE328" s="313"/>
    </row>
    <row r="329" spans="1:83" x14ac:dyDescent="0.25">
      <c r="A329" s="129" t="s">
        <v>1562</v>
      </c>
      <c r="B329" s="129" t="s">
        <v>369</v>
      </c>
      <c r="C329" s="248" t="s">
        <v>370</v>
      </c>
      <c r="D329" s="309">
        <v>45646</v>
      </c>
      <c r="E329" s="309">
        <v>46741</v>
      </c>
      <c r="H329" s="310" t="s">
        <v>359</v>
      </c>
      <c r="J329" s="129" t="s">
        <v>267</v>
      </c>
      <c r="K329" s="129" t="s">
        <v>268</v>
      </c>
      <c r="M329" s="191"/>
      <c r="O329" s="129" t="s">
        <v>1563</v>
      </c>
      <c r="P329" s="129" t="s">
        <v>1564</v>
      </c>
      <c r="Q329" s="129" t="s">
        <v>1565</v>
      </c>
      <c r="AA329" s="312">
        <f t="shared" si="79"/>
        <v>0</v>
      </c>
      <c r="AF329" s="129">
        <v>1</v>
      </c>
      <c r="AK329" s="312">
        <f t="shared" si="80"/>
        <v>1</v>
      </c>
      <c r="AL329" s="129">
        <f t="shared" si="81"/>
        <v>0</v>
      </c>
      <c r="AM329" s="129">
        <f t="shared" si="82"/>
        <v>0</v>
      </c>
      <c r="AN329" s="129">
        <f t="shared" si="83"/>
        <v>0</v>
      </c>
      <c r="AO329" s="129">
        <f t="shared" si="84"/>
        <v>1</v>
      </c>
      <c r="AP329" s="129">
        <f t="shared" si="85"/>
        <v>0</v>
      </c>
      <c r="AQ329" s="129">
        <f t="shared" si="86"/>
        <v>0</v>
      </c>
      <c r="AR329" s="129">
        <f t="shared" si="87"/>
        <v>0</v>
      </c>
      <c r="AS329" s="129">
        <f t="shared" si="88"/>
        <v>0</v>
      </c>
      <c r="AT329" s="312">
        <f t="shared" si="89"/>
        <v>1</v>
      </c>
      <c r="AV329" s="312"/>
      <c r="AW329" s="129">
        <v>0.25</v>
      </c>
      <c r="AX329" s="129">
        <v>0.25</v>
      </c>
      <c r="AY329" s="129">
        <v>0.25</v>
      </c>
      <c r="AZ329" s="129">
        <v>0.25</v>
      </c>
      <c r="BA329" s="314"/>
      <c r="BF329" s="314"/>
      <c r="BL329" s="314"/>
      <c r="BM329" s="129">
        <f t="shared" si="76"/>
        <v>1</v>
      </c>
      <c r="BN329" s="129">
        <f t="shared" si="77"/>
        <v>1</v>
      </c>
      <c r="BR329" s="129">
        <v>516276</v>
      </c>
      <c r="BS329" s="129">
        <v>173221</v>
      </c>
      <c r="BT329" s="129" t="s">
        <v>180</v>
      </c>
      <c r="BU329" s="129" t="s">
        <v>154</v>
      </c>
      <c r="BV329" s="129" t="s">
        <v>154</v>
      </c>
      <c r="CA329" s="129" t="s">
        <v>386</v>
      </c>
      <c r="CB329" s="129" t="s">
        <v>359</v>
      </c>
      <c r="CC329" s="129" t="s">
        <v>359</v>
      </c>
      <c r="CD329" s="129" t="s">
        <v>202</v>
      </c>
      <c r="CE329" s="313"/>
    </row>
    <row r="330" spans="1:83" x14ac:dyDescent="0.25">
      <c r="A330" s="129" t="s">
        <v>1566</v>
      </c>
      <c r="B330" s="129" t="s">
        <v>482</v>
      </c>
      <c r="C330" s="129" t="s">
        <v>353</v>
      </c>
      <c r="D330" s="309">
        <v>45685</v>
      </c>
      <c r="E330" s="309">
        <v>46780</v>
      </c>
      <c r="F330" s="309">
        <v>45768</v>
      </c>
      <c r="G330" s="310"/>
      <c r="H330" s="310" t="s">
        <v>359</v>
      </c>
      <c r="J330" s="129" t="s">
        <v>267</v>
      </c>
      <c r="K330" s="129" t="s">
        <v>268</v>
      </c>
      <c r="M330" s="191"/>
      <c r="O330" s="129" t="s">
        <v>1567</v>
      </c>
      <c r="P330" s="129" t="s">
        <v>1568</v>
      </c>
      <c r="Q330" s="129" t="s">
        <v>1569</v>
      </c>
      <c r="T330" s="129">
        <v>1</v>
      </c>
      <c r="U330" s="129">
        <v>1</v>
      </c>
      <c r="AA330" s="312">
        <f t="shared" si="79"/>
        <v>2</v>
      </c>
      <c r="AF330" s="129">
        <v>1</v>
      </c>
      <c r="AK330" s="312">
        <f t="shared" si="80"/>
        <v>1</v>
      </c>
      <c r="AL330" s="129">
        <f t="shared" si="81"/>
        <v>0</v>
      </c>
      <c r="AM330" s="129">
        <f t="shared" si="82"/>
        <v>-1</v>
      </c>
      <c r="AN330" s="129">
        <f t="shared" si="83"/>
        <v>-1</v>
      </c>
      <c r="AO330" s="129">
        <f t="shared" si="84"/>
        <v>1</v>
      </c>
      <c r="AP330" s="129">
        <f t="shared" si="85"/>
        <v>0</v>
      </c>
      <c r="AQ330" s="129">
        <f t="shared" si="86"/>
        <v>0</v>
      </c>
      <c r="AR330" s="129">
        <f t="shared" si="87"/>
        <v>0</v>
      </c>
      <c r="AS330" s="129">
        <f t="shared" si="88"/>
        <v>0</v>
      </c>
      <c r="AT330" s="312">
        <f t="shared" si="89"/>
        <v>-1</v>
      </c>
      <c r="AV330" s="312"/>
      <c r="AW330" s="129">
        <v>-1</v>
      </c>
      <c r="BA330" s="314"/>
      <c r="BF330" s="314"/>
      <c r="BL330" s="314"/>
      <c r="BM330" s="129">
        <f t="shared" si="76"/>
        <v>-1</v>
      </c>
      <c r="BN330" s="129">
        <f t="shared" si="77"/>
        <v>-1</v>
      </c>
      <c r="BR330" s="129">
        <v>522180</v>
      </c>
      <c r="BS330" s="129">
        <v>177229</v>
      </c>
      <c r="BT330" s="129" t="s">
        <v>167</v>
      </c>
      <c r="BU330" s="129" t="s">
        <v>190</v>
      </c>
      <c r="CD330" s="129" t="s">
        <v>167</v>
      </c>
      <c r="CE330" s="313"/>
    </row>
    <row r="331" spans="1:83" x14ac:dyDescent="0.25">
      <c r="A331" s="129" t="s">
        <v>1570</v>
      </c>
      <c r="B331" s="129" t="s">
        <v>369</v>
      </c>
      <c r="C331" s="248" t="s">
        <v>370</v>
      </c>
      <c r="D331" s="309">
        <v>45678</v>
      </c>
      <c r="E331" s="309">
        <v>46773</v>
      </c>
      <c r="H331" s="310" t="s">
        <v>359</v>
      </c>
      <c r="J331" s="129" t="s">
        <v>267</v>
      </c>
      <c r="K331" s="129" t="s">
        <v>268</v>
      </c>
      <c r="M331" s="191"/>
      <c r="O331" s="129" t="s">
        <v>1571</v>
      </c>
      <c r="P331" s="129" t="s">
        <v>1572</v>
      </c>
      <c r="Q331" s="129" t="s">
        <v>1573</v>
      </c>
      <c r="AA331" s="312">
        <f t="shared" si="79"/>
        <v>0</v>
      </c>
      <c r="AC331" s="129">
        <v>1</v>
      </c>
      <c r="AD331" s="129">
        <v>1</v>
      </c>
      <c r="AK331" s="312">
        <f t="shared" si="80"/>
        <v>2</v>
      </c>
      <c r="AL331" s="129">
        <f t="shared" si="81"/>
        <v>1</v>
      </c>
      <c r="AM331" s="129">
        <f t="shared" si="82"/>
        <v>1</v>
      </c>
      <c r="AN331" s="129">
        <f t="shared" si="83"/>
        <v>0</v>
      </c>
      <c r="AO331" s="129">
        <f t="shared" si="84"/>
        <v>0</v>
      </c>
      <c r="AP331" s="129">
        <f t="shared" si="85"/>
        <v>0</v>
      </c>
      <c r="AQ331" s="129">
        <f t="shared" si="86"/>
        <v>0</v>
      </c>
      <c r="AR331" s="129">
        <f t="shared" si="87"/>
        <v>0</v>
      </c>
      <c r="AS331" s="129">
        <f t="shared" si="88"/>
        <v>0</v>
      </c>
      <c r="AT331" s="312">
        <f t="shared" si="89"/>
        <v>2</v>
      </c>
      <c r="AV331" s="312"/>
      <c r="AW331" s="129">
        <v>0.5</v>
      </c>
      <c r="AX331" s="129">
        <v>0.5</v>
      </c>
      <c r="AY331" s="129">
        <v>0.5</v>
      </c>
      <c r="AZ331" s="129">
        <v>0.5</v>
      </c>
      <c r="BA331" s="314"/>
      <c r="BF331" s="314"/>
      <c r="BL331" s="314"/>
      <c r="BM331" s="129">
        <f t="shared" si="76"/>
        <v>2</v>
      </c>
      <c r="BN331" s="129">
        <f t="shared" si="77"/>
        <v>2</v>
      </c>
      <c r="BR331" s="129">
        <v>514182</v>
      </c>
      <c r="BS331" s="129">
        <v>173680</v>
      </c>
      <c r="BT331" s="129" t="s">
        <v>156</v>
      </c>
      <c r="BU331" s="129" t="s">
        <v>156</v>
      </c>
      <c r="BV331" s="129" t="s">
        <v>156</v>
      </c>
      <c r="CC331" s="129" t="s">
        <v>359</v>
      </c>
      <c r="CD331" s="129" t="s">
        <v>203</v>
      </c>
      <c r="CE331" s="313"/>
    </row>
    <row r="332" spans="1:83" x14ac:dyDescent="0.25">
      <c r="A332" s="129" t="s">
        <v>1574</v>
      </c>
      <c r="B332" s="129" t="s">
        <v>369</v>
      </c>
      <c r="C332" s="248" t="s">
        <v>370</v>
      </c>
      <c r="D332" s="309">
        <v>45685</v>
      </c>
      <c r="E332" s="309">
        <v>46780</v>
      </c>
      <c r="H332" s="310" t="s">
        <v>359</v>
      </c>
      <c r="J332" s="129" t="s">
        <v>267</v>
      </c>
      <c r="K332" s="129" t="s">
        <v>268</v>
      </c>
      <c r="M332" s="191"/>
      <c r="O332" s="129" t="s">
        <v>1575</v>
      </c>
      <c r="P332" s="129" t="s">
        <v>1576</v>
      </c>
      <c r="Q332" s="129" t="s">
        <v>1263</v>
      </c>
      <c r="AA332" s="312">
        <f t="shared" si="79"/>
        <v>0</v>
      </c>
      <c r="AC332" s="129">
        <v>1</v>
      </c>
      <c r="AK332" s="312">
        <f t="shared" si="80"/>
        <v>1</v>
      </c>
      <c r="AL332" s="129">
        <f t="shared" si="81"/>
        <v>1</v>
      </c>
      <c r="AM332" s="129">
        <f t="shared" si="82"/>
        <v>0</v>
      </c>
      <c r="AN332" s="129">
        <f t="shared" si="83"/>
        <v>0</v>
      </c>
      <c r="AO332" s="129">
        <f t="shared" si="84"/>
        <v>0</v>
      </c>
      <c r="AP332" s="129">
        <f t="shared" si="85"/>
        <v>0</v>
      </c>
      <c r="AQ332" s="129">
        <f t="shared" si="86"/>
        <v>0</v>
      </c>
      <c r="AR332" s="129">
        <f t="shared" si="87"/>
        <v>0</v>
      </c>
      <c r="AS332" s="129">
        <f t="shared" si="88"/>
        <v>0</v>
      </c>
      <c r="AT332" s="312">
        <f t="shared" si="89"/>
        <v>1</v>
      </c>
      <c r="AV332" s="312"/>
      <c r="AW332" s="129">
        <v>0.25</v>
      </c>
      <c r="AX332" s="129">
        <v>0.25</v>
      </c>
      <c r="AY332" s="129">
        <v>0.25</v>
      </c>
      <c r="AZ332" s="129">
        <v>0.25</v>
      </c>
      <c r="BA332" s="314"/>
      <c r="BF332" s="314"/>
      <c r="BL332" s="314"/>
      <c r="BM332" s="129">
        <f t="shared" ref="BM332:BM364" si="90">SUM(AW332:BA332)</f>
        <v>1</v>
      </c>
      <c r="BN332" s="129">
        <f t="shared" ref="BN332:BN364" si="91">SUM(AW332:BF332)</f>
        <v>1</v>
      </c>
      <c r="BR332" s="129">
        <v>516650</v>
      </c>
      <c r="BS332" s="129">
        <v>173601</v>
      </c>
      <c r="BT332" s="129" t="s">
        <v>180</v>
      </c>
      <c r="BU332" s="129" t="s">
        <v>154</v>
      </c>
      <c r="CA332" s="129" t="s">
        <v>386</v>
      </c>
      <c r="CB332" s="129" t="s">
        <v>359</v>
      </c>
      <c r="CC332" s="129" t="s">
        <v>359</v>
      </c>
      <c r="CD332" s="129" t="s">
        <v>202</v>
      </c>
      <c r="CE332" s="313"/>
    </row>
    <row r="333" spans="1:83" x14ac:dyDescent="0.25">
      <c r="A333" s="129" t="s">
        <v>1577</v>
      </c>
      <c r="B333" s="129" t="s">
        <v>369</v>
      </c>
      <c r="C333" s="248" t="s">
        <v>370</v>
      </c>
      <c r="D333" s="309">
        <v>45701</v>
      </c>
      <c r="E333" s="309">
        <v>46796</v>
      </c>
      <c r="H333" s="310" t="s">
        <v>359</v>
      </c>
      <c r="J333" s="129" t="s">
        <v>267</v>
      </c>
      <c r="K333" s="129" t="s">
        <v>268</v>
      </c>
      <c r="M333" s="191"/>
      <c r="O333" s="129" t="s">
        <v>1578</v>
      </c>
      <c r="P333" s="129" t="s">
        <v>1579</v>
      </c>
      <c r="Q333" s="129" t="s">
        <v>592</v>
      </c>
      <c r="AA333" s="312">
        <f t="shared" si="79"/>
        <v>0</v>
      </c>
      <c r="AC333" s="129">
        <v>10</v>
      </c>
      <c r="AD333" s="129">
        <v>1</v>
      </c>
      <c r="AK333" s="312">
        <f t="shared" si="80"/>
        <v>11</v>
      </c>
      <c r="AL333" s="129">
        <f t="shared" si="81"/>
        <v>10</v>
      </c>
      <c r="AM333" s="129">
        <f t="shared" si="82"/>
        <v>1</v>
      </c>
      <c r="AN333" s="129">
        <f t="shared" si="83"/>
        <v>0</v>
      </c>
      <c r="AO333" s="129">
        <f t="shared" si="84"/>
        <v>0</v>
      </c>
      <c r="AP333" s="129">
        <f t="shared" si="85"/>
        <v>0</v>
      </c>
      <c r="AQ333" s="129">
        <f t="shared" si="86"/>
        <v>0</v>
      </c>
      <c r="AR333" s="129">
        <f t="shared" si="87"/>
        <v>0</v>
      </c>
      <c r="AS333" s="129">
        <f t="shared" si="88"/>
        <v>0</v>
      </c>
      <c r="AT333" s="312">
        <f t="shared" si="89"/>
        <v>11</v>
      </c>
      <c r="AU333" s="313" t="s">
        <v>359</v>
      </c>
      <c r="AV333" s="312"/>
      <c r="AX333" s="129">
        <v>2.75</v>
      </c>
      <c r="AY333" s="129">
        <v>2.75</v>
      </c>
      <c r="AZ333" s="129">
        <v>2.75</v>
      </c>
      <c r="BA333" s="314">
        <v>2.75</v>
      </c>
      <c r="BF333" s="314"/>
      <c r="BL333" s="314"/>
      <c r="BM333" s="129">
        <f t="shared" si="90"/>
        <v>11</v>
      </c>
      <c r="BN333" s="129">
        <f t="shared" si="91"/>
        <v>11</v>
      </c>
      <c r="BR333" s="129">
        <v>515769</v>
      </c>
      <c r="BS333" s="129">
        <v>171467</v>
      </c>
      <c r="BT333" s="129" t="s">
        <v>152</v>
      </c>
      <c r="BU333" s="129" t="s">
        <v>192</v>
      </c>
      <c r="CC333" s="129" t="s">
        <v>359</v>
      </c>
      <c r="CD333" s="129" t="s">
        <v>201</v>
      </c>
      <c r="CE333" s="313"/>
    </row>
    <row r="334" spans="1:83" x14ac:dyDescent="0.25">
      <c r="A334" s="129" t="s">
        <v>1580</v>
      </c>
      <c r="B334" s="129" t="s">
        <v>369</v>
      </c>
      <c r="C334" s="248" t="s">
        <v>370</v>
      </c>
      <c r="D334" s="309">
        <v>45744</v>
      </c>
      <c r="E334" s="309">
        <v>46840</v>
      </c>
      <c r="F334" s="315"/>
      <c r="H334" s="310" t="s">
        <v>359</v>
      </c>
      <c r="I334" s="315"/>
      <c r="J334" s="129" t="s">
        <v>267</v>
      </c>
      <c r="K334" s="129" t="s">
        <v>268</v>
      </c>
      <c r="M334" s="191"/>
      <c r="O334" s="129" t="s">
        <v>1581</v>
      </c>
      <c r="P334" s="129" t="s">
        <v>1582</v>
      </c>
      <c r="Q334" s="129" t="s">
        <v>1583</v>
      </c>
      <c r="AA334" s="312">
        <f t="shared" si="79"/>
        <v>0</v>
      </c>
      <c r="AD334" s="129">
        <v>2</v>
      </c>
      <c r="AE334" s="129">
        <v>1</v>
      </c>
      <c r="AK334" s="312">
        <f t="shared" si="80"/>
        <v>3</v>
      </c>
      <c r="AL334" s="129">
        <f t="shared" si="81"/>
        <v>0</v>
      </c>
      <c r="AM334" s="129">
        <f t="shared" si="82"/>
        <v>2</v>
      </c>
      <c r="AN334" s="129">
        <f t="shared" si="83"/>
        <v>1</v>
      </c>
      <c r="AO334" s="129">
        <f t="shared" si="84"/>
        <v>0</v>
      </c>
      <c r="AP334" s="129">
        <f t="shared" si="85"/>
        <v>0</v>
      </c>
      <c r="AQ334" s="129">
        <f t="shared" si="86"/>
        <v>0</v>
      </c>
      <c r="AR334" s="129">
        <f t="shared" si="87"/>
        <v>0</v>
      </c>
      <c r="AS334" s="129">
        <f t="shared" si="88"/>
        <v>0</v>
      </c>
      <c r="AT334" s="312">
        <f t="shared" si="89"/>
        <v>3</v>
      </c>
      <c r="AV334" s="312"/>
      <c r="AW334" s="129">
        <v>0.75</v>
      </c>
      <c r="AX334" s="129">
        <v>0.75</v>
      </c>
      <c r="AY334" s="129">
        <v>0.75</v>
      </c>
      <c r="AZ334" s="129">
        <v>0.75</v>
      </c>
      <c r="BA334" s="314"/>
      <c r="BF334" s="314"/>
      <c r="BL334" s="314"/>
      <c r="BM334" s="129">
        <f t="shared" si="90"/>
        <v>3</v>
      </c>
      <c r="BN334" s="129">
        <f t="shared" si="91"/>
        <v>3</v>
      </c>
      <c r="BR334" s="129">
        <v>516360</v>
      </c>
      <c r="BS334" s="129">
        <v>173781</v>
      </c>
      <c r="BT334" s="129" t="s">
        <v>180</v>
      </c>
      <c r="BU334" s="129" t="s">
        <v>154</v>
      </c>
      <c r="CC334" s="129" t="s">
        <v>359</v>
      </c>
      <c r="CD334" s="129" t="s">
        <v>202</v>
      </c>
      <c r="CE334" s="313"/>
    </row>
    <row r="335" spans="1:83" x14ac:dyDescent="0.25">
      <c r="A335" s="129" t="s">
        <v>1584</v>
      </c>
      <c r="B335" s="129" t="s">
        <v>352</v>
      </c>
      <c r="C335" s="129" t="s">
        <v>1585</v>
      </c>
      <c r="D335" s="309"/>
      <c r="E335" s="309"/>
      <c r="J335" s="129" t="s">
        <v>1586</v>
      </c>
      <c r="K335" s="129" t="s">
        <v>1587</v>
      </c>
      <c r="L335" s="129" t="s">
        <v>1588</v>
      </c>
      <c r="M335" s="191"/>
      <c r="P335" s="129" t="s">
        <v>1588</v>
      </c>
      <c r="Q335" s="129" t="s">
        <v>1589</v>
      </c>
      <c r="AA335" s="312">
        <v>0</v>
      </c>
      <c r="AK335" s="312">
        <v>250</v>
      </c>
      <c r="AL335" s="129">
        <f t="shared" ref="AL335:AL364" si="92">AC335-S335</f>
        <v>0</v>
      </c>
      <c r="AM335" s="129">
        <f t="shared" ref="AM335:AM364" si="93">AD335-T335</f>
        <v>0</v>
      </c>
      <c r="AN335" s="129">
        <f t="shared" ref="AN335:AN364" si="94">AE335-U335</f>
        <v>0</v>
      </c>
      <c r="AO335" s="129">
        <f t="shared" ref="AO335:AO364" si="95">AF335-V335</f>
        <v>0</v>
      </c>
      <c r="AP335" s="129">
        <f t="shared" ref="AP335:AP364" si="96">AG335-W335</f>
        <v>0</v>
      </c>
      <c r="AQ335" s="129">
        <f t="shared" ref="AQ335:AQ364" si="97">AH335-X335</f>
        <v>0</v>
      </c>
      <c r="AR335" s="129">
        <f t="shared" ref="AR335:AR364" si="98">AI335-Y335</f>
        <v>0</v>
      </c>
      <c r="AS335" s="129">
        <f t="shared" ref="AS335:AS364" si="99">AJ335-Z335</f>
        <v>0</v>
      </c>
      <c r="AT335" s="312">
        <v>250</v>
      </c>
      <c r="AU335" s="313" t="s">
        <v>359</v>
      </c>
      <c r="AV335" s="312"/>
      <c r="BA335" s="314"/>
      <c r="BB335" s="129">
        <v>50</v>
      </c>
      <c r="BC335" s="129">
        <v>50</v>
      </c>
      <c r="BD335" s="129">
        <v>50</v>
      </c>
      <c r="BE335" s="129">
        <v>50</v>
      </c>
      <c r="BF335" s="314">
        <v>50</v>
      </c>
      <c r="BL335" s="314"/>
      <c r="BM335" s="129">
        <f t="shared" si="90"/>
        <v>0</v>
      </c>
      <c r="BN335" s="129">
        <f t="shared" si="91"/>
        <v>250</v>
      </c>
      <c r="BR335" s="129">
        <v>519125</v>
      </c>
      <c r="BS335" s="129">
        <v>175579</v>
      </c>
      <c r="BT335" s="129" t="s">
        <v>176</v>
      </c>
      <c r="BU335" s="129" t="s">
        <v>150</v>
      </c>
      <c r="CC335" s="129" t="s">
        <v>359</v>
      </c>
      <c r="CD335" s="129" t="s">
        <v>200</v>
      </c>
      <c r="CE335" s="313"/>
    </row>
    <row r="336" spans="1:83" x14ac:dyDescent="0.25">
      <c r="A336" s="129" t="s">
        <v>1584</v>
      </c>
      <c r="B336" s="129" t="s">
        <v>382</v>
      </c>
      <c r="C336" s="129" t="s">
        <v>1585</v>
      </c>
      <c r="D336" s="309"/>
      <c r="E336" s="309"/>
      <c r="J336" s="129" t="s">
        <v>1586</v>
      </c>
      <c r="K336" s="129" t="s">
        <v>1587</v>
      </c>
      <c r="L336" s="129" t="s">
        <v>1590</v>
      </c>
      <c r="M336" s="191"/>
      <c r="P336" s="129" t="s">
        <v>1590</v>
      </c>
      <c r="Q336" s="129" t="s">
        <v>1591</v>
      </c>
      <c r="AA336" s="312">
        <v>0</v>
      </c>
      <c r="AK336" s="312">
        <v>20</v>
      </c>
      <c r="AL336" s="129">
        <f t="shared" si="92"/>
        <v>0</v>
      </c>
      <c r="AM336" s="129">
        <f t="shared" si="93"/>
        <v>0</v>
      </c>
      <c r="AN336" s="129">
        <f t="shared" si="94"/>
        <v>0</v>
      </c>
      <c r="AO336" s="129">
        <f t="shared" si="95"/>
        <v>0</v>
      </c>
      <c r="AP336" s="129">
        <f t="shared" si="96"/>
        <v>0</v>
      </c>
      <c r="AQ336" s="129">
        <f t="shared" si="97"/>
        <v>0</v>
      </c>
      <c r="AR336" s="129">
        <f t="shared" si="98"/>
        <v>0</v>
      </c>
      <c r="AS336" s="129">
        <f t="shared" si="99"/>
        <v>0</v>
      </c>
      <c r="AT336" s="312">
        <v>20</v>
      </c>
      <c r="AU336" s="313" t="s">
        <v>359</v>
      </c>
      <c r="AV336" s="312"/>
      <c r="BA336" s="314"/>
      <c r="BC336" s="129">
        <v>5</v>
      </c>
      <c r="BD336" s="129">
        <v>5</v>
      </c>
      <c r="BE336" s="129">
        <v>5</v>
      </c>
      <c r="BF336" s="314">
        <v>5</v>
      </c>
      <c r="BL336" s="314"/>
      <c r="BM336" s="129">
        <f t="shared" si="90"/>
        <v>0</v>
      </c>
      <c r="BN336" s="129">
        <f t="shared" si="91"/>
        <v>20</v>
      </c>
      <c r="BR336" s="129">
        <v>516258</v>
      </c>
      <c r="BS336" s="129">
        <v>171100</v>
      </c>
      <c r="BT336" s="129" t="s">
        <v>152</v>
      </c>
      <c r="BU336" s="129" t="s">
        <v>192</v>
      </c>
      <c r="BV336" s="129" t="s">
        <v>152</v>
      </c>
      <c r="CA336" s="129" t="s">
        <v>1153</v>
      </c>
      <c r="CB336" s="129" t="s">
        <v>359</v>
      </c>
      <c r="CC336" s="129" t="s">
        <v>359</v>
      </c>
      <c r="CD336" s="129" t="s">
        <v>201</v>
      </c>
      <c r="CE336" s="313"/>
    </row>
    <row r="337" spans="1:83" x14ac:dyDescent="0.25">
      <c r="A337" s="129" t="s">
        <v>1592</v>
      </c>
      <c r="B337" s="129" t="s">
        <v>352</v>
      </c>
      <c r="C337" s="129" t="s">
        <v>353</v>
      </c>
      <c r="D337" s="309"/>
      <c r="E337" s="309"/>
      <c r="J337" s="129" t="s">
        <v>269</v>
      </c>
      <c r="K337" s="129" t="s">
        <v>1587</v>
      </c>
      <c r="L337" s="129" t="s">
        <v>1593</v>
      </c>
      <c r="M337" s="191"/>
      <c r="O337" s="129" t="s">
        <v>1594</v>
      </c>
      <c r="P337" s="129" t="s">
        <v>1595</v>
      </c>
      <c r="Q337" s="129" t="s">
        <v>1596</v>
      </c>
      <c r="AA337" s="312">
        <v>0</v>
      </c>
      <c r="AK337" s="312">
        <v>107</v>
      </c>
      <c r="AL337" s="129">
        <f t="shared" si="92"/>
        <v>0</v>
      </c>
      <c r="AM337" s="129">
        <f t="shared" si="93"/>
        <v>0</v>
      </c>
      <c r="AN337" s="129">
        <f t="shared" si="94"/>
        <v>0</v>
      </c>
      <c r="AO337" s="129">
        <f t="shared" si="95"/>
        <v>0</v>
      </c>
      <c r="AP337" s="129">
        <f t="shared" si="96"/>
        <v>0</v>
      </c>
      <c r="AQ337" s="129">
        <f t="shared" si="97"/>
        <v>0</v>
      </c>
      <c r="AR337" s="129">
        <f t="shared" si="98"/>
        <v>0</v>
      </c>
      <c r="AS337" s="129">
        <f t="shared" si="99"/>
        <v>0</v>
      </c>
      <c r="AT337" s="312">
        <v>107</v>
      </c>
      <c r="AU337" s="313" t="s">
        <v>359</v>
      </c>
      <c r="AV337" s="312"/>
      <c r="AY337" s="323">
        <v>35.6666666666667</v>
      </c>
      <c r="AZ337" s="323">
        <v>35.666666666666664</v>
      </c>
      <c r="BA337" s="324">
        <v>35.666666666666664</v>
      </c>
      <c r="BF337" s="314"/>
      <c r="BL337" s="314"/>
      <c r="BM337" s="129">
        <f t="shared" si="90"/>
        <v>107.00000000000003</v>
      </c>
      <c r="BN337" s="129">
        <f t="shared" si="91"/>
        <v>107.00000000000003</v>
      </c>
      <c r="BR337" s="129">
        <v>521203</v>
      </c>
      <c r="BS337" s="129">
        <v>175677</v>
      </c>
      <c r="BT337" s="129" t="s">
        <v>175</v>
      </c>
      <c r="BU337" s="129" t="s">
        <v>190</v>
      </c>
      <c r="CC337" s="129" t="s">
        <v>359</v>
      </c>
      <c r="CD337" s="129" t="s">
        <v>199</v>
      </c>
      <c r="CE337" s="313"/>
    </row>
    <row r="338" spans="1:83" x14ac:dyDescent="0.25">
      <c r="A338" s="129" t="s">
        <v>1597</v>
      </c>
      <c r="B338" s="129" t="s">
        <v>382</v>
      </c>
      <c r="C338" s="248" t="s">
        <v>1296</v>
      </c>
      <c r="D338" s="309">
        <v>45779</v>
      </c>
      <c r="E338" s="309">
        <v>46875</v>
      </c>
      <c r="J338" s="129" t="s">
        <v>269</v>
      </c>
      <c r="K338" s="129" t="s">
        <v>268</v>
      </c>
      <c r="L338" s="129" t="s">
        <v>1598</v>
      </c>
      <c r="M338" s="191"/>
      <c r="O338" s="129" t="s">
        <v>1599</v>
      </c>
      <c r="P338" s="129" t="s">
        <v>1600</v>
      </c>
      <c r="Q338" s="129" t="s">
        <v>1601</v>
      </c>
      <c r="R338" s="129" t="s">
        <v>1602</v>
      </c>
      <c r="AA338" s="312">
        <v>0</v>
      </c>
      <c r="AC338" s="129">
        <v>22</v>
      </c>
      <c r="AD338" s="129">
        <v>63</v>
      </c>
      <c r="AE338" s="129">
        <v>33</v>
      </c>
      <c r="AF338" s="129">
        <v>0</v>
      </c>
      <c r="AK338" s="312">
        <f t="shared" ref="AK338:AK358" si="100">SUBTOTAL(9,AC338:AJ338)</f>
        <v>118</v>
      </c>
      <c r="AL338" s="129">
        <f t="shared" si="92"/>
        <v>22</v>
      </c>
      <c r="AM338" s="129">
        <f t="shared" si="93"/>
        <v>63</v>
      </c>
      <c r="AN338" s="129">
        <f t="shared" si="94"/>
        <v>33</v>
      </c>
      <c r="AO338" s="129">
        <f t="shared" si="95"/>
        <v>0</v>
      </c>
      <c r="AP338" s="129">
        <f t="shared" si="96"/>
        <v>0</v>
      </c>
      <c r="AQ338" s="129">
        <f t="shared" si="97"/>
        <v>0</v>
      </c>
      <c r="AR338" s="129">
        <f t="shared" si="98"/>
        <v>0</v>
      </c>
      <c r="AS338" s="129">
        <f t="shared" si="99"/>
        <v>0</v>
      </c>
      <c r="AT338" s="312">
        <f t="shared" ref="AT338:AT358" si="101">AK338-AA338</f>
        <v>118</v>
      </c>
      <c r="AU338" s="313" t="s">
        <v>359</v>
      </c>
      <c r="AV338" s="312"/>
      <c r="BA338" s="314">
        <v>118</v>
      </c>
      <c r="BF338" s="314"/>
      <c r="BL338" s="314"/>
      <c r="BM338" s="129">
        <f t="shared" si="90"/>
        <v>118</v>
      </c>
      <c r="BN338" s="129">
        <f t="shared" si="91"/>
        <v>118</v>
      </c>
      <c r="BR338" s="129">
        <v>520502</v>
      </c>
      <c r="BS338" s="129">
        <v>175950</v>
      </c>
      <c r="BT338" s="129" t="s">
        <v>175</v>
      </c>
      <c r="BU338" s="129" t="s">
        <v>190</v>
      </c>
      <c r="BX338" s="129" t="s">
        <v>1603</v>
      </c>
      <c r="BY338" s="129" t="s">
        <v>359</v>
      </c>
      <c r="CA338" s="129" t="s">
        <v>802</v>
      </c>
      <c r="CB338" s="129" t="s">
        <v>359</v>
      </c>
      <c r="CC338" s="129" t="s">
        <v>359</v>
      </c>
      <c r="CD338" s="129" t="s">
        <v>199</v>
      </c>
      <c r="CE338" s="313"/>
    </row>
    <row r="339" spans="1:83" x14ac:dyDescent="0.25">
      <c r="A339" s="129" t="s">
        <v>1597</v>
      </c>
      <c r="B339" s="129" t="s">
        <v>382</v>
      </c>
      <c r="C339" s="248" t="s">
        <v>1296</v>
      </c>
      <c r="D339" s="309">
        <v>45779</v>
      </c>
      <c r="E339" s="309">
        <v>46875</v>
      </c>
      <c r="J339" s="129" t="s">
        <v>269</v>
      </c>
      <c r="K339" s="129" t="s">
        <v>268</v>
      </c>
      <c r="L339" s="129" t="s">
        <v>1598</v>
      </c>
      <c r="M339" s="191"/>
      <c r="O339" s="129" t="s">
        <v>1599</v>
      </c>
      <c r="P339" s="129" t="s">
        <v>1600</v>
      </c>
      <c r="Q339" s="129" t="s">
        <v>1601</v>
      </c>
      <c r="R339" s="129" t="s">
        <v>1604</v>
      </c>
      <c r="AA339" s="312">
        <v>0</v>
      </c>
      <c r="AC339" s="129">
        <v>8</v>
      </c>
      <c r="AD339" s="129">
        <v>27</v>
      </c>
      <c r="AE339" s="129">
        <v>13</v>
      </c>
      <c r="AF339" s="129">
        <v>0</v>
      </c>
      <c r="AK339" s="312">
        <f t="shared" si="100"/>
        <v>48</v>
      </c>
      <c r="AL339" s="129">
        <f t="shared" si="92"/>
        <v>8</v>
      </c>
      <c r="AM339" s="129">
        <f t="shared" si="93"/>
        <v>27</v>
      </c>
      <c r="AN339" s="129">
        <f t="shared" si="94"/>
        <v>13</v>
      </c>
      <c r="AO339" s="129">
        <f t="shared" si="95"/>
        <v>0</v>
      </c>
      <c r="AP339" s="129">
        <f t="shared" si="96"/>
        <v>0</v>
      </c>
      <c r="AQ339" s="129">
        <f t="shared" si="97"/>
        <v>0</v>
      </c>
      <c r="AR339" s="129">
        <f t="shared" si="98"/>
        <v>0</v>
      </c>
      <c r="AS339" s="129">
        <f t="shared" si="99"/>
        <v>0</v>
      </c>
      <c r="AT339" s="312">
        <f t="shared" si="101"/>
        <v>48</v>
      </c>
      <c r="AU339" s="313" t="s">
        <v>359</v>
      </c>
      <c r="AV339" s="312"/>
      <c r="BA339" s="314">
        <v>48</v>
      </c>
      <c r="BF339" s="314"/>
      <c r="BL339" s="314"/>
      <c r="BM339" s="129">
        <f t="shared" si="90"/>
        <v>48</v>
      </c>
      <c r="BN339" s="129">
        <f t="shared" si="91"/>
        <v>48</v>
      </c>
      <c r="BR339" s="129">
        <v>520502</v>
      </c>
      <c r="BS339" s="129">
        <v>175950</v>
      </c>
      <c r="BT339" s="129" t="s">
        <v>175</v>
      </c>
      <c r="BU339" s="129" t="s">
        <v>190</v>
      </c>
      <c r="BX339" s="129" t="s">
        <v>1603</v>
      </c>
      <c r="BY339" s="129" t="s">
        <v>359</v>
      </c>
      <c r="CA339" s="129" t="s">
        <v>802</v>
      </c>
      <c r="CB339" s="129" t="s">
        <v>359</v>
      </c>
      <c r="CC339" s="129" t="s">
        <v>359</v>
      </c>
      <c r="CD339" s="129" t="s">
        <v>199</v>
      </c>
      <c r="CE339" s="313"/>
    </row>
    <row r="340" spans="1:83" x14ac:dyDescent="0.25">
      <c r="A340" s="129" t="s">
        <v>1597</v>
      </c>
      <c r="B340" s="129" t="s">
        <v>382</v>
      </c>
      <c r="C340" s="248" t="s">
        <v>1296</v>
      </c>
      <c r="D340" s="309">
        <v>45779</v>
      </c>
      <c r="E340" s="309">
        <v>46875</v>
      </c>
      <c r="J340" s="129" t="s">
        <v>269</v>
      </c>
      <c r="K340" s="129" t="s">
        <v>268</v>
      </c>
      <c r="L340" s="129" t="s">
        <v>1598</v>
      </c>
      <c r="M340" s="191"/>
      <c r="O340" s="129" t="s">
        <v>1599</v>
      </c>
      <c r="P340" s="129" t="s">
        <v>1600</v>
      </c>
      <c r="Q340" s="129" t="s">
        <v>1601</v>
      </c>
      <c r="R340" s="129" t="s">
        <v>1605</v>
      </c>
      <c r="AA340" s="312">
        <v>0</v>
      </c>
      <c r="AC340" s="129">
        <v>4</v>
      </c>
      <c r="AD340" s="129">
        <v>14</v>
      </c>
      <c r="AE340" s="129">
        <v>6</v>
      </c>
      <c r="AF340" s="129">
        <v>0</v>
      </c>
      <c r="AK340" s="312">
        <f t="shared" si="100"/>
        <v>24</v>
      </c>
      <c r="AL340" s="129">
        <f t="shared" si="92"/>
        <v>4</v>
      </c>
      <c r="AM340" s="129">
        <f t="shared" si="93"/>
        <v>14</v>
      </c>
      <c r="AN340" s="129">
        <f t="shared" si="94"/>
        <v>6</v>
      </c>
      <c r="AO340" s="129">
        <f t="shared" si="95"/>
        <v>0</v>
      </c>
      <c r="AP340" s="129">
        <f t="shared" si="96"/>
        <v>0</v>
      </c>
      <c r="AQ340" s="129">
        <f t="shared" si="97"/>
        <v>0</v>
      </c>
      <c r="AR340" s="129">
        <f t="shared" si="98"/>
        <v>0</v>
      </c>
      <c r="AS340" s="129">
        <f t="shared" si="99"/>
        <v>0</v>
      </c>
      <c r="AT340" s="312">
        <f t="shared" si="101"/>
        <v>24</v>
      </c>
      <c r="AU340" s="313" t="s">
        <v>359</v>
      </c>
      <c r="AV340" s="312"/>
      <c r="BA340" s="314">
        <v>24</v>
      </c>
      <c r="BF340" s="314"/>
      <c r="BL340" s="314"/>
      <c r="BM340" s="129">
        <f t="shared" si="90"/>
        <v>24</v>
      </c>
      <c r="BN340" s="129">
        <f t="shared" si="91"/>
        <v>24</v>
      </c>
      <c r="BR340" s="129">
        <v>520502</v>
      </c>
      <c r="BS340" s="129">
        <v>175950</v>
      </c>
      <c r="BT340" s="129" t="s">
        <v>175</v>
      </c>
      <c r="BU340" s="129" t="s">
        <v>190</v>
      </c>
      <c r="BX340" s="129" t="s">
        <v>1603</v>
      </c>
      <c r="BY340" s="129" t="s">
        <v>359</v>
      </c>
      <c r="CA340" s="129" t="s">
        <v>802</v>
      </c>
      <c r="CB340" s="129" t="s">
        <v>359</v>
      </c>
      <c r="CC340" s="129" t="s">
        <v>359</v>
      </c>
      <c r="CD340" s="129" t="s">
        <v>199</v>
      </c>
      <c r="CE340" s="313"/>
    </row>
    <row r="341" spans="1:83" x14ac:dyDescent="0.25">
      <c r="A341" s="129" t="s">
        <v>1597</v>
      </c>
      <c r="B341" s="129" t="s">
        <v>382</v>
      </c>
      <c r="C341" s="248" t="s">
        <v>1296</v>
      </c>
      <c r="D341" s="309">
        <v>45779</v>
      </c>
      <c r="E341" s="309">
        <v>46875</v>
      </c>
      <c r="J341" s="129" t="s">
        <v>269</v>
      </c>
      <c r="K341" s="129" t="s">
        <v>263</v>
      </c>
      <c r="L341" s="129" t="s">
        <v>1598</v>
      </c>
      <c r="M341" s="191"/>
      <c r="O341" s="129" t="s">
        <v>1599</v>
      </c>
      <c r="P341" s="129" t="s">
        <v>1600</v>
      </c>
      <c r="Q341" s="129" t="s">
        <v>1601</v>
      </c>
      <c r="R341" s="129" t="s">
        <v>1606</v>
      </c>
      <c r="AA341" s="312">
        <v>0</v>
      </c>
      <c r="AB341" s="313" t="s">
        <v>359</v>
      </c>
      <c r="AC341" s="129">
        <v>5</v>
      </c>
      <c r="AD341" s="129">
        <v>8</v>
      </c>
      <c r="AE341" s="129">
        <v>0</v>
      </c>
      <c r="AF341" s="129">
        <v>0</v>
      </c>
      <c r="AK341" s="312">
        <f t="shared" si="100"/>
        <v>13</v>
      </c>
      <c r="AL341" s="129">
        <f t="shared" si="92"/>
        <v>5</v>
      </c>
      <c r="AM341" s="129">
        <f t="shared" si="93"/>
        <v>8</v>
      </c>
      <c r="AN341" s="129">
        <f t="shared" si="94"/>
        <v>0</v>
      </c>
      <c r="AO341" s="129">
        <f t="shared" si="95"/>
        <v>0</v>
      </c>
      <c r="AP341" s="129">
        <f t="shared" si="96"/>
        <v>0</v>
      </c>
      <c r="AQ341" s="129">
        <f t="shared" si="97"/>
        <v>0</v>
      </c>
      <c r="AR341" s="129">
        <f t="shared" si="98"/>
        <v>0</v>
      </c>
      <c r="AS341" s="129">
        <f t="shared" si="99"/>
        <v>0</v>
      </c>
      <c r="AT341" s="312">
        <f t="shared" si="101"/>
        <v>13</v>
      </c>
      <c r="AU341" s="313" t="s">
        <v>359</v>
      </c>
      <c r="AV341" s="312"/>
      <c r="BA341" s="314">
        <v>13</v>
      </c>
      <c r="BF341" s="314"/>
      <c r="BL341" s="314"/>
      <c r="BM341" s="129">
        <f t="shared" si="90"/>
        <v>13</v>
      </c>
      <c r="BN341" s="129">
        <f t="shared" si="91"/>
        <v>13</v>
      </c>
      <c r="BR341" s="129">
        <v>520502</v>
      </c>
      <c r="BS341" s="129">
        <v>175950</v>
      </c>
      <c r="BT341" s="129" t="s">
        <v>175</v>
      </c>
      <c r="BU341" s="129" t="s">
        <v>190</v>
      </c>
      <c r="BX341" s="129" t="s">
        <v>1603</v>
      </c>
      <c r="BY341" s="129" t="s">
        <v>359</v>
      </c>
      <c r="CA341" s="129" t="s">
        <v>802</v>
      </c>
      <c r="CB341" s="129" t="s">
        <v>359</v>
      </c>
      <c r="CC341" s="129" t="s">
        <v>359</v>
      </c>
      <c r="CD341" s="129" t="s">
        <v>199</v>
      </c>
      <c r="CE341" s="313"/>
    </row>
    <row r="342" spans="1:83" x14ac:dyDescent="0.25">
      <c r="A342" s="129" t="s">
        <v>1597</v>
      </c>
      <c r="B342" s="129" t="s">
        <v>382</v>
      </c>
      <c r="C342" s="248" t="s">
        <v>1296</v>
      </c>
      <c r="D342" s="309">
        <v>45779</v>
      </c>
      <c r="E342" s="309">
        <v>46875</v>
      </c>
      <c r="J342" s="129" t="s">
        <v>269</v>
      </c>
      <c r="K342" s="129" t="s">
        <v>264</v>
      </c>
      <c r="L342" s="129" t="s">
        <v>1598</v>
      </c>
      <c r="M342" s="191"/>
      <c r="O342" s="129" t="s">
        <v>1599</v>
      </c>
      <c r="P342" s="129" t="s">
        <v>1600</v>
      </c>
      <c r="Q342" s="129" t="s">
        <v>1601</v>
      </c>
      <c r="R342" s="129" t="s">
        <v>1606</v>
      </c>
      <c r="AA342" s="312">
        <v>0</v>
      </c>
      <c r="AB342" s="313" t="s">
        <v>359</v>
      </c>
      <c r="AC342" s="129">
        <v>0</v>
      </c>
      <c r="AD342" s="129">
        <v>0</v>
      </c>
      <c r="AE342" s="129">
        <v>14</v>
      </c>
      <c r="AF342" s="129">
        <v>0</v>
      </c>
      <c r="AK342" s="312">
        <f t="shared" si="100"/>
        <v>14</v>
      </c>
      <c r="AL342" s="129">
        <f t="shared" si="92"/>
        <v>0</v>
      </c>
      <c r="AM342" s="129">
        <f t="shared" si="93"/>
        <v>0</v>
      </c>
      <c r="AN342" s="129">
        <f t="shared" si="94"/>
        <v>14</v>
      </c>
      <c r="AO342" s="129">
        <f t="shared" si="95"/>
        <v>0</v>
      </c>
      <c r="AP342" s="129">
        <f t="shared" si="96"/>
        <v>0</v>
      </c>
      <c r="AQ342" s="129">
        <f t="shared" si="97"/>
        <v>0</v>
      </c>
      <c r="AR342" s="129">
        <f t="shared" si="98"/>
        <v>0</v>
      </c>
      <c r="AS342" s="129">
        <f t="shared" si="99"/>
        <v>0</v>
      </c>
      <c r="AT342" s="312">
        <f t="shared" si="101"/>
        <v>14</v>
      </c>
      <c r="AU342" s="313" t="s">
        <v>359</v>
      </c>
      <c r="AV342" s="312"/>
      <c r="BA342" s="314">
        <v>18</v>
      </c>
      <c r="BF342" s="314"/>
      <c r="BL342" s="314"/>
      <c r="BM342" s="129">
        <f t="shared" si="90"/>
        <v>18</v>
      </c>
      <c r="BN342" s="129">
        <f t="shared" si="91"/>
        <v>18</v>
      </c>
      <c r="BR342" s="129">
        <v>520502</v>
      </c>
      <c r="BS342" s="129">
        <v>175950</v>
      </c>
      <c r="BT342" s="129" t="s">
        <v>175</v>
      </c>
      <c r="BU342" s="129" t="s">
        <v>190</v>
      </c>
      <c r="BX342" s="129" t="s">
        <v>1603</v>
      </c>
      <c r="BY342" s="129" t="s">
        <v>359</v>
      </c>
      <c r="CA342" s="129" t="s">
        <v>802</v>
      </c>
      <c r="CB342" s="129" t="s">
        <v>359</v>
      </c>
      <c r="CC342" s="129" t="s">
        <v>359</v>
      </c>
      <c r="CD342" s="129" t="s">
        <v>199</v>
      </c>
      <c r="CE342" s="313"/>
    </row>
    <row r="343" spans="1:83" x14ac:dyDescent="0.25">
      <c r="A343" s="129" t="s">
        <v>1597</v>
      </c>
      <c r="B343" s="129" t="s">
        <v>382</v>
      </c>
      <c r="C343" s="248" t="s">
        <v>1296</v>
      </c>
      <c r="D343" s="309">
        <v>45779</v>
      </c>
      <c r="E343" s="309">
        <v>46875</v>
      </c>
      <c r="J343" s="129" t="s">
        <v>269</v>
      </c>
      <c r="K343" s="129" t="s">
        <v>268</v>
      </c>
      <c r="L343" s="129" t="s">
        <v>1598</v>
      </c>
      <c r="M343" s="191"/>
      <c r="O343" s="129" t="s">
        <v>1599</v>
      </c>
      <c r="P343" s="129" t="s">
        <v>1600</v>
      </c>
      <c r="Q343" s="129" t="s">
        <v>1601</v>
      </c>
      <c r="R343" s="129" t="s">
        <v>1606</v>
      </c>
      <c r="AA343" s="312">
        <v>0</v>
      </c>
      <c r="AC343" s="129">
        <v>3</v>
      </c>
      <c r="AD343" s="129">
        <v>43</v>
      </c>
      <c r="AE343" s="129">
        <v>46</v>
      </c>
      <c r="AF343" s="129">
        <v>5</v>
      </c>
      <c r="AK343" s="312">
        <f t="shared" si="100"/>
        <v>97</v>
      </c>
      <c r="AL343" s="129">
        <f t="shared" si="92"/>
        <v>3</v>
      </c>
      <c r="AM343" s="129">
        <f t="shared" si="93"/>
        <v>43</v>
      </c>
      <c r="AN343" s="129">
        <f t="shared" si="94"/>
        <v>46</v>
      </c>
      <c r="AO343" s="129">
        <f t="shared" si="95"/>
        <v>5</v>
      </c>
      <c r="AP343" s="129">
        <f t="shared" si="96"/>
        <v>0</v>
      </c>
      <c r="AQ343" s="129">
        <f t="shared" si="97"/>
        <v>0</v>
      </c>
      <c r="AR343" s="129">
        <f t="shared" si="98"/>
        <v>0</v>
      </c>
      <c r="AS343" s="129">
        <f t="shared" si="99"/>
        <v>0</v>
      </c>
      <c r="AT343" s="312">
        <f t="shared" si="101"/>
        <v>97</v>
      </c>
      <c r="AU343" s="313" t="s">
        <v>359</v>
      </c>
      <c r="AV343" s="312"/>
      <c r="BA343" s="314">
        <v>93</v>
      </c>
      <c r="BF343" s="314"/>
      <c r="BL343" s="314"/>
      <c r="BM343" s="129">
        <f t="shared" si="90"/>
        <v>93</v>
      </c>
      <c r="BN343" s="129">
        <f t="shared" si="91"/>
        <v>93</v>
      </c>
      <c r="BR343" s="129">
        <v>520502</v>
      </c>
      <c r="BS343" s="129">
        <v>175950</v>
      </c>
      <c r="BT343" s="129" t="s">
        <v>175</v>
      </c>
      <c r="BU343" s="129" t="s">
        <v>190</v>
      </c>
      <c r="BX343" s="129" t="s">
        <v>1603</v>
      </c>
      <c r="BY343" s="129" t="s">
        <v>359</v>
      </c>
      <c r="CA343" s="129" t="s">
        <v>802</v>
      </c>
      <c r="CB343" s="129" t="s">
        <v>359</v>
      </c>
      <c r="CC343" s="129" t="s">
        <v>359</v>
      </c>
      <c r="CD343" s="129" t="s">
        <v>199</v>
      </c>
      <c r="CE343" s="313"/>
    </row>
    <row r="344" spans="1:83" x14ac:dyDescent="0.25">
      <c r="A344" s="129" t="s">
        <v>1597</v>
      </c>
      <c r="B344" s="129" t="s">
        <v>382</v>
      </c>
      <c r="C344" s="248" t="s">
        <v>1296</v>
      </c>
      <c r="D344" s="309">
        <v>45779</v>
      </c>
      <c r="E344" s="309">
        <v>46875</v>
      </c>
      <c r="J344" s="129" t="s">
        <v>269</v>
      </c>
      <c r="K344" s="129" t="s">
        <v>264</v>
      </c>
      <c r="L344" s="129" t="s">
        <v>1598</v>
      </c>
      <c r="M344" s="191"/>
      <c r="O344" s="129" t="s">
        <v>1599</v>
      </c>
      <c r="P344" s="129" t="s">
        <v>1600</v>
      </c>
      <c r="Q344" s="129" t="s">
        <v>1601</v>
      </c>
      <c r="R344" s="129" t="s">
        <v>1607</v>
      </c>
      <c r="AA344" s="312">
        <v>0</v>
      </c>
      <c r="AB344" s="313" t="s">
        <v>359</v>
      </c>
      <c r="AC344" s="129">
        <v>0</v>
      </c>
      <c r="AD344" s="129">
        <v>3</v>
      </c>
      <c r="AE344" s="129">
        <v>30</v>
      </c>
      <c r="AF344" s="129">
        <v>5</v>
      </c>
      <c r="AK344" s="312">
        <f t="shared" si="100"/>
        <v>38</v>
      </c>
      <c r="AL344" s="129">
        <f t="shared" si="92"/>
        <v>0</v>
      </c>
      <c r="AM344" s="129">
        <f t="shared" si="93"/>
        <v>3</v>
      </c>
      <c r="AN344" s="129">
        <f t="shared" si="94"/>
        <v>30</v>
      </c>
      <c r="AO344" s="129">
        <f t="shared" si="95"/>
        <v>5</v>
      </c>
      <c r="AP344" s="129">
        <f t="shared" si="96"/>
        <v>0</v>
      </c>
      <c r="AQ344" s="129">
        <f t="shared" si="97"/>
        <v>0</v>
      </c>
      <c r="AR344" s="129">
        <f t="shared" si="98"/>
        <v>0</v>
      </c>
      <c r="AS344" s="129">
        <f t="shared" si="99"/>
        <v>0</v>
      </c>
      <c r="AT344" s="312">
        <f t="shared" si="101"/>
        <v>38</v>
      </c>
      <c r="AU344" s="313" t="s">
        <v>359</v>
      </c>
      <c r="AV344" s="312"/>
      <c r="BA344" s="314">
        <v>38</v>
      </c>
      <c r="BF344" s="314"/>
      <c r="BL344" s="314"/>
      <c r="BM344" s="129">
        <f t="shared" si="90"/>
        <v>38</v>
      </c>
      <c r="BN344" s="129">
        <f t="shared" si="91"/>
        <v>38</v>
      </c>
      <c r="BR344" s="129">
        <v>520502</v>
      </c>
      <c r="BS344" s="129">
        <v>175950</v>
      </c>
      <c r="BT344" s="129" t="s">
        <v>175</v>
      </c>
      <c r="BU344" s="129" t="s">
        <v>190</v>
      </c>
      <c r="BX344" s="129" t="s">
        <v>1603</v>
      </c>
      <c r="BY344" s="129" t="s">
        <v>359</v>
      </c>
      <c r="CA344" s="129" t="s">
        <v>802</v>
      </c>
      <c r="CB344" s="129" t="s">
        <v>359</v>
      </c>
      <c r="CC344" s="129" t="s">
        <v>359</v>
      </c>
      <c r="CD344" s="129" t="s">
        <v>199</v>
      </c>
      <c r="CE344" s="313"/>
    </row>
    <row r="345" spans="1:83" x14ac:dyDescent="0.25">
      <c r="A345" s="129" t="s">
        <v>1597</v>
      </c>
      <c r="B345" s="129" t="s">
        <v>382</v>
      </c>
      <c r="C345" s="248" t="s">
        <v>1296</v>
      </c>
      <c r="D345" s="309">
        <v>45779</v>
      </c>
      <c r="E345" s="309">
        <v>46875</v>
      </c>
      <c r="J345" s="129" t="s">
        <v>269</v>
      </c>
      <c r="K345" s="129" t="s">
        <v>268</v>
      </c>
      <c r="L345" s="129" t="s">
        <v>1598</v>
      </c>
      <c r="M345" s="191"/>
      <c r="O345" s="129" t="s">
        <v>1599</v>
      </c>
      <c r="P345" s="129" t="s">
        <v>1600</v>
      </c>
      <c r="Q345" s="129" t="s">
        <v>1601</v>
      </c>
      <c r="R345" s="129" t="s">
        <v>1608</v>
      </c>
      <c r="AA345" s="312">
        <v>0</v>
      </c>
      <c r="AC345" s="129">
        <v>0</v>
      </c>
      <c r="AD345" s="129">
        <v>15</v>
      </c>
      <c r="AE345" s="129">
        <v>5</v>
      </c>
      <c r="AF345" s="129">
        <v>0</v>
      </c>
      <c r="AK345" s="312">
        <f t="shared" si="100"/>
        <v>20</v>
      </c>
      <c r="AL345" s="129">
        <f t="shared" si="92"/>
        <v>0</v>
      </c>
      <c r="AM345" s="129">
        <f t="shared" si="93"/>
        <v>15</v>
      </c>
      <c r="AN345" s="129">
        <f t="shared" si="94"/>
        <v>5</v>
      </c>
      <c r="AO345" s="129">
        <f t="shared" si="95"/>
        <v>0</v>
      </c>
      <c r="AP345" s="129">
        <f t="shared" si="96"/>
        <v>0</v>
      </c>
      <c r="AQ345" s="129">
        <f t="shared" si="97"/>
        <v>0</v>
      </c>
      <c r="AR345" s="129">
        <f t="shared" si="98"/>
        <v>0</v>
      </c>
      <c r="AS345" s="129">
        <f t="shared" si="99"/>
        <v>0</v>
      </c>
      <c r="AT345" s="312">
        <f t="shared" si="101"/>
        <v>20</v>
      </c>
      <c r="AU345" s="313" t="s">
        <v>359</v>
      </c>
      <c r="AV345" s="312"/>
      <c r="BA345" s="314"/>
      <c r="BB345" s="129">
        <v>20</v>
      </c>
      <c r="BF345" s="314"/>
      <c r="BL345" s="314"/>
      <c r="BM345" s="129">
        <f t="shared" si="90"/>
        <v>0</v>
      </c>
      <c r="BN345" s="129">
        <f t="shared" si="91"/>
        <v>20</v>
      </c>
      <c r="BR345" s="129">
        <v>520502</v>
      </c>
      <c r="BS345" s="129">
        <v>175950</v>
      </c>
      <c r="BT345" s="129" t="s">
        <v>175</v>
      </c>
      <c r="BU345" s="129" t="s">
        <v>190</v>
      </c>
      <c r="BX345" s="129" t="s">
        <v>1603</v>
      </c>
      <c r="BY345" s="129" t="s">
        <v>359</v>
      </c>
      <c r="CA345" s="129" t="s">
        <v>802</v>
      </c>
      <c r="CB345" s="129" t="s">
        <v>359</v>
      </c>
      <c r="CC345" s="129" t="s">
        <v>359</v>
      </c>
      <c r="CD345" s="129" t="s">
        <v>199</v>
      </c>
      <c r="CE345" s="313"/>
    </row>
    <row r="346" spans="1:83" x14ac:dyDescent="0.25">
      <c r="A346" s="129" t="s">
        <v>1597</v>
      </c>
      <c r="B346" s="129" t="s">
        <v>382</v>
      </c>
      <c r="C346" s="248" t="s">
        <v>1296</v>
      </c>
      <c r="D346" s="309">
        <v>45779</v>
      </c>
      <c r="E346" s="309">
        <v>46875</v>
      </c>
      <c r="J346" s="129" t="s">
        <v>269</v>
      </c>
      <c r="K346" s="129" t="s">
        <v>268</v>
      </c>
      <c r="L346" s="129" t="s">
        <v>1598</v>
      </c>
      <c r="M346" s="191"/>
      <c r="O346" s="129" t="s">
        <v>1599</v>
      </c>
      <c r="P346" s="129" t="s">
        <v>1600</v>
      </c>
      <c r="Q346" s="129" t="s">
        <v>1601</v>
      </c>
      <c r="R346" s="129" t="s">
        <v>1609</v>
      </c>
      <c r="AA346" s="312">
        <v>0</v>
      </c>
      <c r="AC346" s="129">
        <v>19</v>
      </c>
      <c r="AD346" s="129">
        <v>47</v>
      </c>
      <c r="AE346" s="129">
        <v>21</v>
      </c>
      <c r="AF346" s="129">
        <v>0</v>
      </c>
      <c r="AK346" s="312">
        <f t="shared" si="100"/>
        <v>87</v>
      </c>
      <c r="AL346" s="129">
        <f t="shared" si="92"/>
        <v>19</v>
      </c>
      <c r="AM346" s="129">
        <f t="shared" si="93"/>
        <v>47</v>
      </c>
      <c r="AN346" s="129">
        <f t="shared" si="94"/>
        <v>21</v>
      </c>
      <c r="AO346" s="129">
        <f t="shared" si="95"/>
        <v>0</v>
      </c>
      <c r="AP346" s="129">
        <f t="shared" si="96"/>
        <v>0</v>
      </c>
      <c r="AQ346" s="129">
        <f t="shared" si="97"/>
        <v>0</v>
      </c>
      <c r="AR346" s="129">
        <f t="shared" si="98"/>
        <v>0</v>
      </c>
      <c r="AS346" s="129">
        <f t="shared" si="99"/>
        <v>0</v>
      </c>
      <c r="AT346" s="312">
        <f t="shared" si="101"/>
        <v>87</v>
      </c>
      <c r="AU346" s="313" t="s">
        <v>359</v>
      </c>
      <c r="AV346" s="312"/>
      <c r="BA346" s="314"/>
      <c r="BB346" s="129">
        <v>87</v>
      </c>
      <c r="BF346" s="314"/>
      <c r="BL346" s="314"/>
      <c r="BM346" s="129">
        <f t="shared" si="90"/>
        <v>0</v>
      </c>
      <c r="BN346" s="129">
        <f t="shared" si="91"/>
        <v>87</v>
      </c>
      <c r="BR346" s="129">
        <v>520502</v>
      </c>
      <c r="BS346" s="129">
        <v>175950</v>
      </c>
      <c r="BT346" s="129" t="s">
        <v>175</v>
      </c>
      <c r="BU346" s="129" t="s">
        <v>190</v>
      </c>
      <c r="BX346" s="129" t="s">
        <v>1603</v>
      </c>
      <c r="BY346" s="129" t="s">
        <v>359</v>
      </c>
      <c r="CA346" s="129" t="s">
        <v>802</v>
      </c>
      <c r="CB346" s="129" t="s">
        <v>359</v>
      </c>
      <c r="CC346" s="129" t="s">
        <v>359</v>
      </c>
      <c r="CD346" s="129" t="s">
        <v>199</v>
      </c>
      <c r="CE346" s="313"/>
    </row>
    <row r="347" spans="1:83" x14ac:dyDescent="0.25">
      <c r="A347" s="129" t="s">
        <v>1597</v>
      </c>
      <c r="B347" s="129" t="s">
        <v>382</v>
      </c>
      <c r="C347" s="248" t="s">
        <v>1296</v>
      </c>
      <c r="D347" s="309">
        <v>45779</v>
      </c>
      <c r="E347" s="309">
        <v>46875</v>
      </c>
      <c r="J347" s="129" t="s">
        <v>269</v>
      </c>
      <c r="K347" s="129" t="s">
        <v>268</v>
      </c>
      <c r="L347" s="129" t="s">
        <v>1598</v>
      </c>
      <c r="M347" s="191"/>
      <c r="O347" s="129" t="s">
        <v>1599</v>
      </c>
      <c r="P347" s="129" t="s">
        <v>1600</v>
      </c>
      <c r="Q347" s="129" t="s">
        <v>1601</v>
      </c>
      <c r="R347" s="129" t="s">
        <v>1610</v>
      </c>
      <c r="AA347" s="312">
        <v>0</v>
      </c>
      <c r="AC347" s="129">
        <v>22</v>
      </c>
      <c r="AD347" s="129">
        <v>43</v>
      </c>
      <c r="AE347" s="129">
        <v>33</v>
      </c>
      <c r="AF347" s="129">
        <v>2</v>
      </c>
      <c r="AK347" s="312">
        <f t="shared" si="100"/>
        <v>100</v>
      </c>
      <c r="AL347" s="129">
        <f t="shared" si="92"/>
        <v>22</v>
      </c>
      <c r="AM347" s="129">
        <f t="shared" si="93"/>
        <v>43</v>
      </c>
      <c r="AN347" s="129">
        <f t="shared" si="94"/>
        <v>33</v>
      </c>
      <c r="AO347" s="129">
        <f t="shared" si="95"/>
        <v>2</v>
      </c>
      <c r="AP347" s="129">
        <f t="shared" si="96"/>
        <v>0</v>
      </c>
      <c r="AQ347" s="129">
        <f t="shared" si="97"/>
        <v>0</v>
      </c>
      <c r="AR347" s="129">
        <f t="shared" si="98"/>
        <v>0</v>
      </c>
      <c r="AS347" s="129">
        <f t="shared" si="99"/>
        <v>0</v>
      </c>
      <c r="AT347" s="312">
        <f t="shared" si="101"/>
        <v>100</v>
      </c>
      <c r="AU347" s="313" t="s">
        <v>359</v>
      </c>
      <c r="AV347" s="312"/>
      <c r="BA347" s="314"/>
      <c r="BB347" s="129">
        <v>100</v>
      </c>
      <c r="BF347" s="314"/>
      <c r="BL347" s="314"/>
      <c r="BM347" s="129">
        <f t="shared" si="90"/>
        <v>0</v>
      </c>
      <c r="BN347" s="129">
        <f t="shared" si="91"/>
        <v>100</v>
      </c>
      <c r="BR347" s="129">
        <v>520502</v>
      </c>
      <c r="BS347" s="129">
        <v>175950</v>
      </c>
      <c r="BT347" s="129" t="s">
        <v>175</v>
      </c>
      <c r="BU347" s="129" t="s">
        <v>190</v>
      </c>
      <c r="BX347" s="129" t="s">
        <v>1603</v>
      </c>
      <c r="BY347" s="129" t="s">
        <v>359</v>
      </c>
      <c r="CA347" s="129" t="s">
        <v>802</v>
      </c>
      <c r="CB347" s="129" t="s">
        <v>359</v>
      </c>
      <c r="CC347" s="129" t="s">
        <v>359</v>
      </c>
      <c r="CD347" s="129" t="s">
        <v>199</v>
      </c>
      <c r="CE347" s="313"/>
    </row>
    <row r="348" spans="1:83" x14ac:dyDescent="0.25">
      <c r="A348" s="129" t="s">
        <v>1597</v>
      </c>
      <c r="B348" s="129" t="s">
        <v>382</v>
      </c>
      <c r="C348" s="248" t="s">
        <v>1296</v>
      </c>
      <c r="D348" s="309">
        <v>45779</v>
      </c>
      <c r="E348" s="309">
        <v>46875</v>
      </c>
      <c r="J348" s="129" t="s">
        <v>269</v>
      </c>
      <c r="K348" s="129" t="s">
        <v>268</v>
      </c>
      <c r="L348" s="129" t="s">
        <v>1598</v>
      </c>
      <c r="M348" s="191"/>
      <c r="O348" s="129" t="s">
        <v>1599</v>
      </c>
      <c r="P348" s="129" t="s">
        <v>1600</v>
      </c>
      <c r="Q348" s="129" t="s">
        <v>1601</v>
      </c>
      <c r="R348" s="129" t="s">
        <v>1611</v>
      </c>
      <c r="AA348" s="312">
        <v>0</v>
      </c>
      <c r="AC348" s="129">
        <v>19</v>
      </c>
      <c r="AD348" s="129">
        <v>21</v>
      </c>
      <c r="AE348" s="129">
        <v>2</v>
      </c>
      <c r="AF348" s="129">
        <v>0</v>
      </c>
      <c r="AK348" s="312">
        <f t="shared" si="100"/>
        <v>42</v>
      </c>
      <c r="AL348" s="129">
        <f t="shared" si="92"/>
        <v>19</v>
      </c>
      <c r="AM348" s="129">
        <f t="shared" si="93"/>
        <v>21</v>
      </c>
      <c r="AN348" s="129">
        <f t="shared" si="94"/>
        <v>2</v>
      </c>
      <c r="AO348" s="129">
        <f t="shared" si="95"/>
        <v>0</v>
      </c>
      <c r="AP348" s="129">
        <f t="shared" si="96"/>
        <v>0</v>
      </c>
      <c r="AQ348" s="129">
        <f t="shared" si="97"/>
        <v>0</v>
      </c>
      <c r="AR348" s="129">
        <f t="shared" si="98"/>
        <v>0</v>
      </c>
      <c r="AS348" s="129">
        <f t="shared" si="99"/>
        <v>0</v>
      </c>
      <c r="AT348" s="312">
        <f t="shared" si="101"/>
        <v>42</v>
      </c>
      <c r="AU348" s="313" t="s">
        <v>359</v>
      </c>
      <c r="AV348" s="312"/>
      <c r="BA348" s="314"/>
      <c r="BB348" s="129">
        <v>42</v>
      </c>
      <c r="BF348" s="314"/>
      <c r="BL348" s="314"/>
      <c r="BM348" s="129">
        <f t="shared" si="90"/>
        <v>0</v>
      </c>
      <c r="BN348" s="129">
        <f t="shared" si="91"/>
        <v>42</v>
      </c>
      <c r="BR348" s="129">
        <v>520502</v>
      </c>
      <c r="BS348" s="129">
        <v>175950</v>
      </c>
      <c r="BT348" s="129" t="s">
        <v>175</v>
      </c>
      <c r="BU348" s="129" t="s">
        <v>190</v>
      </c>
      <c r="BX348" s="129" t="s">
        <v>1603</v>
      </c>
      <c r="BY348" s="129" t="s">
        <v>359</v>
      </c>
      <c r="CA348" s="129" t="s">
        <v>802</v>
      </c>
      <c r="CB348" s="129" t="s">
        <v>359</v>
      </c>
      <c r="CC348" s="129" t="s">
        <v>359</v>
      </c>
      <c r="CD348" s="129" t="s">
        <v>199</v>
      </c>
      <c r="CE348" s="313"/>
    </row>
    <row r="349" spans="1:83" x14ac:dyDescent="0.25">
      <c r="A349" s="129" t="s">
        <v>1597</v>
      </c>
      <c r="B349" s="129" t="s">
        <v>382</v>
      </c>
      <c r="C349" s="248" t="s">
        <v>1296</v>
      </c>
      <c r="D349" s="309">
        <v>45779</v>
      </c>
      <c r="E349" s="309">
        <v>46875</v>
      </c>
      <c r="J349" s="129" t="s">
        <v>269</v>
      </c>
      <c r="K349" s="129" t="s">
        <v>268</v>
      </c>
      <c r="L349" s="129" t="s">
        <v>1598</v>
      </c>
      <c r="M349" s="191"/>
      <c r="O349" s="129" t="s">
        <v>1599</v>
      </c>
      <c r="P349" s="129" t="s">
        <v>1600</v>
      </c>
      <c r="Q349" s="129" t="s">
        <v>1601</v>
      </c>
      <c r="R349" s="129" t="s">
        <v>1612</v>
      </c>
      <c r="AA349" s="312">
        <v>0</v>
      </c>
      <c r="AC349" s="129">
        <v>8</v>
      </c>
      <c r="AD349" s="129">
        <v>24</v>
      </c>
      <c r="AE349" s="129">
        <v>2</v>
      </c>
      <c r="AF349" s="129">
        <v>0</v>
      </c>
      <c r="AK349" s="312">
        <f t="shared" si="100"/>
        <v>34</v>
      </c>
      <c r="AL349" s="129">
        <f t="shared" si="92"/>
        <v>8</v>
      </c>
      <c r="AM349" s="129">
        <f t="shared" si="93"/>
        <v>24</v>
      </c>
      <c r="AN349" s="129">
        <f t="shared" si="94"/>
        <v>2</v>
      </c>
      <c r="AO349" s="129">
        <f t="shared" si="95"/>
        <v>0</v>
      </c>
      <c r="AP349" s="129">
        <f t="shared" si="96"/>
        <v>0</v>
      </c>
      <c r="AQ349" s="129">
        <f t="shared" si="97"/>
        <v>0</v>
      </c>
      <c r="AR349" s="129">
        <f t="shared" si="98"/>
        <v>0</v>
      </c>
      <c r="AS349" s="129">
        <f t="shared" si="99"/>
        <v>0</v>
      </c>
      <c r="AT349" s="312">
        <f t="shared" si="101"/>
        <v>34</v>
      </c>
      <c r="AU349" s="313" t="s">
        <v>359</v>
      </c>
      <c r="AV349" s="312"/>
      <c r="BA349" s="314"/>
      <c r="BB349" s="129">
        <v>34</v>
      </c>
      <c r="BF349" s="314"/>
      <c r="BL349" s="314"/>
      <c r="BM349" s="129">
        <f t="shared" si="90"/>
        <v>0</v>
      </c>
      <c r="BN349" s="129">
        <f t="shared" si="91"/>
        <v>34</v>
      </c>
      <c r="BR349" s="129">
        <v>520502</v>
      </c>
      <c r="BS349" s="129">
        <v>175950</v>
      </c>
      <c r="BT349" s="129" t="s">
        <v>175</v>
      </c>
      <c r="BU349" s="129" t="s">
        <v>190</v>
      </c>
      <c r="BX349" s="129" t="s">
        <v>1603</v>
      </c>
      <c r="BY349" s="129" t="s">
        <v>359</v>
      </c>
      <c r="CA349" s="129" t="s">
        <v>802</v>
      </c>
      <c r="CB349" s="129" t="s">
        <v>359</v>
      </c>
      <c r="CC349" s="129" t="s">
        <v>359</v>
      </c>
      <c r="CD349" s="129" t="s">
        <v>199</v>
      </c>
      <c r="CE349" s="313"/>
    </row>
    <row r="350" spans="1:83" x14ac:dyDescent="0.25">
      <c r="A350" s="129" t="s">
        <v>1597</v>
      </c>
      <c r="B350" s="129" t="s">
        <v>382</v>
      </c>
      <c r="C350" s="248" t="s">
        <v>1296</v>
      </c>
      <c r="D350" s="309">
        <v>45779</v>
      </c>
      <c r="E350" s="309">
        <v>46875</v>
      </c>
      <c r="J350" s="129" t="s">
        <v>269</v>
      </c>
      <c r="K350" s="129" t="s">
        <v>268</v>
      </c>
      <c r="L350" s="129" t="s">
        <v>1598</v>
      </c>
      <c r="M350" s="191"/>
      <c r="O350" s="129" t="s">
        <v>1599</v>
      </c>
      <c r="P350" s="129" t="s">
        <v>1600</v>
      </c>
      <c r="Q350" s="129" t="s">
        <v>1601</v>
      </c>
      <c r="R350" s="129" t="s">
        <v>1613</v>
      </c>
      <c r="AA350" s="312">
        <v>0</v>
      </c>
      <c r="AC350" s="129">
        <v>83</v>
      </c>
      <c r="AD350" s="129">
        <v>27</v>
      </c>
      <c r="AE350" s="129">
        <v>0</v>
      </c>
      <c r="AF350" s="129">
        <v>2</v>
      </c>
      <c r="AK350" s="312">
        <f t="shared" si="100"/>
        <v>112</v>
      </c>
      <c r="AL350" s="129">
        <f t="shared" si="92"/>
        <v>83</v>
      </c>
      <c r="AM350" s="129">
        <f t="shared" si="93"/>
        <v>27</v>
      </c>
      <c r="AN350" s="129">
        <f t="shared" si="94"/>
        <v>0</v>
      </c>
      <c r="AO350" s="129">
        <f t="shared" si="95"/>
        <v>2</v>
      </c>
      <c r="AP350" s="129">
        <f t="shared" si="96"/>
        <v>0</v>
      </c>
      <c r="AQ350" s="129">
        <f t="shared" si="97"/>
        <v>0</v>
      </c>
      <c r="AR350" s="129">
        <f t="shared" si="98"/>
        <v>0</v>
      </c>
      <c r="AS350" s="129">
        <f t="shared" si="99"/>
        <v>0</v>
      </c>
      <c r="AT350" s="312">
        <f t="shared" si="101"/>
        <v>112</v>
      </c>
      <c r="AU350" s="313" t="s">
        <v>359</v>
      </c>
      <c r="AV350" s="312"/>
      <c r="BA350" s="314"/>
      <c r="BB350" s="129">
        <v>112</v>
      </c>
      <c r="BF350" s="314"/>
      <c r="BL350" s="314"/>
      <c r="BM350" s="129">
        <f t="shared" si="90"/>
        <v>0</v>
      </c>
      <c r="BN350" s="129">
        <f t="shared" si="91"/>
        <v>112</v>
      </c>
      <c r="BR350" s="129">
        <v>520502</v>
      </c>
      <c r="BS350" s="129">
        <v>175950</v>
      </c>
      <c r="BT350" s="129" t="s">
        <v>175</v>
      </c>
      <c r="BU350" s="129" t="s">
        <v>190</v>
      </c>
      <c r="BX350" s="129" t="s">
        <v>1603</v>
      </c>
      <c r="BY350" s="129" t="s">
        <v>359</v>
      </c>
      <c r="CA350" s="129" t="s">
        <v>802</v>
      </c>
      <c r="CB350" s="129" t="s">
        <v>359</v>
      </c>
      <c r="CC350" s="129" t="s">
        <v>359</v>
      </c>
      <c r="CD350" s="129" t="s">
        <v>199</v>
      </c>
      <c r="CE350" s="313"/>
    </row>
    <row r="351" spans="1:83" x14ac:dyDescent="0.25">
      <c r="A351" s="129" t="s">
        <v>1597</v>
      </c>
      <c r="B351" s="129" t="s">
        <v>382</v>
      </c>
      <c r="C351" s="248" t="s">
        <v>1296</v>
      </c>
      <c r="D351" s="309">
        <v>45779</v>
      </c>
      <c r="E351" s="309">
        <v>46875</v>
      </c>
      <c r="J351" s="129" t="s">
        <v>269</v>
      </c>
      <c r="K351" s="129" t="s">
        <v>268</v>
      </c>
      <c r="L351" s="129" t="s">
        <v>1598</v>
      </c>
      <c r="M351" s="191"/>
      <c r="O351" s="129" t="s">
        <v>1599</v>
      </c>
      <c r="P351" s="129" t="s">
        <v>1600</v>
      </c>
      <c r="Q351" s="129" t="s">
        <v>1601</v>
      </c>
      <c r="R351" s="129" t="s">
        <v>1614</v>
      </c>
      <c r="AA351" s="312">
        <v>0</v>
      </c>
      <c r="AC351" s="129">
        <v>41</v>
      </c>
      <c r="AD351" s="129">
        <v>31</v>
      </c>
      <c r="AE351" s="129">
        <v>1</v>
      </c>
      <c r="AF351" s="129">
        <v>0</v>
      </c>
      <c r="AK351" s="312">
        <f t="shared" si="100"/>
        <v>73</v>
      </c>
      <c r="AL351" s="129">
        <f t="shared" si="92"/>
        <v>41</v>
      </c>
      <c r="AM351" s="129">
        <f t="shared" si="93"/>
        <v>31</v>
      </c>
      <c r="AN351" s="129">
        <f t="shared" si="94"/>
        <v>1</v>
      </c>
      <c r="AO351" s="129">
        <f t="shared" si="95"/>
        <v>0</v>
      </c>
      <c r="AP351" s="129">
        <f t="shared" si="96"/>
        <v>0</v>
      </c>
      <c r="AQ351" s="129">
        <f t="shared" si="97"/>
        <v>0</v>
      </c>
      <c r="AR351" s="129">
        <f t="shared" si="98"/>
        <v>0</v>
      </c>
      <c r="AS351" s="129">
        <f t="shared" si="99"/>
        <v>0</v>
      </c>
      <c r="AT351" s="312">
        <f t="shared" si="101"/>
        <v>73</v>
      </c>
      <c r="AU351" s="313" t="s">
        <v>359</v>
      </c>
      <c r="AV351" s="312"/>
      <c r="BA351" s="314"/>
      <c r="BB351" s="129">
        <v>73</v>
      </c>
      <c r="BF351" s="314"/>
      <c r="BL351" s="314"/>
      <c r="BM351" s="129">
        <f t="shared" si="90"/>
        <v>0</v>
      </c>
      <c r="BN351" s="129">
        <f t="shared" si="91"/>
        <v>73</v>
      </c>
      <c r="BR351" s="129">
        <v>520502</v>
      </c>
      <c r="BS351" s="129">
        <v>175950</v>
      </c>
      <c r="BT351" s="129" t="s">
        <v>175</v>
      </c>
      <c r="BU351" s="129" t="s">
        <v>190</v>
      </c>
      <c r="BX351" s="129" t="s">
        <v>1603</v>
      </c>
      <c r="BY351" s="129" t="s">
        <v>359</v>
      </c>
      <c r="CA351" s="129" t="s">
        <v>802</v>
      </c>
      <c r="CB351" s="129" t="s">
        <v>359</v>
      </c>
      <c r="CC351" s="129" t="s">
        <v>359</v>
      </c>
      <c r="CD351" s="129" t="s">
        <v>199</v>
      </c>
      <c r="CE351" s="313"/>
    </row>
    <row r="352" spans="1:83" x14ac:dyDescent="0.25">
      <c r="A352" s="129" t="s">
        <v>1597</v>
      </c>
      <c r="B352" s="129" t="s">
        <v>382</v>
      </c>
      <c r="C352" s="248" t="s">
        <v>1296</v>
      </c>
      <c r="D352" s="309">
        <v>45779</v>
      </c>
      <c r="E352" s="309">
        <v>46875</v>
      </c>
      <c r="J352" s="129" t="s">
        <v>269</v>
      </c>
      <c r="K352" s="129" t="s">
        <v>268</v>
      </c>
      <c r="L352" s="129" t="s">
        <v>1598</v>
      </c>
      <c r="M352" s="191"/>
      <c r="O352" s="129" t="s">
        <v>1599</v>
      </c>
      <c r="P352" s="129" t="s">
        <v>1600</v>
      </c>
      <c r="Q352" s="129" t="s">
        <v>1601</v>
      </c>
      <c r="R352" s="129" t="s">
        <v>1615</v>
      </c>
      <c r="AA352" s="312">
        <v>0</v>
      </c>
      <c r="AC352" s="129">
        <v>45</v>
      </c>
      <c r="AD352" s="129">
        <v>20</v>
      </c>
      <c r="AE352" s="129">
        <v>8</v>
      </c>
      <c r="AF352" s="129">
        <v>0</v>
      </c>
      <c r="AK352" s="312">
        <f t="shared" si="100"/>
        <v>73</v>
      </c>
      <c r="AL352" s="129">
        <f t="shared" si="92"/>
        <v>45</v>
      </c>
      <c r="AM352" s="129">
        <f t="shared" si="93"/>
        <v>20</v>
      </c>
      <c r="AN352" s="129">
        <f t="shared" si="94"/>
        <v>8</v>
      </c>
      <c r="AO352" s="129">
        <f t="shared" si="95"/>
        <v>0</v>
      </c>
      <c r="AP352" s="129">
        <f t="shared" si="96"/>
        <v>0</v>
      </c>
      <c r="AQ352" s="129">
        <f t="shared" si="97"/>
        <v>0</v>
      </c>
      <c r="AR352" s="129">
        <f t="shared" si="98"/>
        <v>0</v>
      </c>
      <c r="AS352" s="129">
        <f t="shared" si="99"/>
        <v>0</v>
      </c>
      <c r="AT352" s="312">
        <f t="shared" si="101"/>
        <v>73</v>
      </c>
      <c r="AU352" s="313" t="s">
        <v>359</v>
      </c>
      <c r="AV352" s="312"/>
      <c r="BA352" s="314"/>
      <c r="BB352" s="129">
        <v>73</v>
      </c>
      <c r="BF352" s="314"/>
      <c r="BL352" s="314"/>
      <c r="BM352" s="129">
        <f t="shared" si="90"/>
        <v>0</v>
      </c>
      <c r="BN352" s="129">
        <f t="shared" si="91"/>
        <v>73</v>
      </c>
      <c r="BR352" s="129">
        <v>520502</v>
      </c>
      <c r="BS352" s="129">
        <v>175950</v>
      </c>
      <c r="BT352" s="129" t="s">
        <v>175</v>
      </c>
      <c r="BU352" s="129" t="s">
        <v>190</v>
      </c>
      <c r="BX352" s="129" t="s">
        <v>1603</v>
      </c>
      <c r="BY352" s="129" t="s">
        <v>359</v>
      </c>
      <c r="CA352" s="129" t="s">
        <v>802</v>
      </c>
      <c r="CB352" s="129" t="s">
        <v>359</v>
      </c>
      <c r="CC352" s="129" t="s">
        <v>359</v>
      </c>
      <c r="CD352" s="129" t="s">
        <v>199</v>
      </c>
      <c r="CE352" s="313"/>
    </row>
    <row r="353" spans="1:83" x14ac:dyDescent="0.25">
      <c r="A353" s="129" t="s">
        <v>1597</v>
      </c>
      <c r="B353" s="129" t="s">
        <v>382</v>
      </c>
      <c r="C353" s="248" t="s">
        <v>1296</v>
      </c>
      <c r="D353" s="309">
        <v>45779</v>
      </c>
      <c r="E353" s="309">
        <v>46875</v>
      </c>
      <c r="J353" s="129" t="s">
        <v>269</v>
      </c>
      <c r="K353" s="129" t="s">
        <v>268</v>
      </c>
      <c r="L353" s="129" t="s">
        <v>1598</v>
      </c>
      <c r="M353" s="191"/>
      <c r="O353" s="129" t="s">
        <v>1599</v>
      </c>
      <c r="P353" s="129" t="s">
        <v>1600</v>
      </c>
      <c r="Q353" s="129" t="s">
        <v>1601</v>
      </c>
      <c r="R353" s="129" t="s">
        <v>1616</v>
      </c>
      <c r="AA353" s="312">
        <v>0</v>
      </c>
      <c r="AC353" s="129">
        <v>0</v>
      </c>
      <c r="AD353" s="129">
        <v>6</v>
      </c>
      <c r="AE353" s="129">
        <v>3</v>
      </c>
      <c r="AF353" s="129">
        <v>4</v>
      </c>
      <c r="AK353" s="312">
        <f t="shared" si="100"/>
        <v>13</v>
      </c>
      <c r="AL353" s="129">
        <f t="shared" si="92"/>
        <v>0</v>
      </c>
      <c r="AM353" s="129">
        <f t="shared" si="93"/>
        <v>6</v>
      </c>
      <c r="AN353" s="129">
        <f t="shared" si="94"/>
        <v>3</v>
      </c>
      <c r="AO353" s="129">
        <f t="shared" si="95"/>
        <v>4</v>
      </c>
      <c r="AP353" s="129">
        <f t="shared" si="96"/>
        <v>0</v>
      </c>
      <c r="AQ353" s="129">
        <f t="shared" si="97"/>
        <v>0</v>
      </c>
      <c r="AR353" s="129">
        <f t="shared" si="98"/>
        <v>0</v>
      </c>
      <c r="AS353" s="129">
        <f t="shared" si="99"/>
        <v>0</v>
      </c>
      <c r="AT353" s="312">
        <f t="shared" si="101"/>
        <v>13</v>
      </c>
      <c r="AU353" s="313" t="s">
        <v>359</v>
      </c>
      <c r="AV353" s="312"/>
      <c r="BA353" s="314"/>
      <c r="BB353" s="129">
        <v>13</v>
      </c>
      <c r="BF353" s="314"/>
      <c r="BL353" s="314"/>
      <c r="BM353" s="129">
        <f t="shared" si="90"/>
        <v>0</v>
      </c>
      <c r="BN353" s="129">
        <f t="shared" si="91"/>
        <v>13</v>
      </c>
      <c r="BR353" s="129">
        <v>520502</v>
      </c>
      <c r="BS353" s="129">
        <v>175950</v>
      </c>
      <c r="BT353" s="129" t="s">
        <v>175</v>
      </c>
      <c r="BU353" s="129" t="s">
        <v>190</v>
      </c>
      <c r="BX353" s="129" t="s">
        <v>1603</v>
      </c>
      <c r="BY353" s="129" t="s">
        <v>359</v>
      </c>
      <c r="CA353" s="129" t="s">
        <v>802</v>
      </c>
      <c r="CB353" s="129" t="s">
        <v>359</v>
      </c>
      <c r="CC353" s="129" t="s">
        <v>359</v>
      </c>
      <c r="CD353" s="129" t="s">
        <v>199</v>
      </c>
      <c r="CE353" s="313"/>
    </row>
    <row r="354" spans="1:83" x14ac:dyDescent="0.25">
      <c r="A354" s="129" t="s">
        <v>1597</v>
      </c>
      <c r="B354" s="129" t="s">
        <v>382</v>
      </c>
      <c r="C354" s="248" t="s">
        <v>1296</v>
      </c>
      <c r="D354" s="309">
        <v>45779</v>
      </c>
      <c r="E354" s="309">
        <v>46875</v>
      </c>
      <c r="J354" s="129" t="s">
        <v>269</v>
      </c>
      <c r="K354" s="129" t="s">
        <v>268</v>
      </c>
      <c r="L354" s="129" t="s">
        <v>1598</v>
      </c>
      <c r="M354" s="191"/>
      <c r="O354" s="129" t="s">
        <v>1599</v>
      </c>
      <c r="P354" s="129" t="s">
        <v>1600</v>
      </c>
      <c r="Q354" s="129" t="s">
        <v>1601</v>
      </c>
      <c r="R354" s="129" t="s">
        <v>1617</v>
      </c>
      <c r="AA354" s="312">
        <v>0</v>
      </c>
      <c r="AC354" s="129">
        <v>22</v>
      </c>
      <c r="AD354" s="129">
        <v>17</v>
      </c>
      <c r="AE354" s="129">
        <v>0</v>
      </c>
      <c r="AF354" s="129">
        <v>0</v>
      </c>
      <c r="AK354" s="312">
        <f t="shared" si="100"/>
        <v>39</v>
      </c>
      <c r="AL354" s="129">
        <f t="shared" si="92"/>
        <v>22</v>
      </c>
      <c r="AM354" s="129">
        <f t="shared" si="93"/>
        <v>17</v>
      </c>
      <c r="AN354" s="129">
        <f t="shared" si="94"/>
        <v>0</v>
      </c>
      <c r="AO354" s="129">
        <f t="shared" si="95"/>
        <v>0</v>
      </c>
      <c r="AP354" s="129">
        <f t="shared" si="96"/>
        <v>0</v>
      </c>
      <c r="AQ354" s="129">
        <f t="shared" si="97"/>
        <v>0</v>
      </c>
      <c r="AR354" s="129">
        <f t="shared" si="98"/>
        <v>0</v>
      </c>
      <c r="AS354" s="129">
        <f t="shared" si="99"/>
        <v>0</v>
      </c>
      <c r="AT354" s="312">
        <f t="shared" si="101"/>
        <v>39</v>
      </c>
      <c r="AU354" s="313" t="s">
        <v>359</v>
      </c>
      <c r="AV354" s="312"/>
      <c r="BA354" s="314"/>
      <c r="BB354" s="129">
        <v>39</v>
      </c>
      <c r="BF354" s="314"/>
      <c r="BL354" s="314"/>
      <c r="BM354" s="129">
        <f t="shared" si="90"/>
        <v>0</v>
      </c>
      <c r="BN354" s="129">
        <f t="shared" si="91"/>
        <v>39</v>
      </c>
      <c r="BR354" s="129">
        <v>520502</v>
      </c>
      <c r="BS354" s="129">
        <v>175950</v>
      </c>
      <c r="BT354" s="129" t="s">
        <v>175</v>
      </c>
      <c r="BU354" s="129" t="s">
        <v>190</v>
      </c>
      <c r="BX354" s="129" t="s">
        <v>1603</v>
      </c>
      <c r="BY354" s="129" t="s">
        <v>359</v>
      </c>
      <c r="CA354" s="129" t="s">
        <v>802</v>
      </c>
      <c r="CB354" s="129" t="s">
        <v>359</v>
      </c>
      <c r="CC354" s="129" t="s">
        <v>359</v>
      </c>
      <c r="CD354" s="129" t="s">
        <v>199</v>
      </c>
      <c r="CE354" s="313"/>
    </row>
    <row r="355" spans="1:83" x14ac:dyDescent="0.25">
      <c r="A355" s="129" t="s">
        <v>1597</v>
      </c>
      <c r="B355" s="129" t="s">
        <v>382</v>
      </c>
      <c r="C355" s="248" t="s">
        <v>1296</v>
      </c>
      <c r="D355" s="309">
        <v>45779</v>
      </c>
      <c r="E355" s="309">
        <v>46875</v>
      </c>
      <c r="J355" s="129" t="s">
        <v>269</v>
      </c>
      <c r="K355" s="129" t="s">
        <v>268</v>
      </c>
      <c r="L355" s="129" t="s">
        <v>1598</v>
      </c>
      <c r="M355" s="191"/>
      <c r="O355" s="129" t="s">
        <v>1599</v>
      </c>
      <c r="P355" s="129" t="s">
        <v>1600</v>
      </c>
      <c r="Q355" s="129" t="s">
        <v>1601</v>
      </c>
      <c r="R355" s="129" t="s">
        <v>1618</v>
      </c>
      <c r="AA355" s="312">
        <v>0</v>
      </c>
      <c r="AC355" s="129">
        <v>11</v>
      </c>
      <c r="AD355" s="129">
        <v>21</v>
      </c>
      <c r="AE355" s="129">
        <v>19</v>
      </c>
      <c r="AF355" s="129">
        <v>1</v>
      </c>
      <c r="AK355" s="312">
        <f t="shared" si="100"/>
        <v>52</v>
      </c>
      <c r="AL355" s="129">
        <f t="shared" si="92"/>
        <v>11</v>
      </c>
      <c r="AM355" s="129">
        <f t="shared" si="93"/>
        <v>21</v>
      </c>
      <c r="AN355" s="129">
        <f t="shared" si="94"/>
        <v>19</v>
      </c>
      <c r="AO355" s="129">
        <f t="shared" si="95"/>
        <v>1</v>
      </c>
      <c r="AP355" s="129">
        <f t="shared" si="96"/>
        <v>0</v>
      </c>
      <c r="AQ355" s="129">
        <f t="shared" si="97"/>
        <v>0</v>
      </c>
      <c r="AR355" s="129">
        <f t="shared" si="98"/>
        <v>0</v>
      </c>
      <c r="AS355" s="129">
        <f t="shared" si="99"/>
        <v>0</v>
      </c>
      <c r="AT355" s="312">
        <f t="shared" si="101"/>
        <v>52</v>
      </c>
      <c r="AU355" s="313" t="s">
        <v>359</v>
      </c>
      <c r="AV355" s="312"/>
      <c r="BA355" s="314"/>
      <c r="BB355" s="129">
        <v>52</v>
      </c>
      <c r="BF355" s="314"/>
      <c r="BL355" s="314"/>
      <c r="BM355" s="129">
        <f t="shared" si="90"/>
        <v>0</v>
      </c>
      <c r="BN355" s="129">
        <f t="shared" si="91"/>
        <v>52</v>
      </c>
      <c r="BR355" s="129">
        <v>520502</v>
      </c>
      <c r="BS355" s="129">
        <v>175950</v>
      </c>
      <c r="BT355" s="129" t="s">
        <v>175</v>
      </c>
      <c r="BU355" s="129" t="s">
        <v>190</v>
      </c>
      <c r="BX355" s="129" t="s">
        <v>1603</v>
      </c>
      <c r="BY355" s="129" t="s">
        <v>359</v>
      </c>
      <c r="CA355" s="129" t="s">
        <v>802</v>
      </c>
      <c r="CB355" s="129" t="s">
        <v>359</v>
      </c>
      <c r="CC355" s="129" t="s">
        <v>359</v>
      </c>
      <c r="CD355" s="129" t="s">
        <v>199</v>
      </c>
      <c r="CE355" s="313"/>
    </row>
    <row r="356" spans="1:83" x14ac:dyDescent="0.25">
      <c r="A356" s="129" t="s">
        <v>1597</v>
      </c>
      <c r="B356" s="129" t="s">
        <v>382</v>
      </c>
      <c r="C356" s="248" t="s">
        <v>1296</v>
      </c>
      <c r="D356" s="309">
        <v>45779</v>
      </c>
      <c r="E356" s="309">
        <v>46875</v>
      </c>
      <c r="J356" s="129" t="s">
        <v>269</v>
      </c>
      <c r="K356" s="129" t="s">
        <v>268</v>
      </c>
      <c r="L356" s="129" t="s">
        <v>1598</v>
      </c>
      <c r="M356" s="191"/>
      <c r="O356" s="129" t="s">
        <v>1599</v>
      </c>
      <c r="P356" s="129" t="s">
        <v>1600</v>
      </c>
      <c r="Q356" s="129" t="s">
        <v>1601</v>
      </c>
      <c r="R356" s="129" t="s">
        <v>1619</v>
      </c>
      <c r="AA356" s="312">
        <v>0</v>
      </c>
      <c r="AC356" s="129">
        <v>4</v>
      </c>
      <c r="AD356" s="129">
        <v>37</v>
      </c>
      <c r="AE356" s="129">
        <v>7</v>
      </c>
      <c r="AF356" s="129">
        <v>0</v>
      </c>
      <c r="AK356" s="312">
        <f t="shared" si="100"/>
        <v>48</v>
      </c>
      <c r="AL356" s="129">
        <f t="shared" si="92"/>
        <v>4</v>
      </c>
      <c r="AM356" s="129">
        <f t="shared" si="93"/>
        <v>37</v>
      </c>
      <c r="AN356" s="129">
        <f t="shared" si="94"/>
        <v>7</v>
      </c>
      <c r="AO356" s="129">
        <f t="shared" si="95"/>
        <v>0</v>
      </c>
      <c r="AP356" s="129">
        <f t="shared" si="96"/>
        <v>0</v>
      </c>
      <c r="AQ356" s="129">
        <f t="shared" si="97"/>
        <v>0</v>
      </c>
      <c r="AR356" s="129">
        <f t="shared" si="98"/>
        <v>0</v>
      </c>
      <c r="AS356" s="129">
        <f t="shared" si="99"/>
        <v>0</v>
      </c>
      <c r="AT356" s="312">
        <f t="shared" si="101"/>
        <v>48</v>
      </c>
      <c r="AU356" s="313" t="s">
        <v>359</v>
      </c>
      <c r="AV356" s="312"/>
      <c r="BA356" s="314"/>
      <c r="BB356" s="129">
        <v>48</v>
      </c>
      <c r="BF356" s="314"/>
      <c r="BL356" s="314"/>
      <c r="BM356" s="129">
        <f t="shared" si="90"/>
        <v>0</v>
      </c>
      <c r="BN356" s="129">
        <f t="shared" si="91"/>
        <v>48</v>
      </c>
      <c r="BR356" s="129">
        <v>520502</v>
      </c>
      <c r="BS356" s="129">
        <v>175950</v>
      </c>
      <c r="BT356" s="129" t="s">
        <v>175</v>
      </c>
      <c r="BU356" s="129" t="s">
        <v>190</v>
      </c>
      <c r="BX356" s="129" t="s">
        <v>1603</v>
      </c>
      <c r="BY356" s="129" t="s">
        <v>359</v>
      </c>
      <c r="CA356" s="129" t="s">
        <v>802</v>
      </c>
      <c r="CB356" s="129" t="s">
        <v>359</v>
      </c>
      <c r="CC356" s="129" t="s">
        <v>359</v>
      </c>
      <c r="CD356" s="129" t="s">
        <v>199</v>
      </c>
      <c r="CE356" s="313"/>
    </row>
    <row r="357" spans="1:83" x14ac:dyDescent="0.25">
      <c r="A357" s="129" t="s">
        <v>1597</v>
      </c>
      <c r="B357" s="129" t="s">
        <v>382</v>
      </c>
      <c r="C357" s="248" t="s">
        <v>1296</v>
      </c>
      <c r="D357" s="309">
        <v>45779</v>
      </c>
      <c r="E357" s="309">
        <v>46875</v>
      </c>
      <c r="J357" s="129" t="s">
        <v>269</v>
      </c>
      <c r="K357" s="129" t="s">
        <v>268</v>
      </c>
      <c r="L357" s="129" t="s">
        <v>1598</v>
      </c>
      <c r="M357" s="191"/>
      <c r="O357" s="129" t="s">
        <v>1599</v>
      </c>
      <c r="P357" s="129" t="s">
        <v>1600</v>
      </c>
      <c r="Q357" s="129" t="s">
        <v>1601</v>
      </c>
      <c r="R357" s="129" t="s">
        <v>1620</v>
      </c>
      <c r="AA357" s="312">
        <v>0</v>
      </c>
      <c r="AC357" s="129">
        <v>0</v>
      </c>
      <c r="AD357" s="129">
        <v>1</v>
      </c>
      <c r="AE357" s="129">
        <v>11</v>
      </c>
      <c r="AF357" s="129">
        <v>4</v>
      </c>
      <c r="AK357" s="312">
        <f t="shared" si="100"/>
        <v>16</v>
      </c>
      <c r="AL357" s="129">
        <f t="shared" si="92"/>
        <v>0</v>
      </c>
      <c r="AM357" s="129">
        <f t="shared" si="93"/>
        <v>1</v>
      </c>
      <c r="AN357" s="129">
        <f t="shared" si="94"/>
        <v>11</v>
      </c>
      <c r="AO357" s="129">
        <f t="shared" si="95"/>
        <v>4</v>
      </c>
      <c r="AP357" s="129">
        <f t="shared" si="96"/>
        <v>0</v>
      </c>
      <c r="AQ357" s="129">
        <f t="shared" si="97"/>
        <v>0</v>
      </c>
      <c r="AR357" s="129">
        <f t="shared" si="98"/>
        <v>0</v>
      </c>
      <c r="AS357" s="129">
        <f t="shared" si="99"/>
        <v>0</v>
      </c>
      <c r="AT357" s="312">
        <f t="shared" si="101"/>
        <v>16</v>
      </c>
      <c r="AU357" s="313" t="s">
        <v>359</v>
      </c>
      <c r="AV357" s="312"/>
      <c r="BA357" s="314"/>
      <c r="BD357" s="129">
        <v>16</v>
      </c>
      <c r="BF357" s="314"/>
      <c r="BL357" s="314"/>
      <c r="BM357" s="129">
        <f t="shared" si="90"/>
        <v>0</v>
      </c>
      <c r="BN357" s="129">
        <f t="shared" si="91"/>
        <v>16</v>
      </c>
      <c r="BR357" s="129">
        <v>520502</v>
      </c>
      <c r="BS357" s="129">
        <v>175950</v>
      </c>
      <c r="BT357" s="129" t="s">
        <v>175</v>
      </c>
      <c r="BU357" s="129" t="s">
        <v>190</v>
      </c>
      <c r="BX357" s="129" t="s">
        <v>1603</v>
      </c>
      <c r="BY357" s="129" t="s">
        <v>359</v>
      </c>
      <c r="CA357" s="129" t="s">
        <v>802</v>
      </c>
      <c r="CB357" s="129" t="s">
        <v>359</v>
      </c>
      <c r="CC357" s="129" t="s">
        <v>359</v>
      </c>
      <c r="CD357" s="129" t="s">
        <v>199</v>
      </c>
      <c r="CE357" s="313"/>
    </row>
    <row r="358" spans="1:83" x14ac:dyDescent="0.25">
      <c r="A358" s="129" t="s">
        <v>1597</v>
      </c>
      <c r="B358" s="129" t="s">
        <v>382</v>
      </c>
      <c r="C358" s="248" t="s">
        <v>1296</v>
      </c>
      <c r="D358" s="309">
        <v>45779</v>
      </c>
      <c r="E358" s="309">
        <v>46875</v>
      </c>
      <c r="J358" s="129" t="s">
        <v>269</v>
      </c>
      <c r="K358" s="129" t="s">
        <v>268</v>
      </c>
      <c r="L358" s="129" t="s">
        <v>1598</v>
      </c>
      <c r="M358" s="191"/>
      <c r="O358" s="129" t="s">
        <v>1599</v>
      </c>
      <c r="P358" s="129" t="s">
        <v>1600</v>
      </c>
      <c r="Q358" s="129" t="s">
        <v>1601</v>
      </c>
      <c r="R358" s="129" t="s">
        <v>1621</v>
      </c>
      <c r="AA358" s="312">
        <v>0</v>
      </c>
      <c r="AC358" s="129">
        <v>0</v>
      </c>
      <c r="AD358" s="129">
        <v>0</v>
      </c>
      <c r="AE358" s="129">
        <v>1</v>
      </c>
      <c r="AF358" s="129">
        <v>6</v>
      </c>
      <c r="AK358" s="312">
        <f t="shared" si="100"/>
        <v>7</v>
      </c>
      <c r="AL358" s="129">
        <f t="shared" si="92"/>
        <v>0</v>
      </c>
      <c r="AM358" s="129">
        <f t="shared" si="93"/>
        <v>0</v>
      </c>
      <c r="AN358" s="129">
        <f t="shared" si="94"/>
        <v>1</v>
      </c>
      <c r="AO358" s="129">
        <f t="shared" si="95"/>
        <v>6</v>
      </c>
      <c r="AP358" s="129">
        <f t="shared" si="96"/>
        <v>0</v>
      </c>
      <c r="AQ358" s="129">
        <f t="shared" si="97"/>
        <v>0</v>
      </c>
      <c r="AR358" s="129">
        <f t="shared" si="98"/>
        <v>0</v>
      </c>
      <c r="AS358" s="129">
        <f t="shared" si="99"/>
        <v>0</v>
      </c>
      <c r="AT358" s="312">
        <f t="shared" si="101"/>
        <v>7</v>
      </c>
      <c r="AU358" s="313" t="s">
        <v>359</v>
      </c>
      <c r="AV358" s="312"/>
      <c r="BA358" s="314"/>
      <c r="BD358" s="129">
        <v>7</v>
      </c>
      <c r="BF358" s="314"/>
      <c r="BL358" s="314"/>
      <c r="BM358" s="129">
        <f t="shared" si="90"/>
        <v>0</v>
      </c>
      <c r="BN358" s="129">
        <f t="shared" si="91"/>
        <v>7</v>
      </c>
      <c r="BR358" s="129">
        <v>520502</v>
      </c>
      <c r="BS358" s="129">
        <v>175950</v>
      </c>
      <c r="BT358" s="129" t="s">
        <v>175</v>
      </c>
      <c r="BU358" s="129" t="s">
        <v>190</v>
      </c>
      <c r="BX358" s="129" t="s">
        <v>1603</v>
      </c>
      <c r="BY358" s="129" t="s">
        <v>359</v>
      </c>
      <c r="CA358" s="129" t="s">
        <v>802</v>
      </c>
      <c r="CB358" s="129" t="s">
        <v>359</v>
      </c>
      <c r="CC358" s="129" t="s">
        <v>359</v>
      </c>
      <c r="CD358" s="129" t="s">
        <v>199</v>
      </c>
      <c r="CE358" s="313"/>
    </row>
    <row r="359" spans="1:83" x14ac:dyDescent="0.25">
      <c r="A359" s="129" t="s">
        <v>1622</v>
      </c>
      <c r="B359" s="129" t="s">
        <v>352</v>
      </c>
      <c r="C359" s="129" t="s">
        <v>353</v>
      </c>
      <c r="D359" s="309"/>
      <c r="E359" s="309"/>
      <c r="J359" s="129" t="s">
        <v>269</v>
      </c>
      <c r="K359" s="129" t="s">
        <v>1587</v>
      </c>
      <c r="L359" s="129" t="s">
        <v>1623</v>
      </c>
      <c r="M359" s="191"/>
      <c r="O359" s="129" t="s">
        <v>1624</v>
      </c>
      <c r="P359" s="129" t="s">
        <v>1625</v>
      </c>
      <c r="Q359" s="129" t="s">
        <v>1626</v>
      </c>
      <c r="AA359" s="312"/>
      <c r="AK359" s="312">
        <v>100</v>
      </c>
      <c r="AL359" s="129">
        <f t="shared" si="92"/>
        <v>0</v>
      </c>
      <c r="AM359" s="129">
        <f t="shared" si="93"/>
        <v>0</v>
      </c>
      <c r="AN359" s="129">
        <f t="shared" si="94"/>
        <v>0</v>
      </c>
      <c r="AO359" s="129">
        <f t="shared" si="95"/>
        <v>0</v>
      </c>
      <c r="AP359" s="129">
        <f t="shared" si="96"/>
        <v>0</v>
      </c>
      <c r="AQ359" s="129">
        <f t="shared" si="97"/>
        <v>0</v>
      </c>
      <c r="AR359" s="129">
        <f t="shared" si="98"/>
        <v>0</v>
      </c>
      <c r="AS359" s="129">
        <f t="shared" si="99"/>
        <v>0</v>
      </c>
      <c r="AT359" s="312">
        <v>100</v>
      </c>
      <c r="AU359" s="313" t="s">
        <v>359</v>
      </c>
      <c r="AV359" s="312"/>
      <c r="AY359" s="323">
        <v>33.333333333333336</v>
      </c>
      <c r="AZ359" s="323">
        <v>33.333333333333336</v>
      </c>
      <c r="BA359" s="324">
        <v>33.333333333333336</v>
      </c>
      <c r="BF359" s="314"/>
      <c r="BL359" s="314"/>
      <c r="BM359" s="129">
        <f t="shared" si="90"/>
        <v>100</v>
      </c>
      <c r="BN359" s="129">
        <f t="shared" si="91"/>
        <v>100</v>
      </c>
      <c r="BR359" s="129">
        <v>514199</v>
      </c>
      <c r="BS359" s="129">
        <v>170906</v>
      </c>
      <c r="BT359" s="129" t="s">
        <v>168</v>
      </c>
      <c r="BU359" s="129" t="s">
        <v>192</v>
      </c>
      <c r="BX359" s="129" t="s">
        <v>404</v>
      </c>
      <c r="BY359" s="129" t="s">
        <v>359</v>
      </c>
      <c r="CD359" s="129" t="s">
        <v>198</v>
      </c>
      <c r="CE359" s="313"/>
    </row>
    <row r="360" spans="1:83" x14ac:dyDescent="0.25">
      <c r="A360" s="129" t="s">
        <v>1584</v>
      </c>
      <c r="B360" s="129" t="s">
        <v>382</v>
      </c>
      <c r="C360" s="129" t="s">
        <v>1585</v>
      </c>
      <c r="D360" s="309"/>
      <c r="E360" s="309"/>
      <c r="J360" s="129" t="s">
        <v>1627</v>
      </c>
      <c r="K360" s="129" t="s">
        <v>1587</v>
      </c>
      <c r="L360" s="129" t="s">
        <v>1628</v>
      </c>
      <c r="M360" s="191"/>
      <c r="P360" s="129" t="s">
        <v>1628</v>
      </c>
      <c r="Q360" s="129" t="s">
        <v>1629</v>
      </c>
      <c r="AA360" s="312"/>
      <c r="AK360" s="312">
        <v>20</v>
      </c>
      <c r="AL360" s="129">
        <f t="shared" si="92"/>
        <v>0</v>
      </c>
      <c r="AM360" s="129">
        <f t="shared" si="93"/>
        <v>0</v>
      </c>
      <c r="AN360" s="129">
        <f t="shared" si="94"/>
        <v>0</v>
      </c>
      <c r="AO360" s="129">
        <f t="shared" si="95"/>
        <v>0</v>
      </c>
      <c r="AP360" s="129">
        <f t="shared" si="96"/>
        <v>0</v>
      </c>
      <c r="AQ360" s="129">
        <f t="shared" si="97"/>
        <v>0</v>
      </c>
      <c r="AR360" s="129">
        <f t="shared" si="98"/>
        <v>0</v>
      </c>
      <c r="AS360" s="129">
        <f t="shared" si="99"/>
        <v>0</v>
      </c>
      <c r="AT360" s="312">
        <v>20</v>
      </c>
      <c r="AU360" s="313" t="s">
        <v>359</v>
      </c>
      <c r="AV360" s="312"/>
      <c r="BA360" s="314">
        <v>20</v>
      </c>
      <c r="BF360" s="314"/>
      <c r="BL360" s="314"/>
      <c r="BM360" s="129">
        <f t="shared" si="90"/>
        <v>20</v>
      </c>
      <c r="BN360" s="129">
        <f t="shared" si="91"/>
        <v>20</v>
      </c>
      <c r="BR360" s="129">
        <v>515852</v>
      </c>
      <c r="BS360" s="129">
        <v>170855</v>
      </c>
      <c r="BT360" s="129" t="s">
        <v>152</v>
      </c>
      <c r="BU360" s="129" t="s">
        <v>192</v>
      </c>
      <c r="BV360" s="129" t="s">
        <v>152</v>
      </c>
      <c r="CA360" s="129" t="s">
        <v>1630</v>
      </c>
      <c r="CB360" s="129" t="s">
        <v>359</v>
      </c>
      <c r="CC360" s="129" t="s">
        <v>359</v>
      </c>
      <c r="CD360" s="129" t="s">
        <v>201</v>
      </c>
      <c r="CE360" s="313"/>
    </row>
    <row r="361" spans="1:83" x14ac:dyDescent="0.25">
      <c r="A361" s="129" t="s">
        <v>1584</v>
      </c>
      <c r="B361" s="129" t="s">
        <v>382</v>
      </c>
      <c r="C361" s="129" t="s">
        <v>1585</v>
      </c>
      <c r="D361" s="309"/>
      <c r="E361" s="309"/>
      <c r="J361" s="129" t="s">
        <v>1627</v>
      </c>
      <c r="K361" s="129" t="s">
        <v>1587</v>
      </c>
      <c r="L361" s="129" t="s">
        <v>1631</v>
      </c>
      <c r="M361" s="191"/>
      <c r="P361" s="129" t="s">
        <v>1631</v>
      </c>
      <c r="Q361" s="129" t="s">
        <v>1632</v>
      </c>
      <c r="AA361" s="312"/>
      <c r="AK361" s="312">
        <v>20</v>
      </c>
      <c r="AL361" s="129">
        <f t="shared" si="92"/>
        <v>0</v>
      </c>
      <c r="AM361" s="129">
        <f t="shared" si="93"/>
        <v>0</v>
      </c>
      <c r="AN361" s="129">
        <f t="shared" si="94"/>
        <v>0</v>
      </c>
      <c r="AO361" s="129">
        <f t="shared" si="95"/>
        <v>0</v>
      </c>
      <c r="AP361" s="129">
        <f t="shared" si="96"/>
        <v>0</v>
      </c>
      <c r="AQ361" s="129">
        <f t="shared" si="97"/>
        <v>0</v>
      </c>
      <c r="AR361" s="129">
        <f t="shared" si="98"/>
        <v>0</v>
      </c>
      <c r="AS361" s="129">
        <f t="shared" si="99"/>
        <v>0</v>
      </c>
      <c r="AT361" s="312">
        <v>20</v>
      </c>
      <c r="AU361" s="313" t="s">
        <v>359</v>
      </c>
      <c r="AV361" s="312"/>
      <c r="AZ361" s="129">
        <v>10</v>
      </c>
      <c r="BA361" s="314">
        <v>10</v>
      </c>
      <c r="BF361" s="314"/>
      <c r="BL361" s="314"/>
      <c r="BM361" s="129">
        <f t="shared" si="90"/>
        <v>20</v>
      </c>
      <c r="BN361" s="129">
        <f t="shared" si="91"/>
        <v>20</v>
      </c>
      <c r="BR361" s="129">
        <v>516325</v>
      </c>
      <c r="BS361" s="129">
        <v>173426</v>
      </c>
      <c r="BT361" s="129" t="s">
        <v>180</v>
      </c>
      <c r="BU361" s="129" t="s">
        <v>154</v>
      </c>
      <c r="BV361" s="129" t="s">
        <v>154</v>
      </c>
      <c r="CC361" s="129" t="s">
        <v>359</v>
      </c>
      <c r="CD361" s="129" t="s">
        <v>202</v>
      </c>
      <c r="CE361" s="313"/>
    </row>
    <row r="362" spans="1:83" x14ac:dyDescent="0.25">
      <c r="A362" s="129" t="s">
        <v>1584</v>
      </c>
      <c r="B362" s="129" t="s">
        <v>382</v>
      </c>
      <c r="C362" s="129" t="s">
        <v>1585</v>
      </c>
      <c r="D362" s="309"/>
      <c r="E362" s="309"/>
      <c r="J362" s="129" t="s">
        <v>1627</v>
      </c>
      <c r="K362" s="129" t="s">
        <v>1587</v>
      </c>
      <c r="L362" s="129" t="s">
        <v>1633</v>
      </c>
      <c r="M362" s="191"/>
      <c r="P362" s="129" t="s">
        <v>1633</v>
      </c>
      <c r="Q362" s="129" t="s">
        <v>1634</v>
      </c>
      <c r="AA362" s="312"/>
      <c r="AK362" s="312">
        <v>20</v>
      </c>
      <c r="AL362" s="129">
        <f t="shared" si="92"/>
        <v>0</v>
      </c>
      <c r="AM362" s="129">
        <f t="shared" si="93"/>
        <v>0</v>
      </c>
      <c r="AN362" s="129">
        <f t="shared" si="94"/>
        <v>0</v>
      </c>
      <c r="AO362" s="129">
        <f t="shared" si="95"/>
        <v>0</v>
      </c>
      <c r="AP362" s="129">
        <f t="shared" si="96"/>
        <v>0</v>
      </c>
      <c r="AQ362" s="129">
        <f t="shared" si="97"/>
        <v>0</v>
      </c>
      <c r="AR362" s="129">
        <f t="shared" si="98"/>
        <v>0</v>
      </c>
      <c r="AS362" s="129">
        <f t="shared" si="99"/>
        <v>0</v>
      </c>
      <c r="AT362" s="312">
        <v>20</v>
      </c>
      <c r="AU362" s="313" t="s">
        <v>359</v>
      </c>
      <c r="AV362" s="312"/>
      <c r="AZ362" s="129">
        <v>10</v>
      </c>
      <c r="BA362" s="314">
        <v>10</v>
      </c>
      <c r="BF362" s="314"/>
      <c r="BL362" s="314"/>
      <c r="BM362" s="129">
        <f t="shared" si="90"/>
        <v>20</v>
      </c>
      <c r="BN362" s="129">
        <f t="shared" si="91"/>
        <v>20</v>
      </c>
      <c r="BR362" s="129">
        <v>514055</v>
      </c>
      <c r="BS362" s="129">
        <v>173847</v>
      </c>
      <c r="BT362" s="129" t="s">
        <v>156</v>
      </c>
      <c r="BU362" s="129" t="s">
        <v>156</v>
      </c>
      <c r="BV362" s="129" t="s">
        <v>156</v>
      </c>
      <c r="CC362" s="129" t="s">
        <v>359</v>
      </c>
      <c r="CD362" s="129" t="s">
        <v>203</v>
      </c>
      <c r="CE362" s="313"/>
    </row>
    <row r="363" spans="1:83" x14ac:dyDescent="0.25">
      <c r="A363" s="129" t="s">
        <v>1635</v>
      </c>
      <c r="B363" s="129" t="s">
        <v>382</v>
      </c>
      <c r="C363" s="129" t="s">
        <v>1585</v>
      </c>
      <c r="D363" s="309"/>
      <c r="E363" s="309"/>
      <c r="J363" s="129" t="s">
        <v>1636</v>
      </c>
      <c r="K363" s="129" t="s">
        <v>1587</v>
      </c>
      <c r="L363" s="129" t="s">
        <v>1635</v>
      </c>
      <c r="M363" s="191"/>
      <c r="P363" s="129" t="s">
        <v>1635</v>
      </c>
      <c r="Q363" s="129" t="s">
        <v>1585</v>
      </c>
      <c r="AA363" s="312"/>
      <c r="AK363" s="312">
        <v>432</v>
      </c>
      <c r="AL363" s="129">
        <f t="shared" si="92"/>
        <v>0</v>
      </c>
      <c r="AM363" s="129">
        <f t="shared" si="93"/>
        <v>0</v>
      </c>
      <c r="AN363" s="129">
        <f t="shared" si="94"/>
        <v>0</v>
      </c>
      <c r="AO363" s="129">
        <f t="shared" si="95"/>
        <v>0</v>
      </c>
      <c r="AP363" s="129">
        <f t="shared" si="96"/>
        <v>0</v>
      </c>
      <c r="AQ363" s="129">
        <f t="shared" si="97"/>
        <v>0</v>
      </c>
      <c r="AR363" s="129">
        <f t="shared" si="98"/>
        <v>0</v>
      </c>
      <c r="AS363" s="129">
        <f t="shared" si="99"/>
        <v>0</v>
      </c>
      <c r="AT363" s="312">
        <v>144</v>
      </c>
      <c r="AV363" s="312"/>
      <c r="BA363" s="314"/>
      <c r="BE363" s="129">
        <v>72</v>
      </c>
      <c r="BF363" s="314">
        <v>72</v>
      </c>
      <c r="BG363" s="129">
        <v>72</v>
      </c>
      <c r="BH363" s="129">
        <v>72</v>
      </c>
      <c r="BI363" s="129">
        <v>72</v>
      </c>
      <c r="BJ363" s="129">
        <v>72</v>
      </c>
      <c r="BK363" s="129">
        <v>72</v>
      </c>
      <c r="BL363" s="314">
        <v>72</v>
      </c>
      <c r="BM363" s="129">
        <f t="shared" si="90"/>
        <v>0</v>
      </c>
      <c r="BN363" s="129">
        <f t="shared" si="91"/>
        <v>144</v>
      </c>
      <c r="BT363" s="129" t="s">
        <v>1585</v>
      </c>
      <c r="CE363" s="313"/>
    </row>
    <row r="364" spans="1:83" x14ac:dyDescent="0.25">
      <c r="A364" s="129" t="s">
        <v>1637</v>
      </c>
      <c r="B364" s="129" t="s">
        <v>382</v>
      </c>
      <c r="C364" s="129" t="s">
        <v>1585</v>
      </c>
      <c r="D364" s="309"/>
      <c r="E364" s="309"/>
      <c r="J364" s="129" t="s">
        <v>1636</v>
      </c>
      <c r="K364" s="129" t="s">
        <v>1587</v>
      </c>
      <c r="L364" s="129" t="s">
        <v>1637</v>
      </c>
      <c r="M364" s="191"/>
      <c r="P364" s="129" t="s">
        <v>1637</v>
      </c>
      <c r="Q364" s="129" t="s">
        <v>1585</v>
      </c>
      <c r="AA364" s="312"/>
      <c r="AK364" s="312">
        <v>3316</v>
      </c>
      <c r="AL364" s="129">
        <f t="shared" si="92"/>
        <v>0</v>
      </c>
      <c r="AM364" s="129">
        <f t="shared" si="93"/>
        <v>0</v>
      </c>
      <c r="AN364" s="129">
        <f t="shared" si="94"/>
        <v>0</v>
      </c>
      <c r="AO364" s="129">
        <f t="shared" si="95"/>
        <v>0</v>
      </c>
      <c r="AP364" s="129">
        <f t="shared" si="96"/>
        <v>0</v>
      </c>
      <c r="AQ364" s="129">
        <f t="shared" si="97"/>
        <v>0</v>
      </c>
      <c r="AR364" s="129">
        <f t="shared" si="98"/>
        <v>0</v>
      </c>
      <c r="AS364" s="129">
        <f t="shared" si="99"/>
        <v>0</v>
      </c>
      <c r="AT364" s="312">
        <v>1912</v>
      </c>
      <c r="AV364" s="312"/>
      <c r="AW364" s="129">
        <v>20</v>
      </c>
      <c r="AX364" s="129">
        <v>20</v>
      </c>
      <c r="AY364" s="129">
        <v>234</v>
      </c>
      <c r="AZ364" s="129">
        <v>234</v>
      </c>
      <c r="BA364" s="314">
        <v>234</v>
      </c>
      <c r="BB364" s="129">
        <v>234</v>
      </c>
      <c r="BC364" s="129">
        <v>234</v>
      </c>
      <c r="BD364" s="129">
        <v>234</v>
      </c>
      <c r="BE364" s="129">
        <v>234</v>
      </c>
      <c r="BF364" s="314">
        <v>234</v>
      </c>
      <c r="BG364" s="129">
        <v>234</v>
      </c>
      <c r="BH364" s="129">
        <v>234</v>
      </c>
      <c r="BI364" s="129">
        <v>234</v>
      </c>
      <c r="BJ364" s="129">
        <v>234</v>
      </c>
      <c r="BK364" s="129">
        <v>234</v>
      </c>
      <c r="BL364" s="314">
        <v>234</v>
      </c>
      <c r="BM364" s="129">
        <f t="shared" si="90"/>
        <v>742</v>
      </c>
      <c r="BN364" s="129">
        <f t="shared" si="91"/>
        <v>1912</v>
      </c>
      <c r="BT364" s="129" t="s">
        <v>1585</v>
      </c>
      <c r="CE364" s="313"/>
    </row>
  </sheetData>
  <autoFilter ref="A1:CE364" xr:uid="{00000000-0001-0000-00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67F2-75ED-4D7A-BA84-65F3813924C7}">
  <dimension ref="B2:T567"/>
  <sheetViews>
    <sheetView zoomScale="80" zoomScaleNormal="80" workbookViewId="0"/>
  </sheetViews>
  <sheetFormatPr defaultColWidth="9.140625" defaultRowHeight="12.75" x14ac:dyDescent="0.2"/>
  <cols>
    <col min="1" max="1" width="5.7109375" style="128" customWidth="1"/>
    <col min="2" max="12" width="30.7109375" style="128" customWidth="1"/>
    <col min="13" max="16" width="22.85546875" style="128" customWidth="1"/>
    <col min="17" max="17" width="38.7109375" style="128" bestFit="1" customWidth="1"/>
    <col min="18" max="18" width="22.85546875" style="128" customWidth="1"/>
    <col min="19" max="19" width="24.28515625" style="128" bestFit="1" customWidth="1"/>
    <col min="20" max="20" width="11.5703125" style="128" bestFit="1" customWidth="1"/>
    <col min="21" max="31" width="9.140625" style="128" customWidth="1"/>
    <col min="32" max="34" width="9.140625" style="128"/>
    <col min="35" max="36" width="9.140625" style="128" customWidth="1"/>
    <col min="37" max="16384" width="9.140625" style="128"/>
  </cols>
  <sheetData>
    <row r="2" spans="2:9" ht="13.5" thickBot="1" x14ac:dyDescent="0.25">
      <c r="B2" s="130" t="s">
        <v>1786</v>
      </c>
      <c r="E2" s="130" t="s">
        <v>1638</v>
      </c>
      <c r="H2" s="130" t="s">
        <v>1787</v>
      </c>
    </row>
    <row r="3" spans="2:9" ht="13.5" thickBot="1" x14ac:dyDescent="0.25">
      <c r="B3" s="325" t="s">
        <v>279</v>
      </c>
      <c r="C3" s="326" t="s">
        <v>354</v>
      </c>
      <c r="E3" s="325" t="s">
        <v>279</v>
      </c>
      <c r="F3" s="326" t="s">
        <v>354</v>
      </c>
      <c r="H3" s="325" t="s">
        <v>279</v>
      </c>
      <c r="I3" s="326" t="s">
        <v>354</v>
      </c>
    </row>
    <row r="4" spans="2:9" ht="13.5" thickBot="1" x14ac:dyDescent="0.25"/>
    <row r="5" spans="2:9" ht="13.5" thickBot="1" x14ac:dyDescent="0.25">
      <c r="B5" s="333" t="s">
        <v>1639</v>
      </c>
      <c r="E5" s="333" t="s">
        <v>1640</v>
      </c>
      <c r="H5" s="327" t="s">
        <v>259</v>
      </c>
      <c r="I5" s="328" t="s">
        <v>257</v>
      </c>
    </row>
    <row r="6" spans="2:9" ht="13.5" thickBot="1" x14ac:dyDescent="0.25">
      <c r="B6" s="342">
        <v>80</v>
      </c>
      <c r="E6" s="342">
        <v>13.444444444444445</v>
      </c>
      <c r="H6" s="329" t="s">
        <v>260</v>
      </c>
      <c r="I6" s="328">
        <v>9</v>
      </c>
    </row>
    <row r="7" spans="2:9" x14ac:dyDescent="0.2">
      <c r="H7" s="329" t="s">
        <v>268</v>
      </c>
      <c r="I7" s="330">
        <v>107</v>
      </c>
    </row>
    <row r="8" spans="2:9" ht="13.5" thickBot="1" x14ac:dyDescent="0.25">
      <c r="H8" s="331" t="s">
        <v>265</v>
      </c>
      <c r="I8" s="332">
        <v>116</v>
      </c>
    </row>
    <row r="9" spans="2:9" ht="15.75" customHeight="1" thickBot="1" x14ac:dyDescent="0.25">
      <c r="B9" s="130" t="s">
        <v>1641</v>
      </c>
      <c r="E9" s="130" t="s">
        <v>1642</v>
      </c>
    </row>
    <row r="10" spans="2:9" ht="13.5" thickBot="1" x14ac:dyDescent="0.25">
      <c r="B10" s="325" t="s">
        <v>279</v>
      </c>
      <c r="C10" s="326" t="s">
        <v>266</v>
      </c>
      <c r="E10" s="325" t="s">
        <v>271</v>
      </c>
      <c r="F10" s="326" t="s">
        <v>256</v>
      </c>
    </row>
    <row r="11" spans="2:9" ht="13.5" thickBot="1" x14ac:dyDescent="0.25">
      <c r="B11" s="325" t="s">
        <v>271</v>
      </c>
      <c r="C11" s="326" t="s">
        <v>256</v>
      </c>
      <c r="E11" s="325" t="s">
        <v>279</v>
      </c>
      <c r="F11" s="326" t="s">
        <v>266</v>
      </c>
    </row>
    <row r="12" spans="2:9" ht="13.5" thickBot="1" x14ac:dyDescent="0.25">
      <c r="B12" s="325" t="s">
        <v>255</v>
      </c>
      <c r="C12" s="326" t="s">
        <v>1643</v>
      </c>
      <c r="E12" s="325" t="s">
        <v>255</v>
      </c>
      <c r="F12" s="326" t="s">
        <v>256</v>
      </c>
    </row>
    <row r="13" spans="2:9" ht="13.5" thickBot="1" x14ac:dyDescent="0.25"/>
    <row r="14" spans="2:9" x14ac:dyDescent="0.2">
      <c r="B14" s="333" t="s">
        <v>1639</v>
      </c>
      <c r="E14" s="327" t="s">
        <v>1644</v>
      </c>
      <c r="F14" s="336" t="s">
        <v>1645</v>
      </c>
      <c r="G14" s="336" t="s">
        <v>1646</v>
      </c>
      <c r="H14" s="336" t="s">
        <v>1647</v>
      </c>
      <c r="I14" s="328" t="s">
        <v>1648</v>
      </c>
    </row>
    <row r="15" spans="2:9" ht="13.5" thickBot="1" x14ac:dyDescent="0.25">
      <c r="B15" s="335">
        <v>892</v>
      </c>
      <c r="E15" s="345">
        <v>39</v>
      </c>
      <c r="F15" s="346">
        <v>331.5</v>
      </c>
      <c r="G15" s="346">
        <v>187.5</v>
      </c>
      <c r="H15" s="346">
        <v>46</v>
      </c>
      <c r="I15" s="332">
        <v>198</v>
      </c>
    </row>
    <row r="18" spans="2:9" ht="15.75" customHeight="1" thickBot="1" x14ac:dyDescent="0.25">
      <c r="B18" s="130" t="s">
        <v>69</v>
      </c>
      <c r="E18" s="130" t="s">
        <v>1649</v>
      </c>
    </row>
    <row r="19" spans="2:9" ht="13.5" thickBot="1" x14ac:dyDescent="0.25">
      <c r="B19" s="325" t="s">
        <v>271</v>
      </c>
      <c r="C19" s="326" t="s">
        <v>256</v>
      </c>
      <c r="E19" s="325" t="s">
        <v>271</v>
      </c>
      <c r="F19" s="326" t="s">
        <v>256</v>
      </c>
    </row>
    <row r="20" spans="2:9" ht="13.5" thickBot="1" x14ac:dyDescent="0.25">
      <c r="B20" s="325" t="s">
        <v>279</v>
      </c>
      <c r="C20" s="326" t="s">
        <v>267</v>
      </c>
      <c r="E20" s="325" t="s">
        <v>279</v>
      </c>
      <c r="F20" s="326" t="s">
        <v>267</v>
      </c>
    </row>
    <row r="21" spans="2:9" ht="13.5" thickBot="1" x14ac:dyDescent="0.25">
      <c r="B21" s="325" t="s">
        <v>255</v>
      </c>
      <c r="C21" s="326" t="s">
        <v>1643</v>
      </c>
      <c r="E21" s="325" t="s">
        <v>255</v>
      </c>
      <c r="F21" s="326" t="s">
        <v>256</v>
      </c>
    </row>
    <row r="22" spans="2:9" ht="13.5" thickBot="1" x14ac:dyDescent="0.25"/>
    <row r="23" spans="2:9" x14ac:dyDescent="0.2">
      <c r="B23" s="333" t="s">
        <v>1639</v>
      </c>
      <c r="E23" s="327" t="s">
        <v>1644</v>
      </c>
      <c r="F23" s="336" t="s">
        <v>1645</v>
      </c>
      <c r="G23" s="336" t="s">
        <v>1646</v>
      </c>
      <c r="H23" s="336" t="s">
        <v>1647</v>
      </c>
      <c r="I23" s="328" t="s">
        <v>1648</v>
      </c>
    </row>
    <row r="24" spans="2:9" ht="13.5" thickBot="1" x14ac:dyDescent="0.25">
      <c r="B24" s="343">
        <v>607</v>
      </c>
      <c r="E24" s="345">
        <v>11</v>
      </c>
      <c r="F24" s="346">
        <v>30.5</v>
      </c>
      <c r="G24" s="346">
        <v>86</v>
      </c>
      <c r="H24" s="346">
        <v>247.5</v>
      </c>
      <c r="I24" s="332">
        <v>232</v>
      </c>
    </row>
    <row r="26" spans="2:9" ht="15.75" thickBot="1" x14ac:dyDescent="0.3">
      <c r="B26" s="130" t="s">
        <v>70</v>
      </c>
      <c r="E26" s="129"/>
      <c r="F26" s="129"/>
      <c r="G26" s="129"/>
      <c r="H26" s="129"/>
      <c r="I26" s="129"/>
    </row>
    <row r="27" spans="2:9" ht="15.75" thickBot="1" x14ac:dyDescent="0.3">
      <c r="B27" s="325" t="s">
        <v>271</v>
      </c>
      <c r="C27" s="326" t="s">
        <v>256</v>
      </c>
      <c r="E27" s="129"/>
      <c r="F27" s="129"/>
    </row>
    <row r="28" spans="2:9" ht="15.75" thickBot="1" x14ac:dyDescent="0.3">
      <c r="B28" s="325" t="s">
        <v>279</v>
      </c>
      <c r="C28" s="326" t="s">
        <v>266</v>
      </c>
      <c r="E28" s="129"/>
      <c r="F28" s="129"/>
    </row>
    <row r="29" spans="2:9" ht="13.5" thickBot="1" x14ac:dyDescent="0.25">
      <c r="B29" s="325" t="s">
        <v>255</v>
      </c>
      <c r="C29" s="326" t="s">
        <v>256</v>
      </c>
      <c r="E29" s="128" t="s">
        <v>1650</v>
      </c>
    </row>
    <row r="30" spans="2:9" ht="13.5" thickBot="1" x14ac:dyDescent="0.25">
      <c r="B30" s="325" t="s">
        <v>272</v>
      </c>
      <c r="C30" s="326" t="s">
        <v>256</v>
      </c>
    </row>
    <row r="31" spans="2:9" ht="13.5" thickBot="1" x14ac:dyDescent="0.25">
      <c r="E31" s="325" t="s">
        <v>279</v>
      </c>
      <c r="F31" s="326" t="s">
        <v>256</v>
      </c>
    </row>
    <row r="32" spans="2:9" ht="13.5" thickBot="1" x14ac:dyDescent="0.25">
      <c r="B32" s="333" t="s">
        <v>1639</v>
      </c>
    </row>
    <row r="33" spans="2:6" ht="13.5" thickBot="1" x14ac:dyDescent="0.25">
      <c r="B33" s="335">
        <v>120</v>
      </c>
      <c r="E33" s="327" t="s">
        <v>1651</v>
      </c>
      <c r="F33" s="342" t="s">
        <v>1652</v>
      </c>
    </row>
    <row r="34" spans="2:6" x14ac:dyDescent="0.2">
      <c r="E34" s="344" t="s">
        <v>1593</v>
      </c>
      <c r="F34" s="333">
        <v>107.00000000000003</v>
      </c>
    </row>
    <row r="35" spans="2:6" x14ac:dyDescent="0.2">
      <c r="E35" s="329" t="s">
        <v>1637</v>
      </c>
      <c r="F35" s="340">
        <v>742</v>
      </c>
    </row>
    <row r="36" spans="2:6" ht="13.5" thickBot="1" x14ac:dyDescent="0.25">
      <c r="B36" s="130" t="s">
        <v>71</v>
      </c>
      <c r="E36" s="344" t="s">
        <v>1623</v>
      </c>
      <c r="F36" s="340">
        <v>100</v>
      </c>
    </row>
    <row r="37" spans="2:6" ht="13.5" thickBot="1" x14ac:dyDescent="0.25">
      <c r="B37" s="325" t="s">
        <v>271</v>
      </c>
      <c r="C37" s="326" t="s">
        <v>256</v>
      </c>
      <c r="E37" s="344" t="s">
        <v>1598</v>
      </c>
      <c r="F37" s="340">
        <v>352</v>
      </c>
    </row>
    <row r="38" spans="2:6" ht="13.5" thickBot="1" x14ac:dyDescent="0.25">
      <c r="B38" s="325" t="s">
        <v>279</v>
      </c>
      <c r="C38" s="326" t="s">
        <v>267</v>
      </c>
      <c r="E38" s="344" t="s">
        <v>1628</v>
      </c>
      <c r="F38" s="340">
        <v>20</v>
      </c>
    </row>
    <row r="39" spans="2:6" ht="13.5" thickBot="1" x14ac:dyDescent="0.25">
      <c r="B39" s="325" t="s">
        <v>272</v>
      </c>
      <c r="C39" s="326" t="s">
        <v>256</v>
      </c>
      <c r="E39" s="344" t="s">
        <v>1631</v>
      </c>
      <c r="F39" s="340">
        <v>20</v>
      </c>
    </row>
    <row r="40" spans="2:6" ht="13.5" thickBot="1" x14ac:dyDescent="0.25">
      <c r="B40" s="325" t="s">
        <v>255</v>
      </c>
      <c r="C40" s="326" t="s">
        <v>1643</v>
      </c>
      <c r="E40" s="344" t="s">
        <v>1633</v>
      </c>
      <c r="F40" s="340">
        <v>20</v>
      </c>
    </row>
    <row r="41" spans="2:6" ht="13.5" thickBot="1" x14ac:dyDescent="0.25">
      <c r="E41" s="341" t="s">
        <v>265</v>
      </c>
      <c r="F41" s="335">
        <v>1361</v>
      </c>
    </row>
    <row r="42" spans="2:6" ht="15" x14ac:dyDescent="0.25">
      <c r="B42" s="333" t="s">
        <v>1639</v>
      </c>
      <c r="E42"/>
      <c r="F42"/>
    </row>
    <row r="43" spans="2:6" ht="15.75" thickBot="1" x14ac:dyDescent="0.3">
      <c r="B43" s="335">
        <v>120</v>
      </c>
      <c r="E43"/>
      <c r="F43"/>
    </row>
    <row r="44" spans="2:6" ht="15" x14ac:dyDescent="0.25">
      <c r="E44"/>
      <c r="F44"/>
    </row>
    <row r="45" spans="2:6" ht="15" x14ac:dyDescent="0.25">
      <c r="E45"/>
      <c r="F45"/>
    </row>
    <row r="46" spans="2:6" ht="15.75" thickBot="1" x14ac:dyDescent="0.3">
      <c r="B46" s="130" t="s">
        <v>72</v>
      </c>
      <c r="E46" s="128" t="s">
        <v>1653</v>
      </c>
      <c r="F46" s="129"/>
    </row>
    <row r="47" spans="2:6" ht="13.5" thickBot="1" x14ac:dyDescent="0.25">
      <c r="B47" s="325" t="s">
        <v>271</v>
      </c>
      <c r="C47" s="326" t="s">
        <v>256</v>
      </c>
    </row>
    <row r="48" spans="2:6" ht="13.5" thickBot="1" x14ac:dyDescent="0.25">
      <c r="B48" s="325" t="s">
        <v>272</v>
      </c>
      <c r="C48" s="326" t="s">
        <v>370</v>
      </c>
      <c r="E48" s="325" t="s">
        <v>279</v>
      </c>
      <c r="F48" s="326" t="s">
        <v>256</v>
      </c>
    </row>
    <row r="49" spans="2:6" ht="13.5" thickBot="1" x14ac:dyDescent="0.25">
      <c r="B49" s="325" t="s">
        <v>279</v>
      </c>
      <c r="C49" s="326" t="s">
        <v>256</v>
      </c>
    </row>
    <row r="50" spans="2:6" ht="13.5" thickBot="1" x14ac:dyDescent="0.25">
      <c r="B50" s="325" t="s">
        <v>255</v>
      </c>
      <c r="C50" s="326" t="s">
        <v>256</v>
      </c>
      <c r="E50" s="327" t="s">
        <v>1651</v>
      </c>
      <c r="F50" s="342" t="s">
        <v>1654</v>
      </c>
    </row>
    <row r="51" spans="2:6" ht="13.5" thickBot="1" x14ac:dyDescent="0.25">
      <c r="E51" s="344" t="s">
        <v>1593</v>
      </c>
      <c r="F51" s="333">
        <v>107.00000000000003</v>
      </c>
    </row>
    <row r="52" spans="2:6" x14ac:dyDescent="0.2">
      <c r="B52" s="333" t="s">
        <v>1639</v>
      </c>
      <c r="E52" s="344" t="s">
        <v>1635</v>
      </c>
      <c r="F52" s="340">
        <v>144</v>
      </c>
    </row>
    <row r="53" spans="2:6" ht="13.5" thickBot="1" x14ac:dyDescent="0.25">
      <c r="B53" s="335">
        <v>136</v>
      </c>
      <c r="E53" s="344" t="s">
        <v>1637</v>
      </c>
      <c r="F53" s="340">
        <v>1912</v>
      </c>
    </row>
    <row r="54" spans="2:6" x14ac:dyDescent="0.2">
      <c r="E54" s="344" t="s">
        <v>1623</v>
      </c>
      <c r="F54" s="340">
        <v>100</v>
      </c>
    </row>
    <row r="55" spans="2:6" x14ac:dyDescent="0.2">
      <c r="B55" s="130"/>
      <c r="E55" s="344" t="s">
        <v>1598</v>
      </c>
      <c r="F55" s="340">
        <v>1068</v>
      </c>
    </row>
    <row r="56" spans="2:6" x14ac:dyDescent="0.2">
      <c r="E56" s="344" t="s">
        <v>1628</v>
      </c>
      <c r="F56" s="340">
        <v>20</v>
      </c>
    </row>
    <row r="57" spans="2:6" ht="13.5" thickBot="1" x14ac:dyDescent="0.25">
      <c r="B57" s="130" t="s">
        <v>1655</v>
      </c>
      <c r="E57" s="344" t="s">
        <v>1631</v>
      </c>
      <c r="F57" s="340">
        <v>20</v>
      </c>
    </row>
    <row r="58" spans="2:6" ht="13.5" thickBot="1" x14ac:dyDescent="0.25">
      <c r="B58" s="325" t="s">
        <v>279</v>
      </c>
      <c r="C58" s="326" t="s">
        <v>354</v>
      </c>
      <c r="E58" s="344" t="s">
        <v>1633</v>
      </c>
      <c r="F58" s="340">
        <v>20</v>
      </c>
    </row>
    <row r="59" spans="2:6" ht="13.5" thickBot="1" x14ac:dyDescent="0.25">
      <c r="B59" s="325" t="s">
        <v>271</v>
      </c>
      <c r="C59" s="326" t="s">
        <v>256</v>
      </c>
      <c r="E59" s="341" t="s">
        <v>265</v>
      </c>
      <c r="F59" s="343">
        <v>3391</v>
      </c>
    </row>
    <row r="60" spans="2:6" ht="15.75" thickBot="1" x14ac:dyDescent="0.3">
      <c r="E60"/>
      <c r="F60"/>
    </row>
    <row r="61" spans="2:6" ht="15" x14ac:dyDescent="0.25">
      <c r="B61" s="333" t="s">
        <v>1639</v>
      </c>
      <c r="E61"/>
      <c r="F61"/>
    </row>
    <row r="62" spans="2:6" ht="15.75" thickBot="1" x14ac:dyDescent="0.3">
      <c r="B62" s="335">
        <v>27</v>
      </c>
      <c r="E62"/>
      <c r="F62"/>
    </row>
    <row r="66" spans="2:6" ht="13.5" thickBot="1" x14ac:dyDescent="0.25">
      <c r="B66" s="130" t="s">
        <v>1656</v>
      </c>
    </row>
    <row r="67" spans="2:6" ht="13.5" thickBot="1" x14ac:dyDescent="0.25">
      <c r="B67" s="325" t="s">
        <v>279</v>
      </c>
      <c r="C67" s="326" t="s">
        <v>354</v>
      </c>
    </row>
    <row r="68" spans="2:6" ht="13.5" thickBot="1" x14ac:dyDescent="0.25">
      <c r="B68" s="325" t="s">
        <v>271</v>
      </c>
      <c r="C68" s="326" t="s">
        <v>256</v>
      </c>
      <c r="E68" s="128" t="s">
        <v>1657</v>
      </c>
    </row>
    <row r="69" spans="2:6" ht="15.75" thickBot="1" x14ac:dyDescent="0.3">
      <c r="E69" s="129"/>
      <c r="F69" s="129"/>
    </row>
    <row r="70" spans="2:6" ht="13.5" thickBot="1" x14ac:dyDescent="0.25">
      <c r="B70" s="333" t="s">
        <v>257</v>
      </c>
      <c r="E70" s="325" t="s">
        <v>279</v>
      </c>
      <c r="F70" s="326" t="s">
        <v>1586</v>
      </c>
    </row>
    <row r="71" spans="2:6" ht="13.5" thickBot="1" x14ac:dyDescent="0.25">
      <c r="B71" s="335">
        <v>40</v>
      </c>
    </row>
    <row r="72" spans="2:6" ht="13.5" thickBot="1" x14ac:dyDescent="0.25">
      <c r="E72" s="327" t="s">
        <v>1651</v>
      </c>
      <c r="F72" s="342" t="s">
        <v>1654</v>
      </c>
    </row>
    <row r="73" spans="2:6" x14ac:dyDescent="0.2">
      <c r="E73" s="329" t="s">
        <v>1588</v>
      </c>
      <c r="F73" s="333">
        <v>250</v>
      </c>
    </row>
    <row r="74" spans="2:6" ht="13.5" thickBot="1" x14ac:dyDescent="0.25">
      <c r="E74" s="329" t="s">
        <v>1590</v>
      </c>
      <c r="F74" s="340">
        <v>20</v>
      </c>
    </row>
    <row r="75" spans="2:6" ht="13.5" thickBot="1" x14ac:dyDescent="0.25">
      <c r="B75" s="130" t="s">
        <v>1658</v>
      </c>
      <c r="E75" s="341" t="s">
        <v>265</v>
      </c>
      <c r="F75" s="335">
        <v>270</v>
      </c>
    </row>
    <row r="76" spans="2:6" ht="13.5" thickBot="1" x14ac:dyDescent="0.25">
      <c r="B76" s="325" t="s">
        <v>279</v>
      </c>
      <c r="C76" s="326" t="s">
        <v>354</v>
      </c>
    </row>
    <row r="77" spans="2:6" ht="13.5" thickBot="1" x14ac:dyDescent="0.25">
      <c r="B77" s="325" t="s">
        <v>271</v>
      </c>
      <c r="C77" s="326" t="s">
        <v>256</v>
      </c>
    </row>
    <row r="78" spans="2:6" ht="13.5" thickBot="1" x14ac:dyDescent="0.25"/>
    <row r="79" spans="2:6" x14ac:dyDescent="0.2">
      <c r="B79" s="333" t="s">
        <v>1639</v>
      </c>
    </row>
    <row r="80" spans="2:6" ht="13.5" thickBot="1" x14ac:dyDescent="0.25">
      <c r="B80" s="335">
        <v>53</v>
      </c>
    </row>
    <row r="84" spans="2:3" ht="13.5" thickBot="1" x14ac:dyDescent="0.25">
      <c r="B84" s="130" t="s">
        <v>1659</v>
      </c>
    </row>
    <row r="85" spans="2:3" ht="13.5" thickBot="1" x14ac:dyDescent="0.25">
      <c r="B85" s="325" t="s">
        <v>279</v>
      </c>
      <c r="C85" s="326" t="s">
        <v>354</v>
      </c>
    </row>
    <row r="86" spans="2:3" ht="13.5" thickBot="1" x14ac:dyDescent="0.25">
      <c r="B86" s="325" t="s">
        <v>271</v>
      </c>
      <c r="C86" s="326" t="s">
        <v>256</v>
      </c>
    </row>
    <row r="87" spans="2:3" ht="13.5" thickBot="1" x14ac:dyDescent="0.25"/>
    <row r="88" spans="2:3" x14ac:dyDescent="0.2">
      <c r="B88" s="333" t="s">
        <v>257</v>
      </c>
    </row>
    <row r="89" spans="2:3" ht="13.5" thickBot="1" x14ac:dyDescent="0.25">
      <c r="B89" s="335">
        <v>76</v>
      </c>
    </row>
    <row r="92" spans="2:3" x14ac:dyDescent="0.2">
      <c r="B92" s="130"/>
    </row>
    <row r="93" spans="2:3" x14ac:dyDescent="0.2">
      <c r="B93" s="130"/>
    </row>
    <row r="94" spans="2:3" ht="13.5" thickBot="1" x14ac:dyDescent="0.25">
      <c r="B94" s="131" t="s">
        <v>1660</v>
      </c>
      <c r="C94" s="131"/>
    </row>
    <row r="95" spans="2:3" ht="13.5" thickBot="1" x14ac:dyDescent="0.25">
      <c r="B95" s="325" t="s">
        <v>279</v>
      </c>
      <c r="C95" s="326" t="s">
        <v>354</v>
      </c>
    </row>
    <row r="96" spans="2:3" ht="13.5" thickBot="1" x14ac:dyDescent="0.25">
      <c r="B96" s="325" t="s">
        <v>280</v>
      </c>
      <c r="C96" s="326" t="s">
        <v>214</v>
      </c>
    </row>
    <row r="97" spans="2:3" ht="13.5" thickBot="1" x14ac:dyDescent="0.25"/>
    <row r="98" spans="2:3" x14ac:dyDescent="0.2">
      <c r="B98" s="333" t="s">
        <v>1639</v>
      </c>
    </row>
    <row r="99" spans="2:3" ht="13.5" thickBot="1" x14ac:dyDescent="0.25">
      <c r="B99" s="335"/>
    </row>
    <row r="102" spans="2:3" ht="13.5" thickBot="1" x14ac:dyDescent="0.25">
      <c r="B102" s="131" t="s">
        <v>1661</v>
      </c>
      <c r="C102" s="131"/>
    </row>
    <row r="103" spans="2:3" ht="13.5" thickBot="1" x14ac:dyDescent="0.25">
      <c r="B103" s="325" t="s">
        <v>279</v>
      </c>
      <c r="C103" s="326" t="s">
        <v>354</v>
      </c>
    </row>
    <row r="104" spans="2:3" ht="13.5" thickBot="1" x14ac:dyDescent="0.25">
      <c r="B104" s="325" t="s">
        <v>280</v>
      </c>
      <c r="C104" s="326" t="s">
        <v>256</v>
      </c>
    </row>
    <row r="105" spans="2:3" ht="13.5" thickBot="1" x14ac:dyDescent="0.25"/>
    <row r="106" spans="2:3" x14ac:dyDescent="0.2">
      <c r="B106" s="333" t="s">
        <v>1639</v>
      </c>
    </row>
    <row r="107" spans="2:3" ht="13.5" thickBot="1" x14ac:dyDescent="0.25">
      <c r="B107" s="335">
        <v>9</v>
      </c>
    </row>
    <row r="110" spans="2:3" ht="13.5" thickBot="1" x14ac:dyDescent="0.25">
      <c r="B110" s="131" t="s">
        <v>1662</v>
      </c>
      <c r="C110" s="131"/>
    </row>
    <row r="111" spans="2:3" ht="13.5" thickBot="1" x14ac:dyDescent="0.25">
      <c r="B111" s="325" t="s">
        <v>279</v>
      </c>
      <c r="C111" s="326" t="s">
        <v>354</v>
      </c>
    </row>
    <row r="112" spans="2:3" ht="13.5" thickBot="1" x14ac:dyDescent="0.25">
      <c r="B112" s="325" t="s">
        <v>280</v>
      </c>
      <c r="C112" s="326" t="s">
        <v>268</v>
      </c>
    </row>
    <row r="113" spans="2:3" ht="13.5" thickBot="1" x14ac:dyDescent="0.25"/>
    <row r="114" spans="2:3" x14ac:dyDescent="0.2">
      <c r="B114" s="333" t="s">
        <v>1639</v>
      </c>
    </row>
    <row r="115" spans="2:3" ht="13.5" thickBot="1" x14ac:dyDescent="0.25">
      <c r="B115" s="335">
        <v>71</v>
      </c>
    </row>
    <row r="119" spans="2:3" x14ac:dyDescent="0.2">
      <c r="B119" s="130"/>
    </row>
    <row r="120" spans="2:3" ht="13.5" thickBot="1" x14ac:dyDescent="0.25">
      <c r="B120" s="131" t="s">
        <v>1663</v>
      </c>
      <c r="C120" s="131"/>
    </row>
    <row r="121" spans="2:3" ht="13.5" thickBot="1" x14ac:dyDescent="0.25">
      <c r="B121" s="325" t="s">
        <v>279</v>
      </c>
      <c r="C121" s="326" t="s">
        <v>354</v>
      </c>
    </row>
    <row r="122" spans="2:3" ht="13.5" thickBot="1" x14ac:dyDescent="0.25">
      <c r="B122" s="325" t="s">
        <v>280</v>
      </c>
      <c r="C122" s="326" t="s">
        <v>214</v>
      </c>
    </row>
    <row r="123" spans="2:3" ht="13.5" thickBot="1" x14ac:dyDescent="0.25"/>
    <row r="124" spans="2:3" x14ac:dyDescent="0.2">
      <c r="B124" s="333" t="s">
        <v>257</v>
      </c>
    </row>
    <row r="125" spans="2:3" ht="13.5" thickBot="1" x14ac:dyDescent="0.25">
      <c r="B125" s="335"/>
    </row>
    <row r="128" spans="2:3" ht="13.5" thickBot="1" x14ac:dyDescent="0.25">
      <c r="B128" s="131" t="s">
        <v>1664</v>
      </c>
      <c r="C128" s="131"/>
    </row>
    <row r="129" spans="2:3" ht="13.5" thickBot="1" x14ac:dyDescent="0.25">
      <c r="B129" s="325" t="s">
        <v>279</v>
      </c>
      <c r="C129" s="326" t="s">
        <v>354</v>
      </c>
    </row>
    <row r="130" spans="2:3" ht="13.5" thickBot="1" x14ac:dyDescent="0.25">
      <c r="B130" s="325" t="s">
        <v>280</v>
      </c>
      <c r="C130" s="326" t="s">
        <v>256</v>
      </c>
    </row>
    <row r="131" spans="2:3" ht="13.5" thickBot="1" x14ac:dyDescent="0.25"/>
    <row r="132" spans="2:3" x14ac:dyDescent="0.2">
      <c r="B132" s="333" t="s">
        <v>257</v>
      </c>
    </row>
    <row r="133" spans="2:3" ht="13.5" thickBot="1" x14ac:dyDescent="0.25">
      <c r="B133" s="335">
        <v>9</v>
      </c>
    </row>
    <row r="136" spans="2:3" ht="13.5" thickBot="1" x14ac:dyDescent="0.25">
      <c r="B136" s="131" t="s">
        <v>1665</v>
      </c>
      <c r="C136" s="131"/>
    </row>
    <row r="137" spans="2:3" ht="13.5" thickBot="1" x14ac:dyDescent="0.25">
      <c r="B137" s="325" t="s">
        <v>279</v>
      </c>
      <c r="C137" s="326" t="s">
        <v>354</v>
      </c>
    </row>
    <row r="138" spans="2:3" ht="13.5" thickBot="1" x14ac:dyDescent="0.25">
      <c r="B138" s="325" t="s">
        <v>280</v>
      </c>
      <c r="C138" s="326" t="s">
        <v>268</v>
      </c>
    </row>
    <row r="139" spans="2:3" ht="13.5" thickBot="1" x14ac:dyDescent="0.25"/>
    <row r="140" spans="2:3" x14ac:dyDescent="0.2">
      <c r="B140" s="333" t="s">
        <v>257</v>
      </c>
    </row>
    <row r="141" spans="2:3" ht="13.5" thickBot="1" x14ac:dyDescent="0.25">
      <c r="B141" s="335">
        <v>107</v>
      </c>
    </row>
    <row r="149" spans="2:3" ht="13.5" thickBot="1" x14ac:dyDescent="0.25">
      <c r="B149" s="130" t="s">
        <v>1666</v>
      </c>
    </row>
    <row r="150" spans="2:3" ht="13.5" thickBot="1" x14ac:dyDescent="0.25">
      <c r="B150" s="325" t="s">
        <v>279</v>
      </c>
      <c r="C150" s="326" t="s">
        <v>354</v>
      </c>
    </row>
    <row r="151" spans="2:3" ht="13.5" thickBot="1" x14ac:dyDescent="0.25">
      <c r="B151" s="325" t="s">
        <v>271</v>
      </c>
      <c r="C151" s="326" t="s">
        <v>256</v>
      </c>
    </row>
    <row r="152" spans="2:3" ht="13.5" thickBot="1" x14ac:dyDescent="0.25">
      <c r="B152" s="325" t="s">
        <v>280</v>
      </c>
      <c r="C152" s="326" t="s">
        <v>268</v>
      </c>
    </row>
    <row r="153" spans="2:3" ht="13.5" thickBot="1" x14ac:dyDescent="0.25"/>
    <row r="154" spans="2:3" x14ac:dyDescent="0.2">
      <c r="B154" s="333" t="s">
        <v>1639</v>
      </c>
    </row>
    <row r="155" spans="2:3" ht="13.5" thickBot="1" x14ac:dyDescent="0.25">
      <c r="B155" s="335">
        <v>22</v>
      </c>
    </row>
    <row r="158" spans="2:3" ht="13.5" thickBot="1" x14ac:dyDescent="0.25">
      <c r="B158" s="130" t="s">
        <v>1667</v>
      </c>
    </row>
    <row r="159" spans="2:3" ht="13.5" thickBot="1" x14ac:dyDescent="0.25">
      <c r="B159" s="325" t="s">
        <v>279</v>
      </c>
      <c r="C159" s="326" t="s">
        <v>354</v>
      </c>
    </row>
    <row r="160" spans="2:3" ht="13.5" thickBot="1" x14ac:dyDescent="0.25">
      <c r="B160" s="325" t="s">
        <v>271</v>
      </c>
      <c r="C160" s="326" t="s">
        <v>256</v>
      </c>
    </row>
    <row r="161" spans="2:3" ht="13.5" thickBot="1" x14ac:dyDescent="0.25">
      <c r="B161" s="325" t="s">
        <v>280</v>
      </c>
      <c r="C161" s="326" t="s">
        <v>268</v>
      </c>
    </row>
    <row r="162" spans="2:3" ht="13.5" thickBot="1" x14ac:dyDescent="0.25"/>
    <row r="163" spans="2:3" x14ac:dyDescent="0.2">
      <c r="B163" s="333" t="s">
        <v>257</v>
      </c>
    </row>
    <row r="164" spans="2:3" ht="13.5" thickBot="1" x14ac:dyDescent="0.25">
      <c r="B164" s="335">
        <v>35</v>
      </c>
    </row>
    <row r="167" spans="2:3" ht="13.5" thickBot="1" x14ac:dyDescent="0.25">
      <c r="B167" s="130" t="s">
        <v>1668</v>
      </c>
    </row>
    <row r="168" spans="2:3" ht="13.5" thickBot="1" x14ac:dyDescent="0.25">
      <c r="B168" s="325" t="s">
        <v>279</v>
      </c>
      <c r="C168" s="326" t="s">
        <v>354</v>
      </c>
    </row>
    <row r="169" spans="2:3" ht="13.5" thickBot="1" x14ac:dyDescent="0.25">
      <c r="B169" s="325" t="s">
        <v>271</v>
      </c>
      <c r="C169" s="326" t="s">
        <v>256</v>
      </c>
    </row>
    <row r="170" spans="2:3" ht="13.5" thickBot="1" x14ac:dyDescent="0.25">
      <c r="B170" s="325" t="s">
        <v>280</v>
      </c>
      <c r="C170" s="326" t="s">
        <v>214</v>
      </c>
    </row>
    <row r="171" spans="2:3" ht="13.5" thickBot="1" x14ac:dyDescent="0.25"/>
    <row r="172" spans="2:3" x14ac:dyDescent="0.2">
      <c r="B172" s="333" t="s">
        <v>1639</v>
      </c>
    </row>
    <row r="173" spans="2:3" ht="13.5" thickBot="1" x14ac:dyDescent="0.25">
      <c r="B173" s="335"/>
    </row>
    <row r="176" spans="2:3" ht="13.5" thickBot="1" x14ac:dyDescent="0.25">
      <c r="B176" s="130" t="s">
        <v>1669</v>
      </c>
    </row>
    <row r="177" spans="2:3" ht="13.5" thickBot="1" x14ac:dyDescent="0.25">
      <c r="B177" s="325" t="s">
        <v>279</v>
      </c>
      <c r="C177" s="326" t="s">
        <v>354</v>
      </c>
    </row>
    <row r="178" spans="2:3" ht="13.5" thickBot="1" x14ac:dyDescent="0.25">
      <c r="B178" s="325" t="s">
        <v>271</v>
      </c>
      <c r="C178" s="326" t="s">
        <v>256</v>
      </c>
    </row>
    <row r="179" spans="2:3" ht="13.5" thickBot="1" x14ac:dyDescent="0.25">
      <c r="B179" s="325" t="s">
        <v>280</v>
      </c>
      <c r="C179" s="326" t="s">
        <v>214</v>
      </c>
    </row>
    <row r="180" spans="2:3" ht="13.5" thickBot="1" x14ac:dyDescent="0.25"/>
    <row r="181" spans="2:3" x14ac:dyDescent="0.2">
      <c r="B181" s="333" t="s">
        <v>257</v>
      </c>
    </row>
    <row r="182" spans="2:3" ht="13.5" thickBot="1" x14ac:dyDescent="0.25">
      <c r="B182" s="335"/>
    </row>
    <row r="186" spans="2:3" ht="13.5" thickBot="1" x14ac:dyDescent="0.25">
      <c r="B186" s="130" t="s">
        <v>1670</v>
      </c>
    </row>
    <row r="187" spans="2:3" ht="13.5" thickBot="1" x14ac:dyDescent="0.25">
      <c r="B187" s="325" t="s">
        <v>279</v>
      </c>
      <c r="C187" s="326" t="s">
        <v>354</v>
      </c>
    </row>
    <row r="188" spans="2:3" ht="13.5" thickBot="1" x14ac:dyDescent="0.25">
      <c r="B188" s="325" t="s">
        <v>271</v>
      </c>
      <c r="C188" s="326" t="s">
        <v>256</v>
      </c>
    </row>
    <row r="189" spans="2:3" ht="13.5" thickBot="1" x14ac:dyDescent="0.25">
      <c r="B189" s="325" t="s">
        <v>280</v>
      </c>
      <c r="C189" s="326" t="s">
        <v>260</v>
      </c>
    </row>
    <row r="190" spans="2:3" ht="13.5" thickBot="1" x14ac:dyDescent="0.25"/>
    <row r="191" spans="2:3" x14ac:dyDescent="0.2">
      <c r="B191" s="333" t="s">
        <v>1639</v>
      </c>
    </row>
    <row r="192" spans="2:3" ht="13.5" thickBot="1" x14ac:dyDescent="0.25">
      <c r="B192" s="335">
        <v>5</v>
      </c>
    </row>
    <row r="195" spans="2:3" ht="13.5" thickBot="1" x14ac:dyDescent="0.25">
      <c r="B195" s="130" t="s">
        <v>1671</v>
      </c>
    </row>
    <row r="196" spans="2:3" ht="13.5" thickBot="1" x14ac:dyDescent="0.25">
      <c r="B196" s="325" t="s">
        <v>279</v>
      </c>
      <c r="C196" s="326" t="s">
        <v>354</v>
      </c>
    </row>
    <row r="197" spans="2:3" ht="13.5" thickBot="1" x14ac:dyDescent="0.25">
      <c r="B197" s="325" t="s">
        <v>271</v>
      </c>
      <c r="C197" s="326" t="s">
        <v>256</v>
      </c>
    </row>
    <row r="198" spans="2:3" ht="13.5" thickBot="1" x14ac:dyDescent="0.25">
      <c r="B198" s="325" t="s">
        <v>280</v>
      </c>
      <c r="C198" s="326" t="s">
        <v>260</v>
      </c>
    </row>
    <row r="199" spans="2:3" ht="13.5" thickBot="1" x14ac:dyDescent="0.25"/>
    <row r="200" spans="2:3" x14ac:dyDescent="0.2">
      <c r="B200" s="333" t="s">
        <v>257</v>
      </c>
    </row>
    <row r="201" spans="2:3" ht="13.5" thickBot="1" x14ac:dyDescent="0.25">
      <c r="B201" s="335">
        <v>5</v>
      </c>
    </row>
    <row r="209" spans="2:12" ht="13.5" thickBot="1" x14ac:dyDescent="0.25">
      <c r="B209" s="130" t="s">
        <v>1672</v>
      </c>
    </row>
    <row r="210" spans="2:12" ht="13.5" thickBot="1" x14ac:dyDescent="0.25">
      <c r="B210" s="325" t="s">
        <v>279</v>
      </c>
      <c r="C210" s="326" t="s">
        <v>354</v>
      </c>
    </row>
    <row r="211" spans="2:12" ht="13.5" thickBot="1" x14ac:dyDescent="0.25"/>
    <row r="212" spans="2:12" ht="15" x14ac:dyDescent="0.25">
      <c r="B212" s="327" t="s">
        <v>259</v>
      </c>
      <c r="C212" s="336" t="s">
        <v>1673</v>
      </c>
      <c r="D212" s="336" t="s">
        <v>1674</v>
      </c>
      <c r="E212" s="336" t="s">
        <v>1675</v>
      </c>
      <c r="F212" s="336" t="s">
        <v>1676</v>
      </c>
      <c r="G212" s="336" t="s">
        <v>1677</v>
      </c>
      <c r="H212" s="336" t="s">
        <v>1678</v>
      </c>
      <c r="I212" s="336" t="s">
        <v>1679</v>
      </c>
      <c r="J212" s="328" t="s">
        <v>1680</v>
      </c>
      <c r="K212" s="129"/>
    </row>
    <row r="213" spans="2:12" ht="15" x14ac:dyDescent="0.25">
      <c r="B213" s="329" t="s">
        <v>370</v>
      </c>
      <c r="C213" s="128">
        <v>28</v>
      </c>
      <c r="D213" s="128">
        <v>14</v>
      </c>
      <c r="E213" s="128">
        <v>0</v>
      </c>
      <c r="F213" s="128">
        <v>0</v>
      </c>
      <c r="G213" s="128">
        <v>0</v>
      </c>
      <c r="H213" s="128">
        <v>0</v>
      </c>
      <c r="I213" s="128">
        <v>0</v>
      </c>
      <c r="J213" s="330">
        <v>0</v>
      </c>
      <c r="K213" s="129"/>
    </row>
    <row r="214" spans="2:12" ht="15" x14ac:dyDescent="0.25">
      <c r="B214" s="329" t="s">
        <v>353</v>
      </c>
      <c r="C214" s="128">
        <v>17</v>
      </c>
      <c r="D214" s="128">
        <v>3</v>
      </c>
      <c r="E214" s="128">
        <v>11</v>
      </c>
      <c r="F214" s="128">
        <v>5</v>
      </c>
      <c r="G214" s="128">
        <v>0</v>
      </c>
      <c r="H214" s="128">
        <v>1</v>
      </c>
      <c r="I214" s="128">
        <v>0</v>
      </c>
      <c r="J214" s="330">
        <v>1</v>
      </c>
      <c r="K214" s="129"/>
    </row>
    <row r="215" spans="2:12" ht="15" x14ac:dyDescent="0.25">
      <c r="B215" s="329" t="s">
        <v>534</v>
      </c>
      <c r="C215" s="128">
        <v>0</v>
      </c>
      <c r="D215" s="128">
        <v>0</v>
      </c>
      <c r="E215" s="128">
        <v>0</v>
      </c>
      <c r="F215" s="128">
        <v>0</v>
      </c>
      <c r="G215" s="128">
        <v>0</v>
      </c>
      <c r="H215" s="128">
        <v>0</v>
      </c>
      <c r="I215" s="128">
        <v>0</v>
      </c>
      <c r="J215" s="330">
        <v>0</v>
      </c>
      <c r="K215" s="129"/>
    </row>
    <row r="216" spans="2:12" x14ac:dyDescent="0.2">
      <c r="B216" s="329" t="s">
        <v>556</v>
      </c>
      <c r="C216" s="128">
        <v>1</v>
      </c>
      <c r="D216" s="128">
        <v>-2</v>
      </c>
      <c r="E216" s="128">
        <v>3</v>
      </c>
      <c r="F216" s="128">
        <v>-4</v>
      </c>
      <c r="G216" s="128">
        <v>0</v>
      </c>
      <c r="H216" s="128">
        <v>1</v>
      </c>
      <c r="I216" s="128">
        <v>0</v>
      </c>
      <c r="J216" s="330">
        <v>1</v>
      </c>
    </row>
    <row r="217" spans="2:12" ht="13.5" thickBot="1" x14ac:dyDescent="0.25">
      <c r="B217" s="331" t="s">
        <v>265</v>
      </c>
      <c r="C217" s="346">
        <v>46</v>
      </c>
      <c r="D217" s="346">
        <v>15</v>
      </c>
      <c r="E217" s="346">
        <v>14</v>
      </c>
      <c r="F217" s="346">
        <v>1</v>
      </c>
      <c r="G217" s="346">
        <v>0</v>
      </c>
      <c r="H217" s="346">
        <v>2</v>
      </c>
      <c r="I217" s="346">
        <v>0</v>
      </c>
      <c r="J217" s="332">
        <v>2</v>
      </c>
    </row>
    <row r="220" spans="2:12" x14ac:dyDescent="0.2">
      <c r="B220" s="130"/>
      <c r="E220" s="130"/>
      <c r="H220" s="130"/>
    </row>
    <row r="221" spans="2:12" x14ac:dyDescent="0.2">
      <c r="B221" s="130" t="s">
        <v>144</v>
      </c>
      <c r="E221" s="130" t="s">
        <v>146</v>
      </c>
      <c r="H221" s="130" t="s">
        <v>146</v>
      </c>
      <c r="K221" s="130" t="s">
        <v>146</v>
      </c>
    </row>
    <row r="222" spans="2:12" ht="13.5" thickBot="1" x14ac:dyDescent="0.25">
      <c r="E222" s="130" t="s">
        <v>160</v>
      </c>
      <c r="H222" s="130" t="s">
        <v>151</v>
      </c>
      <c r="K222" s="130" t="s">
        <v>1681</v>
      </c>
    </row>
    <row r="223" spans="2:12" ht="13.5" thickBot="1" x14ac:dyDescent="0.25">
      <c r="B223" s="325" t="s">
        <v>279</v>
      </c>
      <c r="C223" s="326" t="s">
        <v>354</v>
      </c>
    </row>
    <row r="224" spans="2:12" ht="13.5" thickBot="1" x14ac:dyDescent="0.25">
      <c r="E224" s="325" t="s">
        <v>279</v>
      </c>
      <c r="F224" s="326" t="s">
        <v>354</v>
      </c>
      <c r="H224" s="325" t="s">
        <v>279</v>
      </c>
      <c r="I224" s="326" t="s">
        <v>354</v>
      </c>
      <c r="K224" s="325" t="s">
        <v>279</v>
      </c>
      <c r="L224" s="326" t="s">
        <v>354</v>
      </c>
    </row>
    <row r="225" spans="2:12" ht="13.5" thickBot="1" x14ac:dyDescent="0.25">
      <c r="B225" s="327" t="s">
        <v>259</v>
      </c>
      <c r="C225" s="328" t="s">
        <v>1639</v>
      </c>
    </row>
    <row r="226" spans="2:12" x14ac:dyDescent="0.2">
      <c r="B226" s="329" t="s">
        <v>149</v>
      </c>
      <c r="C226" s="330">
        <v>0</v>
      </c>
      <c r="E226" s="327" t="s">
        <v>259</v>
      </c>
      <c r="F226" s="328" t="s">
        <v>1639</v>
      </c>
      <c r="H226" s="327" t="s">
        <v>259</v>
      </c>
      <c r="I226" s="328" t="s">
        <v>1639</v>
      </c>
      <c r="K226" s="327" t="s">
        <v>259</v>
      </c>
      <c r="L226" s="328" t="s">
        <v>1639</v>
      </c>
    </row>
    <row r="227" spans="2:12" x14ac:dyDescent="0.2">
      <c r="B227" s="329" t="s">
        <v>150</v>
      </c>
      <c r="C227" s="330">
        <v>1</v>
      </c>
      <c r="E227" s="329" t="s">
        <v>1643</v>
      </c>
      <c r="F227" s="330">
        <v>42</v>
      </c>
      <c r="H227" s="329" t="s">
        <v>151</v>
      </c>
      <c r="I227" s="330">
        <v>0</v>
      </c>
      <c r="K227" s="329" t="s">
        <v>1643</v>
      </c>
      <c r="L227" s="330">
        <v>79</v>
      </c>
    </row>
    <row r="228" spans="2:12" x14ac:dyDescent="0.2">
      <c r="B228" s="329" t="s">
        <v>154</v>
      </c>
      <c r="C228" s="330">
        <v>13</v>
      </c>
      <c r="E228" s="329" t="s">
        <v>359</v>
      </c>
      <c r="F228" s="330">
        <v>38</v>
      </c>
      <c r="H228" s="329" t="s">
        <v>1643</v>
      </c>
      <c r="I228" s="330">
        <v>80</v>
      </c>
      <c r="K228" s="329" t="s">
        <v>611</v>
      </c>
      <c r="L228" s="330">
        <v>1</v>
      </c>
    </row>
    <row r="229" spans="2:12" ht="13.5" thickBot="1" x14ac:dyDescent="0.25">
      <c r="B229" s="329" t="s">
        <v>156</v>
      </c>
      <c r="C229" s="330">
        <v>2</v>
      </c>
      <c r="E229" s="331" t="s">
        <v>265</v>
      </c>
      <c r="F229" s="332">
        <v>80</v>
      </c>
      <c r="H229" s="331" t="s">
        <v>265</v>
      </c>
      <c r="I229" s="332">
        <v>80</v>
      </c>
      <c r="K229" s="331" t="s">
        <v>265</v>
      </c>
      <c r="L229" s="332">
        <v>80</v>
      </c>
    </row>
    <row r="230" spans="2:12" ht="13.5" thickBot="1" x14ac:dyDescent="0.25">
      <c r="B230" s="331" t="s">
        <v>265</v>
      </c>
      <c r="C230" s="332">
        <v>16</v>
      </c>
    </row>
    <row r="231" spans="2:12" ht="15" x14ac:dyDescent="0.25">
      <c r="B231"/>
      <c r="C231"/>
    </row>
    <row r="233" spans="2:12" x14ac:dyDescent="0.2">
      <c r="B233" s="130"/>
      <c r="E233" s="130"/>
      <c r="H233" s="130"/>
      <c r="K233" s="130"/>
    </row>
    <row r="234" spans="2:12" x14ac:dyDescent="0.2">
      <c r="E234" s="130" t="s">
        <v>146</v>
      </c>
      <c r="H234" s="130" t="s">
        <v>146</v>
      </c>
      <c r="K234" s="130"/>
    </row>
    <row r="235" spans="2:12" x14ac:dyDescent="0.2">
      <c r="E235" s="130" t="s">
        <v>153</v>
      </c>
      <c r="H235" s="130" t="s">
        <v>159</v>
      </c>
      <c r="K235" s="130"/>
    </row>
    <row r="236" spans="2:12" ht="13.5" thickBot="1" x14ac:dyDescent="0.25">
      <c r="B236" s="128" t="s">
        <v>132</v>
      </c>
    </row>
    <row r="237" spans="2:12" ht="13.5" thickBot="1" x14ac:dyDescent="0.25">
      <c r="B237" s="325" t="s">
        <v>279</v>
      </c>
      <c r="C237" s="326" t="s">
        <v>354</v>
      </c>
      <c r="E237" s="325" t="s">
        <v>279</v>
      </c>
      <c r="F237" s="326" t="s">
        <v>354</v>
      </c>
      <c r="H237" s="325" t="s">
        <v>279</v>
      </c>
      <c r="I237" s="326" t="s">
        <v>354</v>
      </c>
    </row>
    <row r="238" spans="2:12" ht="13.5" thickBot="1" x14ac:dyDescent="0.25"/>
    <row r="239" spans="2:12" ht="15" x14ac:dyDescent="0.25">
      <c r="B239" s="327" t="s">
        <v>259</v>
      </c>
      <c r="C239" s="328" t="s">
        <v>1639</v>
      </c>
      <c r="E239" s="327" t="s">
        <v>259</v>
      </c>
      <c r="F239" s="328" t="s">
        <v>1639</v>
      </c>
      <c r="H239" s="327" t="s">
        <v>259</v>
      </c>
      <c r="I239" s="328" t="s">
        <v>1639</v>
      </c>
      <c r="K239"/>
      <c r="L239"/>
    </row>
    <row r="240" spans="2:12" ht="15" x14ac:dyDescent="0.25">
      <c r="B240" s="329" t="s">
        <v>1643</v>
      </c>
      <c r="C240" s="330">
        <v>80</v>
      </c>
      <c r="E240" s="329" t="s">
        <v>1643</v>
      </c>
      <c r="F240" s="330">
        <v>67</v>
      </c>
      <c r="H240" s="329" t="s">
        <v>359</v>
      </c>
      <c r="I240" s="330">
        <v>11</v>
      </c>
      <c r="K240"/>
      <c r="L240"/>
    </row>
    <row r="241" spans="2:9" ht="13.5" thickBot="1" x14ac:dyDescent="0.25">
      <c r="B241" s="331" t="s">
        <v>265</v>
      </c>
      <c r="C241" s="332">
        <v>80</v>
      </c>
      <c r="E241" s="329" t="s">
        <v>359</v>
      </c>
      <c r="F241" s="330">
        <v>13</v>
      </c>
      <c r="H241" s="329" t="s">
        <v>1643</v>
      </c>
      <c r="I241" s="330">
        <v>69</v>
      </c>
    </row>
    <row r="242" spans="2:9" ht="15.75" thickBot="1" x14ac:dyDescent="0.3">
      <c r="B242"/>
      <c r="C242"/>
      <c r="E242" s="331" t="s">
        <v>265</v>
      </c>
      <c r="F242" s="332">
        <v>80</v>
      </c>
      <c r="H242" s="331" t="s">
        <v>265</v>
      </c>
      <c r="I242" s="332">
        <v>80</v>
      </c>
    </row>
    <row r="243" spans="2:9" ht="15" x14ac:dyDescent="0.25">
      <c r="H243"/>
      <c r="I243"/>
    </row>
    <row r="247" spans="2:9" x14ac:dyDescent="0.2">
      <c r="B247" s="130"/>
      <c r="E247" s="130"/>
      <c r="H247" s="130"/>
    </row>
    <row r="248" spans="2:9" ht="13.5" thickBot="1" x14ac:dyDescent="0.25">
      <c r="B248" s="130" t="s">
        <v>1682</v>
      </c>
      <c r="E248" s="130" t="s">
        <v>1683</v>
      </c>
      <c r="H248" s="130" t="s">
        <v>1684</v>
      </c>
    </row>
    <row r="249" spans="2:9" ht="13.5" thickBot="1" x14ac:dyDescent="0.25">
      <c r="B249" s="325" t="s">
        <v>279</v>
      </c>
      <c r="C249" s="326" t="s">
        <v>267</v>
      </c>
      <c r="E249" s="325" t="s">
        <v>279</v>
      </c>
      <c r="F249" s="326" t="s">
        <v>266</v>
      </c>
      <c r="H249" s="325" t="s">
        <v>279</v>
      </c>
      <c r="I249" s="326" t="s">
        <v>354</v>
      </c>
    </row>
    <row r="250" spans="2:9" ht="13.5" thickBot="1" x14ac:dyDescent="0.25"/>
    <row r="251" spans="2:9" x14ac:dyDescent="0.2">
      <c r="B251" s="327" t="s">
        <v>259</v>
      </c>
      <c r="C251" s="328" t="s">
        <v>1639</v>
      </c>
      <c r="E251" s="327" t="s">
        <v>259</v>
      </c>
      <c r="F251" s="328" t="s">
        <v>1639</v>
      </c>
      <c r="H251" s="327" t="s">
        <v>259</v>
      </c>
      <c r="I251" s="328" t="s">
        <v>1639</v>
      </c>
    </row>
    <row r="252" spans="2:9" x14ac:dyDescent="0.2">
      <c r="B252" s="329" t="s">
        <v>167</v>
      </c>
      <c r="C252" s="330">
        <v>2</v>
      </c>
      <c r="E252" s="329" t="s">
        <v>167</v>
      </c>
      <c r="F252" s="330">
        <v>6</v>
      </c>
      <c r="H252" s="329" t="s">
        <v>167</v>
      </c>
      <c r="I252" s="330">
        <v>-1</v>
      </c>
    </row>
    <row r="253" spans="2:9" x14ac:dyDescent="0.2">
      <c r="B253" s="329" t="s">
        <v>149</v>
      </c>
      <c r="C253" s="330">
        <v>40</v>
      </c>
      <c r="E253" s="329" t="s">
        <v>149</v>
      </c>
      <c r="F253" s="330">
        <v>6</v>
      </c>
      <c r="H253" s="329" t="s">
        <v>149</v>
      </c>
      <c r="I253" s="330">
        <v>1</v>
      </c>
    </row>
    <row r="254" spans="2:9" x14ac:dyDescent="0.2">
      <c r="B254" s="329" t="s">
        <v>168</v>
      </c>
      <c r="C254" s="330">
        <v>25</v>
      </c>
      <c r="E254" s="329" t="s">
        <v>168</v>
      </c>
      <c r="F254" s="330">
        <v>63</v>
      </c>
      <c r="H254" s="329" t="s">
        <v>168</v>
      </c>
      <c r="I254" s="330">
        <v>7</v>
      </c>
    </row>
    <row r="255" spans="2:9" x14ac:dyDescent="0.2">
      <c r="B255" s="329" t="s">
        <v>169</v>
      </c>
      <c r="C255" s="330">
        <v>2</v>
      </c>
      <c r="E255" s="329" t="s">
        <v>169</v>
      </c>
      <c r="F255" s="330">
        <v>264</v>
      </c>
      <c r="H255" s="329" t="s">
        <v>169</v>
      </c>
      <c r="I255" s="330">
        <v>-1</v>
      </c>
    </row>
    <row r="256" spans="2:9" x14ac:dyDescent="0.2">
      <c r="B256" s="329" t="s">
        <v>170</v>
      </c>
      <c r="C256" s="330">
        <v>7</v>
      </c>
      <c r="E256" s="329" t="s">
        <v>170</v>
      </c>
      <c r="F256" s="330">
        <v>10</v>
      </c>
      <c r="H256" s="329" t="s">
        <v>170</v>
      </c>
      <c r="I256" s="330">
        <v>3</v>
      </c>
    </row>
    <row r="257" spans="2:9" x14ac:dyDescent="0.2">
      <c r="B257" s="329" t="s">
        <v>171</v>
      </c>
      <c r="C257" s="330">
        <v>2</v>
      </c>
      <c r="E257" s="329" t="s">
        <v>171</v>
      </c>
      <c r="F257" s="330">
        <v>1</v>
      </c>
      <c r="H257" s="329" t="s">
        <v>171</v>
      </c>
      <c r="I257" s="330">
        <v>4</v>
      </c>
    </row>
    <row r="258" spans="2:9" x14ac:dyDescent="0.2">
      <c r="B258" s="329" t="s">
        <v>172</v>
      </c>
      <c r="C258" s="330">
        <v>93</v>
      </c>
      <c r="E258" s="329" t="s">
        <v>172</v>
      </c>
      <c r="F258" s="330">
        <v>36</v>
      </c>
      <c r="H258" s="329" t="s">
        <v>172</v>
      </c>
      <c r="I258" s="330">
        <v>5</v>
      </c>
    </row>
    <row r="259" spans="2:9" x14ac:dyDescent="0.2">
      <c r="B259" s="329" t="s">
        <v>173</v>
      </c>
      <c r="C259" s="330">
        <v>5</v>
      </c>
      <c r="E259" s="329" t="s">
        <v>173</v>
      </c>
      <c r="F259" s="330">
        <v>7</v>
      </c>
      <c r="H259" s="329" t="s">
        <v>173</v>
      </c>
      <c r="I259" s="330">
        <v>1</v>
      </c>
    </row>
    <row r="260" spans="2:9" x14ac:dyDescent="0.2">
      <c r="B260" s="329" t="s">
        <v>174</v>
      </c>
      <c r="C260" s="330">
        <v>3</v>
      </c>
      <c r="E260" s="329" t="s">
        <v>174</v>
      </c>
      <c r="F260" s="330">
        <v>90</v>
      </c>
      <c r="H260" s="329" t="s">
        <v>174</v>
      </c>
      <c r="I260" s="330">
        <v>0</v>
      </c>
    </row>
    <row r="261" spans="2:9" x14ac:dyDescent="0.2">
      <c r="B261" s="329" t="s">
        <v>175</v>
      </c>
      <c r="C261" s="330">
        <v>4</v>
      </c>
      <c r="E261" s="329" t="s">
        <v>175</v>
      </c>
      <c r="F261" s="330">
        <v>16</v>
      </c>
      <c r="H261" s="329" t="s">
        <v>175</v>
      </c>
      <c r="I261" s="330">
        <v>3</v>
      </c>
    </row>
    <row r="262" spans="2:9" x14ac:dyDescent="0.2">
      <c r="B262" s="329" t="s">
        <v>176</v>
      </c>
      <c r="C262" s="330">
        <v>467</v>
      </c>
      <c r="E262" s="329" t="s">
        <v>176</v>
      </c>
      <c r="F262" s="330">
        <v>96</v>
      </c>
      <c r="H262" s="329" t="s">
        <v>176</v>
      </c>
      <c r="I262" s="330">
        <v>10</v>
      </c>
    </row>
    <row r="263" spans="2:9" x14ac:dyDescent="0.2">
      <c r="B263" s="329" t="s">
        <v>177</v>
      </c>
      <c r="C263" s="330">
        <v>35</v>
      </c>
      <c r="E263" s="329" t="s">
        <v>177</v>
      </c>
      <c r="F263" s="330">
        <v>28</v>
      </c>
      <c r="H263" s="329" t="s">
        <v>177</v>
      </c>
      <c r="I263" s="330">
        <v>9</v>
      </c>
    </row>
    <row r="264" spans="2:9" x14ac:dyDescent="0.2">
      <c r="B264" s="329" t="s">
        <v>178</v>
      </c>
      <c r="C264" s="330">
        <v>17</v>
      </c>
      <c r="E264" s="329" t="s">
        <v>178</v>
      </c>
      <c r="F264" s="330">
        <v>136</v>
      </c>
      <c r="H264" s="329" t="s">
        <v>178</v>
      </c>
      <c r="I264" s="330">
        <v>6</v>
      </c>
    </row>
    <row r="265" spans="2:9" x14ac:dyDescent="0.2">
      <c r="B265" s="329" t="s">
        <v>179</v>
      </c>
      <c r="C265" s="330">
        <v>9</v>
      </c>
      <c r="E265" s="329" t="s">
        <v>179</v>
      </c>
      <c r="F265" s="330">
        <v>215</v>
      </c>
      <c r="H265" s="329" t="s">
        <v>179</v>
      </c>
      <c r="I265" s="330">
        <v>5</v>
      </c>
    </row>
    <row r="266" spans="2:9" x14ac:dyDescent="0.2">
      <c r="B266" s="329" t="s">
        <v>152</v>
      </c>
      <c r="C266" s="330">
        <v>17</v>
      </c>
      <c r="E266" s="329" t="s">
        <v>152</v>
      </c>
      <c r="F266" s="330">
        <v>23</v>
      </c>
      <c r="H266" s="329" t="s">
        <v>152</v>
      </c>
      <c r="I266" s="330">
        <v>11</v>
      </c>
    </row>
    <row r="267" spans="2:9" x14ac:dyDescent="0.2">
      <c r="B267" s="329" t="s">
        <v>180</v>
      </c>
      <c r="C267" s="330">
        <v>76</v>
      </c>
      <c r="E267" s="329" t="s">
        <v>180</v>
      </c>
      <c r="F267" s="330">
        <v>52</v>
      </c>
      <c r="H267" s="329" t="s">
        <v>180</v>
      </c>
      <c r="I267" s="330">
        <v>6</v>
      </c>
    </row>
    <row r="268" spans="2:9" x14ac:dyDescent="0.2">
      <c r="B268" s="329" t="s">
        <v>181</v>
      </c>
      <c r="C268" s="330">
        <v>1</v>
      </c>
      <c r="E268" s="329" t="s">
        <v>181</v>
      </c>
      <c r="F268" s="330">
        <v>4</v>
      </c>
      <c r="H268" s="329" t="s">
        <v>181</v>
      </c>
      <c r="I268" s="330">
        <v>2</v>
      </c>
    </row>
    <row r="269" spans="2:9" x14ac:dyDescent="0.2">
      <c r="B269" s="329" t="s">
        <v>156</v>
      </c>
      <c r="C269" s="330">
        <v>22</v>
      </c>
      <c r="E269" s="329" t="s">
        <v>156</v>
      </c>
      <c r="F269" s="330">
        <v>7</v>
      </c>
      <c r="H269" s="329" t="s">
        <v>156</v>
      </c>
      <c r="I269" s="330">
        <v>9</v>
      </c>
    </row>
    <row r="270" spans="2:9" ht="13.5" thickBot="1" x14ac:dyDescent="0.25">
      <c r="B270" s="331" t="s">
        <v>265</v>
      </c>
      <c r="C270" s="332">
        <v>827</v>
      </c>
      <c r="E270" s="331" t="s">
        <v>265</v>
      </c>
      <c r="F270" s="332">
        <v>1060</v>
      </c>
      <c r="H270" s="331" t="s">
        <v>265</v>
      </c>
      <c r="I270" s="332">
        <v>80</v>
      </c>
    </row>
    <row r="276" spans="2:20" ht="15.75" thickBot="1" x14ac:dyDescent="0.3">
      <c r="B276" s="130" t="s">
        <v>1685</v>
      </c>
      <c r="G276" s="130" t="s">
        <v>1686</v>
      </c>
      <c r="L276" s="130" t="s">
        <v>1687</v>
      </c>
      <c r="Q276"/>
      <c r="R276"/>
    </row>
    <row r="277" spans="2:20" ht="13.5" thickBot="1" x14ac:dyDescent="0.25">
      <c r="B277" s="325" t="s">
        <v>279</v>
      </c>
      <c r="C277" s="326" t="s">
        <v>354</v>
      </c>
      <c r="G277" s="325" t="s">
        <v>279</v>
      </c>
      <c r="H277" s="326" t="s">
        <v>354</v>
      </c>
      <c r="L277" s="325" t="s">
        <v>279</v>
      </c>
      <c r="M277" s="326" t="s">
        <v>354</v>
      </c>
      <c r="Q277" s="325" t="s">
        <v>277</v>
      </c>
      <c r="R277" s="326" t="s">
        <v>359</v>
      </c>
    </row>
    <row r="278" spans="2:20" ht="13.5" thickBot="1" x14ac:dyDescent="0.25"/>
    <row r="279" spans="2:20" ht="25.5" x14ac:dyDescent="0.2">
      <c r="B279" s="327" t="s">
        <v>259</v>
      </c>
      <c r="C279" s="358" t="s">
        <v>257</v>
      </c>
      <c r="D279" s="336" t="s">
        <v>1688</v>
      </c>
      <c r="E279" s="359" t="s">
        <v>1639</v>
      </c>
      <c r="G279" s="327" t="s">
        <v>259</v>
      </c>
      <c r="H279" s="358" t="s">
        <v>257</v>
      </c>
      <c r="I279" s="336" t="s">
        <v>1688</v>
      </c>
      <c r="J279" s="359" t="s">
        <v>1639</v>
      </c>
      <c r="L279" s="327" t="s">
        <v>259</v>
      </c>
      <c r="M279" s="358" t="s">
        <v>257</v>
      </c>
      <c r="N279" s="336" t="s">
        <v>1688</v>
      </c>
      <c r="O279" s="359" t="s">
        <v>1639</v>
      </c>
      <c r="Q279" s="327" t="s">
        <v>259</v>
      </c>
      <c r="R279" s="358" t="s">
        <v>257</v>
      </c>
      <c r="S279" s="336" t="s">
        <v>1688</v>
      </c>
      <c r="T279" s="359" t="s">
        <v>1639</v>
      </c>
    </row>
    <row r="280" spans="2:20" x14ac:dyDescent="0.2">
      <c r="B280" s="329" t="s">
        <v>167</v>
      </c>
      <c r="C280" s="128">
        <v>3</v>
      </c>
      <c r="D280" s="128">
        <v>4</v>
      </c>
      <c r="E280" s="330">
        <v>-1</v>
      </c>
      <c r="G280" s="329" t="s">
        <v>190</v>
      </c>
      <c r="H280" s="128">
        <v>10</v>
      </c>
      <c r="I280" s="128">
        <v>7</v>
      </c>
      <c r="J280" s="330">
        <v>3</v>
      </c>
      <c r="L280" s="329" t="s">
        <v>167</v>
      </c>
      <c r="M280" s="128">
        <v>4</v>
      </c>
      <c r="N280" s="128">
        <v>4</v>
      </c>
      <c r="O280" s="330">
        <v>0</v>
      </c>
      <c r="Q280" s="329" t="s">
        <v>167</v>
      </c>
      <c r="R280" s="128">
        <v>13</v>
      </c>
      <c r="S280" s="128">
        <v>9</v>
      </c>
      <c r="T280" s="330">
        <v>4</v>
      </c>
    </row>
    <row r="281" spans="2:20" x14ac:dyDescent="0.2">
      <c r="B281" s="329" t="s">
        <v>149</v>
      </c>
      <c r="C281" s="128">
        <v>4</v>
      </c>
      <c r="D281" s="128">
        <v>3</v>
      </c>
      <c r="E281" s="330">
        <v>1</v>
      </c>
      <c r="G281" s="329" t="s">
        <v>191</v>
      </c>
      <c r="H281" s="128">
        <v>3</v>
      </c>
      <c r="I281" s="128">
        <v>4</v>
      </c>
      <c r="J281" s="330">
        <v>-1</v>
      </c>
      <c r="L281" s="329" t="s">
        <v>197</v>
      </c>
      <c r="M281" s="128">
        <v>2</v>
      </c>
      <c r="N281" s="128">
        <v>2</v>
      </c>
      <c r="O281" s="330">
        <v>0</v>
      </c>
      <c r="Q281" s="329" t="s">
        <v>197</v>
      </c>
      <c r="R281" s="128">
        <v>2</v>
      </c>
      <c r="S281" s="128">
        <v>2</v>
      </c>
      <c r="T281" s="330">
        <v>0</v>
      </c>
    </row>
    <row r="282" spans="2:20" x14ac:dyDescent="0.2">
      <c r="B282" s="329" t="s">
        <v>168</v>
      </c>
      <c r="C282" s="128">
        <v>7</v>
      </c>
      <c r="D282" s="128">
        <v>0</v>
      </c>
      <c r="E282" s="330">
        <v>7</v>
      </c>
      <c r="G282" s="329" t="s">
        <v>150</v>
      </c>
      <c r="H282" s="128">
        <v>22</v>
      </c>
      <c r="I282" s="128">
        <v>3</v>
      </c>
      <c r="J282" s="330">
        <v>19</v>
      </c>
      <c r="L282" s="329" t="s">
        <v>198</v>
      </c>
      <c r="M282" s="128">
        <v>16</v>
      </c>
      <c r="N282" s="128">
        <v>2</v>
      </c>
      <c r="O282" s="330">
        <v>14</v>
      </c>
      <c r="Q282" s="329" t="s">
        <v>198</v>
      </c>
      <c r="R282" s="128">
        <v>19</v>
      </c>
      <c r="S282" s="128">
        <v>3</v>
      </c>
      <c r="T282" s="330">
        <v>16</v>
      </c>
    </row>
    <row r="283" spans="2:20" x14ac:dyDescent="0.2">
      <c r="B283" s="329" t="s">
        <v>169</v>
      </c>
      <c r="C283" s="128">
        <v>3</v>
      </c>
      <c r="D283" s="128">
        <v>4</v>
      </c>
      <c r="E283" s="330">
        <v>-1</v>
      </c>
      <c r="G283" s="329" t="s">
        <v>192</v>
      </c>
      <c r="H283" s="128">
        <v>34</v>
      </c>
      <c r="I283" s="128">
        <v>4</v>
      </c>
      <c r="J283" s="330">
        <v>30</v>
      </c>
      <c r="L283" s="329" t="s">
        <v>174</v>
      </c>
      <c r="M283" s="128">
        <v>2</v>
      </c>
      <c r="N283" s="128">
        <v>3</v>
      </c>
      <c r="O283" s="330">
        <v>-1</v>
      </c>
      <c r="Q283" s="329" t="s">
        <v>174</v>
      </c>
      <c r="R283" s="128">
        <v>2</v>
      </c>
      <c r="S283" s="128">
        <v>1</v>
      </c>
      <c r="T283" s="330">
        <v>1</v>
      </c>
    </row>
    <row r="284" spans="2:20" x14ac:dyDescent="0.2">
      <c r="B284" s="329" t="s">
        <v>170</v>
      </c>
      <c r="C284" s="128">
        <v>5</v>
      </c>
      <c r="D284" s="128">
        <v>2</v>
      </c>
      <c r="E284" s="330">
        <v>3</v>
      </c>
      <c r="G284" s="329" t="s">
        <v>154</v>
      </c>
      <c r="H284" s="128">
        <v>30</v>
      </c>
      <c r="I284" s="128">
        <v>11</v>
      </c>
      <c r="J284" s="330">
        <v>19</v>
      </c>
      <c r="L284" s="329" t="s">
        <v>199</v>
      </c>
      <c r="M284" s="128">
        <v>6</v>
      </c>
      <c r="N284" s="128">
        <v>3</v>
      </c>
      <c r="O284" s="330">
        <v>3</v>
      </c>
      <c r="Q284" s="329" t="s">
        <v>199</v>
      </c>
      <c r="R284" s="128">
        <v>53</v>
      </c>
      <c r="S284" s="128">
        <v>8</v>
      </c>
      <c r="T284" s="330">
        <v>45</v>
      </c>
    </row>
    <row r="285" spans="2:20" x14ac:dyDescent="0.2">
      <c r="B285" s="329" t="s">
        <v>171</v>
      </c>
      <c r="C285" s="128">
        <v>4</v>
      </c>
      <c r="D285" s="128">
        <v>0</v>
      </c>
      <c r="E285" s="330">
        <v>4</v>
      </c>
      <c r="G285" s="329" t="s">
        <v>156</v>
      </c>
      <c r="H285" s="128">
        <v>17</v>
      </c>
      <c r="I285" s="128">
        <v>7</v>
      </c>
      <c r="J285" s="330">
        <v>10</v>
      </c>
      <c r="L285" s="329" t="s">
        <v>200</v>
      </c>
      <c r="M285" s="128">
        <v>21</v>
      </c>
      <c r="N285" s="128">
        <v>2</v>
      </c>
      <c r="O285" s="330">
        <v>19</v>
      </c>
      <c r="Q285" s="329" t="s">
        <v>200</v>
      </c>
      <c r="R285" s="128">
        <v>484</v>
      </c>
      <c r="S285" s="128">
        <v>3</v>
      </c>
      <c r="T285" s="330">
        <v>481</v>
      </c>
    </row>
    <row r="286" spans="2:20" ht="13.5" thickBot="1" x14ac:dyDescent="0.25">
      <c r="B286" s="329" t="s">
        <v>172</v>
      </c>
      <c r="C286" s="128">
        <v>5</v>
      </c>
      <c r="D286" s="128">
        <v>0</v>
      </c>
      <c r="E286" s="330">
        <v>5</v>
      </c>
      <c r="G286" s="331" t="s">
        <v>265</v>
      </c>
      <c r="H286" s="346">
        <v>116</v>
      </c>
      <c r="I286" s="346">
        <v>36</v>
      </c>
      <c r="J286" s="332">
        <v>80</v>
      </c>
      <c r="L286" s="329" t="s">
        <v>201</v>
      </c>
      <c r="M286" s="128">
        <v>18</v>
      </c>
      <c r="N286" s="128">
        <v>2</v>
      </c>
      <c r="O286" s="330">
        <v>16</v>
      </c>
      <c r="Q286" s="329" t="s">
        <v>201</v>
      </c>
      <c r="R286" s="128">
        <v>102</v>
      </c>
      <c r="S286" s="128">
        <v>6</v>
      </c>
      <c r="T286" s="330">
        <v>96</v>
      </c>
    </row>
    <row r="287" spans="2:20" ht="15" x14ac:dyDescent="0.25">
      <c r="B287" s="329" t="s">
        <v>173</v>
      </c>
      <c r="C287" s="128">
        <v>4</v>
      </c>
      <c r="D287" s="128">
        <v>3</v>
      </c>
      <c r="E287" s="330">
        <v>1</v>
      </c>
      <c r="G287"/>
      <c r="H287"/>
      <c r="I287"/>
      <c r="J287"/>
      <c r="L287" s="329" t="s">
        <v>202</v>
      </c>
      <c r="M287" s="128">
        <v>30</v>
      </c>
      <c r="N287" s="128">
        <v>11</v>
      </c>
      <c r="O287" s="330">
        <v>19</v>
      </c>
      <c r="Q287" s="329" t="s">
        <v>202</v>
      </c>
      <c r="R287" s="128">
        <v>169</v>
      </c>
      <c r="S287" s="128">
        <v>13</v>
      </c>
      <c r="T287" s="330">
        <v>156</v>
      </c>
    </row>
    <row r="288" spans="2:20" ht="15" x14ac:dyDescent="0.25">
      <c r="B288" s="329" t="s">
        <v>174</v>
      </c>
      <c r="C288" s="128">
        <v>1</v>
      </c>
      <c r="D288" s="128">
        <v>1</v>
      </c>
      <c r="E288" s="330">
        <v>0</v>
      </c>
      <c r="G288"/>
      <c r="H288"/>
      <c r="I288"/>
      <c r="J288"/>
      <c r="L288" s="329" t="s">
        <v>203</v>
      </c>
      <c r="M288" s="128">
        <v>17</v>
      </c>
      <c r="N288" s="128">
        <v>7</v>
      </c>
      <c r="O288" s="330">
        <v>10</v>
      </c>
      <c r="Q288" s="329" t="s">
        <v>203</v>
      </c>
      <c r="R288" s="128">
        <v>10</v>
      </c>
      <c r="S288" s="128">
        <v>5</v>
      </c>
      <c r="T288" s="330">
        <v>5</v>
      </c>
    </row>
    <row r="289" spans="2:20" ht="15.75" thickBot="1" x14ac:dyDescent="0.3">
      <c r="B289" s="329" t="s">
        <v>175</v>
      </c>
      <c r="C289" s="128">
        <v>3</v>
      </c>
      <c r="D289" s="128">
        <v>0</v>
      </c>
      <c r="E289" s="330">
        <v>3</v>
      </c>
      <c r="G289"/>
      <c r="H289"/>
      <c r="I289"/>
      <c r="J289"/>
      <c r="L289" s="331" t="s">
        <v>265</v>
      </c>
      <c r="M289" s="346">
        <v>116</v>
      </c>
      <c r="N289" s="346">
        <v>36</v>
      </c>
      <c r="O289" s="332">
        <v>80</v>
      </c>
      <c r="Q289" s="331" t="s">
        <v>265</v>
      </c>
      <c r="R289" s="346">
        <v>854</v>
      </c>
      <c r="S289" s="346">
        <v>50</v>
      </c>
      <c r="T289" s="332">
        <v>804</v>
      </c>
    </row>
    <row r="290" spans="2:20" ht="15" x14ac:dyDescent="0.25">
      <c r="B290" s="329" t="s">
        <v>176</v>
      </c>
      <c r="C290" s="128">
        <v>12</v>
      </c>
      <c r="D290" s="128">
        <v>2</v>
      </c>
      <c r="E290" s="330">
        <v>10</v>
      </c>
      <c r="G290"/>
      <c r="H290"/>
      <c r="I290"/>
      <c r="J290"/>
      <c r="Q290"/>
      <c r="R290"/>
      <c r="S290"/>
      <c r="T290"/>
    </row>
    <row r="291" spans="2:20" ht="15" x14ac:dyDescent="0.25">
      <c r="B291" s="329" t="s">
        <v>177</v>
      </c>
      <c r="C291" s="128">
        <v>9</v>
      </c>
      <c r="D291" s="128">
        <v>0</v>
      </c>
      <c r="E291" s="330">
        <v>9</v>
      </c>
      <c r="G291"/>
      <c r="H291"/>
      <c r="I291"/>
      <c r="J291"/>
    </row>
    <row r="292" spans="2:20" ht="15" x14ac:dyDescent="0.25">
      <c r="B292" s="329" t="s">
        <v>178</v>
      </c>
      <c r="C292" s="128">
        <v>8</v>
      </c>
      <c r="D292" s="128">
        <v>2</v>
      </c>
      <c r="E292" s="330">
        <v>6</v>
      </c>
      <c r="G292"/>
      <c r="H292"/>
      <c r="I292"/>
      <c r="J292"/>
    </row>
    <row r="293" spans="2:20" ht="15" x14ac:dyDescent="0.25">
      <c r="B293" s="329" t="s">
        <v>179</v>
      </c>
      <c r="C293" s="128">
        <v>5</v>
      </c>
      <c r="D293" s="128">
        <v>0</v>
      </c>
      <c r="E293" s="330">
        <v>5</v>
      </c>
      <c r="G293"/>
      <c r="H293"/>
      <c r="I293"/>
      <c r="J293"/>
    </row>
    <row r="294" spans="2:20" ht="15" x14ac:dyDescent="0.25">
      <c r="B294" s="329" t="s">
        <v>152</v>
      </c>
      <c r="C294" s="128">
        <v>13</v>
      </c>
      <c r="D294" s="128">
        <v>2</v>
      </c>
      <c r="E294" s="330">
        <v>11</v>
      </c>
      <c r="G294"/>
      <c r="H294"/>
      <c r="I294"/>
      <c r="J294"/>
    </row>
    <row r="295" spans="2:20" ht="15" x14ac:dyDescent="0.25">
      <c r="B295" s="329" t="s">
        <v>180</v>
      </c>
      <c r="C295" s="128">
        <v>15</v>
      </c>
      <c r="D295" s="128">
        <v>9</v>
      </c>
      <c r="E295" s="330">
        <v>6</v>
      </c>
      <c r="G295"/>
      <c r="H295"/>
      <c r="I295"/>
      <c r="J295"/>
    </row>
    <row r="296" spans="2:20" ht="15" x14ac:dyDescent="0.25">
      <c r="B296" s="329" t="s">
        <v>181</v>
      </c>
      <c r="C296" s="128">
        <v>2</v>
      </c>
      <c r="D296" s="128">
        <v>0</v>
      </c>
      <c r="E296" s="330">
        <v>2</v>
      </c>
      <c r="G296"/>
      <c r="H296"/>
      <c r="I296"/>
      <c r="J296"/>
    </row>
    <row r="297" spans="2:20" ht="15" x14ac:dyDescent="0.25">
      <c r="B297" s="329" t="s">
        <v>156</v>
      </c>
      <c r="C297" s="128">
        <v>13</v>
      </c>
      <c r="D297" s="128">
        <v>4</v>
      </c>
      <c r="E297" s="330">
        <v>9</v>
      </c>
      <c r="G297"/>
      <c r="H297"/>
      <c r="I297"/>
      <c r="J297"/>
    </row>
    <row r="298" spans="2:20" ht="13.5" thickBot="1" x14ac:dyDescent="0.25">
      <c r="B298" s="331" t="s">
        <v>265</v>
      </c>
      <c r="C298" s="346">
        <v>116</v>
      </c>
      <c r="D298" s="346">
        <v>36</v>
      </c>
      <c r="E298" s="332">
        <v>80</v>
      </c>
    </row>
    <row r="302" spans="2:20" ht="13.5" thickBot="1" x14ac:dyDescent="0.25">
      <c r="B302" s="130" t="s">
        <v>1689</v>
      </c>
    </row>
    <row r="303" spans="2:20" ht="13.5" thickBot="1" x14ac:dyDescent="0.25">
      <c r="B303" s="325" t="s">
        <v>279</v>
      </c>
      <c r="C303" s="326" t="s">
        <v>354</v>
      </c>
    </row>
    <row r="304" spans="2:20" ht="13.5" thickBot="1" x14ac:dyDescent="0.25">
      <c r="B304" s="325" t="s">
        <v>271</v>
      </c>
      <c r="C304" s="326" t="s">
        <v>256</v>
      </c>
    </row>
    <row r="305" spans="2:10" ht="13.5" thickBot="1" x14ac:dyDescent="0.25"/>
    <row r="306" spans="2:10" x14ac:dyDescent="0.2">
      <c r="B306" s="327" t="s">
        <v>259</v>
      </c>
      <c r="C306" s="336" t="s">
        <v>1673</v>
      </c>
      <c r="D306" s="336" t="s">
        <v>1674</v>
      </c>
      <c r="E306" s="336" t="s">
        <v>1675</v>
      </c>
      <c r="F306" s="336" t="s">
        <v>1676</v>
      </c>
      <c r="G306" s="336" t="s">
        <v>1677</v>
      </c>
      <c r="H306" s="336" t="s">
        <v>1678</v>
      </c>
      <c r="I306" s="336" t="s">
        <v>1679</v>
      </c>
      <c r="J306" s="328" t="s">
        <v>1680</v>
      </c>
    </row>
    <row r="307" spans="2:10" x14ac:dyDescent="0.2">
      <c r="B307" s="329" t="s">
        <v>268</v>
      </c>
      <c r="C307" s="128">
        <v>3</v>
      </c>
      <c r="D307" s="128">
        <v>0</v>
      </c>
      <c r="E307" s="128">
        <v>12</v>
      </c>
      <c r="F307" s="128">
        <v>5</v>
      </c>
      <c r="G307" s="128">
        <v>1</v>
      </c>
      <c r="H307" s="128">
        <v>1</v>
      </c>
      <c r="I307" s="128">
        <v>0</v>
      </c>
      <c r="J307" s="330">
        <v>0</v>
      </c>
    </row>
    <row r="308" spans="2:10" x14ac:dyDescent="0.2">
      <c r="B308" s="329" t="s">
        <v>260</v>
      </c>
      <c r="C308" s="128">
        <v>5</v>
      </c>
      <c r="D308" s="128">
        <v>0</v>
      </c>
      <c r="E308" s="128">
        <v>0</v>
      </c>
      <c r="F308" s="128">
        <v>0</v>
      </c>
      <c r="G308" s="128">
        <v>0</v>
      </c>
      <c r="H308" s="128">
        <v>0</v>
      </c>
      <c r="I308" s="128">
        <v>0</v>
      </c>
      <c r="J308" s="330">
        <v>0</v>
      </c>
    </row>
    <row r="309" spans="2:10" ht="13.5" thickBot="1" x14ac:dyDescent="0.25">
      <c r="B309" s="331" t="s">
        <v>265</v>
      </c>
      <c r="C309" s="346">
        <v>8</v>
      </c>
      <c r="D309" s="346">
        <v>0</v>
      </c>
      <c r="E309" s="346">
        <v>12</v>
      </c>
      <c r="F309" s="346">
        <v>5</v>
      </c>
      <c r="G309" s="346">
        <v>1</v>
      </c>
      <c r="H309" s="346">
        <v>1</v>
      </c>
      <c r="I309" s="346">
        <v>0</v>
      </c>
      <c r="J309" s="332">
        <v>0</v>
      </c>
    </row>
    <row r="310" spans="2:10" ht="15" x14ac:dyDescent="0.25">
      <c r="B310"/>
      <c r="C310"/>
      <c r="D310"/>
      <c r="E310"/>
      <c r="F310"/>
      <c r="G310"/>
      <c r="H310"/>
      <c r="I310"/>
      <c r="J310"/>
    </row>
    <row r="311" spans="2:10" ht="15" x14ac:dyDescent="0.25">
      <c r="B311"/>
      <c r="C311"/>
      <c r="D311"/>
      <c r="E311"/>
      <c r="F311"/>
      <c r="G311"/>
      <c r="H311"/>
      <c r="I311"/>
      <c r="J311"/>
    </row>
    <row r="312" spans="2:10" ht="15.75" thickBot="1" x14ac:dyDescent="0.3">
      <c r="B312"/>
      <c r="C312"/>
      <c r="D312"/>
      <c r="E312"/>
      <c r="F312"/>
      <c r="G312"/>
      <c r="H312"/>
      <c r="I312"/>
      <c r="J312"/>
    </row>
    <row r="313" spans="2:10" x14ac:dyDescent="0.2">
      <c r="B313" s="132"/>
    </row>
    <row r="314" spans="2:10" x14ac:dyDescent="0.2">
      <c r="B314" s="132"/>
    </row>
    <row r="315" spans="2:10" x14ac:dyDescent="0.2">
      <c r="B315" s="132"/>
    </row>
    <row r="316" spans="2:10" ht="13.5" thickBot="1" x14ac:dyDescent="0.25">
      <c r="B316" s="130" t="s">
        <v>1690</v>
      </c>
    </row>
    <row r="317" spans="2:10" ht="13.5" thickBot="1" x14ac:dyDescent="0.25">
      <c r="B317" s="325" t="s">
        <v>279</v>
      </c>
      <c r="C317" s="326" t="s">
        <v>266</v>
      </c>
    </row>
    <row r="318" spans="2:10" ht="13.5" thickBot="1" x14ac:dyDescent="0.25">
      <c r="B318" s="325" t="s">
        <v>271</v>
      </c>
      <c r="C318" s="326" t="s">
        <v>256</v>
      </c>
    </row>
    <row r="319" spans="2:10" ht="13.5" thickBot="1" x14ac:dyDescent="0.25"/>
    <row r="320" spans="2:10" x14ac:dyDescent="0.2">
      <c r="B320" s="327" t="s">
        <v>259</v>
      </c>
      <c r="C320" s="336" t="s">
        <v>1673</v>
      </c>
      <c r="D320" s="336" t="s">
        <v>1674</v>
      </c>
      <c r="E320" s="336" t="s">
        <v>1675</v>
      </c>
      <c r="F320" s="336" t="s">
        <v>1676</v>
      </c>
      <c r="G320" s="336" t="s">
        <v>1677</v>
      </c>
      <c r="H320" s="336" t="s">
        <v>1678</v>
      </c>
      <c r="I320" s="328" t="s">
        <v>1679</v>
      </c>
    </row>
    <row r="321" spans="2:9" x14ac:dyDescent="0.2">
      <c r="B321" s="329" t="s">
        <v>268</v>
      </c>
      <c r="C321" s="128">
        <v>184</v>
      </c>
      <c r="D321" s="128">
        <v>231</v>
      </c>
      <c r="E321" s="128">
        <v>79</v>
      </c>
      <c r="F321" s="128">
        <v>56</v>
      </c>
      <c r="G321" s="128">
        <v>10</v>
      </c>
      <c r="H321" s="128">
        <v>0</v>
      </c>
      <c r="I321" s="330">
        <v>0</v>
      </c>
    </row>
    <row r="322" spans="2:9" x14ac:dyDescent="0.2">
      <c r="B322" s="329" t="s">
        <v>260</v>
      </c>
      <c r="C322" s="128">
        <v>-75</v>
      </c>
      <c r="D322" s="128">
        <v>-25</v>
      </c>
      <c r="E322" s="128">
        <v>-7</v>
      </c>
      <c r="F322" s="128">
        <v>0</v>
      </c>
      <c r="G322" s="128">
        <v>0</v>
      </c>
      <c r="H322" s="128">
        <v>0</v>
      </c>
      <c r="I322" s="330">
        <v>0</v>
      </c>
    </row>
    <row r="323" spans="2:9" x14ac:dyDescent="0.2">
      <c r="B323" s="329" t="s">
        <v>214</v>
      </c>
      <c r="C323" s="128">
        <v>32</v>
      </c>
      <c r="D323" s="128">
        <v>47</v>
      </c>
      <c r="E323" s="128">
        <v>10</v>
      </c>
      <c r="F323" s="128">
        <v>0</v>
      </c>
      <c r="G323" s="128">
        <v>0</v>
      </c>
      <c r="H323" s="128">
        <v>0</v>
      </c>
      <c r="I323" s="330">
        <v>0</v>
      </c>
    </row>
    <row r="324" spans="2:9" x14ac:dyDescent="0.2">
      <c r="B324" s="329" t="s">
        <v>264</v>
      </c>
      <c r="C324" s="128">
        <v>129</v>
      </c>
      <c r="D324" s="128">
        <v>54</v>
      </c>
      <c r="E324" s="128">
        <v>20</v>
      </c>
      <c r="F324" s="128">
        <v>0</v>
      </c>
      <c r="G324" s="128">
        <v>0</v>
      </c>
      <c r="H324" s="128">
        <v>0</v>
      </c>
      <c r="I324" s="330">
        <v>0</v>
      </c>
    </row>
    <row r="325" spans="2:9" x14ac:dyDescent="0.2">
      <c r="B325" s="329" t="s">
        <v>263</v>
      </c>
      <c r="C325" s="128">
        <v>34</v>
      </c>
      <c r="D325" s="128">
        <v>35</v>
      </c>
      <c r="E325" s="128">
        <v>4</v>
      </c>
      <c r="F325" s="128">
        <v>0</v>
      </c>
      <c r="G325" s="128">
        <v>0</v>
      </c>
      <c r="H325" s="128">
        <v>0</v>
      </c>
      <c r="I325" s="330">
        <v>0</v>
      </c>
    </row>
    <row r="326" spans="2:9" x14ac:dyDescent="0.2">
      <c r="B326" s="329" t="s">
        <v>261</v>
      </c>
      <c r="C326" s="128">
        <v>19</v>
      </c>
      <c r="D326" s="128">
        <v>26</v>
      </c>
      <c r="E326" s="128">
        <v>10</v>
      </c>
      <c r="F326" s="128">
        <v>0</v>
      </c>
      <c r="G326" s="128">
        <v>0</v>
      </c>
      <c r="H326" s="128">
        <v>0</v>
      </c>
      <c r="I326" s="330">
        <v>0</v>
      </c>
    </row>
    <row r="327" spans="2:9" x14ac:dyDescent="0.2">
      <c r="B327" s="329" t="s">
        <v>775</v>
      </c>
      <c r="C327" s="128">
        <v>27</v>
      </c>
      <c r="D327" s="128">
        <v>3</v>
      </c>
      <c r="E327" s="128">
        <v>0</v>
      </c>
      <c r="F327" s="128">
        <v>0</v>
      </c>
      <c r="G327" s="128">
        <v>0</v>
      </c>
      <c r="H327" s="128">
        <v>0</v>
      </c>
      <c r="I327" s="330">
        <v>0</v>
      </c>
    </row>
    <row r="328" spans="2:9" ht="13.5" thickBot="1" x14ac:dyDescent="0.25">
      <c r="B328" s="331" t="s">
        <v>265</v>
      </c>
      <c r="C328" s="346">
        <v>350</v>
      </c>
      <c r="D328" s="346">
        <v>371</v>
      </c>
      <c r="E328" s="346">
        <v>116</v>
      </c>
      <c r="F328" s="346">
        <v>56</v>
      </c>
      <c r="G328" s="346">
        <v>10</v>
      </c>
      <c r="H328" s="346">
        <v>0</v>
      </c>
      <c r="I328" s="332">
        <v>0</v>
      </c>
    </row>
    <row r="329" spans="2:9" ht="15" x14ac:dyDescent="0.25">
      <c r="B329"/>
      <c r="C329"/>
      <c r="D329"/>
      <c r="E329"/>
      <c r="F329"/>
      <c r="G329"/>
      <c r="H329"/>
      <c r="I329"/>
    </row>
    <row r="330" spans="2:9" x14ac:dyDescent="0.2">
      <c r="B330" s="132"/>
    </row>
    <row r="331" spans="2:9" x14ac:dyDescent="0.2">
      <c r="B331" s="132"/>
    </row>
    <row r="332" spans="2:9" x14ac:dyDescent="0.2">
      <c r="B332" s="130"/>
    </row>
    <row r="333" spans="2:9" ht="13.5" thickBot="1" x14ac:dyDescent="0.25">
      <c r="B333" s="130" t="s">
        <v>1691</v>
      </c>
    </row>
    <row r="334" spans="2:9" ht="13.5" thickBot="1" x14ac:dyDescent="0.25">
      <c r="B334" s="325" t="s">
        <v>279</v>
      </c>
      <c r="C334" s="326" t="s">
        <v>267</v>
      </c>
    </row>
    <row r="335" spans="2:9" ht="13.5" thickBot="1" x14ac:dyDescent="0.25">
      <c r="B335" s="325" t="s">
        <v>271</v>
      </c>
      <c r="C335" s="326" t="s">
        <v>256</v>
      </c>
    </row>
    <row r="336" spans="2:9" ht="13.5" thickBot="1" x14ac:dyDescent="0.25"/>
    <row r="337" spans="2:9" x14ac:dyDescent="0.2">
      <c r="B337" s="327" t="s">
        <v>259</v>
      </c>
      <c r="C337" s="336" t="s">
        <v>1673</v>
      </c>
      <c r="D337" s="336" t="s">
        <v>1674</v>
      </c>
      <c r="E337" s="336" t="s">
        <v>1675</v>
      </c>
      <c r="F337" s="336" t="s">
        <v>1676</v>
      </c>
      <c r="G337" s="336" t="s">
        <v>1677</v>
      </c>
      <c r="H337" s="336" t="s">
        <v>1678</v>
      </c>
      <c r="I337" s="328" t="s">
        <v>1679</v>
      </c>
    </row>
    <row r="338" spans="2:9" x14ac:dyDescent="0.2">
      <c r="B338" s="329" t="s">
        <v>268</v>
      </c>
      <c r="C338" s="128">
        <v>162</v>
      </c>
      <c r="D338" s="128">
        <v>190</v>
      </c>
      <c r="E338" s="128">
        <v>18</v>
      </c>
      <c r="F338" s="128">
        <v>11</v>
      </c>
      <c r="G338" s="128">
        <v>8</v>
      </c>
      <c r="H338" s="128">
        <v>2</v>
      </c>
      <c r="I338" s="330">
        <v>0</v>
      </c>
    </row>
    <row r="339" spans="2:9" x14ac:dyDescent="0.2">
      <c r="B339" s="329" t="s">
        <v>260</v>
      </c>
      <c r="C339" s="128">
        <v>9</v>
      </c>
      <c r="D339" s="128">
        <v>7</v>
      </c>
      <c r="E339" s="128">
        <v>1</v>
      </c>
      <c r="F339" s="128">
        <v>0</v>
      </c>
      <c r="G339" s="128">
        <v>0</v>
      </c>
      <c r="H339" s="128">
        <v>0</v>
      </c>
      <c r="I339" s="330">
        <v>0</v>
      </c>
    </row>
    <row r="340" spans="2:9" x14ac:dyDescent="0.2">
      <c r="B340" s="329" t="s">
        <v>214</v>
      </c>
      <c r="C340" s="128">
        <v>2</v>
      </c>
      <c r="D340" s="128">
        <v>2</v>
      </c>
      <c r="E340" s="128">
        <v>0</v>
      </c>
      <c r="F340" s="128">
        <v>0</v>
      </c>
      <c r="G340" s="128">
        <v>0</v>
      </c>
      <c r="H340" s="128">
        <v>0</v>
      </c>
      <c r="I340" s="330">
        <v>0</v>
      </c>
    </row>
    <row r="341" spans="2:9" x14ac:dyDescent="0.2">
      <c r="B341" s="329" t="s">
        <v>264</v>
      </c>
      <c r="C341" s="128">
        <v>10</v>
      </c>
      <c r="D341" s="128">
        <v>1</v>
      </c>
      <c r="E341" s="128">
        <v>3</v>
      </c>
      <c r="F341" s="128">
        <v>3</v>
      </c>
      <c r="G341" s="128">
        <v>0</v>
      </c>
      <c r="H341" s="128">
        <v>0</v>
      </c>
      <c r="I341" s="330">
        <v>0</v>
      </c>
    </row>
    <row r="342" spans="2:9" x14ac:dyDescent="0.2">
      <c r="B342" s="329" t="s">
        <v>263</v>
      </c>
      <c r="C342" s="128">
        <v>1</v>
      </c>
      <c r="D342" s="128">
        <v>33</v>
      </c>
      <c r="E342" s="128">
        <v>0</v>
      </c>
      <c r="F342" s="128">
        <v>0</v>
      </c>
      <c r="G342" s="128">
        <v>0</v>
      </c>
      <c r="H342" s="128">
        <v>0</v>
      </c>
      <c r="I342" s="330">
        <v>0</v>
      </c>
    </row>
    <row r="343" spans="2:9" x14ac:dyDescent="0.2">
      <c r="B343" s="329" t="s">
        <v>261</v>
      </c>
      <c r="C343" s="128">
        <v>31</v>
      </c>
      <c r="D343" s="128">
        <v>57</v>
      </c>
      <c r="E343" s="128">
        <v>15</v>
      </c>
      <c r="F343" s="128">
        <v>0</v>
      </c>
      <c r="G343" s="128">
        <v>0</v>
      </c>
      <c r="H343" s="128">
        <v>0</v>
      </c>
      <c r="I343" s="330">
        <v>0</v>
      </c>
    </row>
    <row r="344" spans="2:9" x14ac:dyDescent="0.2">
      <c r="B344" s="329" t="s">
        <v>775</v>
      </c>
      <c r="C344" s="128">
        <v>27</v>
      </c>
      <c r="D344" s="128">
        <v>14</v>
      </c>
      <c r="E344" s="128">
        <v>0</v>
      </c>
      <c r="F344" s="128">
        <v>0</v>
      </c>
      <c r="G344" s="128">
        <v>0</v>
      </c>
      <c r="H344" s="128">
        <v>0</v>
      </c>
      <c r="I344" s="330">
        <v>0</v>
      </c>
    </row>
    <row r="345" spans="2:9" ht="13.5" thickBot="1" x14ac:dyDescent="0.25">
      <c r="B345" s="331" t="s">
        <v>265</v>
      </c>
      <c r="C345" s="346">
        <v>242</v>
      </c>
      <c r="D345" s="346">
        <v>304</v>
      </c>
      <c r="E345" s="346">
        <v>37</v>
      </c>
      <c r="F345" s="346">
        <v>14</v>
      </c>
      <c r="G345" s="346">
        <v>8</v>
      </c>
      <c r="H345" s="346">
        <v>2</v>
      </c>
      <c r="I345" s="332">
        <v>0</v>
      </c>
    </row>
    <row r="346" spans="2:9" ht="15" x14ac:dyDescent="0.25">
      <c r="B346" s="129"/>
      <c r="C346" s="129"/>
      <c r="D346" s="129"/>
      <c r="E346" s="129"/>
      <c r="F346" s="129"/>
      <c r="G346" s="129"/>
      <c r="H346" s="129"/>
      <c r="I346" s="129"/>
    </row>
    <row r="347" spans="2:9" ht="15" x14ac:dyDescent="0.25">
      <c r="B347" s="129"/>
      <c r="C347" s="129"/>
      <c r="D347" s="129"/>
      <c r="E347" s="129"/>
      <c r="F347" s="129"/>
      <c r="G347" s="129"/>
      <c r="H347" s="129"/>
      <c r="I347" s="129"/>
    </row>
    <row r="348" spans="2:9" x14ac:dyDescent="0.2">
      <c r="B348" s="132"/>
    </row>
    <row r="349" spans="2:9" x14ac:dyDescent="0.2">
      <c r="B349" s="132"/>
    </row>
    <row r="350" spans="2:9" ht="13.5" thickBot="1" x14ac:dyDescent="0.25">
      <c r="B350" s="128" t="s">
        <v>228</v>
      </c>
      <c r="E350" s="128" t="s">
        <v>69</v>
      </c>
      <c r="H350" s="128" t="s">
        <v>229</v>
      </c>
    </row>
    <row r="351" spans="2:9" ht="13.5" thickBot="1" x14ac:dyDescent="0.25">
      <c r="B351" s="325" t="s">
        <v>255</v>
      </c>
      <c r="C351" s="326" t="s">
        <v>1643</v>
      </c>
      <c r="E351" s="325" t="s">
        <v>255</v>
      </c>
      <c r="F351" s="326" t="s">
        <v>1643</v>
      </c>
      <c r="H351" s="325" t="s">
        <v>255</v>
      </c>
      <c r="I351" s="326" t="s">
        <v>1643</v>
      </c>
    </row>
    <row r="352" spans="2:9" ht="13.5" thickBot="1" x14ac:dyDescent="0.25">
      <c r="B352" s="325" t="s">
        <v>279</v>
      </c>
      <c r="C352" s="326" t="s">
        <v>266</v>
      </c>
      <c r="E352" s="325" t="s">
        <v>279</v>
      </c>
      <c r="F352" s="326" t="s">
        <v>267</v>
      </c>
      <c r="H352" s="325" t="s">
        <v>279</v>
      </c>
      <c r="I352" s="326" t="s">
        <v>266</v>
      </c>
    </row>
    <row r="353" spans="2:9" ht="13.5" thickBot="1" x14ac:dyDescent="0.25">
      <c r="B353" s="325" t="s">
        <v>272</v>
      </c>
      <c r="C353" s="326" t="s">
        <v>1692</v>
      </c>
      <c r="E353" s="325" t="s">
        <v>272</v>
      </c>
      <c r="F353" s="326" t="s">
        <v>1692</v>
      </c>
      <c r="H353" s="325" t="s">
        <v>272</v>
      </c>
      <c r="I353" s="326" t="s">
        <v>256</v>
      </c>
    </row>
    <row r="354" spans="2:9" ht="13.5" thickBot="1" x14ac:dyDescent="0.25">
      <c r="B354" s="325" t="s">
        <v>271</v>
      </c>
      <c r="C354" s="326" t="s">
        <v>256</v>
      </c>
      <c r="E354" s="325" t="s">
        <v>271</v>
      </c>
      <c r="F354" s="326" t="s">
        <v>256</v>
      </c>
      <c r="H354" s="325" t="s">
        <v>271</v>
      </c>
      <c r="I354" s="326" t="s">
        <v>256</v>
      </c>
    </row>
    <row r="355" spans="2:9" ht="13.5" thickBot="1" x14ac:dyDescent="0.25"/>
    <row r="356" spans="2:9" x14ac:dyDescent="0.2">
      <c r="B356" s="327" t="s">
        <v>259</v>
      </c>
      <c r="C356" s="328" t="s">
        <v>1639</v>
      </c>
      <c r="E356" s="327" t="s">
        <v>259</v>
      </c>
      <c r="F356" s="328" t="s">
        <v>1639</v>
      </c>
      <c r="H356" s="327" t="s">
        <v>259</v>
      </c>
      <c r="I356" s="328" t="s">
        <v>1639</v>
      </c>
    </row>
    <row r="357" spans="2:9" x14ac:dyDescent="0.2">
      <c r="B357" s="329" t="s">
        <v>167</v>
      </c>
      <c r="C357" s="330">
        <v>3</v>
      </c>
      <c r="E357" s="329" t="s">
        <v>167</v>
      </c>
      <c r="F357" s="330">
        <v>0</v>
      </c>
      <c r="H357" s="329" t="s">
        <v>149</v>
      </c>
      <c r="I357" s="330">
        <v>3</v>
      </c>
    </row>
    <row r="358" spans="2:9" x14ac:dyDescent="0.2">
      <c r="B358" s="329" t="s">
        <v>149</v>
      </c>
      <c r="C358" s="330">
        <v>2</v>
      </c>
      <c r="E358" s="329" t="s">
        <v>149</v>
      </c>
      <c r="F358" s="330">
        <v>11</v>
      </c>
      <c r="H358" s="329" t="s">
        <v>168</v>
      </c>
      <c r="I358" s="330">
        <v>5</v>
      </c>
    </row>
    <row r="359" spans="2:9" x14ac:dyDescent="0.2">
      <c r="B359" s="329" t="s">
        <v>168</v>
      </c>
      <c r="C359" s="330">
        <v>39</v>
      </c>
      <c r="E359" s="329" t="s">
        <v>168</v>
      </c>
      <c r="F359" s="330">
        <v>13</v>
      </c>
      <c r="H359" s="329" t="s">
        <v>169</v>
      </c>
      <c r="I359" s="330">
        <v>0</v>
      </c>
    </row>
    <row r="360" spans="2:9" x14ac:dyDescent="0.2">
      <c r="B360" s="329" t="s">
        <v>169</v>
      </c>
      <c r="C360" s="330">
        <v>264</v>
      </c>
      <c r="E360" s="329" t="s">
        <v>169</v>
      </c>
      <c r="F360" s="330">
        <v>2</v>
      </c>
      <c r="H360" s="329" t="s">
        <v>170</v>
      </c>
      <c r="I360" s="330">
        <v>7</v>
      </c>
    </row>
    <row r="361" spans="2:9" x14ac:dyDescent="0.2">
      <c r="B361" s="329" t="s">
        <v>170</v>
      </c>
      <c r="C361" s="330">
        <v>2</v>
      </c>
      <c r="E361" s="329" t="s">
        <v>170</v>
      </c>
      <c r="F361" s="330">
        <v>3</v>
      </c>
      <c r="H361" s="329" t="s">
        <v>172</v>
      </c>
      <c r="I361" s="330">
        <v>8</v>
      </c>
    </row>
    <row r="362" spans="2:9" x14ac:dyDescent="0.2">
      <c r="B362" s="329" t="s">
        <v>171</v>
      </c>
      <c r="C362" s="330">
        <v>1</v>
      </c>
      <c r="E362" s="329" t="s">
        <v>171</v>
      </c>
      <c r="F362" s="330">
        <v>1</v>
      </c>
      <c r="H362" s="329" t="s">
        <v>173</v>
      </c>
      <c r="I362" s="330">
        <v>2</v>
      </c>
    </row>
    <row r="363" spans="2:9" x14ac:dyDescent="0.2">
      <c r="B363" s="329" t="s">
        <v>172</v>
      </c>
      <c r="C363" s="330">
        <v>17</v>
      </c>
      <c r="E363" s="329" t="s">
        <v>172</v>
      </c>
      <c r="F363" s="330">
        <v>21</v>
      </c>
      <c r="H363" s="329" t="s">
        <v>174</v>
      </c>
      <c r="I363" s="330">
        <v>-2</v>
      </c>
    </row>
    <row r="364" spans="2:9" x14ac:dyDescent="0.2">
      <c r="B364" s="329" t="s">
        <v>173</v>
      </c>
      <c r="C364" s="330">
        <v>5</v>
      </c>
      <c r="E364" s="329" t="s">
        <v>173</v>
      </c>
      <c r="F364" s="330">
        <v>2</v>
      </c>
      <c r="H364" s="329" t="s">
        <v>176</v>
      </c>
      <c r="I364" s="330">
        <v>76</v>
      </c>
    </row>
    <row r="365" spans="2:9" x14ac:dyDescent="0.2">
      <c r="B365" s="329" t="s">
        <v>174</v>
      </c>
      <c r="C365" s="330">
        <v>92</v>
      </c>
      <c r="E365" s="329" t="s">
        <v>174</v>
      </c>
      <c r="F365" s="330">
        <v>1</v>
      </c>
      <c r="H365" s="329" t="s">
        <v>177</v>
      </c>
      <c r="I365" s="330">
        <v>13</v>
      </c>
    </row>
    <row r="366" spans="2:9" x14ac:dyDescent="0.2">
      <c r="B366" s="329" t="s">
        <v>175</v>
      </c>
      <c r="C366" s="330">
        <v>15</v>
      </c>
      <c r="E366" s="329" t="s">
        <v>175</v>
      </c>
      <c r="F366" s="330">
        <v>1</v>
      </c>
      <c r="H366" s="329" t="s">
        <v>179</v>
      </c>
      <c r="I366" s="330">
        <v>1</v>
      </c>
    </row>
    <row r="367" spans="2:9" x14ac:dyDescent="0.2">
      <c r="B367" s="329" t="s">
        <v>176</v>
      </c>
      <c r="C367" s="330">
        <v>20</v>
      </c>
      <c r="E367" s="329" t="s">
        <v>176</v>
      </c>
      <c r="F367" s="330">
        <v>463</v>
      </c>
      <c r="H367" s="329" t="s">
        <v>152</v>
      </c>
      <c r="I367" s="330">
        <v>2</v>
      </c>
    </row>
    <row r="368" spans="2:9" x14ac:dyDescent="0.2">
      <c r="B368" s="329" t="s">
        <v>177</v>
      </c>
      <c r="C368" s="330">
        <v>13</v>
      </c>
      <c r="E368" s="329" t="s">
        <v>177</v>
      </c>
      <c r="F368" s="330">
        <v>22</v>
      </c>
      <c r="H368" s="329" t="s">
        <v>180</v>
      </c>
      <c r="I368" s="330">
        <v>5</v>
      </c>
    </row>
    <row r="369" spans="2:12" ht="13.5" thickBot="1" x14ac:dyDescent="0.25">
      <c r="B369" s="329" t="s">
        <v>178</v>
      </c>
      <c r="C369" s="330">
        <v>130</v>
      </c>
      <c r="E369" s="329" t="s">
        <v>178</v>
      </c>
      <c r="F369" s="330">
        <v>7</v>
      </c>
      <c r="H369" s="331" t="s">
        <v>265</v>
      </c>
      <c r="I369" s="332">
        <v>120</v>
      </c>
    </row>
    <row r="370" spans="2:12" ht="15" x14ac:dyDescent="0.25">
      <c r="B370" s="329" t="s">
        <v>179</v>
      </c>
      <c r="C370" s="330">
        <v>214</v>
      </c>
      <c r="E370" s="329" t="s">
        <v>179</v>
      </c>
      <c r="F370" s="330">
        <v>4</v>
      </c>
      <c r="H370"/>
      <c r="I370"/>
    </row>
    <row r="371" spans="2:12" ht="15" x14ac:dyDescent="0.25">
      <c r="B371" s="329" t="s">
        <v>152</v>
      </c>
      <c r="C371" s="330">
        <v>18</v>
      </c>
      <c r="E371" s="329" t="s">
        <v>152</v>
      </c>
      <c r="F371" s="330">
        <v>4</v>
      </c>
      <c r="H371"/>
      <c r="I371"/>
    </row>
    <row r="372" spans="2:12" ht="15" x14ac:dyDescent="0.25">
      <c r="B372" s="329" t="s">
        <v>180</v>
      </c>
      <c r="C372" s="330">
        <v>46</v>
      </c>
      <c r="E372" s="329" t="s">
        <v>180</v>
      </c>
      <c r="F372" s="330">
        <v>48</v>
      </c>
      <c r="H372"/>
      <c r="I372"/>
    </row>
    <row r="373" spans="2:12" ht="15" x14ac:dyDescent="0.25">
      <c r="B373" s="329" t="s">
        <v>181</v>
      </c>
      <c r="C373" s="330">
        <v>4</v>
      </c>
      <c r="E373" s="329" t="s">
        <v>181</v>
      </c>
      <c r="F373" s="330">
        <v>3</v>
      </c>
      <c r="H373"/>
      <c r="I373"/>
    </row>
    <row r="374" spans="2:12" x14ac:dyDescent="0.2">
      <c r="B374" s="329" t="s">
        <v>156</v>
      </c>
      <c r="C374" s="330">
        <v>7</v>
      </c>
      <c r="E374" s="329" t="s">
        <v>156</v>
      </c>
      <c r="F374" s="330">
        <v>1</v>
      </c>
    </row>
    <row r="375" spans="2:12" ht="13.5" thickBot="1" x14ac:dyDescent="0.25">
      <c r="B375" s="331" t="s">
        <v>265</v>
      </c>
      <c r="C375" s="332">
        <v>892</v>
      </c>
      <c r="E375" s="331" t="s">
        <v>265</v>
      </c>
      <c r="F375" s="332">
        <v>607</v>
      </c>
    </row>
    <row r="376" spans="2:12" ht="15" x14ac:dyDescent="0.25">
      <c r="B376"/>
      <c r="C376"/>
    </row>
    <row r="381" spans="2:12" x14ac:dyDescent="0.2">
      <c r="B381" s="130"/>
    </row>
    <row r="382" spans="2:12" ht="13.5" thickBot="1" x14ac:dyDescent="0.25">
      <c r="B382" s="128" t="s">
        <v>230</v>
      </c>
      <c r="E382" s="128" t="s">
        <v>1693</v>
      </c>
      <c r="H382" s="128" t="s">
        <v>1694</v>
      </c>
      <c r="K382" s="128" t="s">
        <v>1694</v>
      </c>
    </row>
    <row r="383" spans="2:12" ht="13.5" thickBot="1" x14ac:dyDescent="0.25">
      <c r="B383" s="325" t="s">
        <v>279</v>
      </c>
      <c r="C383" s="326" t="s">
        <v>267</v>
      </c>
      <c r="E383" s="325" t="s">
        <v>255</v>
      </c>
      <c r="F383" s="326" t="s">
        <v>1643</v>
      </c>
      <c r="H383" s="325" t="s">
        <v>255</v>
      </c>
      <c r="I383" s="326" t="s">
        <v>1643</v>
      </c>
      <c r="K383" s="325" t="s">
        <v>255</v>
      </c>
      <c r="L383" s="326" t="s">
        <v>1643</v>
      </c>
    </row>
    <row r="384" spans="2:12" ht="13.5" thickBot="1" x14ac:dyDescent="0.25">
      <c r="B384" s="325" t="s">
        <v>272</v>
      </c>
      <c r="C384" s="326" t="s">
        <v>256</v>
      </c>
      <c r="E384" s="325" t="s">
        <v>279</v>
      </c>
      <c r="F384" s="326" t="s">
        <v>266</v>
      </c>
      <c r="H384" s="325" t="s">
        <v>279</v>
      </c>
      <c r="I384" s="326" t="s">
        <v>267</v>
      </c>
      <c r="K384" s="325" t="s">
        <v>279</v>
      </c>
      <c r="L384" s="326" t="s">
        <v>256</v>
      </c>
    </row>
    <row r="385" spans="2:12" ht="13.5" thickBot="1" x14ac:dyDescent="0.25">
      <c r="B385" s="325" t="s">
        <v>271</v>
      </c>
      <c r="C385" s="326" t="s">
        <v>256</v>
      </c>
      <c r="E385" s="325" t="s">
        <v>272</v>
      </c>
      <c r="F385" s="326" t="s">
        <v>370</v>
      </c>
      <c r="H385" s="325" t="s">
        <v>272</v>
      </c>
      <c r="I385" s="326" t="s">
        <v>370</v>
      </c>
      <c r="K385" s="325" t="s">
        <v>272</v>
      </c>
      <c r="L385" s="326" t="s">
        <v>370</v>
      </c>
    </row>
    <row r="386" spans="2:12" ht="13.5" thickBot="1" x14ac:dyDescent="0.25">
      <c r="E386" s="325" t="s">
        <v>271</v>
      </c>
      <c r="F386" s="326" t="s">
        <v>1692</v>
      </c>
      <c r="H386" s="325" t="s">
        <v>271</v>
      </c>
      <c r="I386" s="326" t="s">
        <v>1692</v>
      </c>
      <c r="K386" s="325" t="s">
        <v>271</v>
      </c>
      <c r="L386" s="326" t="s">
        <v>1692</v>
      </c>
    </row>
    <row r="387" spans="2:12" ht="13.5" thickBot="1" x14ac:dyDescent="0.25">
      <c r="B387" s="327" t="s">
        <v>259</v>
      </c>
      <c r="C387" s="328" t="s">
        <v>1639</v>
      </c>
    </row>
    <row r="388" spans="2:12" x14ac:dyDescent="0.2">
      <c r="B388" s="329" t="s">
        <v>167</v>
      </c>
      <c r="C388" s="330">
        <v>0</v>
      </c>
      <c r="E388" s="327" t="s">
        <v>259</v>
      </c>
      <c r="F388" s="328" t="s">
        <v>1639</v>
      </c>
      <c r="H388" s="327" t="s">
        <v>259</v>
      </c>
      <c r="I388" s="328" t="s">
        <v>1639</v>
      </c>
      <c r="K388" s="327" t="s">
        <v>259</v>
      </c>
      <c r="L388" s="328" t="s">
        <v>1639</v>
      </c>
    </row>
    <row r="389" spans="2:12" x14ac:dyDescent="0.2">
      <c r="B389" s="329" t="s">
        <v>149</v>
      </c>
      <c r="C389" s="330">
        <v>14</v>
      </c>
      <c r="E389" s="329" t="s">
        <v>167</v>
      </c>
      <c r="F389" s="330">
        <v>3</v>
      </c>
      <c r="H389" s="329" t="s">
        <v>167</v>
      </c>
      <c r="I389" s="330">
        <v>2</v>
      </c>
      <c r="K389" s="329" t="s">
        <v>167</v>
      </c>
      <c r="L389" s="330">
        <v>5</v>
      </c>
    </row>
    <row r="390" spans="2:12" x14ac:dyDescent="0.2">
      <c r="B390" s="329" t="s">
        <v>170</v>
      </c>
      <c r="C390" s="330">
        <v>2</v>
      </c>
      <c r="E390" s="329" t="s">
        <v>149</v>
      </c>
      <c r="F390" s="330">
        <v>1</v>
      </c>
      <c r="H390" s="329" t="s">
        <v>149</v>
      </c>
      <c r="I390" s="330">
        <v>14</v>
      </c>
      <c r="K390" s="329" t="s">
        <v>149</v>
      </c>
      <c r="L390" s="330">
        <v>15</v>
      </c>
    </row>
    <row r="391" spans="2:12" x14ac:dyDescent="0.2">
      <c r="B391" s="329" t="s">
        <v>171</v>
      </c>
      <c r="C391" s="330">
        <v>1</v>
      </c>
      <c r="E391" s="329" t="s">
        <v>170</v>
      </c>
      <c r="F391" s="330">
        <v>1</v>
      </c>
      <c r="H391" s="329" t="s">
        <v>170</v>
      </c>
      <c r="I391" s="330">
        <v>2</v>
      </c>
      <c r="K391" s="329" t="s">
        <v>170</v>
      </c>
      <c r="L391" s="330">
        <v>3</v>
      </c>
    </row>
    <row r="392" spans="2:12" x14ac:dyDescent="0.2">
      <c r="B392" s="329" t="s">
        <v>172</v>
      </c>
      <c r="C392" s="330">
        <v>71</v>
      </c>
      <c r="E392" s="329" t="s">
        <v>177</v>
      </c>
      <c r="F392" s="330">
        <v>2</v>
      </c>
      <c r="H392" s="329" t="s">
        <v>173</v>
      </c>
      <c r="I392" s="330">
        <v>1</v>
      </c>
      <c r="K392" s="329" t="s">
        <v>173</v>
      </c>
      <c r="L392" s="330">
        <v>1</v>
      </c>
    </row>
    <row r="393" spans="2:12" x14ac:dyDescent="0.2">
      <c r="B393" s="329" t="s">
        <v>173</v>
      </c>
      <c r="C393" s="330">
        <v>2</v>
      </c>
      <c r="E393" s="329" t="s">
        <v>178</v>
      </c>
      <c r="F393" s="330">
        <v>6</v>
      </c>
      <c r="H393" s="329" t="s">
        <v>174</v>
      </c>
      <c r="I393" s="330">
        <v>2</v>
      </c>
      <c r="K393" s="329" t="s">
        <v>174</v>
      </c>
      <c r="L393" s="330">
        <v>2</v>
      </c>
    </row>
    <row r="394" spans="2:12" x14ac:dyDescent="0.2">
      <c r="B394" s="329" t="s">
        <v>175</v>
      </c>
      <c r="C394" s="330">
        <v>2</v>
      </c>
      <c r="E394" s="329" t="s">
        <v>152</v>
      </c>
      <c r="F394" s="330">
        <v>3</v>
      </c>
      <c r="H394" s="329" t="s">
        <v>176</v>
      </c>
      <c r="I394" s="330">
        <v>2</v>
      </c>
      <c r="K394" s="329" t="s">
        <v>176</v>
      </c>
      <c r="L394" s="330">
        <v>2</v>
      </c>
    </row>
    <row r="395" spans="2:12" x14ac:dyDescent="0.2">
      <c r="B395" s="329" t="s">
        <v>176</v>
      </c>
      <c r="C395" s="330">
        <v>2</v>
      </c>
      <c r="E395" s="329" t="s">
        <v>180</v>
      </c>
      <c r="F395" s="330">
        <v>1</v>
      </c>
      <c r="H395" s="329" t="s">
        <v>177</v>
      </c>
      <c r="I395" s="330">
        <v>2</v>
      </c>
      <c r="K395" s="329" t="s">
        <v>177</v>
      </c>
      <c r="L395" s="330">
        <v>4</v>
      </c>
    </row>
    <row r="396" spans="2:12" x14ac:dyDescent="0.2">
      <c r="B396" s="329" t="s">
        <v>177</v>
      </c>
      <c r="C396" s="330">
        <v>11</v>
      </c>
      <c r="E396" s="329" t="s">
        <v>168</v>
      </c>
      <c r="F396" s="330">
        <v>19</v>
      </c>
      <c r="H396" s="329" t="s">
        <v>178</v>
      </c>
      <c r="I396" s="330">
        <v>3</v>
      </c>
      <c r="K396" s="329" t="s">
        <v>178</v>
      </c>
      <c r="L396" s="330">
        <v>9</v>
      </c>
    </row>
    <row r="397" spans="2:12" x14ac:dyDescent="0.2">
      <c r="B397" s="329" t="s">
        <v>178</v>
      </c>
      <c r="C397" s="330">
        <v>7</v>
      </c>
      <c r="E397" s="329" t="s">
        <v>175</v>
      </c>
      <c r="F397" s="330">
        <v>1</v>
      </c>
      <c r="H397" s="329" t="s">
        <v>152</v>
      </c>
      <c r="I397" s="330">
        <v>14</v>
      </c>
      <c r="K397" s="329" t="s">
        <v>152</v>
      </c>
      <c r="L397" s="330">
        <v>17</v>
      </c>
    </row>
    <row r="398" spans="2:12" ht="13.5" thickBot="1" x14ac:dyDescent="0.25">
      <c r="B398" s="329" t="s">
        <v>179</v>
      </c>
      <c r="C398" s="330">
        <v>-2</v>
      </c>
      <c r="E398" s="331" t="s">
        <v>265</v>
      </c>
      <c r="F398" s="332">
        <v>37</v>
      </c>
      <c r="H398" s="329" t="s">
        <v>180</v>
      </c>
      <c r="I398" s="330">
        <v>12</v>
      </c>
      <c r="K398" s="329" t="s">
        <v>180</v>
      </c>
      <c r="L398" s="330">
        <v>13</v>
      </c>
    </row>
    <row r="399" spans="2:12" ht="15" x14ac:dyDescent="0.25">
      <c r="B399" s="329" t="s">
        <v>152</v>
      </c>
      <c r="C399" s="330">
        <v>-1</v>
      </c>
      <c r="E399" s="129"/>
      <c r="F399" s="129"/>
      <c r="H399" s="329" t="s">
        <v>181</v>
      </c>
      <c r="I399" s="330">
        <v>3</v>
      </c>
      <c r="K399" s="329" t="s">
        <v>181</v>
      </c>
      <c r="L399" s="330">
        <v>3</v>
      </c>
    </row>
    <row r="400" spans="2:12" ht="15" x14ac:dyDescent="0.25">
      <c r="B400" s="329" t="s">
        <v>180</v>
      </c>
      <c r="C400" s="330">
        <v>16</v>
      </c>
      <c r="E400" s="129"/>
      <c r="F400" s="129"/>
      <c r="H400" s="329" t="s">
        <v>156</v>
      </c>
      <c r="I400" s="330">
        <v>21</v>
      </c>
      <c r="K400" s="329" t="s">
        <v>156</v>
      </c>
      <c r="L400" s="330">
        <v>21</v>
      </c>
    </row>
    <row r="401" spans="2:12" x14ac:dyDescent="0.2">
      <c r="B401" s="329" t="s">
        <v>181</v>
      </c>
      <c r="C401" s="330">
        <v>-5</v>
      </c>
      <c r="H401" s="329" t="s">
        <v>168</v>
      </c>
      <c r="I401" s="330">
        <v>12</v>
      </c>
      <c r="K401" s="329" t="s">
        <v>168</v>
      </c>
      <c r="L401" s="330">
        <v>31</v>
      </c>
    </row>
    <row r="402" spans="2:12" ht="13.5" thickBot="1" x14ac:dyDescent="0.25">
      <c r="B402" s="331" t="s">
        <v>265</v>
      </c>
      <c r="C402" s="332">
        <v>120</v>
      </c>
      <c r="H402" s="329" t="s">
        <v>175</v>
      </c>
      <c r="I402" s="330">
        <v>1</v>
      </c>
      <c r="K402" s="329" t="s">
        <v>175</v>
      </c>
      <c r="L402" s="330">
        <v>2</v>
      </c>
    </row>
    <row r="403" spans="2:12" ht="15" x14ac:dyDescent="0.25">
      <c r="B403"/>
      <c r="C403"/>
      <c r="H403" s="329" t="s">
        <v>172</v>
      </c>
      <c r="I403" s="330">
        <v>1</v>
      </c>
      <c r="K403" s="329" t="s">
        <v>172</v>
      </c>
      <c r="L403" s="330">
        <v>1</v>
      </c>
    </row>
    <row r="404" spans="2:12" x14ac:dyDescent="0.2">
      <c r="H404" s="329" t="s">
        <v>179</v>
      </c>
      <c r="I404" s="330">
        <v>7</v>
      </c>
      <c r="K404" s="329" t="s">
        <v>179</v>
      </c>
      <c r="L404" s="330">
        <v>7</v>
      </c>
    </row>
    <row r="405" spans="2:12" ht="15.75" thickBot="1" x14ac:dyDescent="0.3">
      <c r="B405"/>
      <c r="C405"/>
      <c r="H405" s="331" t="s">
        <v>265</v>
      </c>
      <c r="I405" s="332">
        <v>99</v>
      </c>
      <c r="K405" s="331" t="s">
        <v>265</v>
      </c>
      <c r="L405" s="332">
        <v>136</v>
      </c>
    </row>
    <row r="406" spans="2:12" ht="15" x14ac:dyDescent="0.25">
      <c r="B406" s="129"/>
      <c r="C406" s="129"/>
    </row>
    <row r="407" spans="2:12" ht="15" x14ac:dyDescent="0.25">
      <c r="B407" s="129"/>
      <c r="C407" s="129"/>
    </row>
    <row r="410" spans="2:12" ht="15.75" thickBot="1" x14ac:dyDescent="0.3">
      <c r="B410" s="128" t="s">
        <v>1695</v>
      </c>
      <c r="C410" s="129"/>
    </row>
    <row r="411" spans="2:12" ht="13.5" thickBot="1" x14ac:dyDescent="0.25">
      <c r="B411" s="325" t="s">
        <v>279</v>
      </c>
      <c r="C411" s="326" t="s">
        <v>256</v>
      </c>
    </row>
    <row r="412" spans="2:12" ht="13.5" thickBot="1" x14ac:dyDescent="0.25">
      <c r="B412" s="325" t="s">
        <v>255</v>
      </c>
      <c r="C412" s="326" t="s">
        <v>256</v>
      </c>
    </row>
    <row r="413" spans="2:12" ht="13.5" thickBot="1" x14ac:dyDescent="0.25"/>
    <row r="414" spans="2:12" x14ac:dyDescent="0.2">
      <c r="B414" s="327" t="s">
        <v>1644</v>
      </c>
      <c r="C414" s="336" t="s">
        <v>1645</v>
      </c>
      <c r="D414" s="336" t="s">
        <v>1646</v>
      </c>
      <c r="E414" s="336" t="s">
        <v>1647</v>
      </c>
      <c r="F414" s="336" t="s">
        <v>1648</v>
      </c>
      <c r="G414" s="336" t="s">
        <v>1696</v>
      </c>
      <c r="H414" s="336" t="s">
        <v>1697</v>
      </c>
      <c r="I414" s="336" t="s">
        <v>1698</v>
      </c>
      <c r="J414" s="336" t="s">
        <v>1699</v>
      </c>
      <c r="K414" s="328" t="s">
        <v>1700</v>
      </c>
    </row>
    <row r="415" spans="2:12" ht="13.5" thickBot="1" x14ac:dyDescent="0.25">
      <c r="B415" s="337">
        <v>212.25</v>
      </c>
      <c r="C415" s="338">
        <v>476</v>
      </c>
      <c r="D415" s="338">
        <v>662</v>
      </c>
      <c r="E415" s="338">
        <v>652</v>
      </c>
      <c r="F415" s="338">
        <v>1143.75</v>
      </c>
      <c r="G415" s="338">
        <v>845</v>
      </c>
      <c r="H415" s="338">
        <v>324</v>
      </c>
      <c r="I415" s="338">
        <v>461</v>
      </c>
      <c r="J415" s="338">
        <v>399</v>
      </c>
      <c r="K415" s="339">
        <v>361</v>
      </c>
    </row>
    <row r="419" spans="2:13" ht="13.5" thickBot="1" x14ac:dyDescent="0.25">
      <c r="B419" s="128" t="s">
        <v>1701</v>
      </c>
      <c r="C419" s="133"/>
    </row>
    <row r="420" spans="2:13" ht="13.5" thickBot="1" x14ac:dyDescent="0.25">
      <c r="B420" s="325" t="s">
        <v>279</v>
      </c>
      <c r="C420" s="326" t="s">
        <v>256</v>
      </c>
    </row>
    <row r="421" spans="2:13" ht="13.5" thickBot="1" x14ac:dyDescent="0.25"/>
    <row r="422" spans="2:13" x14ac:dyDescent="0.2">
      <c r="B422" s="327" t="s">
        <v>1644</v>
      </c>
      <c r="C422" s="336" t="s">
        <v>1645</v>
      </c>
      <c r="D422" s="336" t="s">
        <v>1646</v>
      </c>
      <c r="E422" s="336" t="s">
        <v>1647</v>
      </c>
      <c r="F422" s="336" t="s">
        <v>1648</v>
      </c>
      <c r="G422" s="336" t="s">
        <v>1696</v>
      </c>
      <c r="H422" s="336" t="s">
        <v>1697</v>
      </c>
      <c r="I422" s="336" t="s">
        <v>1698</v>
      </c>
      <c r="J422" s="336" t="s">
        <v>1699</v>
      </c>
      <c r="K422" s="328" t="s">
        <v>1700</v>
      </c>
    </row>
    <row r="423" spans="2:13" ht="13.5" thickBot="1" x14ac:dyDescent="0.25">
      <c r="B423" s="337">
        <v>-10</v>
      </c>
      <c r="C423" s="338">
        <v>50.8</v>
      </c>
      <c r="D423" s="338">
        <v>0.79999999999999716</v>
      </c>
      <c r="E423" s="338"/>
      <c r="F423" s="338"/>
      <c r="G423" s="338"/>
      <c r="H423" s="338"/>
      <c r="I423" s="338"/>
      <c r="J423" s="338"/>
      <c r="K423" s="339"/>
    </row>
    <row r="424" spans="2:13" ht="15" x14ac:dyDescent="0.25">
      <c r="B424"/>
      <c r="C424"/>
      <c r="D424"/>
      <c r="E424"/>
      <c r="F424"/>
      <c r="G424"/>
      <c r="H424"/>
      <c r="I424"/>
      <c r="J424"/>
      <c r="K424"/>
    </row>
    <row r="425" spans="2:13" ht="15" x14ac:dyDescent="0.25">
      <c r="B425"/>
      <c r="C425"/>
      <c r="D425"/>
      <c r="E425"/>
      <c r="F425"/>
      <c r="G425"/>
      <c r="H425"/>
      <c r="I425"/>
      <c r="J425"/>
      <c r="K425"/>
    </row>
    <row r="426" spans="2:13" ht="15" x14ac:dyDescent="0.25">
      <c r="B426"/>
      <c r="C426"/>
      <c r="D426"/>
      <c r="E426"/>
      <c r="F426"/>
      <c r="G426"/>
      <c r="H426"/>
      <c r="I426"/>
      <c r="J426"/>
      <c r="K426"/>
    </row>
    <row r="427" spans="2:13" ht="15" x14ac:dyDescent="0.25">
      <c r="B427"/>
      <c r="C427"/>
      <c r="D427"/>
      <c r="E427"/>
      <c r="F427"/>
      <c r="G427"/>
      <c r="H427"/>
      <c r="I427"/>
      <c r="J427"/>
    </row>
    <row r="428" spans="2:13" ht="13.5" thickBot="1" x14ac:dyDescent="0.25">
      <c r="B428" s="128" t="s">
        <v>1702</v>
      </c>
    </row>
    <row r="429" spans="2:13" ht="13.5" thickBot="1" x14ac:dyDescent="0.25">
      <c r="B429" s="325" t="s">
        <v>279</v>
      </c>
      <c r="C429" s="326" t="s">
        <v>256</v>
      </c>
    </row>
    <row r="430" spans="2:13" ht="13.5" thickBot="1" x14ac:dyDescent="0.25"/>
    <row r="431" spans="2:13" x14ac:dyDescent="0.2">
      <c r="B431" s="327" t="s">
        <v>259</v>
      </c>
      <c r="C431" s="336" t="s">
        <v>1644</v>
      </c>
      <c r="D431" s="336" t="s">
        <v>1645</v>
      </c>
      <c r="E431" s="336" t="s">
        <v>1646</v>
      </c>
      <c r="F431" s="336" t="s">
        <v>1647</v>
      </c>
      <c r="G431" s="336" t="s">
        <v>1648</v>
      </c>
      <c r="H431" s="336" t="s">
        <v>1696</v>
      </c>
      <c r="I431" s="336" t="s">
        <v>1697</v>
      </c>
      <c r="J431" s="336" t="s">
        <v>1698</v>
      </c>
      <c r="K431" s="336" t="s">
        <v>1699</v>
      </c>
      <c r="L431" s="336" t="s">
        <v>1700</v>
      </c>
      <c r="M431" s="328" t="s">
        <v>1654</v>
      </c>
    </row>
    <row r="432" spans="2:13" x14ac:dyDescent="0.2">
      <c r="B432" s="329" t="s">
        <v>168</v>
      </c>
      <c r="C432" s="360"/>
      <c r="D432" s="360"/>
      <c r="E432" s="360">
        <v>33.333333333333336</v>
      </c>
      <c r="F432" s="360">
        <v>33.333333333333336</v>
      </c>
      <c r="G432" s="360">
        <v>33.333333333333336</v>
      </c>
      <c r="H432" s="360"/>
      <c r="I432" s="360"/>
      <c r="J432" s="360"/>
      <c r="K432" s="360"/>
      <c r="L432" s="360"/>
      <c r="M432" s="361">
        <v>100</v>
      </c>
    </row>
    <row r="433" spans="2:13" x14ac:dyDescent="0.2">
      <c r="B433" s="329" t="s">
        <v>175</v>
      </c>
      <c r="C433" s="360"/>
      <c r="D433" s="360"/>
      <c r="E433" s="360">
        <v>35.6666666666667</v>
      </c>
      <c r="F433" s="360">
        <v>35.666666666666664</v>
      </c>
      <c r="G433" s="360">
        <v>387.66666666666669</v>
      </c>
      <c r="H433" s="360">
        <v>693</v>
      </c>
      <c r="I433" s="360"/>
      <c r="J433" s="360">
        <v>23</v>
      </c>
      <c r="K433" s="360"/>
      <c r="L433" s="360"/>
      <c r="M433" s="361">
        <v>1175</v>
      </c>
    </row>
    <row r="434" spans="2:13" x14ac:dyDescent="0.2">
      <c r="B434" s="329" t="s">
        <v>176</v>
      </c>
      <c r="C434" s="360"/>
      <c r="D434" s="360"/>
      <c r="E434" s="360"/>
      <c r="F434" s="360"/>
      <c r="G434" s="360"/>
      <c r="H434" s="360">
        <v>50</v>
      </c>
      <c r="I434" s="360">
        <v>50</v>
      </c>
      <c r="J434" s="360">
        <v>50</v>
      </c>
      <c r="K434" s="360">
        <v>50</v>
      </c>
      <c r="L434" s="360">
        <v>50</v>
      </c>
      <c r="M434" s="361">
        <v>250</v>
      </c>
    </row>
    <row r="435" spans="2:13" x14ac:dyDescent="0.2">
      <c r="B435" s="329" t="s">
        <v>152</v>
      </c>
      <c r="C435" s="360"/>
      <c r="D435" s="360"/>
      <c r="E435" s="360"/>
      <c r="F435" s="360"/>
      <c r="G435" s="360">
        <v>20</v>
      </c>
      <c r="H435" s="360"/>
      <c r="I435" s="360">
        <v>5</v>
      </c>
      <c r="J435" s="360">
        <v>5</v>
      </c>
      <c r="K435" s="360">
        <v>5</v>
      </c>
      <c r="L435" s="360">
        <v>5</v>
      </c>
      <c r="M435" s="361">
        <v>40</v>
      </c>
    </row>
    <row r="436" spans="2:13" x14ac:dyDescent="0.2">
      <c r="B436" s="329" t="s">
        <v>180</v>
      </c>
      <c r="C436" s="360"/>
      <c r="D436" s="360"/>
      <c r="E436" s="360"/>
      <c r="F436" s="360">
        <v>10</v>
      </c>
      <c r="G436" s="360">
        <v>10</v>
      </c>
      <c r="H436" s="360"/>
      <c r="I436" s="360"/>
      <c r="J436" s="360"/>
      <c r="K436" s="360"/>
      <c r="L436" s="360"/>
      <c r="M436" s="361">
        <v>20</v>
      </c>
    </row>
    <row r="437" spans="2:13" x14ac:dyDescent="0.2">
      <c r="B437" s="329" t="s">
        <v>156</v>
      </c>
      <c r="C437" s="360"/>
      <c r="D437" s="360"/>
      <c r="E437" s="360"/>
      <c r="F437" s="360">
        <v>10</v>
      </c>
      <c r="G437" s="360">
        <v>10</v>
      </c>
      <c r="H437" s="360"/>
      <c r="I437" s="360"/>
      <c r="J437" s="360"/>
      <c r="K437" s="360"/>
      <c r="L437" s="360"/>
      <c r="M437" s="361">
        <v>20</v>
      </c>
    </row>
    <row r="438" spans="2:13" x14ac:dyDescent="0.2">
      <c r="B438" s="329" t="s">
        <v>1585</v>
      </c>
      <c r="C438" s="360">
        <v>20</v>
      </c>
      <c r="D438" s="360">
        <v>20</v>
      </c>
      <c r="E438" s="360">
        <v>234</v>
      </c>
      <c r="F438" s="360">
        <v>234</v>
      </c>
      <c r="G438" s="360">
        <v>234</v>
      </c>
      <c r="H438" s="360">
        <v>234</v>
      </c>
      <c r="I438" s="360">
        <v>234</v>
      </c>
      <c r="J438" s="360">
        <v>234</v>
      </c>
      <c r="K438" s="360">
        <v>306</v>
      </c>
      <c r="L438" s="360">
        <v>306</v>
      </c>
      <c r="M438" s="361">
        <v>2056</v>
      </c>
    </row>
    <row r="439" spans="2:13" ht="13.5" thickBot="1" x14ac:dyDescent="0.25">
      <c r="B439" s="331" t="s">
        <v>265</v>
      </c>
      <c r="C439" s="362">
        <v>20</v>
      </c>
      <c r="D439" s="362">
        <v>20</v>
      </c>
      <c r="E439" s="362">
        <v>303</v>
      </c>
      <c r="F439" s="362">
        <v>323</v>
      </c>
      <c r="G439" s="362">
        <v>695</v>
      </c>
      <c r="H439" s="362">
        <v>977</v>
      </c>
      <c r="I439" s="362">
        <v>289</v>
      </c>
      <c r="J439" s="362">
        <v>312</v>
      </c>
      <c r="K439" s="362">
        <v>361</v>
      </c>
      <c r="L439" s="362">
        <v>361</v>
      </c>
      <c r="M439" s="363">
        <v>3661</v>
      </c>
    </row>
    <row r="450" spans="2:9" x14ac:dyDescent="0.2">
      <c r="B450" s="128" t="s">
        <v>1703</v>
      </c>
      <c r="E450" s="128" t="s">
        <v>1704</v>
      </c>
      <c r="H450" s="128" t="s">
        <v>1705</v>
      </c>
    </row>
    <row r="451" spans="2:9" x14ac:dyDescent="0.2">
      <c r="B451" s="347" t="s">
        <v>255</v>
      </c>
      <c r="C451" s="348" t="s">
        <v>256</v>
      </c>
      <c r="E451" s="347" t="s">
        <v>255</v>
      </c>
      <c r="F451" s="348" t="s">
        <v>256</v>
      </c>
      <c r="H451" s="347" t="s">
        <v>255</v>
      </c>
      <c r="I451" s="348" t="s">
        <v>256</v>
      </c>
    </row>
    <row r="452" spans="2:9" x14ac:dyDescent="0.2">
      <c r="B452" s="347" t="s">
        <v>279</v>
      </c>
      <c r="C452" s="348" t="s">
        <v>266</v>
      </c>
      <c r="E452" s="347" t="s">
        <v>279</v>
      </c>
      <c r="F452" s="348" t="s">
        <v>267</v>
      </c>
      <c r="H452" s="347" t="s">
        <v>279</v>
      </c>
      <c r="I452" s="348" t="s">
        <v>266</v>
      </c>
    </row>
    <row r="453" spans="2:9" x14ac:dyDescent="0.2">
      <c r="B453" s="347" t="s">
        <v>272</v>
      </c>
      <c r="C453" s="348" t="s">
        <v>1692</v>
      </c>
      <c r="E453" s="347" t="s">
        <v>272</v>
      </c>
      <c r="F453" s="348" t="s">
        <v>1692</v>
      </c>
      <c r="H453" s="347" t="s">
        <v>272</v>
      </c>
      <c r="I453" s="348" t="s">
        <v>256</v>
      </c>
    </row>
    <row r="454" spans="2:9" x14ac:dyDescent="0.2">
      <c r="B454" s="347" t="s">
        <v>271</v>
      </c>
      <c r="C454" s="348" t="s">
        <v>256</v>
      </c>
      <c r="E454" s="347" t="s">
        <v>271</v>
      </c>
      <c r="F454" s="348" t="s">
        <v>256</v>
      </c>
      <c r="H454" s="347" t="s">
        <v>271</v>
      </c>
      <c r="I454" s="348" t="s">
        <v>256</v>
      </c>
    </row>
    <row r="456" spans="2:9" x14ac:dyDescent="0.2">
      <c r="B456" s="353" t="s">
        <v>259</v>
      </c>
      <c r="C456" s="353" t="s">
        <v>1639</v>
      </c>
      <c r="E456" s="353" t="s">
        <v>259</v>
      </c>
      <c r="F456" s="353" t="s">
        <v>1639</v>
      </c>
      <c r="H456" s="353" t="s">
        <v>259</v>
      </c>
      <c r="I456" s="353" t="s">
        <v>1639</v>
      </c>
    </row>
    <row r="457" spans="2:9" x14ac:dyDescent="0.2">
      <c r="B457" s="354" t="s">
        <v>190</v>
      </c>
      <c r="C457" s="350">
        <v>26</v>
      </c>
      <c r="E457" s="354" t="s">
        <v>190</v>
      </c>
      <c r="F457" s="350">
        <v>12</v>
      </c>
      <c r="H457" s="354" t="s">
        <v>190</v>
      </c>
      <c r="I457" s="350">
        <v>3</v>
      </c>
    </row>
    <row r="458" spans="2:9" x14ac:dyDescent="0.2">
      <c r="B458" s="355" t="s">
        <v>191</v>
      </c>
      <c r="C458" s="351">
        <v>264</v>
      </c>
      <c r="E458" s="355" t="s">
        <v>191</v>
      </c>
      <c r="F458" s="351">
        <v>2</v>
      </c>
      <c r="H458" s="355" t="s">
        <v>191</v>
      </c>
      <c r="I458" s="351">
        <v>0</v>
      </c>
    </row>
    <row r="459" spans="2:9" x14ac:dyDescent="0.2">
      <c r="B459" s="355" t="s">
        <v>150</v>
      </c>
      <c r="C459" s="351">
        <v>119</v>
      </c>
      <c r="E459" s="355" t="s">
        <v>150</v>
      </c>
      <c r="F459" s="351">
        <v>486</v>
      </c>
      <c r="H459" s="355" t="s">
        <v>150</v>
      </c>
      <c r="I459" s="351">
        <v>87</v>
      </c>
    </row>
    <row r="460" spans="2:9" x14ac:dyDescent="0.2">
      <c r="B460" s="355" t="s">
        <v>192</v>
      </c>
      <c r="C460" s="351">
        <v>77</v>
      </c>
      <c r="E460" s="355" t="s">
        <v>192</v>
      </c>
      <c r="F460" s="351">
        <v>42</v>
      </c>
      <c r="H460" s="355" t="s">
        <v>192</v>
      </c>
      <c r="I460" s="351">
        <v>22</v>
      </c>
    </row>
    <row r="461" spans="2:9" x14ac:dyDescent="0.2">
      <c r="B461" s="355" t="s">
        <v>154</v>
      </c>
      <c r="C461" s="351">
        <v>394</v>
      </c>
      <c r="E461" s="355" t="s">
        <v>154</v>
      </c>
      <c r="F461" s="351">
        <v>62</v>
      </c>
      <c r="H461" s="355" t="s">
        <v>154</v>
      </c>
      <c r="I461" s="351">
        <v>6</v>
      </c>
    </row>
    <row r="462" spans="2:9" x14ac:dyDescent="0.2">
      <c r="B462" s="356" t="s">
        <v>156</v>
      </c>
      <c r="C462" s="351">
        <v>12</v>
      </c>
      <c r="E462" s="356" t="s">
        <v>156</v>
      </c>
      <c r="F462" s="351">
        <v>3</v>
      </c>
      <c r="H462" s="356" t="s">
        <v>156</v>
      </c>
      <c r="I462" s="351">
        <v>2</v>
      </c>
    </row>
    <row r="463" spans="2:9" x14ac:dyDescent="0.2">
      <c r="B463" s="357" t="s">
        <v>265</v>
      </c>
      <c r="C463" s="352">
        <v>892</v>
      </c>
      <c r="E463" s="357" t="s">
        <v>265</v>
      </c>
      <c r="F463" s="352">
        <v>607</v>
      </c>
      <c r="H463" s="357" t="s">
        <v>265</v>
      </c>
      <c r="I463" s="352">
        <v>120</v>
      </c>
    </row>
    <row r="471" spans="2:9" x14ac:dyDescent="0.2">
      <c r="B471" s="130"/>
      <c r="H471" s="128" t="s">
        <v>1706</v>
      </c>
    </row>
    <row r="472" spans="2:9" x14ac:dyDescent="0.2">
      <c r="B472" s="128" t="s">
        <v>1707</v>
      </c>
      <c r="H472" s="347" t="s">
        <v>255</v>
      </c>
      <c r="I472" s="348" t="s">
        <v>256</v>
      </c>
    </row>
    <row r="473" spans="2:9" x14ac:dyDescent="0.2">
      <c r="B473" s="347" t="s">
        <v>279</v>
      </c>
      <c r="C473" s="348" t="s">
        <v>267</v>
      </c>
      <c r="H473" s="347" t="s">
        <v>279</v>
      </c>
      <c r="I473" s="348" t="s">
        <v>256</v>
      </c>
    </row>
    <row r="474" spans="2:9" x14ac:dyDescent="0.2">
      <c r="B474" s="347" t="s">
        <v>272</v>
      </c>
      <c r="C474" s="348" t="s">
        <v>256</v>
      </c>
      <c r="H474" s="347" t="s">
        <v>272</v>
      </c>
      <c r="I474" s="348" t="s">
        <v>370</v>
      </c>
    </row>
    <row r="475" spans="2:9" x14ac:dyDescent="0.2">
      <c r="B475" s="347" t="s">
        <v>271</v>
      </c>
      <c r="C475" s="348" t="s">
        <v>256</v>
      </c>
      <c r="H475" s="347" t="s">
        <v>271</v>
      </c>
      <c r="I475" s="348" t="s">
        <v>1692</v>
      </c>
    </row>
    <row r="477" spans="2:9" ht="15" x14ac:dyDescent="0.25">
      <c r="B477" s="353" t="s">
        <v>259</v>
      </c>
      <c r="C477" s="353" t="s">
        <v>1639</v>
      </c>
      <c r="E477"/>
      <c r="F477"/>
      <c r="H477" s="353" t="s">
        <v>259</v>
      </c>
      <c r="I477" s="353" t="s">
        <v>1639</v>
      </c>
    </row>
    <row r="478" spans="2:9" ht="15" x14ac:dyDescent="0.25">
      <c r="B478" s="354" t="s">
        <v>190</v>
      </c>
      <c r="C478" s="350">
        <v>16</v>
      </c>
      <c r="E478"/>
      <c r="F478"/>
      <c r="H478" s="354" t="s">
        <v>190</v>
      </c>
      <c r="I478" s="350">
        <v>22</v>
      </c>
    </row>
    <row r="479" spans="2:9" ht="15" x14ac:dyDescent="0.25">
      <c r="B479" s="355" t="s">
        <v>150</v>
      </c>
      <c r="C479" s="351">
        <v>13</v>
      </c>
      <c r="E479"/>
      <c r="F479"/>
      <c r="H479" s="355" t="s">
        <v>150</v>
      </c>
      <c r="I479" s="351">
        <v>8</v>
      </c>
    </row>
    <row r="480" spans="2:9" ht="15" x14ac:dyDescent="0.25">
      <c r="B480" s="355" t="s">
        <v>192</v>
      </c>
      <c r="C480" s="351">
        <v>73</v>
      </c>
      <c r="E480"/>
      <c r="F480"/>
      <c r="H480" s="355" t="s">
        <v>192</v>
      </c>
      <c r="I480" s="351">
        <v>52</v>
      </c>
    </row>
    <row r="481" spans="2:9" ht="15" x14ac:dyDescent="0.25">
      <c r="B481" s="355" t="s">
        <v>154</v>
      </c>
      <c r="C481" s="351">
        <v>16</v>
      </c>
      <c r="E481"/>
      <c r="F481"/>
      <c r="H481" s="355" t="s">
        <v>154</v>
      </c>
      <c r="I481" s="351">
        <v>32</v>
      </c>
    </row>
    <row r="482" spans="2:9" ht="15" x14ac:dyDescent="0.25">
      <c r="B482" s="356" t="s">
        <v>156</v>
      </c>
      <c r="C482" s="351">
        <v>2</v>
      </c>
      <c r="E482"/>
      <c r="F482"/>
      <c r="H482" s="356" t="s">
        <v>156</v>
      </c>
      <c r="I482" s="351">
        <v>22</v>
      </c>
    </row>
    <row r="483" spans="2:9" ht="15" x14ac:dyDescent="0.25">
      <c r="B483" s="357" t="s">
        <v>265</v>
      </c>
      <c r="C483" s="352">
        <v>120</v>
      </c>
      <c r="E483"/>
      <c r="F483"/>
      <c r="H483" s="357" t="s">
        <v>265</v>
      </c>
      <c r="I483" s="352">
        <v>136</v>
      </c>
    </row>
    <row r="484" spans="2:9" ht="15" x14ac:dyDescent="0.25">
      <c r="B484"/>
      <c r="C484"/>
      <c r="E484"/>
      <c r="F484"/>
      <c r="H484"/>
      <c r="I484"/>
    </row>
    <row r="485" spans="2:9" ht="15" x14ac:dyDescent="0.25">
      <c r="B485"/>
      <c r="C485"/>
      <c r="E485"/>
      <c r="F485"/>
      <c r="H485"/>
      <c r="I485"/>
    </row>
    <row r="486" spans="2:9" ht="15" x14ac:dyDescent="0.25">
      <c r="B486"/>
      <c r="C486"/>
      <c r="E486"/>
      <c r="F486"/>
      <c r="H486"/>
      <c r="I486"/>
    </row>
    <row r="487" spans="2:9" ht="15" x14ac:dyDescent="0.25">
      <c r="B487"/>
      <c r="C487"/>
      <c r="E487" s="129"/>
      <c r="F487" s="129"/>
      <c r="H487"/>
      <c r="I487"/>
    </row>
    <row r="488" spans="2:9" ht="15" x14ac:dyDescent="0.25">
      <c r="B488"/>
      <c r="C488"/>
      <c r="E488" s="129"/>
      <c r="F488" s="129"/>
      <c r="H488"/>
      <c r="I488"/>
    </row>
    <row r="489" spans="2:9" ht="15" x14ac:dyDescent="0.25">
      <c r="B489"/>
      <c r="C489"/>
      <c r="E489" s="129"/>
      <c r="F489" s="129"/>
      <c r="H489"/>
      <c r="I489"/>
    </row>
    <row r="490" spans="2:9" ht="15" x14ac:dyDescent="0.25">
      <c r="B490"/>
      <c r="C490"/>
      <c r="E490" s="129"/>
      <c r="F490" s="129"/>
      <c r="H490"/>
      <c r="I490"/>
    </row>
    <row r="493" spans="2:9" x14ac:dyDescent="0.2">
      <c r="B493" s="128" t="s">
        <v>1708</v>
      </c>
      <c r="E493" s="128" t="s">
        <v>1709</v>
      </c>
    </row>
    <row r="494" spans="2:9" x14ac:dyDescent="0.2">
      <c r="B494" s="347" t="s">
        <v>255</v>
      </c>
      <c r="C494" s="348" t="s">
        <v>256</v>
      </c>
      <c r="E494" s="347" t="s">
        <v>255</v>
      </c>
      <c r="F494" s="348" t="s">
        <v>256</v>
      </c>
      <c r="H494" s="128" t="s">
        <v>1710</v>
      </c>
    </row>
    <row r="495" spans="2:9" x14ac:dyDescent="0.2">
      <c r="B495" s="347" t="s">
        <v>279</v>
      </c>
      <c r="C495" s="348" t="s">
        <v>266</v>
      </c>
      <c r="E495" s="347" t="s">
        <v>279</v>
      </c>
      <c r="F495" s="348" t="s">
        <v>267</v>
      </c>
      <c r="H495" s="347" t="s">
        <v>255</v>
      </c>
      <c r="I495" s="348" t="s">
        <v>256</v>
      </c>
    </row>
    <row r="496" spans="2:9" x14ac:dyDescent="0.2">
      <c r="B496" s="347" t="s">
        <v>272</v>
      </c>
      <c r="C496" s="348" t="s">
        <v>1692</v>
      </c>
      <c r="E496" s="347" t="s">
        <v>272</v>
      </c>
      <c r="F496" s="348" t="s">
        <v>1692</v>
      </c>
      <c r="H496" s="347" t="s">
        <v>279</v>
      </c>
      <c r="I496" s="348" t="s">
        <v>266</v>
      </c>
    </row>
    <row r="497" spans="2:9" x14ac:dyDescent="0.2">
      <c r="B497" s="347" t="s">
        <v>271</v>
      </c>
      <c r="C497" s="348" t="s">
        <v>256</v>
      </c>
      <c r="E497" s="347" t="s">
        <v>271</v>
      </c>
      <c r="F497" s="348" t="s">
        <v>256</v>
      </c>
      <c r="H497" s="347" t="s">
        <v>272</v>
      </c>
      <c r="I497" s="348" t="s">
        <v>256</v>
      </c>
    </row>
    <row r="498" spans="2:9" x14ac:dyDescent="0.2">
      <c r="H498" s="347" t="s">
        <v>271</v>
      </c>
      <c r="I498" s="348" t="s">
        <v>256</v>
      </c>
    </row>
    <row r="499" spans="2:9" x14ac:dyDescent="0.2">
      <c r="B499" s="349" t="s">
        <v>259</v>
      </c>
      <c r="C499" s="353" t="s">
        <v>1639</v>
      </c>
      <c r="E499" s="349" t="s">
        <v>259</v>
      </c>
      <c r="F499" s="353" t="s">
        <v>1639</v>
      </c>
    </row>
    <row r="500" spans="2:9" x14ac:dyDescent="0.2">
      <c r="B500" s="334" t="s">
        <v>167</v>
      </c>
      <c r="C500" s="350">
        <v>16</v>
      </c>
      <c r="E500" s="334" t="s">
        <v>167</v>
      </c>
      <c r="F500" s="350">
        <v>1</v>
      </c>
      <c r="H500" s="349" t="s">
        <v>259</v>
      </c>
      <c r="I500" s="353" t="s">
        <v>1639</v>
      </c>
    </row>
    <row r="501" spans="2:9" x14ac:dyDescent="0.2">
      <c r="B501" s="334" t="s">
        <v>197</v>
      </c>
      <c r="C501" s="351">
        <v>264</v>
      </c>
      <c r="E501" s="334" t="s">
        <v>197</v>
      </c>
      <c r="F501" s="351">
        <v>2</v>
      </c>
      <c r="H501" s="334" t="s">
        <v>197</v>
      </c>
      <c r="I501" s="350">
        <v>0</v>
      </c>
    </row>
    <row r="502" spans="2:9" x14ac:dyDescent="0.2">
      <c r="B502" s="334" t="s">
        <v>198</v>
      </c>
      <c r="C502" s="351">
        <v>3</v>
      </c>
      <c r="E502" s="334" t="s">
        <v>198</v>
      </c>
      <c r="F502" s="351">
        <v>14</v>
      </c>
      <c r="H502" s="334" t="s">
        <v>198</v>
      </c>
      <c r="I502" s="351">
        <v>11</v>
      </c>
    </row>
    <row r="503" spans="2:9" x14ac:dyDescent="0.2">
      <c r="B503" s="334" t="s">
        <v>174</v>
      </c>
      <c r="C503" s="351">
        <v>92</v>
      </c>
      <c r="E503" s="334" t="s">
        <v>174</v>
      </c>
      <c r="F503" s="351">
        <v>1</v>
      </c>
      <c r="H503" s="334" t="s">
        <v>174</v>
      </c>
      <c r="I503" s="351">
        <v>-2</v>
      </c>
    </row>
    <row r="504" spans="2:9" x14ac:dyDescent="0.2">
      <c r="B504" s="334" t="s">
        <v>199</v>
      </c>
      <c r="C504" s="351">
        <v>10</v>
      </c>
      <c r="E504" s="334" t="s">
        <v>199</v>
      </c>
      <c r="F504" s="351">
        <v>20</v>
      </c>
      <c r="H504" s="334" t="s">
        <v>199</v>
      </c>
      <c r="I504" s="351">
        <v>7</v>
      </c>
    </row>
    <row r="505" spans="2:9" x14ac:dyDescent="0.2">
      <c r="B505" s="334" t="s">
        <v>200</v>
      </c>
      <c r="C505" s="351">
        <v>27</v>
      </c>
      <c r="E505" s="334" t="s">
        <v>200</v>
      </c>
      <c r="F505" s="351">
        <v>476</v>
      </c>
      <c r="H505" s="334" t="s">
        <v>200</v>
      </c>
      <c r="I505" s="351">
        <v>85</v>
      </c>
    </row>
    <row r="506" spans="2:9" x14ac:dyDescent="0.2">
      <c r="B506" s="334" t="s">
        <v>201</v>
      </c>
      <c r="C506" s="351">
        <v>74</v>
      </c>
      <c r="E506" s="334" t="s">
        <v>201</v>
      </c>
      <c r="F506" s="351">
        <v>28</v>
      </c>
      <c r="H506" s="334" t="s">
        <v>201</v>
      </c>
      <c r="I506" s="351">
        <v>11</v>
      </c>
    </row>
    <row r="507" spans="2:9" x14ac:dyDescent="0.2">
      <c r="B507" s="334" t="s">
        <v>202</v>
      </c>
      <c r="C507" s="351">
        <v>394</v>
      </c>
      <c r="E507" s="334" t="s">
        <v>202</v>
      </c>
      <c r="F507" s="351">
        <v>62</v>
      </c>
      <c r="H507" s="334" t="s">
        <v>202</v>
      </c>
      <c r="I507" s="351">
        <v>6</v>
      </c>
    </row>
    <row r="508" spans="2:9" x14ac:dyDescent="0.2">
      <c r="B508" s="334" t="s">
        <v>203</v>
      </c>
      <c r="C508" s="351">
        <v>12</v>
      </c>
      <c r="E508" s="334" t="s">
        <v>203</v>
      </c>
      <c r="F508" s="351">
        <v>3</v>
      </c>
      <c r="H508" s="334" t="s">
        <v>203</v>
      </c>
      <c r="I508" s="351">
        <v>2</v>
      </c>
    </row>
    <row r="509" spans="2:9" x14ac:dyDescent="0.2">
      <c r="B509" s="357" t="s">
        <v>265</v>
      </c>
      <c r="C509" s="352">
        <v>892</v>
      </c>
      <c r="E509" s="357" t="s">
        <v>265</v>
      </c>
      <c r="F509" s="352">
        <v>607</v>
      </c>
      <c r="H509" s="357" t="s">
        <v>265</v>
      </c>
      <c r="I509" s="352">
        <v>120</v>
      </c>
    </row>
    <row r="513" spans="2:9" x14ac:dyDescent="0.2">
      <c r="B513" s="128" t="s">
        <v>1711</v>
      </c>
    </row>
    <row r="514" spans="2:9" x14ac:dyDescent="0.2">
      <c r="B514" s="347" t="s">
        <v>279</v>
      </c>
      <c r="C514" s="348" t="s">
        <v>267</v>
      </c>
      <c r="H514" s="128" t="s">
        <v>1712</v>
      </c>
    </row>
    <row r="515" spans="2:9" x14ac:dyDescent="0.2">
      <c r="B515" s="347" t="s">
        <v>272</v>
      </c>
      <c r="C515" s="348" t="s">
        <v>256</v>
      </c>
      <c r="H515" s="347" t="s">
        <v>255</v>
      </c>
      <c r="I515" s="348" t="s">
        <v>256</v>
      </c>
    </row>
    <row r="516" spans="2:9" x14ac:dyDescent="0.2">
      <c r="B516" s="347" t="s">
        <v>271</v>
      </c>
      <c r="C516" s="348" t="s">
        <v>256</v>
      </c>
      <c r="H516" s="347" t="s">
        <v>279</v>
      </c>
      <c r="I516" s="348" t="s">
        <v>256</v>
      </c>
    </row>
    <row r="517" spans="2:9" x14ac:dyDescent="0.2">
      <c r="H517" s="347" t="s">
        <v>272</v>
      </c>
      <c r="I517" s="348" t="s">
        <v>370</v>
      </c>
    </row>
    <row r="518" spans="2:9" x14ac:dyDescent="0.2">
      <c r="B518" s="349" t="s">
        <v>259</v>
      </c>
      <c r="C518" s="353" t="s">
        <v>1639</v>
      </c>
      <c r="H518" s="347" t="s">
        <v>271</v>
      </c>
      <c r="I518" s="348" t="s">
        <v>1692</v>
      </c>
    </row>
    <row r="519" spans="2:9" x14ac:dyDescent="0.2">
      <c r="B519" s="334" t="s">
        <v>167</v>
      </c>
      <c r="C519" s="350">
        <v>2</v>
      </c>
    </row>
    <row r="520" spans="2:9" ht="15" x14ac:dyDescent="0.25">
      <c r="B520" s="334" t="s">
        <v>198</v>
      </c>
      <c r="C520" s="351">
        <v>3</v>
      </c>
      <c r="E520"/>
      <c r="F520"/>
      <c r="H520" s="349" t="s">
        <v>259</v>
      </c>
      <c r="I520" s="353" t="s">
        <v>1639</v>
      </c>
    </row>
    <row r="521" spans="2:9" ht="15" x14ac:dyDescent="0.25">
      <c r="B521" s="334" t="s">
        <v>199</v>
      </c>
      <c r="C521" s="351">
        <v>16</v>
      </c>
      <c r="E521"/>
      <c r="F521"/>
      <c r="H521" s="334" t="s">
        <v>167</v>
      </c>
      <c r="I521" s="350">
        <v>6</v>
      </c>
    </row>
    <row r="522" spans="2:9" ht="15" x14ac:dyDescent="0.25">
      <c r="B522" s="334" t="s">
        <v>200</v>
      </c>
      <c r="C522" s="351">
        <v>11</v>
      </c>
      <c r="E522"/>
      <c r="F522"/>
      <c r="H522" s="334" t="s">
        <v>198</v>
      </c>
      <c r="I522" s="351">
        <v>34</v>
      </c>
    </row>
    <row r="523" spans="2:9" ht="15" x14ac:dyDescent="0.25">
      <c r="B523" s="334" t="s">
        <v>201</v>
      </c>
      <c r="C523" s="351">
        <v>70</v>
      </c>
      <c r="E523"/>
      <c r="F523"/>
      <c r="H523" s="334" t="s">
        <v>174</v>
      </c>
      <c r="I523" s="351">
        <v>2</v>
      </c>
    </row>
    <row r="524" spans="2:9" ht="15" x14ac:dyDescent="0.25">
      <c r="B524" s="334" t="s">
        <v>202</v>
      </c>
      <c r="C524" s="351">
        <v>16</v>
      </c>
      <c r="E524"/>
      <c r="F524"/>
      <c r="H524" s="334" t="s">
        <v>199</v>
      </c>
      <c r="I524" s="351">
        <v>16</v>
      </c>
    </row>
    <row r="525" spans="2:9" ht="15" x14ac:dyDescent="0.25">
      <c r="B525" s="334" t="s">
        <v>203</v>
      </c>
      <c r="C525" s="351">
        <v>2</v>
      </c>
      <c r="E525"/>
      <c r="F525"/>
      <c r="H525" s="334" t="s">
        <v>200</v>
      </c>
      <c r="I525" s="351">
        <v>6</v>
      </c>
    </row>
    <row r="526" spans="2:9" ht="15" x14ac:dyDescent="0.25">
      <c r="B526" s="357" t="s">
        <v>265</v>
      </c>
      <c r="C526" s="352">
        <v>120</v>
      </c>
      <c r="E526"/>
      <c r="F526"/>
      <c r="H526" s="334" t="s">
        <v>201</v>
      </c>
      <c r="I526" s="351">
        <v>18</v>
      </c>
    </row>
    <row r="527" spans="2:9" ht="15" x14ac:dyDescent="0.25">
      <c r="B527"/>
      <c r="C527"/>
      <c r="E527"/>
      <c r="F527"/>
      <c r="H527" s="334" t="s">
        <v>202</v>
      </c>
      <c r="I527" s="351">
        <v>32</v>
      </c>
    </row>
    <row r="528" spans="2:9" ht="15" x14ac:dyDescent="0.25">
      <c r="B528"/>
      <c r="C528"/>
      <c r="E528"/>
      <c r="F528"/>
      <c r="H528" s="334" t="s">
        <v>203</v>
      </c>
      <c r="I528" s="351">
        <v>22</v>
      </c>
    </row>
    <row r="529" spans="2:13" ht="15" x14ac:dyDescent="0.25">
      <c r="E529"/>
      <c r="F529"/>
      <c r="H529" s="357" t="s">
        <v>265</v>
      </c>
      <c r="I529" s="352">
        <v>136</v>
      </c>
    </row>
    <row r="530" spans="2:13" ht="15" x14ac:dyDescent="0.25">
      <c r="E530" s="129"/>
      <c r="F530" s="129"/>
      <c r="H530"/>
      <c r="I530"/>
    </row>
    <row r="531" spans="2:13" ht="15" x14ac:dyDescent="0.25">
      <c r="B531"/>
      <c r="C531"/>
      <c r="E531" s="129"/>
      <c r="F531" s="129"/>
      <c r="H531"/>
      <c r="I531"/>
    </row>
    <row r="532" spans="2:13" ht="15" x14ac:dyDescent="0.25">
      <c r="B532"/>
      <c r="C532"/>
      <c r="E532" s="129"/>
      <c r="F532" s="129"/>
      <c r="H532"/>
      <c r="I532"/>
    </row>
    <row r="533" spans="2:13" ht="15" x14ac:dyDescent="0.25">
      <c r="B533" s="128" t="s">
        <v>1713</v>
      </c>
      <c r="C533"/>
      <c r="E533" s="129"/>
      <c r="F533" s="129"/>
      <c r="H533"/>
      <c r="I533"/>
    </row>
    <row r="534" spans="2:13" ht="15.75" thickBot="1" x14ac:dyDescent="0.3">
      <c r="B534"/>
      <c r="C534"/>
      <c r="E534" s="129"/>
      <c r="F534" s="129"/>
      <c r="H534"/>
      <c r="I534"/>
    </row>
    <row r="535" spans="2:13" ht="13.5" thickBot="1" x14ac:dyDescent="0.25">
      <c r="B535" s="325" t="s">
        <v>279</v>
      </c>
      <c r="C535" s="326" t="s">
        <v>256</v>
      </c>
    </row>
    <row r="536" spans="2:13" ht="13.5" thickBot="1" x14ac:dyDescent="0.25"/>
    <row r="537" spans="2:13" x14ac:dyDescent="0.2">
      <c r="B537" s="327" t="s">
        <v>259</v>
      </c>
      <c r="C537" s="336" t="s">
        <v>1644</v>
      </c>
      <c r="D537" s="336" t="s">
        <v>1645</v>
      </c>
      <c r="E537" s="336" t="s">
        <v>1646</v>
      </c>
      <c r="F537" s="336" t="s">
        <v>1647</v>
      </c>
      <c r="G537" s="336" t="s">
        <v>1648</v>
      </c>
      <c r="H537" s="336" t="s">
        <v>1696</v>
      </c>
      <c r="I537" s="336" t="s">
        <v>1697</v>
      </c>
      <c r="J537" s="336" t="s">
        <v>1698</v>
      </c>
      <c r="K537" s="336" t="s">
        <v>1699</v>
      </c>
      <c r="L537" s="336" t="s">
        <v>1700</v>
      </c>
      <c r="M537" s="328" t="s">
        <v>1654</v>
      </c>
    </row>
    <row r="538" spans="2:13" x14ac:dyDescent="0.2">
      <c r="B538" s="329" t="s">
        <v>190</v>
      </c>
      <c r="C538" s="360"/>
      <c r="D538" s="360"/>
      <c r="E538" s="360">
        <v>35.6666666666667</v>
      </c>
      <c r="F538" s="360">
        <v>35.666666666666664</v>
      </c>
      <c r="G538" s="360">
        <v>387.66666666666669</v>
      </c>
      <c r="H538" s="360">
        <v>693</v>
      </c>
      <c r="I538" s="360"/>
      <c r="J538" s="360">
        <v>23</v>
      </c>
      <c r="K538" s="360"/>
      <c r="L538" s="360"/>
      <c r="M538" s="361">
        <v>1175</v>
      </c>
    </row>
    <row r="539" spans="2:13" x14ac:dyDescent="0.2">
      <c r="B539" s="329" t="s">
        <v>150</v>
      </c>
      <c r="C539" s="360"/>
      <c r="D539" s="360"/>
      <c r="E539" s="360"/>
      <c r="F539" s="360"/>
      <c r="G539" s="360"/>
      <c r="H539" s="360">
        <v>50</v>
      </c>
      <c r="I539" s="360">
        <v>50</v>
      </c>
      <c r="J539" s="360">
        <v>50</v>
      </c>
      <c r="K539" s="360">
        <v>50</v>
      </c>
      <c r="L539" s="360">
        <v>50</v>
      </c>
      <c r="M539" s="361">
        <v>250</v>
      </c>
    </row>
    <row r="540" spans="2:13" x14ac:dyDescent="0.2">
      <c r="B540" s="329" t="s">
        <v>192</v>
      </c>
      <c r="C540" s="360"/>
      <c r="D540" s="360"/>
      <c r="E540" s="360">
        <v>33.333333333333336</v>
      </c>
      <c r="F540" s="360">
        <v>33.333333333333336</v>
      </c>
      <c r="G540" s="360">
        <v>53.333333333333336</v>
      </c>
      <c r="H540" s="360"/>
      <c r="I540" s="360">
        <v>5</v>
      </c>
      <c r="J540" s="360">
        <v>5</v>
      </c>
      <c r="K540" s="360">
        <v>5</v>
      </c>
      <c r="L540" s="360">
        <v>5</v>
      </c>
      <c r="M540" s="361">
        <v>140</v>
      </c>
    </row>
    <row r="541" spans="2:13" x14ac:dyDescent="0.2">
      <c r="B541" s="329" t="s">
        <v>154</v>
      </c>
      <c r="C541" s="360"/>
      <c r="D541" s="360"/>
      <c r="E541" s="360"/>
      <c r="F541" s="360">
        <v>10</v>
      </c>
      <c r="G541" s="360">
        <v>10</v>
      </c>
      <c r="H541" s="360"/>
      <c r="I541" s="360"/>
      <c r="J541" s="360"/>
      <c r="K541" s="360"/>
      <c r="L541" s="360"/>
      <c r="M541" s="361">
        <v>20</v>
      </c>
    </row>
    <row r="542" spans="2:13" x14ac:dyDescent="0.2">
      <c r="B542" s="329" t="s">
        <v>156</v>
      </c>
      <c r="C542" s="360"/>
      <c r="D542" s="360"/>
      <c r="E542" s="360"/>
      <c r="F542" s="360">
        <v>10</v>
      </c>
      <c r="G542" s="360">
        <v>10</v>
      </c>
      <c r="H542" s="360"/>
      <c r="I542" s="360"/>
      <c r="J542" s="360"/>
      <c r="K542" s="360"/>
      <c r="L542" s="360"/>
      <c r="M542" s="361">
        <v>20</v>
      </c>
    </row>
    <row r="543" spans="2:13" x14ac:dyDescent="0.2">
      <c r="B543" s="329" t="s">
        <v>1643</v>
      </c>
      <c r="C543" s="360">
        <v>20</v>
      </c>
      <c r="D543" s="360">
        <v>20</v>
      </c>
      <c r="E543" s="360">
        <v>234</v>
      </c>
      <c r="F543" s="360">
        <v>234</v>
      </c>
      <c r="G543" s="360">
        <v>234</v>
      </c>
      <c r="H543" s="360">
        <v>234</v>
      </c>
      <c r="I543" s="360">
        <v>234</v>
      </c>
      <c r="J543" s="360">
        <v>234</v>
      </c>
      <c r="K543" s="360">
        <v>306</v>
      </c>
      <c r="L543" s="360">
        <v>306</v>
      </c>
      <c r="M543" s="361">
        <v>2056</v>
      </c>
    </row>
    <row r="544" spans="2:13" ht="13.5" thickBot="1" x14ac:dyDescent="0.25">
      <c r="B544" s="331" t="s">
        <v>265</v>
      </c>
      <c r="C544" s="362">
        <v>20</v>
      </c>
      <c r="D544" s="362">
        <v>20</v>
      </c>
      <c r="E544" s="362">
        <v>303</v>
      </c>
      <c r="F544" s="362">
        <v>323</v>
      </c>
      <c r="G544" s="362">
        <v>695</v>
      </c>
      <c r="H544" s="362">
        <v>977</v>
      </c>
      <c r="I544" s="362">
        <v>289</v>
      </c>
      <c r="J544" s="362">
        <v>312</v>
      </c>
      <c r="K544" s="362">
        <v>361</v>
      </c>
      <c r="L544" s="362">
        <v>361</v>
      </c>
      <c r="M544" s="363">
        <v>3661</v>
      </c>
    </row>
    <row r="547" spans="2:13" ht="15" x14ac:dyDescent="0.25">
      <c r="B547" s="128" t="s">
        <v>1714</v>
      </c>
      <c r="C547"/>
      <c r="D547"/>
      <c r="E547"/>
      <c r="F547"/>
      <c r="G547"/>
      <c r="H547"/>
      <c r="I547"/>
      <c r="J547"/>
      <c r="K547"/>
      <c r="L547"/>
      <c r="M547"/>
    </row>
    <row r="548" spans="2:13" ht="15.75" thickBot="1" x14ac:dyDescent="0.3">
      <c r="B548"/>
      <c r="C548"/>
    </row>
    <row r="549" spans="2:13" ht="13.5" thickBot="1" x14ac:dyDescent="0.25">
      <c r="B549" s="325" t="s">
        <v>279</v>
      </c>
      <c r="C549" s="326" t="s">
        <v>256</v>
      </c>
    </row>
    <row r="550" spans="2:13" ht="13.5" thickBot="1" x14ac:dyDescent="0.25"/>
    <row r="551" spans="2:13" x14ac:dyDescent="0.2">
      <c r="B551" s="327" t="s">
        <v>259</v>
      </c>
      <c r="C551" s="336" t="s">
        <v>1644</v>
      </c>
      <c r="D551" s="336" t="s">
        <v>1645</v>
      </c>
      <c r="E551" s="336" t="s">
        <v>1646</v>
      </c>
      <c r="F551" s="336" t="s">
        <v>1647</v>
      </c>
      <c r="G551" s="336" t="s">
        <v>1648</v>
      </c>
      <c r="H551" s="336" t="s">
        <v>1696</v>
      </c>
      <c r="I551" s="336" t="s">
        <v>1697</v>
      </c>
      <c r="J551" s="336" t="s">
        <v>1698</v>
      </c>
      <c r="K551" s="336" t="s">
        <v>1699</v>
      </c>
      <c r="L551" s="336" t="s">
        <v>1700</v>
      </c>
      <c r="M551" s="328" t="s">
        <v>1654</v>
      </c>
    </row>
    <row r="552" spans="2:13" x14ac:dyDescent="0.2">
      <c r="B552" s="329" t="s">
        <v>198</v>
      </c>
      <c r="C552" s="360"/>
      <c r="D552" s="360"/>
      <c r="E552" s="360">
        <v>33.333333333333336</v>
      </c>
      <c r="F552" s="360">
        <v>33.333333333333336</v>
      </c>
      <c r="G552" s="360">
        <v>33.333333333333336</v>
      </c>
      <c r="H552" s="360"/>
      <c r="I552" s="360"/>
      <c r="J552" s="360"/>
      <c r="K552" s="360"/>
      <c r="L552" s="360"/>
      <c r="M552" s="361">
        <v>100</v>
      </c>
    </row>
    <row r="553" spans="2:13" x14ac:dyDescent="0.2">
      <c r="B553" s="329" t="s">
        <v>199</v>
      </c>
      <c r="C553" s="360"/>
      <c r="D553" s="360"/>
      <c r="E553" s="360">
        <v>35.6666666666667</v>
      </c>
      <c r="F553" s="360">
        <v>35.666666666666664</v>
      </c>
      <c r="G553" s="360">
        <v>387.66666666666669</v>
      </c>
      <c r="H553" s="360">
        <v>693</v>
      </c>
      <c r="I553" s="360"/>
      <c r="J553" s="360">
        <v>23</v>
      </c>
      <c r="K553" s="360"/>
      <c r="L553" s="360"/>
      <c r="M553" s="361">
        <v>1175</v>
      </c>
    </row>
    <row r="554" spans="2:13" x14ac:dyDescent="0.2">
      <c r="B554" s="329" t="s">
        <v>200</v>
      </c>
      <c r="C554" s="360"/>
      <c r="D554" s="360"/>
      <c r="E554" s="360"/>
      <c r="F554" s="360"/>
      <c r="G554" s="360"/>
      <c r="H554" s="360">
        <v>50</v>
      </c>
      <c r="I554" s="360">
        <v>50</v>
      </c>
      <c r="J554" s="360">
        <v>50</v>
      </c>
      <c r="K554" s="360">
        <v>50</v>
      </c>
      <c r="L554" s="360">
        <v>50</v>
      </c>
      <c r="M554" s="361">
        <v>250</v>
      </c>
    </row>
    <row r="555" spans="2:13" x14ac:dyDescent="0.2">
      <c r="B555" s="329" t="s">
        <v>201</v>
      </c>
      <c r="C555" s="360"/>
      <c r="D555" s="360"/>
      <c r="E555" s="360"/>
      <c r="F555" s="360"/>
      <c r="G555" s="360">
        <v>20</v>
      </c>
      <c r="H555" s="360"/>
      <c r="I555" s="360">
        <v>5</v>
      </c>
      <c r="J555" s="360">
        <v>5</v>
      </c>
      <c r="K555" s="360">
        <v>5</v>
      </c>
      <c r="L555" s="360">
        <v>5</v>
      </c>
      <c r="M555" s="361">
        <v>40</v>
      </c>
    </row>
    <row r="556" spans="2:13" x14ac:dyDescent="0.2">
      <c r="B556" s="329" t="s">
        <v>202</v>
      </c>
      <c r="C556" s="360"/>
      <c r="D556" s="360"/>
      <c r="E556" s="360"/>
      <c r="F556" s="360">
        <v>10</v>
      </c>
      <c r="G556" s="360">
        <v>10</v>
      </c>
      <c r="H556" s="360"/>
      <c r="I556" s="360"/>
      <c r="J556" s="360"/>
      <c r="K556" s="360"/>
      <c r="L556" s="360"/>
      <c r="M556" s="361">
        <v>20</v>
      </c>
    </row>
    <row r="557" spans="2:13" x14ac:dyDescent="0.2">
      <c r="B557" s="329" t="s">
        <v>203</v>
      </c>
      <c r="C557" s="360"/>
      <c r="D557" s="360"/>
      <c r="E557" s="360"/>
      <c r="F557" s="360">
        <v>10</v>
      </c>
      <c r="G557" s="360">
        <v>10</v>
      </c>
      <c r="H557" s="360"/>
      <c r="I557" s="360"/>
      <c r="J557" s="360"/>
      <c r="K557" s="360"/>
      <c r="L557" s="360"/>
      <c r="M557" s="361">
        <v>20</v>
      </c>
    </row>
    <row r="558" spans="2:13" x14ac:dyDescent="0.2">
      <c r="B558" s="329" t="s">
        <v>1643</v>
      </c>
      <c r="C558" s="360">
        <v>20</v>
      </c>
      <c r="D558" s="360">
        <v>20</v>
      </c>
      <c r="E558" s="360">
        <v>234</v>
      </c>
      <c r="F558" s="360">
        <v>234</v>
      </c>
      <c r="G558" s="360">
        <v>234</v>
      </c>
      <c r="H558" s="360">
        <v>234</v>
      </c>
      <c r="I558" s="360">
        <v>234</v>
      </c>
      <c r="J558" s="360">
        <v>234</v>
      </c>
      <c r="K558" s="360">
        <v>306</v>
      </c>
      <c r="L558" s="360">
        <v>306</v>
      </c>
      <c r="M558" s="361">
        <v>2056</v>
      </c>
    </row>
    <row r="559" spans="2:13" ht="13.5" thickBot="1" x14ac:dyDescent="0.25">
      <c r="B559" s="331" t="s">
        <v>265</v>
      </c>
      <c r="C559" s="362">
        <v>20</v>
      </c>
      <c r="D559" s="362">
        <v>20</v>
      </c>
      <c r="E559" s="362">
        <v>303</v>
      </c>
      <c r="F559" s="362">
        <v>323</v>
      </c>
      <c r="G559" s="362">
        <v>695</v>
      </c>
      <c r="H559" s="362">
        <v>977</v>
      </c>
      <c r="I559" s="362">
        <v>289</v>
      </c>
      <c r="J559" s="362">
        <v>312</v>
      </c>
      <c r="K559" s="362">
        <v>361</v>
      </c>
      <c r="L559" s="362">
        <v>361</v>
      </c>
      <c r="M559" s="363">
        <v>3661</v>
      </c>
    </row>
    <row r="563" spans="2:5" x14ac:dyDescent="0.2">
      <c r="B563" s="128" t="s">
        <v>1715</v>
      </c>
    </row>
    <row r="564" spans="2:5" ht="15.75" thickBot="1" x14ac:dyDescent="0.3">
      <c r="B564"/>
      <c r="C564"/>
    </row>
    <row r="565" spans="2:5" x14ac:dyDescent="0.2">
      <c r="B565" s="327"/>
      <c r="C565" s="336" t="s">
        <v>258</v>
      </c>
      <c r="D565" s="336"/>
      <c r="E565" s="328"/>
    </row>
    <row r="566" spans="2:5" x14ac:dyDescent="0.2">
      <c r="B566" s="364"/>
      <c r="C566" s="128" t="s">
        <v>355</v>
      </c>
      <c r="D566" s="128" t="s">
        <v>436</v>
      </c>
      <c r="E566" s="330" t="s">
        <v>265</v>
      </c>
    </row>
    <row r="567" spans="2:5" ht="13.5" thickBot="1" x14ac:dyDescent="0.25">
      <c r="B567" s="345" t="s">
        <v>1716</v>
      </c>
      <c r="C567" s="338">
        <v>1.9221004566210049</v>
      </c>
      <c r="D567" s="338">
        <v>2.0584474885844748</v>
      </c>
      <c r="E567" s="339">
        <v>1.9285931724287892</v>
      </c>
    </row>
  </sheetData>
  <pageMargins left="0.7" right="0.7" top="0.75" bottom="0.75" header="0.3" footer="0.3"/>
  <pageSetup paperSize="9" orientation="portrait" r:id="rId71"/>
  <headerFooter>
    <oddHeader>&amp;L&amp;"Calibri"&amp;10&amp;K000000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76BB9-528D-4139-8A7D-3DABAA0C4398}">
  <dimension ref="A1:AO9"/>
  <sheetViews>
    <sheetView zoomScale="90" zoomScaleNormal="90" zoomScaleSheetLayoutView="100" workbookViewId="0">
      <pane ySplit="1" topLeftCell="A2" activePane="bottomLeft" state="frozen"/>
      <selection activeCell="B2" sqref="B2:Z3"/>
      <selection pane="bottomLeft"/>
    </sheetView>
  </sheetViews>
  <sheetFormatPr defaultColWidth="9.140625" defaultRowHeight="15" x14ac:dyDescent="0.25"/>
  <cols>
    <col min="1" max="1" width="16.7109375" customWidth="1"/>
    <col min="2" max="2" width="13.140625" customWidth="1"/>
    <col min="3" max="3" width="17.7109375" bestFit="1" customWidth="1"/>
    <col min="4" max="5" width="12" customWidth="1"/>
    <col min="6" max="6" width="12.5703125" bestFit="1" customWidth="1"/>
    <col min="7" max="7" width="13.5703125" customWidth="1"/>
    <col min="8" max="8" width="21.5703125" bestFit="1" customWidth="1"/>
    <col min="9" max="9" width="36.28515625" customWidth="1"/>
    <col min="10" max="10" width="44" customWidth="1"/>
    <col min="11" max="11" width="10.42578125" customWidth="1"/>
    <col min="12" max="21" width="12.28515625" customWidth="1"/>
    <col min="22" max="22" width="12.7109375" customWidth="1"/>
    <col min="23" max="23" width="14.140625" customWidth="1"/>
    <col min="24" max="24" width="13.85546875" customWidth="1"/>
    <col min="25" max="28" width="9.140625" customWidth="1"/>
    <col min="29" max="29" width="13.85546875" customWidth="1"/>
    <col min="36" max="40" width="9.140625" customWidth="1"/>
    <col min="41" max="41" width="10.7109375" customWidth="1"/>
  </cols>
  <sheetData>
    <row r="1" spans="1:41" s="252" customFormat="1" ht="75" x14ac:dyDescent="0.25">
      <c r="A1" s="251" t="s">
        <v>270</v>
      </c>
      <c r="B1" s="252" t="s">
        <v>271</v>
      </c>
      <c r="C1" s="252" t="s">
        <v>272</v>
      </c>
      <c r="D1" s="252" t="s">
        <v>273</v>
      </c>
      <c r="E1" s="252" t="s">
        <v>274</v>
      </c>
      <c r="F1" s="252" t="s">
        <v>275</v>
      </c>
      <c r="G1" s="252" t="s">
        <v>278</v>
      </c>
      <c r="H1" s="252" t="s">
        <v>279</v>
      </c>
      <c r="I1" s="252" t="s">
        <v>283</v>
      </c>
      <c r="J1" s="252" t="s">
        <v>284</v>
      </c>
      <c r="K1" s="252" t="s">
        <v>285</v>
      </c>
      <c r="L1" s="252" t="s">
        <v>1717</v>
      </c>
      <c r="M1" s="252" t="s">
        <v>1718</v>
      </c>
      <c r="N1" s="252" t="s">
        <v>1719</v>
      </c>
      <c r="O1" s="252" t="s">
        <v>1720</v>
      </c>
      <c r="P1" s="252" t="s">
        <v>1721</v>
      </c>
      <c r="Q1" s="252" t="s">
        <v>1722</v>
      </c>
      <c r="R1" s="252" t="s">
        <v>1723</v>
      </c>
      <c r="S1" s="252" t="s">
        <v>1724</v>
      </c>
      <c r="T1" s="252" t="s">
        <v>1725</v>
      </c>
      <c r="U1" s="252" t="s">
        <v>1726</v>
      </c>
      <c r="V1" s="252" t="s">
        <v>1727</v>
      </c>
      <c r="W1" s="252" t="s">
        <v>1728</v>
      </c>
      <c r="X1" s="252" t="s">
        <v>1729</v>
      </c>
      <c r="Y1" s="252" t="s">
        <v>1730</v>
      </c>
      <c r="Z1" s="252" t="s">
        <v>1731</v>
      </c>
      <c r="AA1" s="252" t="s">
        <v>1732</v>
      </c>
      <c r="AB1" s="252" t="s">
        <v>1733</v>
      </c>
      <c r="AC1" s="252" t="s">
        <v>1734</v>
      </c>
      <c r="AD1" s="246" t="s">
        <v>316</v>
      </c>
      <c r="AE1" s="247" t="s">
        <v>317</v>
      </c>
      <c r="AF1" s="247" t="s">
        <v>318</v>
      </c>
      <c r="AG1" s="248" t="s">
        <v>319</v>
      </c>
      <c r="AH1" s="248" t="s">
        <v>320</v>
      </c>
      <c r="AI1" s="249" t="s">
        <v>321</v>
      </c>
      <c r="AJ1" s="248" t="s">
        <v>322</v>
      </c>
      <c r="AK1" s="248" t="s">
        <v>323</v>
      </c>
      <c r="AL1" s="248" t="s">
        <v>324</v>
      </c>
      <c r="AM1" s="248" t="s">
        <v>325</v>
      </c>
      <c r="AN1" s="249" t="s">
        <v>326</v>
      </c>
      <c r="AO1" s="245" t="s">
        <v>1735</v>
      </c>
    </row>
    <row r="2" spans="1:41" ht="15" customHeight="1" x14ac:dyDescent="0.25">
      <c r="A2" t="s">
        <v>1736</v>
      </c>
      <c r="B2" t="s">
        <v>369</v>
      </c>
      <c r="C2" t="s">
        <v>1737</v>
      </c>
      <c r="D2" s="1">
        <v>45457</v>
      </c>
      <c r="E2" s="1">
        <v>46552</v>
      </c>
      <c r="F2" s="1">
        <v>45689</v>
      </c>
      <c r="G2" s="1">
        <v>45719</v>
      </c>
      <c r="H2" s="2" t="s">
        <v>354</v>
      </c>
      <c r="I2" t="s">
        <v>1738</v>
      </c>
      <c r="J2" t="s">
        <v>1739</v>
      </c>
      <c r="K2" t="s">
        <v>1740</v>
      </c>
      <c r="N2">
        <v>9</v>
      </c>
      <c r="O2">
        <v>9</v>
      </c>
      <c r="Y2" s="293"/>
      <c r="AC2" s="191">
        <v>9</v>
      </c>
      <c r="AD2" s="190">
        <f>AC2</f>
        <v>9</v>
      </c>
      <c r="AO2" s="194"/>
    </row>
    <row r="3" spans="1:41" ht="15" customHeight="1" x14ac:dyDescent="0.25">
      <c r="A3" t="s">
        <v>1741</v>
      </c>
      <c r="B3" t="s">
        <v>369</v>
      </c>
      <c r="C3" t="s">
        <v>1742</v>
      </c>
      <c r="D3" s="1">
        <v>45442</v>
      </c>
      <c r="E3" s="1">
        <v>45442</v>
      </c>
      <c r="F3" s="1">
        <v>45442</v>
      </c>
      <c r="G3" s="1">
        <v>45442</v>
      </c>
      <c r="H3" s="2" t="s">
        <v>354</v>
      </c>
      <c r="I3" t="s">
        <v>1743</v>
      </c>
      <c r="J3" t="s">
        <v>1744</v>
      </c>
      <c r="K3" t="s">
        <v>1745</v>
      </c>
      <c r="Q3">
        <v>8</v>
      </c>
      <c r="R3">
        <v>8</v>
      </c>
      <c r="Y3" s="293">
        <f>R3/1.8</f>
        <v>4.4444444444444446</v>
      </c>
      <c r="AC3" s="190">
        <f>Y3</f>
        <v>4.4444444444444446</v>
      </c>
      <c r="AD3" s="190">
        <f>AC3</f>
        <v>4.4444444444444446</v>
      </c>
      <c r="AO3" s="194"/>
    </row>
    <row r="4" spans="1:41" ht="15" customHeight="1" x14ac:dyDescent="0.25">
      <c r="A4" t="s">
        <v>717</v>
      </c>
      <c r="B4" t="s">
        <v>382</v>
      </c>
      <c r="C4" t="s">
        <v>1742</v>
      </c>
      <c r="D4" s="1">
        <v>43811</v>
      </c>
      <c r="E4" s="1">
        <v>44907</v>
      </c>
      <c r="F4" s="1">
        <v>43920</v>
      </c>
      <c r="H4" t="s">
        <v>266</v>
      </c>
      <c r="I4" t="s">
        <v>718</v>
      </c>
      <c r="J4" t="s">
        <v>1746</v>
      </c>
      <c r="K4" t="s">
        <v>1747</v>
      </c>
      <c r="L4" s="192"/>
      <c r="M4" s="192"/>
      <c r="N4" s="192"/>
      <c r="O4" s="192"/>
      <c r="P4" s="192">
        <v>14</v>
      </c>
      <c r="Q4" s="192">
        <v>0</v>
      </c>
      <c r="R4" s="192">
        <f>Q4-P4</f>
        <v>-14</v>
      </c>
      <c r="S4" s="192"/>
      <c r="T4" s="192"/>
      <c r="U4" s="192"/>
      <c r="V4" s="192"/>
      <c r="W4" s="192"/>
      <c r="X4" s="192"/>
      <c r="Y4" s="193">
        <f>R4/1.8</f>
        <v>-7.7777777777777777</v>
      </c>
      <c r="Z4" s="193"/>
      <c r="AA4" s="192"/>
      <c r="AB4" s="192"/>
      <c r="AC4" s="193">
        <f>Y4</f>
        <v>-7.7777777777777777</v>
      </c>
      <c r="AE4" s="194">
        <v>-8</v>
      </c>
      <c r="AO4" s="194">
        <f>SUM(AE4:AI4)</f>
        <v>-8</v>
      </c>
    </row>
    <row r="5" spans="1:41" ht="15" customHeight="1" x14ac:dyDescent="0.25">
      <c r="A5" t="s">
        <v>717</v>
      </c>
      <c r="B5" t="s">
        <v>382</v>
      </c>
      <c r="C5" t="s">
        <v>1748</v>
      </c>
      <c r="D5" s="1">
        <v>43811</v>
      </c>
      <c r="E5" s="1">
        <v>44907</v>
      </c>
      <c r="F5" s="1">
        <v>43920</v>
      </c>
      <c r="H5" t="s">
        <v>266</v>
      </c>
      <c r="I5" t="s">
        <v>718</v>
      </c>
      <c r="J5" t="s">
        <v>1749</v>
      </c>
      <c r="K5" t="s">
        <v>1747</v>
      </c>
      <c r="L5" s="192"/>
      <c r="M5" s="192"/>
      <c r="N5" s="192"/>
      <c r="O5" s="192"/>
      <c r="P5" s="192"/>
      <c r="Q5" s="192"/>
      <c r="R5" s="192"/>
      <c r="S5" s="192">
        <v>0</v>
      </c>
      <c r="T5" s="192">
        <v>10</v>
      </c>
      <c r="U5" s="192">
        <v>10</v>
      </c>
      <c r="V5" s="192"/>
      <c r="W5" s="192"/>
      <c r="X5" s="192"/>
      <c r="Y5" s="192"/>
      <c r="Z5" s="193">
        <f>U5/2.5</f>
        <v>4</v>
      </c>
      <c r="AA5" s="192"/>
      <c r="AB5" s="192"/>
      <c r="AC5" s="193">
        <f>Z5</f>
        <v>4</v>
      </c>
      <c r="AE5" s="194">
        <v>4</v>
      </c>
      <c r="AO5" s="194">
        <f t="shared" ref="AO5:AO9" si="0">SUM(AE5:AI5)</f>
        <v>4</v>
      </c>
    </row>
    <row r="6" spans="1:41" ht="15" customHeight="1" x14ac:dyDescent="0.25">
      <c r="A6" t="s">
        <v>1750</v>
      </c>
      <c r="B6" t="s">
        <v>382</v>
      </c>
      <c r="C6" t="s">
        <v>1737</v>
      </c>
      <c r="D6" s="1">
        <v>45315</v>
      </c>
      <c r="E6" s="1">
        <v>46411</v>
      </c>
      <c r="F6" s="1">
        <v>45372</v>
      </c>
      <c r="G6" s="1"/>
      <c r="H6" s="2" t="s">
        <v>266</v>
      </c>
      <c r="I6" t="s">
        <v>1751</v>
      </c>
      <c r="J6" t="s">
        <v>1752</v>
      </c>
      <c r="K6" t="s">
        <v>1753</v>
      </c>
      <c r="N6">
        <v>50</v>
      </c>
      <c r="O6">
        <v>50</v>
      </c>
      <c r="AC6">
        <v>50</v>
      </c>
      <c r="AF6">
        <v>50</v>
      </c>
      <c r="AO6" s="194">
        <f t="shared" si="0"/>
        <v>50</v>
      </c>
    </row>
    <row r="7" spans="1:41" x14ac:dyDescent="0.25">
      <c r="A7" t="s">
        <v>1313</v>
      </c>
      <c r="B7" t="s">
        <v>369</v>
      </c>
      <c r="C7" t="s">
        <v>1748</v>
      </c>
      <c r="D7" s="1">
        <v>45517</v>
      </c>
      <c r="E7" s="1">
        <v>46612</v>
      </c>
      <c r="F7" s="1">
        <v>45748</v>
      </c>
      <c r="H7" t="s">
        <v>266</v>
      </c>
      <c r="I7" t="s">
        <v>1754</v>
      </c>
      <c r="J7" t="s">
        <v>1315</v>
      </c>
      <c r="K7" t="s">
        <v>1316</v>
      </c>
      <c r="S7">
        <v>15</v>
      </c>
      <c r="T7">
        <v>0</v>
      </c>
      <c r="U7" s="192">
        <f>T7-S7</f>
        <v>-15</v>
      </c>
      <c r="Y7" s="193"/>
      <c r="Z7" s="193">
        <f>U7/2.5</f>
        <v>-6</v>
      </c>
      <c r="AC7" s="194">
        <f>Z7</f>
        <v>-6</v>
      </c>
      <c r="AE7" s="194">
        <f>AC7</f>
        <v>-6</v>
      </c>
      <c r="AO7" s="194">
        <f t="shared" si="0"/>
        <v>-6</v>
      </c>
    </row>
    <row r="8" spans="1:41" x14ac:dyDescent="0.25">
      <c r="A8" t="s">
        <v>1755</v>
      </c>
      <c r="B8" t="s">
        <v>382</v>
      </c>
      <c r="C8" t="s">
        <v>1737</v>
      </c>
      <c r="D8" s="1">
        <v>45058</v>
      </c>
      <c r="E8" s="1">
        <v>46154</v>
      </c>
      <c r="F8" s="1">
        <v>45901</v>
      </c>
      <c r="H8" t="s">
        <v>267</v>
      </c>
      <c r="I8" t="s">
        <v>1756</v>
      </c>
      <c r="J8" t="s">
        <v>1757</v>
      </c>
      <c r="K8" t="s">
        <v>1758</v>
      </c>
      <c r="L8" s="192"/>
      <c r="M8" s="192"/>
      <c r="N8" s="192">
        <v>88</v>
      </c>
      <c r="O8" s="192">
        <v>88</v>
      </c>
      <c r="P8" s="192"/>
      <c r="Q8" s="192"/>
      <c r="R8" s="192"/>
      <c r="S8" s="192"/>
      <c r="T8" s="192"/>
      <c r="U8" s="192"/>
      <c r="V8" s="192"/>
      <c r="W8" s="192"/>
      <c r="X8" s="192"/>
      <c r="Y8" s="192"/>
      <c r="Z8" s="193"/>
      <c r="AA8" s="192"/>
      <c r="AB8" s="192"/>
      <c r="AC8" s="193">
        <v>88</v>
      </c>
      <c r="AF8" s="190">
        <v>44</v>
      </c>
      <c r="AG8" s="190">
        <f>$AC$8/2</f>
        <v>44</v>
      </c>
      <c r="AH8" s="190"/>
      <c r="AI8" s="190"/>
      <c r="AO8" s="194">
        <f t="shared" si="0"/>
        <v>88</v>
      </c>
    </row>
    <row r="9" spans="1:41" x14ac:dyDescent="0.25">
      <c r="A9" t="s">
        <v>1145</v>
      </c>
      <c r="B9" t="s">
        <v>369</v>
      </c>
      <c r="C9" t="s">
        <v>1748</v>
      </c>
      <c r="D9" s="250">
        <v>45408</v>
      </c>
      <c r="E9" s="250">
        <v>46503</v>
      </c>
      <c r="H9" t="s">
        <v>267</v>
      </c>
      <c r="I9" t="s">
        <v>1759</v>
      </c>
      <c r="J9" t="s">
        <v>1147</v>
      </c>
      <c r="S9">
        <v>216</v>
      </c>
      <c r="T9">
        <v>0</v>
      </c>
      <c r="U9">
        <v>-216</v>
      </c>
      <c r="Z9" s="193">
        <f>U9/2.5</f>
        <v>-86.4</v>
      </c>
      <c r="AC9" s="194">
        <f>Z9</f>
        <v>-86.4</v>
      </c>
      <c r="AE9" s="194"/>
      <c r="AF9">
        <f>AC9/2</f>
        <v>-43.2</v>
      </c>
      <c r="AG9">
        <f>AC9/2</f>
        <v>-43.2</v>
      </c>
      <c r="AO9" s="194">
        <f t="shared" si="0"/>
        <v>-86.4</v>
      </c>
    </row>
  </sheetData>
  <autoFilter ref="A1:AO4" xr:uid="{9A8A56E0-F946-4697-BF11-950A0C96D0E2}">
    <sortState xmlns:xlrd2="http://schemas.microsoft.com/office/spreadsheetml/2017/richdata2" ref="A2:AO10">
      <sortCondition ref="H1:H4"/>
    </sortState>
  </autoFilter>
  <conditionalFormatting sqref="A3">
    <cfRule type="duplicateValues" dxfId="6" priority="1"/>
    <cfRule type="duplicateValues" dxfId="5" priority="2"/>
  </conditionalFormatting>
  <conditionalFormatting sqref="A5">
    <cfRule type="duplicateValues" dxfId="4" priority="14"/>
  </conditionalFormatting>
  <conditionalFormatting sqref="A7:A8">
    <cfRule type="duplicateValues" dxfId="3" priority="15"/>
    <cfRule type="duplicateValues" dxfId="2" priority="16"/>
  </conditionalFormatting>
  <conditionalFormatting sqref="A9">
    <cfRule type="duplicateValues" dxfId="1" priority="5"/>
    <cfRule type="duplicateValues" dxfId="0" priority="6"/>
  </conditionalFormatting>
  <pageMargins left="0.7" right="0.7" top="0.75" bottom="0.75" header="0.3" footer="0.3"/>
  <pageSetup paperSize="9" orientation="portrait" r:id="rId1"/>
  <headerFooter>
    <oddHeader>&amp;L&amp;"Calibri"&amp;10&amp;K000000 Official&amp;1#_x000D_</oddHeader>
  </headerFooter>
  <rowBreaks count="1" manualBreakCount="1">
    <brk id="24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B3BF8-2FBA-4DC3-91F0-CEC091C1B115}">
  <sheetPr>
    <pageSetUpPr fitToPage="1"/>
  </sheetPr>
  <dimension ref="B2:Z18"/>
  <sheetViews>
    <sheetView zoomScaleNormal="100" zoomScaleSheetLayoutView="100" workbookViewId="0">
      <selection activeCell="B2" sqref="B2:Z2"/>
    </sheetView>
  </sheetViews>
  <sheetFormatPr defaultColWidth="9.140625" defaultRowHeight="12" x14ac:dyDescent="0.2"/>
  <cols>
    <col min="1" max="1" width="5.7109375" style="134" customWidth="1"/>
    <col min="2" max="2" width="12.28515625" style="134" bestFit="1" customWidth="1"/>
    <col min="3" max="3" width="36.85546875" style="135" customWidth="1"/>
    <col min="4" max="20" width="6.5703125" style="134" bestFit="1" customWidth="1"/>
    <col min="21" max="26" width="6.5703125" style="134" customWidth="1"/>
    <col min="27" max="16384" width="9.140625" style="134"/>
  </cols>
  <sheetData>
    <row r="2" spans="2:26" s="25" customFormat="1" ht="50.1" customHeight="1" x14ac:dyDescent="0.2">
      <c r="B2" s="464" t="s">
        <v>0</v>
      </c>
      <c r="C2" s="465"/>
      <c r="D2" s="465"/>
      <c r="E2" s="465"/>
      <c r="F2" s="465"/>
      <c r="G2" s="465"/>
      <c r="H2" s="465"/>
      <c r="I2" s="465"/>
      <c r="J2" s="465"/>
      <c r="K2" s="465"/>
      <c r="L2" s="465"/>
      <c r="M2" s="465"/>
      <c r="N2" s="465"/>
      <c r="O2" s="465"/>
      <c r="P2" s="465"/>
      <c r="Q2" s="465"/>
      <c r="R2" s="465"/>
      <c r="S2" s="465"/>
      <c r="T2" s="465"/>
      <c r="U2" s="465"/>
      <c r="V2" s="465"/>
      <c r="W2" s="465"/>
      <c r="X2" s="465"/>
      <c r="Y2" s="465"/>
      <c r="Z2" s="466"/>
    </row>
    <row r="3" spans="2:26" x14ac:dyDescent="0.2">
      <c r="B3" s="195"/>
      <c r="C3" s="196"/>
      <c r="D3" s="197"/>
      <c r="E3" s="197"/>
      <c r="F3" s="197"/>
      <c r="G3" s="197"/>
      <c r="H3" s="197"/>
      <c r="I3" s="197"/>
      <c r="J3" s="197"/>
      <c r="K3" s="197"/>
      <c r="L3" s="197"/>
      <c r="M3" s="197"/>
      <c r="N3" s="197"/>
      <c r="O3" s="197"/>
      <c r="P3" s="197"/>
      <c r="Q3" s="197"/>
      <c r="R3" s="197"/>
      <c r="S3" s="197"/>
      <c r="T3" s="197"/>
      <c r="U3" s="197"/>
      <c r="V3" s="197"/>
      <c r="W3" s="197"/>
      <c r="X3" s="197"/>
      <c r="Y3" s="197"/>
      <c r="Z3" s="197"/>
    </row>
    <row r="4" spans="2:26" ht="20.100000000000001" customHeight="1" x14ac:dyDescent="0.2">
      <c r="B4" s="467" t="s">
        <v>1760</v>
      </c>
      <c r="C4" s="468"/>
      <c r="D4" s="468"/>
      <c r="E4" s="468"/>
      <c r="F4" s="468"/>
      <c r="G4" s="468"/>
      <c r="H4" s="468"/>
      <c r="I4" s="468"/>
      <c r="J4" s="468"/>
      <c r="K4" s="468"/>
      <c r="L4" s="468"/>
      <c r="M4" s="468"/>
      <c r="N4" s="468"/>
      <c r="O4" s="468"/>
      <c r="P4" s="468"/>
      <c r="Q4" s="468"/>
      <c r="R4" s="468"/>
      <c r="S4" s="468"/>
      <c r="T4" s="468"/>
      <c r="U4" s="468"/>
      <c r="V4" s="468"/>
      <c r="W4" s="468"/>
      <c r="X4" s="468"/>
      <c r="Y4" s="468"/>
      <c r="Z4" s="469"/>
    </row>
    <row r="5" spans="2:26" ht="12.75" customHeight="1" x14ac:dyDescent="0.2">
      <c r="B5" s="470" t="s">
        <v>1761</v>
      </c>
      <c r="C5" s="471"/>
      <c r="D5" s="472" t="s">
        <v>1762</v>
      </c>
      <c r="E5" s="473"/>
      <c r="F5" s="473"/>
      <c r="G5" s="473"/>
      <c r="H5" s="473"/>
      <c r="I5" s="474" t="s">
        <v>1763</v>
      </c>
      <c r="J5" s="475"/>
      <c r="K5" s="475"/>
      <c r="L5" s="475"/>
      <c r="M5" s="475"/>
      <c r="N5" s="475"/>
      <c r="O5" s="475"/>
      <c r="P5" s="475"/>
      <c r="Q5" s="475"/>
      <c r="R5" s="476"/>
      <c r="S5" s="136"/>
      <c r="T5" s="137"/>
      <c r="U5" s="137"/>
      <c r="V5" s="137"/>
      <c r="W5" s="137"/>
      <c r="X5" s="137"/>
      <c r="Y5" s="137"/>
      <c r="Z5" s="138"/>
    </row>
    <row r="6" spans="2:26" ht="12" customHeight="1" x14ac:dyDescent="0.2">
      <c r="B6" s="477" t="s">
        <v>1764</v>
      </c>
      <c r="C6" s="478"/>
      <c r="D6" s="299">
        <v>10</v>
      </c>
      <c r="E6" s="300">
        <f>D6-1</f>
        <v>9</v>
      </c>
      <c r="F6" s="300">
        <f t="shared" ref="F6:R6" si="0">E6-1</f>
        <v>8</v>
      </c>
      <c r="G6" s="300">
        <f t="shared" si="0"/>
        <v>7</v>
      </c>
      <c r="H6" s="301">
        <f t="shared" si="0"/>
        <v>6</v>
      </c>
      <c r="I6" s="299">
        <v>10</v>
      </c>
      <c r="J6" s="300">
        <v>9</v>
      </c>
      <c r="K6" s="300">
        <f t="shared" si="0"/>
        <v>8</v>
      </c>
      <c r="L6" s="300">
        <f t="shared" si="0"/>
        <v>7</v>
      </c>
      <c r="M6" s="300">
        <f t="shared" si="0"/>
        <v>6</v>
      </c>
      <c r="N6" s="300">
        <f t="shared" si="0"/>
        <v>5</v>
      </c>
      <c r="O6" s="300">
        <f t="shared" si="0"/>
        <v>4</v>
      </c>
      <c r="P6" s="300">
        <f t="shared" si="0"/>
        <v>3</v>
      </c>
      <c r="Q6" s="300">
        <f t="shared" si="0"/>
        <v>2</v>
      </c>
      <c r="R6" s="301">
        <f t="shared" si="0"/>
        <v>1</v>
      </c>
      <c r="S6" s="300"/>
      <c r="T6" s="300"/>
      <c r="U6" s="300"/>
      <c r="V6" s="300"/>
      <c r="W6" s="300"/>
      <c r="X6" s="300"/>
      <c r="Y6" s="300"/>
      <c r="Z6" s="301"/>
    </row>
    <row r="7" spans="2:26" ht="12.75" customHeight="1" x14ac:dyDescent="0.2">
      <c r="B7" s="282"/>
      <c r="C7" s="283"/>
      <c r="D7" s="139"/>
      <c r="E7" s="139"/>
      <c r="F7" s="139"/>
      <c r="G7" s="139"/>
      <c r="H7" s="139"/>
      <c r="I7" s="139"/>
      <c r="J7" s="139"/>
      <c r="K7" s="139"/>
      <c r="L7" s="479" t="s">
        <v>1765</v>
      </c>
      <c r="M7" s="480"/>
      <c r="N7" s="480"/>
      <c r="O7" s="480"/>
      <c r="P7" s="480"/>
      <c r="Q7" s="480"/>
      <c r="R7" s="480"/>
      <c r="S7" s="480"/>
      <c r="T7" s="480"/>
      <c r="U7" s="481"/>
      <c r="V7" s="140"/>
      <c r="W7" s="140"/>
      <c r="X7" s="140"/>
      <c r="Y7" s="140"/>
      <c r="Z7" s="141"/>
    </row>
    <row r="8" spans="2:26" ht="12.75" customHeight="1" x14ac:dyDescent="0.2">
      <c r="B8" s="284"/>
      <c r="C8" s="285"/>
      <c r="D8" s="139"/>
      <c r="E8" s="139"/>
      <c r="F8" s="139"/>
      <c r="G8" s="139"/>
      <c r="H8" s="139"/>
      <c r="I8" s="139"/>
      <c r="J8" s="139"/>
      <c r="K8" s="139"/>
      <c r="L8" s="299">
        <v>10</v>
      </c>
      <c r="M8" s="302">
        <v>9</v>
      </c>
      <c r="N8" s="302">
        <f t="shared" ref="N8:U8" si="1">M8-1</f>
        <v>8</v>
      </c>
      <c r="O8" s="302">
        <f t="shared" si="1"/>
        <v>7</v>
      </c>
      <c r="P8" s="302">
        <f t="shared" si="1"/>
        <v>6</v>
      </c>
      <c r="Q8" s="302">
        <f t="shared" si="1"/>
        <v>5</v>
      </c>
      <c r="R8" s="302">
        <f t="shared" si="1"/>
        <v>4</v>
      </c>
      <c r="S8" s="302">
        <f t="shared" si="1"/>
        <v>3</v>
      </c>
      <c r="T8" s="302">
        <f t="shared" si="1"/>
        <v>2</v>
      </c>
      <c r="U8" s="303">
        <f t="shared" si="1"/>
        <v>1</v>
      </c>
      <c r="V8" s="142"/>
      <c r="W8" s="142"/>
      <c r="X8" s="142"/>
      <c r="Y8" s="142"/>
      <c r="Z8" s="143"/>
    </row>
    <row r="9" spans="2:26" ht="12.75" customHeight="1" x14ac:dyDescent="0.2">
      <c r="B9" s="284"/>
      <c r="C9" s="285"/>
      <c r="D9" s="139"/>
      <c r="E9" s="139"/>
      <c r="F9" s="139"/>
      <c r="G9" s="139"/>
      <c r="H9" s="139"/>
      <c r="I9" s="139"/>
      <c r="J9" s="139"/>
      <c r="K9" s="139"/>
      <c r="L9" s="479" t="s">
        <v>1766</v>
      </c>
      <c r="M9" s="480"/>
      <c r="N9" s="480"/>
      <c r="O9" s="480"/>
      <c r="P9" s="480"/>
      <c r="Q9" s="480"/>
      <c r="R9" s="480"/>
      <c r="S9" s="480"/>
      <c r="T9" s="480"/>
      <c r="U9" s="480"/>
      <c r="V9" s="480"/>
      <c r="W9" s="480"/>
      <c r="X9" s="480"/>
      <c r="Y9" s="480"/>
      <c r="Z9" s="481"/>
    </row>
    <row r="10" spans="2:26" ht="12.75" customHeight="1" x14ac:dyDescent="0.2">
      <c r="B10" s="286"/>
      <c r="C10" s="287"/>
      <c r="D10" s="139"/>
      <c r="E10" s="139"/>
      <c r="F10" s="139"/>
      <c r="G10" s="139"/>
      <c r="H10" s="139"/>
      <c r="I10" s="139"/>
      <c r="J10" s="139"/>
      <c r="K10" s="139"/>
      <c r="L10" s="299">
        <v>15</v>
      </c>
      <c r="M10" s="300">
        <v>14</v>
      </c>
      <c r="N10" s="300">
        <v>13</v>
      </c>
      <c r="O10" s="300">
        <f t="shared" ref="O10:Z10" si="2">N10-1</f>
        <v>12</v>
      </c>
      <c r="P10" s="300">
        <f t="shared" si="2"/>
        <v>11</v>
      </c>
      <c r="Q10" s="300">
        <f t="shared" si="2"/>
        <v>10</v>
      </c>
      <c r="R10" s="300">
        <f t="shared" si="2"/>
        <v>9</v>
      </c>
      <c r="S10" s="300">
        <f t="shared" si="2"/>
        <v>8</v>
      </c>
      <c r="T10" s="300">
        <f t="shared" si="2"/>
        <v>7</v>
      </c>
      <c r="U10" s="300">
        <f t="shared" si="2"/>
        <v>6</v>
      </c>
      <c r="V10" s="300">
        <f t="shared" si="2"/>
        <v>5</v>
      </c>
      <c r="W10" s="300">
        <f t="shared" si="2"/>
        <v>4</v>
      </c>
      <c r="X10" s="300">
        <f t="shared" si="2"/>
        <v>3</v>
      </c>
      <c r="Y10" s="300">
        <f t="shared" si="2"/>
        <v>2</v>
      </c>
      <c r="Z10" s="301">
        <f t="shared" si="2"/>
        <v>1</v>
      </c>
    </row>
    <row r="11" spans="2:26" ht="12.75" thickBot="1" x14ac:dyDescent="0.25">
      <c r="B11" s="482" t="s">
        <v>80</v>
      </c>
      <c r="C11" s="483"/>
      <c r="D11" s="144" t="s">
        <v>97</v>
      </c>
      <c r="E11" s="145" t="s">
        <v>98</v>
      </c>
      <c r="F11" s="145" t="s">
        <v>99</v>
      </c>
      <c r="G11" s="145" t="s">
        <v>100</v>
      </c>
      <c r="H11" s="145" t="s">
        <v>101</v>
      </c>
      <c r="I11" s="146" t="s">
        <v>8</v>
      </c>
      <c r="J11" s="146" t="s">
        <v>9</v>
      </c>
      <c r="K11" s="146" t="s">
        <v>102</v>
      </c>
      <c r="L11" s="146" t="s">
        <v>11</v>
      </c>
      <c r="M11" s="146" t="s">
        <v>1767</v>
      </c>
      <c r="N11" s="146" t="s">
        <v>1768</v>
      </c>
      <c r="O11" s="146" t="s">
        <v>1769</v>
      </c>
      <c r="P11" s="146" t="s">
        <v>1770</v>
      </c>
      <c r="Q11" s="146" t="s">
        <v>1771</v>
      </c>
      <c r="R11" s="146" t="s">
        <v>1772</v>
      </c>
      <c r="S11" s="145" t="s">
        <v>1773</v>
      </c>
      <c r="T11" s="147" t="s">
        <v>1774</v>
      </c>
      <c r="U11" s="144" t="s">
        <v>1775</v>
      </c>
      <c r="V11" s="144" t="s">
        <v>1776</v>
      </c>
      <c r="W11" s="144" t="s">
        <v>327</v>
      </c>
      <c r="X11" s="144" t="s">
        <v>328</v>
      </c>
      <c r="Y11" s="144" t="s">
        <v>329</v>
      </c>
      <c r="Z11" s="148" t="s">
        <v>330</v>
      </c>
    </row>
    <row r="12" spans="2:26" ht="23.1" customHeight="1" thickBot="1" x14ac:dyDescent="0.25">
      <c r="B12" s="484" t="s">
        <v>81</v>
      </c>
      <c r="C12" s="149" t="s">
        <v>1777</v>
      </c>
      <c r="D12" s="150">
        <v>460</v>
      </c>
      <c r="E12" s="150">
        <v>382</v>
      </c>
      <c r="F12" s="150">
        <v>419</v>
      </c>
      <c r="G12" s="150">
        <v>331</v>
      </c>
      <c r="H12" s="151">
        <v>206</v>
      </c>
      <c r="I12" s="152">
        <v>163</v>
      </c>
      <c r="J12" s="153">
        <v>137</v>
      </c>
      <c r="K12" s="154">
        <v>109</v>
      </c>
      <c r="L12" s="154">
        <f>'Summary Tables'!K8</f>
        <v>93.444444444444443</v>
      </c>
      <c r="M12" s="154"/>
      <c r="N12" s="154"/>
      <c r="O12" s="154"/>
      <c r="P12" s="154"/>
      <c r="Q12" s="153"/>
      <c r="R12" s="155"/>
      <c r="S12" s="156"/>
      <c r="T12" s="157"/>
      <c r="U12" s="150"/>
      <c r="V12" s="150"/>
      <c r="W12" s="150"/>
      <c r="X12" s="150"/>
      <c r="Y12" s="150"/>
      <c r="Z12" s="150"/>
    </row>
    <row r="13" spans="2:26" ht="23.1" customHeight="1" thickBot="1" x14ac:dyDescent="0.25">
      <c r="B13" s="484"/>
      <c r="C13" s="149" t="s">
        <v>1778</v>
      </c>
      <c r="D13" s="158"/>
      <c r="E13" s="159"/>
      <c r="F13" s="160"/>
      <c r="G13" s="161"/>
      <c r="H13" s="162"/>
      <c r="I13" s="163"/>
      <c r="J13" s="164"/>
      <c r="K13" s="164"/>
      <c r="L13" s="164"/>
      <c r="M13" s="201">
        <f>GETPIVOTDATA("Sum of 2025/26 (1)",Pivot!$B$414)+GETPIVOTDATA("Sum of 2025/26 (1)",Pivot!$B$422)</f>
        <v>202.25</v>
      </c>
      <c r="N13" s="165">
        <f>GETPIVOTDATA("Sum of 2026/27 (2)",Pivot!$B$414)+GETPIVOTDATA("Sum of 2026/27 (2)",Pivot!$B$422)</f>
        <v>526.79999999999995</v>
      </c>
      <c r="O13" s="165">
        <f>GETPIVOTDATA("Sum of 2027/28 (3)",Pivot!$B$414)+GETPIVOTDATA("Sum of 2027/28 (3)",Pivot!$B$422)</f>
        <v>662.8</v>
      </c>
      <c r="P13" s="165">
        <f>GETPIVOTDATA("Sum of 2028/29 (4)",Pivot!$B$414)+GETPIVOTDATA("Sum of 2028/29 (4)",Pivot!$B$422)</f>
        <v>652</v>
      </c>
      <c r="Q13" s="166">
        <f>GETPIVOTDATA("Sum of 2029/30 (5)",Pivot!$B$414)+GETPIVOTDATA("Sum of 2029/30 (5)",Pivot!$B$422)</f>
        <v>1143.75</v>
      </c>
      <c r="R13" s="202">
        <f>GETPIVOTDATA("Sum of 2030/31 (6)",Pivot!$B$414)</f>
        <v>845</v>
      </c>
      <c r="S13" s="167">
        <f>GETPIVOTDATA("Sum of 2031/32 (7)",Pivot!$B$414)</f>
        <v>324</v>
      </c>
      <c r="T13" s="167">
        <f>GETPIVOTDATA("Sum of 2032/33 (8)",Pivot!$B$414)</f>
        <v>461</v>
      </c>
      <c r="U13" s="168">
        <f>GETPIVOTDATA("Sum of 2033/34 (9)",Pivot!$B$414)</f>
        <v>399</v>
      </c>
      <c r="V13" s="169">
        <f>GETPIVOTDATA("Sum of 2034/35 (10)",Pivot!$B$414)</f>
        <v>361</v>
      </c>
      <c r="W13" s="170">
        <v>306</v>
      </c>
      <c r="X13" s="150">
        <v>306</v>
      </c>
      <c r="Y13" s="150">
        <v>306</v>
      </c>
      <c r="Z13" s="150">
        <v>306</v>
      </c>
    </row>
    <row r="14" spans="2:26" ht="23.1" customHeight="1" x14ac:dyDescent="0.2">
      <c r="B14" s="484"/>
      <c r="C14" s="149" t="s">
        <v>1779</v>
      </c>
      <c r="D14" s="169">
        <f>D12</f>
        <v>460</v>
      </c>
      <c r="E14" s="169">
        <f>D14+E12</f>
        <v>842</v>
      </c>
      <c r="F14" s="169">
        <f>E14+F12</f>
        <v>1261</v>
      </c>
      <c r="G14" s="169">
        <f>F14+G12</f>
        <v>1592</v>
      </c>
      <c r="H14" s="171">
        <f>G14+H12</f>
        <v>1798</v>
      </c>
      <c r="I14" s="172">
        <f>I12</f>
        <v>163</v>
      </c>
      <c r="J14" s="173">
        <f>J12+I12</f>
        <v>300</v>
      </c>
      <c r="K14" s="174">
        <f>J14+K12</f>
        <v>409</v>
      </c>
      <c r="L14" s="174">
        <f>K14+L12</f>
        <v>502.44444444444446</v>
      </c>
      <c r="M14" s="175">
        <f t="shared" ref="M14:Z14" si="3">L14+M13</f>
        <v>704.69444444444446</v>
      </c>
      <c r="N14" s="175">
        <f t="shared" si="3"/>
        <v>1231.4944444444445</v>
      </c>
      <c r="O14" s="175">
        <f t="shared" si="3"/>
        <v>1894.2944444444445</v>
      </c>
      <c r="P14" s="175">
        <f t="shared" si="3"/>
        <v>2546.2944444444447</v>
      </c>
      <c r="Q14" s="260">
        <f t="shared" si="3"/>
        <v>3690.0444444444447</v>
      </c>
      <c r="R14" s="177">
        <f t="shared" si="3"/>
        <v>4535.0444444444447</v>
      </c>
      <c r="S14" s="178">
        <f t="shared" si="3"/>
        <v>4859.0444444444447</v>
      </c>
      <c r="T14" s="176">
        <f t="shared" si="3"/>
        <v>5320.0444444444447</v>
      </c>
      <c r="U14" s="176">
        <f t="shared" si="3"/>
        <v>5719.0444444444447</v>
      </c>
      <c r="V14" s="176">
        <f t="shared" si="3"/>
        <v>6080.0444444444447</v>
      </c>
      <c r="W14" s="176">
        <f t="shared" si="3"/>
        <v>6386.0444444444447</v>
      </c>
      <c r="X14" s="176">
        <f t="shared" si="3"/>
        <v>6692.0444444444447</v>
      </c>
      <c r="Y14" s="176">
        <f t="shared" si="3"/>
        <v>6998.0444444444447</v>
      </c>
      <c r="Z14" s="176">
        <f t="shared" si="3"/>
        <v>7304.0444444444447</v>
      </c>
    </row>
    <row r="15" spans="2:26" ht="23.1" customHeight="1" x14ac:dyDescent="0.2">
      <c r="B15" s="485" t="s">
        <v>82</v>
      </c>
      <c r="C15" s="179" t="s">
        <v>1780</v>
      </c>
      <c r="D15" s="169">
        <v>315</v>
      </c>
      <c r="E15" s="169">
        <v>315</v>
      </c>
      <c r="F15" s="169">
        <v>315</v>
      </c>
      <c r="G15" s="169">
        <v>315</v>
      </c>
      <c r="H15" s="171">
        <v>315</v>
      </c>
      <c r="I15" s="180">
        <v>210</v>
      </c>
      <c r="J15" s="169">
        <v>210</v>
      </c>
      <c r="K15" s="169">
        <v>210</v>
      </c>
      <c r="L15" s="169">
        <v>210</v>
      </c>
      <c r="M15" s="169">
        <v>420</v>
      </c>
      <c r="N15" s="169">
        <v>420</v>
      </c>
      <c r="O15" s="169">
        <v>420</v>
      </c>
      <c r="P15" s="169">
        <v>670</v>
      </c>
      <c r="Q15" s="169">
        <v>670</v>
      </c>
      <c r="R15" s="181">
        <v>670</v>
      </c>
      <c r="S15" s="182">
        <v>306</v>
      </c>
      <c r="T15" s="169">
        <v>306</v>
      </c>
      <c r="U15" s="169">
        <v>306</v>
      </c>
      <c r="V15" s="169">
        <v>306</v>
      </c>
      <c r="W15" s="169">
        <v>306</v>
      </c>
      <c r="X15" s="169">
        <v>306</v>
      </c>
      <c r="Y15" s="169">
        <v>306</v>
      </c>
      <c r="Z15" s="169">
        <v>306</v>
      </c>
    </row>
    <row r="16" spans="2:26" ht="23.1" customHeight="1" x14ac:dyDescent="0.2">
      <c r="B16" s="486"/>
      <c r="C16" s="179" t="s">
        <v>1781</v>
      </c>
      <c r="D16" s="157"/>
      <c r="E16" s="157"/>
      <c r="F16" s="157"/>
      <c r="G16" s="157"/>
      <c r="H16" s="188"/>
      <c r="I16" s="289">
        <v>210</v>
      </c>
      <c r="J16" s="288">
        <v>210</v>
      </c>
      <c r="K16" s="288">
        <v>210</v>
      </c>
      <c r="L16" s="288">
        <v>210</v>
      </c>
      <c r="M16" s="288">
        <v>420</v>
      </c>
      <c r="N16" s="288">
        <v>420</v>
      </c>
      <c r="O16" s="288">
        <v>420</v>
      </c>
      <c r="P16" s="288">
        <v>670</v>
      </c>
      <c r="Q16" s="288">
        <v>670</v>
      </c>
      <c r="R16" s="290">
        <v>670</v>
      </c>
      <c r="S16" s="189"/>
      <c r="T16" s="183"/>
      <c r="U16" s="183"/>
      <c r="V16" s="183"/>
      <c r="W16" s="183"/>
      <c r="X16" s="183"/>
      <c r="Y16" s="183"/>
      <c r="Z16" s="183"/>
    </row>
    <row r="17" spans="2:26" ht="23.1" customHeight="1" x14ac:dyDescent="0.2">
      <c r="B17" s="463" t="s">
        <v>1782</v>
      </c>
      <c r="C17" s="179" t="s">
        <v>1783</v>
      </c>
      <c r="D17" s="183">
        <f>D15</f>
        <v>315</v>
      </c>
      <c r="E17" s="183">
        <f t="shared" ref="E17:Z17" si="4">D17+E15</f>
        <v>630</v>
      </c>
      <c r="F17" s="183">
        <f t="shared" si="4"/>
        <v>945</v>
      </c>
      <c r="G17" s="183">
        <f t="shared" si="4"/>
        <v>1260</v>
      </c>
      <c r="H17" s="151">
        <f t="shared" si="4"/>
        <v>1575</v>
      </c>
      <c r="I17" s="184">
        <v>210</v>
      </c>
      <c r="J17" s="185">
        <f>I17+J15</f>
        <v>420</v>
      </c>
      <c r="K17" s="185">
        <f t="shared" ref="K17" si="5">J17+K15</f>
        <v>630</v>
      </c>
      <c r="L17" s="185">
        <f t="shared" si="4"/>
        <v>840</v>
      </c>
      <c r="M17" s="185">
        <f t="shared" si="4"/>
        <v>1260</v>
      </c>
      <c r="N17" s="185">
        <f t="shared" si="4"/>
        <v>1680</v>
      </c>
      <c r="O17" s="185">
        <f t="shared" si="4"/>
        <v>2100</v>
      </c>
      <c r="P17" s="185">
        <f t="shared" si="4"/>
        <v>2770</v>
      </c>
      <c r="Q17" s="185">
        <f t="shared" si="4"/>
        <v>3440</v>
      </c>
      <c r="R17" s="186">
        <f t="shared" si="4"/>
        <v>4110</v>
      </c>
      <c r="S17" s="187">
        <f t="shared" si="4"/>
        <v>4416</v>
      </c>
      <c r="T17" s="185">
        <f t="shared" si="4"/>
        <v>4722</v>
      </c>
      <c r="U17" s="185">
        <f t="shared" si="4"/>
        <v>5028</v>
      </c>
      <c r="V17" s="185">
        <f t="shared" si="4"/>
        <v>5334</v>
      </c>
      <c r="W17" s="185">
        <f t="shared" si="4"/>
        <v>5640</v>
      </c>
      <c r="X17" s="185">
        <f t="shared" si="4"/>
        <v>5946</v>
      </c>
      <c r="Y17" s="185">
        <f t="shared" si="4"/>
        <v>6252</v>
      </c>
      <c r="Z17" s="185">
        <f t="shared" si="4"/>
        <v>6558</v>
      </c>
    </row>
    <row r="18" spans="2:26" ht="23.1" customHeight="1" thickBot="1" x14ac:dyDescent="0.25">
      <c r="B18" s="463"/>
      <c r="C18" s="179" t="s">
        <v>1784</v>
      </c>
      <c r="D18" s="183">
        <f>D14-D17</f>
        <v>145</v>
      </c>
      <c r="E18" s="183">
        <f t="shared" ref="E18:Z18" si="6">E14-E17</f>
        <v>212</v>
      </c>
      <c r="F18" s="183">
        <f t="shared" si="6"/>
        <v>316</v>
      </c>
      <c r="G18" s="183">
        <f t="shared" si="6"/>
        <v>332</v>
      </c>
      <c r="H18" s="151">
        <f>H14-H17</f>
        <v>223</v>
      </c>
      <c r="I18" s="279">
        <f>I14-I17</f>
        <v>-47</v>
      </c>
      <c r="J18" s="280">
        <f t="shared" si="6"/>
        <v>-120</v>
      </c>
      <c r="K18" s="280">
        <f>K14-K17</f>
        <v>-221</v>
      </c>
      <c r="L18" s="280">
        <f t="shared" si="6"/>
        <v>-337.55555555555554</v>
      </c>
      <c r="M18" s="280">
        <f>M14-M17</f>
        <v>-555.30555555555554</v>
      </c>
      <c r="N18" s="280">
        <f>N14-N17</f>
        <v>-448.50555555555547</v>
      </c>
      <c r="O18" s="280">
        <f t="shared" si="6"/>
        <v>-205.70555555555552</v>
      </c>
      <c r="P18" s="280">
        <f t="shared" si="6"/>
        <v>-223.70555555555529</v>
      </c>
      <c r="Q18" s="280">
        <f t="shared" si="6"/>
        <v>250.04444444444471</v>
      </c>
      <c r="R18" s="281">
        <f t="shared" si="6"/>
        <v>425.04444444444471</v>
      </c>
      <c r="S18" s="189">
        <f t="shared" si="6"/>
        <v>443.04444444444471</v>
      </c>
      <c r="T18" s="183">
        <f>T14-T17</f>
        <v>598.04444444444471</v>
      </c>
      <c r="U18" s="183">
        <f t="shared" si="6"/>
        <v>691.04444444444471</v>
      </c>
      <c r="V18" s="183">
        <f t="shared" si="6"/>
        <v>746.04444444444471</v>
      </c>
      <c r="W18" s="183">
        <f t="shared" si="6"/>
        <v>746.04444444444471</v>
      </c>
      <c r="X18" s="183">
        <f t="shared" si="6"/>
        <v>746.04444444444471</v>
      </c>
      <c r="Y18" s="183">
        <f t="shared" si="6"/>
        <v>746.04444444444471</v>
      </c>
      <c r="Z18" s="183">
        <f t="shared" si="6"/>
        <v>746.04444444444471</v>
      </c>
    </row>
  </sheetData>
  <mergeCells count="12">
    <mergeCell ref="B17:B18"/>
    <mergeCell ref="B2:Z2"/>
    <mergeCell ref="B4:Z4"/>
    <mergeCell ref="B5:C5"/>
    <mergeCell ref="D5:H5"/>
    <mergeCell ref="I5:R5"/>
    <mergeCell ref="B6:C6"/>
    <mergeCell ref="L7:U7"/>
    <mergeCell ref="L9:Z9"/>
    <mergeCell ref="B11:C11"/>
    <mergeCell ref="B12:B14"/>
    <mergeCell ref="B15:B16"/>
  </mergeCells>
  <pageMargins left="0.39370078740157483" right="0.39370078740157483" top="0.39370078740157483" bottom="0.39370078740157483" header="0.19685039370078741" footer="0.19685039370078741"/>
  <pageSetup paperSize="8" scale="94" orientation="landscape" horizontalDpi="1200" verticalDpi="1200" r:id="rId1"/>
  <headerFooter alignWithMargins="0">
    <oddHeader>&amp;L&amp;"Calibri"&amp;10&amp;K000000 Official&amp;1#_x000D_</oddHeader>
  </headerFooter>
  <rowBreaks count="1" manualBreakCount="1">
    <brk id="252"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0F3BBB9790784C8BCA740A553ADA9E" ma:contentTypeVersion="16" ma:contentTypeDescription="Create a new document." ma:contentTypeScope="" ma:versionID="e1f9a7e3706a5ecf694a30c3a24f258f">
  <xsd:schema xmlns:xsd="http://www.w3.org/2001/XMLSchema" xmlns:xs="http://www.w3.org/2001/XMLSchema" xmlns:p="http://schemas.microsoft.com/office/2006/metadata/properties" xmlns:ns2="25170e01-b109-40f9-a371-003a1bb8801d" xmlns:ns3="38a809ab-bf8d-4391-94ea-7f25297ee6a0" targetNamespace="http://schemas.microsoft.com/office/2006/metadata/properties" ma:root="true" ma:fieldsID="030bb74b79bf3cbc2dceb165be959435" ns2:_="" ns3:_="">
    <xsd:import namespace="25170e01-b109-40f9-a371-003a1bb8801d"/>
    <xsd:import namespace="38a809ab-bf8d-4391-94ea-7f25297ee6a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SearchProperties" minOccurs="0"/>
                <xsd:element ref="ns2:MediaServiceObjectDetectorVersion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70e01-b109-40f9-a371-003a1bb880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084b5b8-5c41-402a-93b7-1e2a455a05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a809ab-bf8d-4391-94ea-7f25297ee6a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60c01d-42e7-4b84-bc03-4968ce729ac0}" ma:internalName="TaxCatchAll" ma:showField="CatchAllData" ma:web="38a809ab-bf8d-4391-94ea-7f25297ee6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8a809ab-bf8d-4391-94ea-7f25297ee6a0" xsi:nil="true"/>
    <lcf76f155ced4ddcb4097134ff3c332f xmlns="25170e01-b109-40f9-a371-003a1bb8801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CA8388-0E91-482D-8A1F-D3BB074EE3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70e01-b109-40f9-a371-003a1bb8801d"/>
    <ds:schemaRef ds:uri="38a809ab-bf8d-4391-94ea-7f25297ee6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435EA4-D927-4BDA-983A-7DE7A4205351}">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38a809ab-bf8d-4391-94ea-7f25297ee6a0"/>
    <ds:schemaRef ds:uri="25170e01-b109-40f9-a371-003a1bb8801d"/>
    <ds:schemaRef ds:uri="http://www.w3.org/XML/1998/namespace"/>
    <ds:schemaRef ds:uri="http://purl.org/dc/dcmitype/"/>
  </ds:schemaRefs>
</ds:datastoreItem>
</file>

<file path=customXml/itemProps3.xml><?xml version="1.0" encoding="utf-8"?>
<ds:datastoreItem xmlns:ds="http://schemas.openxmlformats.org/officeDocument/2006/customXml" ds:itemID="{8BCF1612-70FE-4F08-95CE-F031A6AD6E5D}">
  <ds:schemaRefs>
    <ds:schemaRef ds:uri="http://schemas.microsoft.com/sharepoint/v3/contenttype/forms"/>
  </ds:schemaRefs>
</ds:datastoreItem>
</file>

<file path=docMetadata/LabelInfo.xml><?xml version="1.0" encoding="utf-8"?>
<clbl:labelList xmlns:clbl="http://schemas.microsoft.com/office/2020/mipLabelMetadata">
  <clbl:label id="{763da656-5c75-4f6d-9461-4a3ce9a537cc}" enabled="1" method="Standard" siteId="{d9d3f5ac-f803-49be-949f-14a7074d74a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Summary Tables</vt:lpstr>
      <vt:lpstr>Data</vt:lpstr>
      <vt:lpstr>Pivot</vt:lpstr>
      <vt:lpstr>Non-Self-Contained</vt:lpstr>
      <vt:lpstr>Trajectory</vt:lpstr>
      <vt:lpstr>Data</vt:lpstr>
      <vt:lpstr>'Summary Tables'!Print_Area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2026-06-22T13:28:04Z</cp:lastPrinted>
  <dcterms:created xsi:type="dcterms:W3CDTF">2025-07-25T09:26:56Z</dcterms:created>
  <dcterms:modified xsi:type="dcterms:W3CDTF">2026-06-26T07:51:41Z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0x010100A40F3BBB9790784C8BCA740A553ADA9E</vt:lpwstr>
  </property>
  <property fmtid="{D5CDD505-2E9C-101B-9397-08002B2CF9AE}" pid="3" name="MediaServiceImageTags">
    <vt:lpwstr/>
  </property>
</Properties>
</file>