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richmondandwandsworth-my.sharepoint.com/personal/rebecca_fairclough_richmondandwandsworth_gov_uk/Documents/Docs to upload/"/>
    </mc:Choice>
  </mc:AlternateContent>
  <xr:revisionPtr revIDLastSave="0" documentId="8_{8A9DBF5C-FC18-4043-A676-86372CDCB2F2}" xr6:coauthVersionLast="47" xr6:coauthVersionMax="47" xr10:uidLastSave="{00000000-0000-0000-0000-000000000000}"/>
  <bookViews>
    <workbookView xWindow="390" yWindow="390" windowWidth="18900" windowHeight="11055" tabRatio="742" xr2:uid="{00000000-000D-0000-FFFF-FFFF00000000}"/>
  </bookViews>
  <sheets>
    <sheet name="Summary Tables" sheetId="31" r:id="rId1"/>
    <sheet name="Trajectory" sheetId="37" r:id="rId2"/>
    <sheet name="Data" sheetId="1" r:id="rId3"/>
    <sheet name="Non-Self-Contained" sheetId="33" r:id="rId4"/>
    <sheet name="Pivot" sheetId="19" state="hidden" r:id="rId5"/>
  </sheets>
  <definedNames>
    <definedName name="_xlnm._FilterDatabase" localSheetId="2" hidden="1">Data!$A$1:$BX$358</definedName>
    <definedName name="_xlnm._FilterDatabase" localSheetId="3" hidden="1">'Non-Self-Contained'!$A$1:$AR$7</definedName>
    <definedName name="_xlnm._FilterDatabase" localSheetId="0" hidden="1">'Summary Tables'!#REF!</definedName>
    <definedName name="Data">Data!$A$1:$BX$358</definedName>
    <definedName name="_xlnm.Print_Area" localSheetId="0">'Summary Tables'!$B$2:$S$302</definedName>
    <definedName name="_xlnm.Print_Titles" localSheetId="2">Data!$1:$1</definedName>
    <definedName name="SC_23_Dates">#REF!</definedName>
  </definedNames>
  <calcPr calcId="191028"/>
  <pivotCaches>
    <pivotCache cacheId="0" r:id="rId6"/>
    <pivotCache cacheId="1" r:id="rId7"/>
    <pivotCache cacheId="2"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7" i="1" l="1"/>
  <c r="BG358" i="1"/>
  <c r="BI358" i="1" l="1"/>
  <c r="BI357" i="1"/>
  <c r="BH357" i="1"/>
  <c r="BH358" i="1"/>
  <c r="E47" i="31" l="1"/>
  <c r="E62" i="31"/>
  <c r="E61" i="31"/>
  <c r="E60" i="31"/>
  <c r="E59" i="31"/>
  <c r="E58" i="31"/>
  <c r="E57" i="31"/>
  <c r="E56" i="31"/>
  <c r="E55" i="31"/>
  <c r="E54" i="31"/>
  <c r="E53" i="31"/>
  <c r="E52" i="31"/>
  <c r="E51" i="31"/>
  <c r="E50" i="31"/>
  <c r="E49" i="31"/>
  <c r="E48" i="31"/>
  <c r="E174" i="31"/>
  <c r="I292" i="31"/>
  <c r="G97" i="31"/>
  <c r="E97" i="31"/>
  <c r="I296" i="31"/>
  <c r="K296" i="31"/>
  <c r="K292" i="31"/>
  <c r="I8" i="31"/>
  <c r="I286" i="31"/>
  <c r="I298" i="31"/>
  <c r="E172" i="31"/>
  <c r="K293" i="31"/>
  <c r="K294" i="31"/>
  <c r="I291" i="31"/>
  <c r="I295" i="31"/>
  <c r="G99" i="31"/>
  <c r="E98" i="31"/>
  <c r="K291" i="31"/>
  <c r="I282" i="31"/>
  <c r="I288" i="31"/>
  <c r="I284" i="31"/>
  <c r="E173" i="31"/>
  <c r="G100" i="31"/>
  <c r="I285" i="31"/>
  <c r="K173" i="31"/>
  <c r="I289" i="31"/>
  <c r="I294" i="31"/>
  <c r="I283" i="31"/>
  <c r="K299" i="31"/>
  <c r="G98" i="31"/>
  <c r="K297" i="31"/>
  <c r="K172" i="31"/>
  <c r="E171" i="31"/>
  <c r="K176" i="31"/>
  <c r="I297" i="31"/>
  <c r="K300" i="31"/>
  <c r="E99" i="31"/>
  <c r="K177" i="31"/>
  <c r="K284" i="31"/>
  <c r="I293" i="31"/>
  <c r="E100" i="31"/>
  <c r="D63" i="31" l="1"/>
  <c r="E101" i="31"/>
  <c r="E120" i="31" s="1"/>
  <c r="I99" i="31"/>
  <c r="I97" i="31"/>
  <c r="G101" i="31"/>
  <c r="G120" i="31" s="1"/>
  <c r="I98" i="31"/>
  <c r="I100" i="31"/>
  <c r="I120" i="31" l="1"/>
  <c r="I101" i="31"/>
  <c r="E102" i="31" s="1"/>
  <c r="AE6" i="1"/>
  <c r="AE4" i="1"/>
  <c r="G220" i="31"/>
  <c r="F288" i="31"/>
  <c r="F211" i="31"/>
  <c r="H199" i="31"/>
  <c r="F193" i="31"/>
  <c r="F189" i="31"/>
  <c r="H209" i="31"/>
  <c r="J290" i="31"/>
  <c r="G189" i="31"/>
  <c r="F285" i="31"/>
  <c r="G212" i="31"/>
  <c r="H217" i="31"/>
  <c r="F198" i="31"/>
  <c r="F217" i="31"/>
  <c r="H194" i="31"/>
  <c r="J295" i="31"/>
  <c r="F209" i="31"/>
  <c r="G182" i="31"/>
  <c r="J292" i="31"/>
  <c r="J288" i="31"/>
  <c r="H196" i="31"/>
  <c r="H212" i="31"/>
  <c r="G187" i="31"/>
  <c r="G198" i="31"/>
  <c r="F187" i="31"/>
  <c r="G299" i="31"/>
  <c r="G224" i="31"/>
  <c r="H213" i="31"/>
  <c r="G191" i="31"/>
  <c r="G190" i="31"/>
  <c r="G285" i="31"/>
  <c r="H195" i="31"/>
  <c r="F294" i="31"/>
  <c r="G186" i="31"/>
  <c r="H192" i="31"/>
  <c r="F197" i="31"/>
  <c r="H216" i="31"/>
  <c r="G183" i="31"/>
  <c r="F188" i="31"/>
  <c r="F214" i="31"/>
  <c r="F223" i="31"/>
  <c r="J286" i="31"/>
  <c r="F225" i="31"/>
  <c r="G292" i="31"/>
  <c r="F208" i="31"/>
  <c r="F284" i="31"/>
  <c r="G193" i="31"/>
  <c r="F219" i="31"/>
  <c r="H223" i="31"/>
  <c r="F195" i="31"/>
  <c r="G282" i="31"/>
  <c r="H185" i="31"/>
  <c r="H221" i="31"/>
  <c r="H214" i="31"/>
  <c r="G184" i="31"/>
  <c r="H187" i="31"/>
  <c r="F222" i="31"/>
  <c r="H211" i="31"/>
  <c r="G194" i="31"/>
  <c r="F218" i="31"/>
  <c r="G288" i="31"/>
  <c r="H189" i="31"/>
  <c r="F299" i="31"/>
  <c r="G214" i="31"/>
  <c r="H286" i="31"/>
  <c r="F296" i="31"/>
  <c r="F191" i="31"/>
  <c r="F184" i="31"/>
  <c r="F182" i="31"/>
  <c r="G199" i="31"/>
  <c r="G286" i="31"/>
  <c r="F292" i="31"/>
  <c r="F297" i="31"/>
  <c r="H188" i="31"/>
  <c r="H218" i="31"/>
  <c r="G211" i="31"/>
  <c r="G291" i="31"/>
  <c r="G209" i="31"/>
  <c r="G294" i="31"/>
  <c r="F286" i="31"/>
  <c r="H186" i="31"/>
  <c r="F293" i="31"/>
  <c r="H215" i="31"/>
  <c r="G213" i="31"/>
  <c r="H296" i="31"/>
  <c r="H224" i="31"/>
  <c r="H290" i="31"/>
  <c r="G188" i="31"/>
  <c r="H293" i="31"/>
  <c r="F287" i="31"/>
  <c r="G185" i="31"/>
  <c r="F221" i="31"/>
  <c r="H222" i="31"/>
  <c r="F185" i="31"/>
  <c r="H219" i="31"/>
  <c r="F183" i="31"/>
  <c r="H225" i="31"/>
  <c r="J297" i="31"/>
  <c r="G215" i="31"/>
  <c r="H299" i="31"/>
  <c r="F220" i="31"/>
  <c r="G192" i="31"/>
  <c r="F212" i="31"/>
  <c r="H294" i="31"/>
  <c r="J293" i="31"/>
  <c r="F291" i="31"/>
  <c r="G297" i="31"/>
  <c r="G290" i="31"/>
  <c r="H298" i="31"/>
  <c r="G283" i="31"/>
  <c r="H292" i="31"/>
  <c r="H184" i="31"/>
  <c r="H190" i="31"/>
  <c r="G216" i="31"/>
  <c r="F196" i="31"/>
  <c r="G284" i="31"/>
  <c r="G219" i="31"/>
  <c r="G293" i="31"/>
  <c r="G221" i="31"/>
  <c r="J284" i="31"/>
  <c r="F213" i="31"/>
  <c r="G295" i="31"/>
  <c r="F210" i="31"/>
  <c r="F282" i="31"/>
  <c r="G197" i="31"/>
  <c r="F194" i="31"/>
  <c r="G298" i="31"/>
  <c r="G225" i="31"/>
  <c r="F216" i="31"/>
  <c r="F295" i="31"/>
  <c r="H193" i="31"/>
  <c r="G222" i="31"/>
  <c r="F290" i="31"/>
  <c r="F192" i="31"/>
  <c r="G289" i="31"/>
  <c r="G223" i="31"/>
  <c r="H288" i="31"/>
  <c r="J294" i="31"/>
  <c r="F298" i="31"/>
  <c r="H284" i="31"/>
  <c r="H197" i="31"/>
  <c r="H183" i="31"/>
  <c r="H191" i="31"/>
  <c r="G218" i="31"/>
  <c r="H291" i="31"/>
  <c r="H210" i="31"/>
  <c r="H198" i="31"/>
  <c r="G195" i="31"/>
  <c r="G296" i="31"/>
  <c r="J296" i="31"/>
  <c r="H208" i="31"/>
  <c r="H283" i="31"/>
  <c r="F190" i="31"/>
  <c r="H182" i="31"/>
  <c r="J287" i="31"/>
  <c r="F199" i="31"/>
  <c r="F224" i="31"/>
  <c r="H220" i="31"/>
  <c r="G196" i="31"/>
  <c r="H297" i="31"/>
  <c r="H282" i="31"/>
  <c r="F283" i="31"/>
  <c r="H285" i="31"/>
  <c r="F186" i="31"/>
  <c r="G208" i="31"/>
  <c r="G287" i="31"/>
  <c r="F289" i="31"/>
  <c r="J283" i="31"/>
  <c r="G210" i="31"/>
  <c r="H295" i="31"/>
  <c r="F215" i="31"/>
  <c r="G217" i="31"/>
  <c r="F226" i="31" l="1"/>
  <c r="H226" i="31"/>
  <c r="J98" i="31"/>
  <c r="J97" i="31"/>
  <c r="J99" i="31"/>
  <c r="J100" i="31"/>
  <c r="G102" i="31"/>
  <c r="V311" i="1"/>
  <c r="V332" i="1"/>
  <c r="V334" i="1"/>
  <c r="V340" i="1"/>
  <c r="J101" i="31" l="1"/>
  <c r="BG349" i="1"/>
  <c r="BH349" i="1"/>
  <c r="BI349" i="1"/>
  <c r="O10" i="37"/>
  <c r="P10" i="37" s="1"/>
  <c r="Q10" i="37" s="1"/>
  <c r="R10" i="37" s="1"/>
  <c r="S10" i="37" s="1"/>
  <c r="T10" i="37" s="1"/>
  <c r="U10" i="37" s="1"/>
  <c r="V10" i="37" s="1"/>
  <c r="W10" i="37" s="1"/>
  <c r="X10" i="37" s="1"/>
  <c r="Y10" i="37" s="1"/>
  <c r="Z10" i="37" s="1"/>
  <c r="BI3" i="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121" i="1"/>
  <c r="BI137" i="1"/>
  <c r="BI138" i="1"/>
  <c r="BI145" i="1"/>
  <c r="BI146" i="1"/>
  <c r="BI147" i="1"/>
  <c r="BI148" i="1"/>
  <c r="BI151" i="1"/>
  <c r="BI152" i="1"/>
  <c r="BI153" i="1"/>
  <c r="BI155" i="1"/>
  <c r="BI156" i="1"/>
  <c r="BI158" i="1"/>
  <c r="BI161" i="1"/>
  <c r="BI163" i="1"/>
  <c r="BI168" i="1"/>
  <c r="BI169" i="1"/>
  <c r="BI170" i="1"/>
  <c r="BI172" i="1"/>
  <c r="BI173" i="1"/>
  <c r="BI185" i="1"/>
  <c r="BI188" i="1"/>
  <c r="BI189" i="1"/>
  <c r="BI194" i="1"/>
  <c r="BI347" i="1"/>
  <c r="BI348" i="1"/>
  <c r="BI351" i="1"/>
  <c r="BI352" i="1"/>
  <c r="BI353" i="1"/>
  <c r="BI354" i="1"/>
  <c r="BI355" i="1"/>
  <c r="BI356" i="1"/>
  <c r="BI2" i="1"/>
  <c r="J16" i="37"/>
  <c r="K16" i="37" s="1"/>
  <c r="L16" i="37" s="1"/>
  <c r="M16" i="37" s="1"/>
  <c r="N16" i="37" s="1"/>
  <c r="O16" i="37" s="1"/>
  <c r="P16" i="37" s="1"/>
  <c r="Q16" i="37" s="1"/>
  <c r="R16" i="37" s="1"/>
  <c r="S16" i="37" s="1"/>
  <c r="T16" i="37" s="1"/>
  <c r="U16" i="37" s="1"/>
  <c r="V16" i="37" s="1"/>
  <c r="W16" i="37" s="1"/>
  <c r="X16" i="37" s="1"/>
  <c r="Y16" i="37" s="1"/>
  <c r="Z16" i="37" s="1"/>
  <c r="D16" i="37"/>
  <c r="E16" i="37" s="1"/>
  <c r="F16" i="37" s="1"/>
  <c r="G16" i="37" s="1"/>
  <c r="H16" i="37" s="1"/>
  <c r="I14" i="37"/>
  <c r="D14" i="37"/>
  <c r="M8" i="37"/>
  <c r="N8" i="37" s="1"/>
  <c r="O8" i="37" s="1"/>
  <c r="P8" i="37" s="1"/>
  <c r="Q8" i="37" s="1"/>
  <c r="R8" i="37" s="1"/>
  <c r="S8" i="37" s="1"/>
  <c r="T8" i="37" s="1"/>
  <c r="K6" i="37"/>
  <c r="L6" i="37" s="1"/>
  <c r="M6" i="37" s="1"/>
  <c r="N6" i="37" s="1"/>
  <c r="O6" i="37" s="1"/>
  <c r="P6" i="37" s="1"/>
  <c r="Q6" i="37" s="1"/>
  <c r="R6" i="37" s="1"/>
  <c r="E6" i="37"/>
  <c r="F6" i="37" s="1"/>
  <c r="G6" i="37" s="1"/>
  <c r="H6" i="37" s="1"/>
  <c r="Z13" i="37"/>
  <c r="K13" i="37"/>
  <c r="U13" i="37"/>
  <c r="R13" i="37"/>
  <c r="X13" i="37"/>
  <c r="P13" i="37"/>
  <c r="T13" i="37"/>
  <c r="Y13" i="37"/>
  <c r="Q13" i="37"/>
  <c r="V13" i="37"/>
  <c r="S13" i="37"/>
  <c r="M13" i="37"/>
  <c r="L13" i="37"/>
  <c r="O13" i="37"/>
  <c r="N13" i="37"/>
  <c r="W13" i="37"/>
  <c r="I17" i="37" l="1"/>
  <c r="D17" i="37"/>
  <c r="E14" i="37"/>
  <c r="E17" i="37" l="1"/>
  <c r="F14" i="37"/>
  <c r="G14" i="37" l="1"/>
  <c r="F17" i="37"/>
  <c r="G17" i="37" l="1"/>
  <c r="H14" i="37"/>
  <c r="H17" i="37" s="1"/>
  <c r="AE300" i="1" l="1"/>
  <c r="P3" i="33" l="1"/>
  <c r="Z3" i="33" s="1"/>
  <c r="AI7" i="33"/>
  <c r="AH7" i="33"/>
  <c r="AK8" i="33"/>
  <c r="AJ8" i="33"/>
  <c r="AI8" i="33"/>
  <c r="BG2" i="1" l="1"/>
  <c r="BH2" i="1"/>
  <c r="AF2" i="1"/>
  <c r="AG2" i="1"/>
  <c r="AH2" i="1"/>
  <c r="AI2" i="1"/>
  <c r="AJ2" i="1"/>
  <c r="AK2" i="1"/>
  <c r="AL2" i="1"/>
  <c r="AM2" i="1"/>
  <c r="AE2" i="1"/>
  <c r="V2" i="1"/>
  <c r="Q29" i="31"/>
  <c r="Q28" i="31"/>
  <c r="Q32" i="31"/>
  <c r="Q34" i="31"/>
  <c r="Q35" i="31"/>
  <c r="Q31" i="31"/>
  <c r="Q30" i="31"/>
  <c r="AN2" i="1" l="1"/>
  <c r="BH347" i="1" l="1"/>
  <c r="BH348" i="1"/>
  <c r="BH351" i="1"/>
  <c r="BH352" i="1"/>
  <c r="BH353" i="1"/>
  <c r="BH354" i="1"/>
  <c r="BH355" i="1"/>
  <c r="BH356" i="1"/>
  <c r="BH3" i="1" l="1"/>
  <c r="BH29" i="1"/>
  <c r="BH4" i="1"/>
  <c r="BH27" i="1"/>
  <c r="BH5" i="1"/>
  <c r="BH14" i="1"/>
  <c r="BH6" i="1"/>
  <c r="BH18" i="1"/>
  <c r="BH8" i="1"/>
  <c r="BH9" i="1"/>
  <c r="BH36" i="1"/>
  <c r="BH28" i="1"/>
  <c r="BH17" i="1"/>
  <c r="BH10" i="1"/>
  <c r="BH62" i="1"/>
  <c r="BH7" i="1"/>
  <c r="BH55" i="1"/>
  <c r="BH35" i="1"/>
  <c r="BH32" i="1"/>
  <c r="BH60" i="1"/>
  <c r="BH15" i="1"/>
  <c r="BH44" i="1"/>
  <c r="BH46" i="1"/>
  <c r="BH21" i="1"/>
  <c r="BH22" i="1"/>
  <c r="BH33" i="1"/>
  <c r="BH19" i="1"/>
  <c r="BH20" i="1"/>
  <c r="BH37" i="1"/>
  <c r="BH13" i="1"/>
  <c r="BH25" i="1"/>
  <c r="BH11" i="1"/>
  <c r="BH69" i="1"/>
  <c r="BH38" i="1"/>
  <c r="BH34" i="1"/>
  <c r="BH58" i="1"/>
  <c r="BH30" i="1"/>
  <c r="BH43" i="1"/>
  <c r="BH45" i="1"/>
  <c r="BH23" i="1"/>
  <c r="BH73" i="1"/>
  <c r="BH31" i="1"/>
  <c r="BH48" i="1"/>
  <c r="BH16" i="1"/>
  <c r="BH24" i="1"/>
  <c r="BH40" i="1"/>
  <c r="BH12" i="1"/>
  <c r="BH26" i="1"/>
  <c r="BH39" i="1"/>
  <c r="BH47" i="1"/>
  <c r="BH41" i="1"/>
  <c r="BH68" i="1"/>
  <c r="BH42" i="1"/>
  <c r="BH51" i="1"/>
  <c r="BH52" i="1"/>
  <c r="BH56" i="1"/>
  <c r="BH49" i="1"/>
  <c r="BH53" i="1"/>
  <c r="BH50" i="1"/>
  <c r="BH66" i="1"/>
  <c r="BH80" i="1"/>
  <c r="BH70" i="1"/>
  <c r="BH61" i="1"/>
  <c r="BH54" i="1"/>
  <c r="BH71" i="1"/>
  <c r="BH72" i="1"/>
  <c r="BH63" i="1"/>
  <c r="BH57" i="1"/>
  <c r="BH59" i="1"/>
  <c r="BH74" i="1"/>
  <c r="BH65" i="1"/>
  <c r="BH64" i="1"/>
  <c r="BH67" i="1"/>
  <c r="BH76" i="1"/>
  <c r="BH77" i="1"/>
  <c r="BH75" i="1"/>
  <c r="BH78" i="1"/>
  <c r="BH79" i="1"/>
  <c r="BH82" i="1"/>
  <c r="BH81" i="1"/>
  <c r="BH169" i="1"/>
  <c r="BH185" i="1"/>
  <c r="BG29" i="1"/>
  <c r="BG4" i="1"/>
  <c r="BG27" i="1"/>
  <c r="BG5" i="1"/>
  <c r="BG14" i="1"/>
  <c r="BG6" i="1"/>
  <c r="BG18" i="1"/>
  <c r="BG8" i="1"/>
  <c r="BG9" i="1"/>
  <c r="BG36" i="1"/>
  <c r="BG28" i="1"/>
  <c r="BG17" i="1"/>
  <c r="BG10" i="1"/>
  <c r="BG62" i="1"/>
  <c r="BG7" i="1"/>
  <c r="BG55" i="1"/>
  <c r="BG35" i="1"/>
  <c r="BG32" i="1"/>
  <c r="BG60" i="1"/>
  <c r="BG15" i="1"/>
  <c r="BG44" i="1"/>
  <c r="BG46" i="1"/>
  <c r="BG21" i="1"/>
  <c r="BG22" i="1"/>
  <c r="BG33" i="1"/>
  <c r="BG19" i="1"/>
  <c r="BG20" i="1"/>
  <c r="BG37" i="1"/>
  <c r="BG13" i="1"/>
  <c r="BG25" i="1"/>
  <c r="BG11" i="1"/>
  <c r="BG69" i="1"/>
  <c r="BG38" i="1"/>
  <c r="BG34" i="1"/>
  <c r="BG58" i="1"/>
  <c r="BG30" i="1"/>
  <c r="BG43" i="1"/>
  <c r="BG45" i="1"/>
  <c r="BG23" i="1"/>
  <c r="BG73" i="1"/>
  <c r="BG31" i="1"/>
  <c r="BG48" i="1"/>
  <c r="BG16" i="1"/>
  <c r="BG24" i="1"/>
  <c r="BG40" i="1"/>
  <c r="BG12" i="1"/>
  <c r="BG26" i="1"/>
  <c r="BG39" i="1"/>
  <c r="BG47" i="1"/>
  <c r="BG41" i="1"/>
  <c r="BG68" i="1"/>
  <c r="BG42" i="1"/>
  <c r="BG51" i="1"/>
  <c r="BG52" i="1"/>
  <c r="BG56" i="1"/>
  <c r="BG49" i="1"/>
  <c r="BG53" i="1"/>
  <c r="BG50" i="1"/>
  <c r="BG66" i="1"/>
  <c r="BG80" i="1"/>
  <c r="BG70" i="1"/>
  <c r="BG61" i="1"/>
  <c r="BG54" i="1"/>
  <c r="BG71" i="1"/>
  <c r="BG72" i="1"/>
  <c r="BG63" i="1"/>
  <c r="BG57" i="1"/>
  <c r="BG59" i="1"/>
  <c r="BG74" i="1"/>
  <c r="BG65" i="1"/>
  <c r="BG64" i="1"/>
  <c r="BG67" i="1"/>
  <c r="BG76" i="1"/>
  <c r="BG77" i="1"/>
  <c r="BG75" i="1"/>
  <c r="BG78" i="1"/>
  <c r="BG79" i="1"/>
  <c r="BG82" i="1"/>
  <c r="BG81" i="1"/>
  <c r="BG169" i="1"/>
  <c r="BG185" i="1"/>
  <c r="BG334" i="1"/>
  <c r="BG336" i="1"/>
  <c r="BG337" i="1"/>
  <c r="BG340" i="1"/>
  <c r="BG343" i="1"/>
  <c r="BG344" i="1"/>
  <c r="BG3" i="1"/>
  <c r="BG347" i="1"/>
  <c r="BG348" i="1"/>
  <c r="BG351" i="1"/>
  <c r="BG352" i="1"/>
  <c r="BG353" i="1"/>
  <c r="BG354" i="1"/>
  <c r="BG355" i="1"/>
  <c r="BG356" i="1"/>
  <c r="H29" i="31"/>
  <c r="H34" i="31"/>
  <c r="AR2" i="33" l="1"/>
  <c r="AQ2" i="33"/>
  <c r="V6" i="33" l="1"/>
  <c r="AA6" i="33" s="1"/>
  <c r="AE6" i="33" s="1"/>
  <c r="P2" i="33"/>
  <c r="AE2" i="33" s="1"/>
  <c r="AA5" i="33"/>
  <c r="AE5" i="33" s="1"/>
  <c r="S4" i="33"/>
  <c r="Z4" i="33" s="1"/>
  <c r="AE4" i="33" s="1"/>
  <c r="AH4" i="33" s="1"/>
  <c r="AK6" i="33" l="1"/>
  <c r="AJ6" i="33"/>
  <c r="AI6" i="33"/>
  <c r="AH5" i="33"/>
  <c r="AR5" i="33" s="1"/>
  <c r="AR4" i="33"/>
  <c r="AQ4" i="33"/>
  <c r="I271" i="31"/>
  <c r="I256" i="31"/>
  <c r="I242" i="31"/>
  <c r="J238" i="31"/>
  <c r="D144" i="31"/>
  <c r="D143" i="31"/>
  <c r="M138" i="31"/>
  <c r="L138" i="31"/>
  <c r="M137" i="31"/>
  <c r="L137" i="31"/>
  <c r="P135" i="31"/>
  <c r="D145" i="31" s="1"/>
  <c r="O135" i="31"/>
  <c r="N132" i="31"/>
  <c r="P132" i="31" s="1"/>
  <c r="D142" i="31" s="1"/>
  <c r="N131" i="31"/>
  <c r="N130" i="31"/>
  <c r="P130" i="31" s="1"/>
  <c r="N129" i="31"/>
  <c r="O129" i="31" s="1"/>
  <c r="N128" i="31"/>
  <c r="O128" i="31" s="1"/>
  <c r="N127" i="31"/>
  <c r="I119" i="31"/>
  <c r="K119" i="31" s="1"/>
  <c r="I118" i="31"/>
  <c r="M118" i="31" s="1"/>
  <c r="I117" i="31"/>
  <c r="M117" i="31" s="1"/>
  <c r="I116" i="31"/>
  <c r="M116" i="31" s="1"/>
  <c r="I115" i="31"/>
  <c r="K115" i="31" s="1"/>
  <c r="I114" i="31"/>
  <c r="H89" i="31"/>
  <c r="G89" i="31" s="1"/>
  <c r="H88" i="31"/>
  <c r="G88" i="31" s="1"/>
  <c r="H87" i="31"/>
  <c r="E87" i="31" s="1"/>
  <c r="H86" i="31"/>
  <c r="G86" i="31" s="1"/>
  <c r="H85" i="31"/>
  <c r="G85" i="31" s="1"/>
  <c r="G84" i="31"/>
  <c r="E84" i="31"/>
  <c r="H83" i="31"/>
  <c r="E83" i="31" s="1"/>
  <c r="H82" i="31"/>
  <c r="G82" i="31" s="1"/>
  <c r="H81" i="31"/>
  <c r="H80" i="31"/>
  <c r="E80" i="31" s="1"/>
  <c r="H79" i="31"/>
  <c r="E79" i="31" s="1"/>
  <c r="H78" i="31"/>
  <c r="G78" i="31" s="1"/>
  <c r="H77" i="31"/>
  <c r="G77" i="31" s="1"/>
  <c r="H76" i="31"/>
  <c r="E76" i="31" s="1"/>
  <c r="H75" i="31"/>
  <c r="E75" i="31" s="1"/>
  <c r="H74" i="31"/>
  <c r="G74" i="31" s="1"/>
  <c r="G73" i="31"/>
  <c r="E73" i="31"/>
  <c r="G267" i="31"/>
  <c r="F248" i="31"/>
  <c r="H236" i="31"/>
  <c r="H31" i="31"/>
  <c r="F267" i="31"/>
  <c r="F269" i="31"/>
  <c r="L136" i="31"/>
  <c r="E269" i="31"/>
  <c r="G248" i="31"/>
  <c r="H28" i="31"/>
  <c r="E240" i="31"/>
  <c r="G236" i="31"/>
  <c r="E267" i="31"/>
  <c r="H240" i="31"/>
  <c r="H252" i="31"/>
  <c r="H248" i="31"/>
  <c r="H265" i="31"/>
  <c r="E252" i="31"/>
  <c r="E254" i="31"/>
  <c r="G250" i="31"/>
  <c r="F263" i="31"/>
  <c r="E263" i="31"/>
  <c r="G252" i="31"/>
  <c r="G240" i="31"/>
  <c r="E236" i="31"/>
  <c r="F236" i="31"/>
  <c r="G263" i="31"/>
  <c r="H267" i="31"/>
  <c r="F265" i="31"/>
  <c r="F254" i="31"/>
  <c r="E250" i="31"/>
  <c r="M136" i="31"/>
  <c r="H32" i="31"/>
  <c r="H263" i="31"/>
  <c r="F90" i="31"/>
  <c r="F240" i="31"/>
  <c r="E248" i="31"/>
  <c r="F252" i="31"/>
  <c r="H250" i="31"/>
  <c r="F250" i="31"/>
  <c r="E265" i="31"/>
  <c r="D90" i="31"/>
  <c r="H30" i="31"/>
  <c r="G269" i="31"/>
  <c r="G265" i="31"/>
  <c r="F91" i="31" l="1"/>
  <c r="AQ6" i="33"/>
  <c r="AQ5" i="33"/>
  <c r="H33" i="31" s="1"/>
  <c r="Q33" i="31" s="1"/>
  <c r="AQ8" i="33"/>
  <c r="AR8" i="33"/>
  <c r="AQ7" i="33"/>
  <c r="AR7" i="33"/>
  <c r="G83" i="31"/>
  <c r="G79" i="31"/>
  <c r="E74" i="31"/>
  <c r="G75" i="31"/>
  <c r="G80" i="31"/>
  <c r="G76" i="31"/>
  <c r="M119" i="31"/>
  <c r="O132" i="31"/>
  <c r="M115" i="31"/>
  <c r="K116" i="31"/>
  <c r="P129" i="31"/>
  <c r="G87" i="31"/>
  <c r="N137" i="31"/>
  <c r="E85" i="31"/>
  <c r="P128" i="31"/>
  <c r="E82" i="31"/>
  <c r="E86" i="31"/>
  <c r="AR6" i="33"/>
  <c r="H242" i="31"/>
  <c r="N136" i="31"/>
  <c r="O136" i="31" s="1"/>
  <c r="D91" i="31"/>
  <c r="L287" i="31"/>
  <c r="J250" i="31"/>
  <c r="H90" i="31"/>
  <c r="G90" i="31" s="1"/>
  <c r="E176" i="31"/>
  <c r="K171" i="31" s="1"/>
  <c r="J267" i="31"/>
  <c r="L286" i="31"/>
  <c r="L293" i="31"/>
  <c r="G256" i="31"/>
  <c r="H256" i="31"/>
  <c r="L283" i="31"/>
  <c r="K301" i="31"/>
  <c r="L294" i="31"/>
  <c r="L299" i="31"/>
  <c r="F200" i="31"/>
  <c r="F301" i="31"/>
  <c r="L282" i="31"/>
  <c r="L289" i="31"/>
  <c r="L292" i="31"/>
  <c r="L298" i="31"/>
  <c r="L295" i="31"/>
  <c r="G301" i="31"/>
  <c r="H200" i="31"/>
  <c r="G226" i="31"/>
  <c r="E242" i="31"/>
  <c r="J236" i="31"/>
  <c r="F271" i="31"/>
  <c r="J269" i="31"/>
  <c r="H301" i="31"/>
  <c r="L285" i="31"/>
  <c r="L288" i="31"/>
  <c r="L291" i="31"/>
  <c r="L297" i="31"/>
  <c r="G200" i="31"/>
  <c r="J252" i="31"/>
  <c r="F242" i="31"/>
  <c r="E256" i="31"/>
  <c r="J248" i="31"/>
  <c r="G271" i="31"/>
  <c r="I301" i="31"/>
  <c r="L296" i="31"/>
  <c r="E63" i="31"/>
  <c r="E271" i="31"/>
  <c r="J263" i="31"/>
  <c r="G242" i="31"/>
  <c r="J240" i="31"/>
  <c r="F256" i="31"/>
  <c r="J254" i="31"/>
  <c r="H271" i="31"/>
  <c r="J265" i="31"/>
  <c r="J301" i="31"/>
  <c r="L284" i="31"/>
  <c r="L290" i="31"/>
  <c r="L300" i="31"/>
  <c r="K114" i="31"/>
  <c r="M114" i="31"/>
  <c r="G81" i="31"/>
  <c r="E81" i="31"/>
  <c r="O131" i="31"/>
  <c r="P131" i="31"/>
  <c r="E77" i="31"/>
  <c r="E88" i="31"/>
  <c r="K117" i="31"/>
  <c r="N138" i="31"/>
  <c r="E78" i="31"/>
  <c r="E89" i="31"/>
  <c r="K118" i="31"/>
  <c r="O127" i="31"/>
  <c r="P127" i="31"/>
  <c r="O130" i="31"/>
  <c r="J271" i="31" l="1"/>
  <c r="G272" i="31" s="1"/>
  <c r="Q36" i="31"/>
  <c r="H35" i="31"/>
  <c r="M21" i="31" s="1"/>
  <c r="P136" i="31"/>
  <c r="D146" i="31" s="1"/>
  <c r="L301" i="31"/>
  <c r="H91" i="31"/>
  <c r="G91" i="31" s="1"/>
  <c r="P138" i="31"/>
  <c r="O138" i="31"/>
  <c r="J242" i="31"/>
  <c r="F243" i="31" s="1"/>
  <c r="E90" i="31"/>
  <c r="J12" i="37"/>
  <c r="J14" i="37" s="1"/>
  <c r="J256" i="31"/>
  <c r="J17" i="37" l="1"/>
  <c r="K14" i="37"/>
  <c r="J8" i="31"/>
  <c r="M15" i="31" s="1"/>
  <c r="M16" i="31" s="1"/>
  <c r="M17" i="31" s="1"/>
  <c r="M23" i="31" s="1"/>
  <c r="E91" i="31"/>
  <c r="H243" i="31"/>
  <c r="G243" i="31"/>
  <c r="E243" i="31"/>
  <c r="F272" i="31"/>
  <c r="G121" i="31"/>
  <c r="I249" i="31"/>
  <c r="I255" i="31"/>
  <c r="G255" i="31"/>
  <c r="H255" i="31"/>
  <c r="I253" i="31"/>
  <c r="I251" i="31"/>
  <c r="F251" i="31"/>
  <c r="H249" i="31"/>
  <c r="G251" i="31"/>
  <c r="F253" i="31"/>
  <c r="F249" i="31"/>
  <c r="E249" i="31"/>
  <c r="H253" i="31"/>
  <c r="E255" i="31"/>
  <c r="E251" i="31"/>
  <c r="G253" i="31"/>
  <c r="I257" i="31"/>
  <c r="G249" i="31"/>
  <c r="H251" i="31"/>
  <c r="F255" i="31"/>
  <c r="E253" i="31"/>
  <c r="H257" i="31"/>
  <c r="E121" i="31"/>
  <c r="I121" i="31"/>
  <c r="I237" i="31"/>
  <c r="I239" i="31"/>
  <c r="I243" i="31"/>
  <c r="H239" i="31"/>
  <c r="I241" i="31"/>
  <c r="G239" i="31"/>
  <c r="E239" i="31"/>
  <c r="F239" i="31"/>
  <c r="F237" i="31"/>
  <c r="H237" i="31"/>
  <c r="G237" i="31"/>
  <c r="E237" i="31"/>
  <c r="E241" i="31"/>
  <c r="G241" i="31"/>
  <c r="F241" i="31"/>
  <c r="H241" i="31"/>
  <c r="G257" i="31"/>
  <c r="F257" i="31"/>
  <c r="E257" i="31"/>
  <c r="H272" i="31"/>
  <c r="H270" i="31"/>
  <c r="I266" i="31"/>
  <c r="I270" i="31"/>
  <c r="I264" i="31"/>
  <c r="I268" i="31"/>
  <c r="I272" i="31"/>
  <c r="G268" i="31"/>
  <c r="F270" i="31"/>
  <c r="E264" i="31"/>
  <c r="F266" i="31"/>
  <c r="H266" i="31"/>
  <c r="H264" i="31"/>
  <c r="E268" i="31"/>
  <c r="F264" i="31"/>
  <c r="E270" i="31"/>
  <c r="G264" i="31"/>
  <c r="F268" i="31"/>
  <c r="G270" i="31"/>
  <c r="H268" i="31"/>
  <c r="G266" i="31"/>
  <c r="E266" i="31"/>
  <c r="E272" i="31"/>
  <c r="L14" i="37" l="1"/>
  <c r="K17" i="37"/>
  <c r="K8" i="31"/>
  <c r="K120" i="31"/>
  <c r="J243" i="31"/>
  <c r="J264" i="31"/>
  <c r="E122" i="31"/>
  <c r="M120" i="31"/>
  <c r="J239" i="31"/>
  <c r="G122" i="31"/>
  <c r="J255" i="31"/>
  <c r="J257" i="31"/>
  <c r="J249" i="31"/>
  <c r="J266" i="31"/>
  <c r="J268" i="31"/>
  <c r="J251" i="31"/>
  <c r="J241" i="31"/>
  <c r="M18" i="31"/>
  <c r="J272" i="31"/>
  <c r="J270" i="31"/>
  <c r="J237" i="31"/>
  <c r="J253" i="31"/>
  <c r="L17" i="37" l="1"/>
  <c r="M14" i="37"/>
  <c r="M19" i="31"/>
  <c r="M20" i="31" s="1"/>
  <c r="N14" i="37" l="1"/>
  <c r="M17" i="37"/>
  <c r="O14" i="37" l="1"/>
  <c r="N17" i="37"/>
  <c r="O17" i="37" l="1"/>
  <c r="P14" i="37"/>
  <c r="P17" i="37" l="1"/>
  <c r="Q14" i="37"/>
  <c r="Q17" i="37" l="1"/>
  <c r="R14" i="37"/>
  <c r="M22" i="31"/>
  <c r="S14" i="37" l="1"/>
  <c r="R17" i="37"/>
  <c r="S17" i="37" l="1"/>
  <c r="T14" i="37"/>
  <c r="T17" i="37" s="1"/>
  <c r="U14" i="37" l="1"/>
  <c r="V14" i="37" l="1"/>
  <c r="U17" i="37"/>
  <c r="BI350" i="1"/>
  <c r="W14" i="37" l="1"/>
  <c r="V17" i="37"/>
  <c r="BG350" i="1"/>
  <c r="BH350" i="1"/>
  <c r="X14" i="37" l="1"/>
  <c r="W17" i="37"/>
  <c r="Y14" i="37" l="1"/>
  <c r="X17" i="37"/>
  <c r="AM4" i="1"/>
  <c r="AM27" i="1"/>
  <c r="AM5" i="1"/>
  <c r="AM92" i="1"/>
  <c r="AM93" i="1"/>
  <c r="AM94" i="1"/>
  <c r="AM14" i="1"/>
  <c r="AM6" i="1"/>
  <c r="AM18" i="1"/>
  <c r="AM9" i="1"/>
  <c r="AM128" i="1"/>
  <c r="AM36" i="1"/>
  <c r="AM215" i="1"/>
  <c r="AM213" i="1"/>
  <c r="AM214" i="1"/>
  <c r="AM212" i="1"/>
  <c r="AM17" i="1"/>
  <c r="AM100" i="1"/>
  <c r="AM101" i="1"/>
  <c r="AM102" i="1"/>
  <c r="AM10" i="1"/>
  <c r="AM62" i="1"/>
  <c r="AM7" i="1"/>
  <c r="AM55" i="1"/>
  <c r="AM35" i="1"/>
  <c r="AM32" i="1"/>
  <c r="AM15" i="1"/>
  <c r="AM46" i="1"/>
  <c r="AM21" i="1"/>
  <c r="AM22" i="1"/>
  <c r="AM239" i="1"/>
  <c r="AM238" i="1"/>
  <c r="AM33" i="1"/>
  <c r="AM19" i="1"/>
  <c r="AM231" i="1"/>
  <c r="AM20" i="1"/>
  <c r="AM37" i="1"/>
  <c r="AM25" i="1"/>
  <c r="AM192" i="1"/>
  <c r="AM193" i="1"/>
  <c r="AM38" i="1"/>
  <c r="AM190" i="1"/>
  <c r="AM30" i="1"/>
  <c r="AM43" i="1"/>
  <c r="AM45" i="1"/>
  <c r="AM23" i="1"/>
  <c r="AM264" i="1"/>
  <c r="AM135" i="1"/>
  <c r="AM31" i="1"/>
  <c r="AM16" i="1"/>
  <c r="AM24" i="1"/>
  <c r="AM40" i="1"/>
  <c r="AM26" i="1"/>
  <c r="AM39" i="1"/>
  <c r="AM240" i="1"/>
  <c r="AM41" i="1"/>
  <c r="AM42" i="1"/>
  <c r="AM51" i="1"/>
  <c r="AM52" i="1"/>
  <c r="AM56" i="1"/>
  <c r="AM249" i="1"/>
  <c r="AM204" i="1"/>
  <c r="AM49" i="1"/>
  <c r="AM53" i="1"/>
  <c r="AM283" i="1"/>
  <c r="AM284" i="1"/>
  <c r="AM315" i="1"/>
  <c r="AM314" i="1"/>
  <c r="AM313" i="1"/>
  <c r="AM66" i="1"/>
  <c r="AM209" i="1"/>
  <c r="AM70" i="1"/>
  <c r="AM61" i="1"/>
  <c r="AM54" i="1"/>
  <c r="AM71" i="1"/>
  <c r="AM292" i="1"/>
  <c r="AM63" i="1"/>
  <c r="AM57" i="1"/>
  <c r="AM305" i="1"/>
  <c r="AM281" i="1"/>
  <c r="AM322" i="1"/>
  <c r="AM59" i="1"/>
  <c r="AM278" i="1"/>
  <c r="AM338" i="1"/>
  <c r="AM339" i="1"/>
  <c r="AM340" i="1"/>
  <c r="AM341" i="1"/>
  <c r="AM342" i="1"/>
  <c r="AM332" i="1"/>
  <c r="AM333" i="1"/>
  <c r="AM343" i="1"/>
  <c r="AM334" i="1"/>
  <c r="AM345" i="1"/>
  <c r="AM335" i="1"/>
  <c r="AM346" i="1"/>
  <c r="AM336" i="1"/>
  <c r="AM337" i="1"/>
  <c r="AM344" i="1"/>
  <c r="AM323" i="1"/>
  <c r="AM325" i="1"/>
  <c r="AM65" i="1"/>
  <c r="AM64" i="1"/>
  <c r="AM301" i="1"/>
  <c r="AM67" i="1"/>
  <c r="AM76" i="1"/>
  <c r="AM77" i="1"/>
  <c r="AM78" i="1"/>
  <c r="AM79" i="1"/>
  <c r="AM82" i="1"/>
  <c r="AM81" i="1"/>
  <c r="AM156" i="1"/>
  <c r="AM251" i="1"/>
  <c r="AM262" i="1"/>
  <c r="AM103" i="1"/>
  <c r="AM274" i="1"/>
  <c r="AM111" i="1"/>
  <c r="AM216" i="1"/>
  <c r="AM11" i="1"/>
  <c r="AM321" i="1"/>
  <c r="AM105" i="1"/>
  <c r="AM330" i="1"/>
  <c r="AM232" i="1"/>
  <c r="AM218" i="1"/>
  <c r="AM44" i="1"/>
  <c r="AM185" i="1"/>
  <c r="AM165" i="1"/>
  <c r="AM210" i="1"/>
  <c r="AM50" i="1"/>
  <c r="AM206" i="1"/>
  <c r="AM130" i="1"/>
  <c r="AM191" i="1"/>
  <c r="AM176" i="1"/>
  <c r="AM175" i="1"/>
  <c r="AM285" i="1"/>
  <c r="AM257" i="1"/>
  <c r="AM306" i="1"/>
  <c r="AM170" i="1"/>
  <c r="AM312" i="1"/>
  <c r="AM95" i="1"/>
  <c r="AM146" i="1"/>
  <c r="AM86" i="1"/>
  <c r="AM221" i="1"/>
  <c r="AM160" i="1"/>
  <c r="AM309" i="1"/>
  <c r="AM140" i="1"/>
  <c r="AM289" i="1"/>
  <c r="AM324" i="1"/>
  <c r="AM136" i="1"/>
  <c r="AM252" i="1"/>
  <c r="AM230" i="1"/>
  <c r="AM261" i="1"/>
  <c r="AM98" i="1"/>
  <c r="AM34" i="1"/>
  <c r="AM150" i="1"/>
  <c r="AM68" i="1"/>
  <c r="AM12" i="1"/>
  <c r="AM155" i="1"/>
  <c r="AM174" i="1"/>
  <c r="AM286" i="1"/>
  <c r="AM217" i="1"/>
  <c r="AM172" i="1"/>
  <c r="AM113" i="1"/>
  <c r="AM112" i="1"/>
  <c r="AM114" i="1"/>
  <c r="AM300" i="1"/>
  <c r="AM131" i="1"/>
  <c r="AM200" i="1"/>
  <c r="AM234" i="1"/>
  <c r="AM110" i="1"/>
  <c r="AM104" i="1"/>
  <c r="AM171" i="1"/>
  <c r="AM319" i="1"/>
  <c r="AM124" i="1"/>
  <c r="AM125" i="1"/>
  <c r="AM265" i="1"/>
  <c r="AM87" i="1"/>
  <c r="AM229" i="1"/>
  <c r="AM248" i="1"/>
  <c r="AM247" i="1"/>
  <c r="AM116" i="1"/>
  <c r="AM237" i="1"/>
  <c r="AM296" i="1"/>
  <c r="AM271" i="1"/>
  <c r="AM260" i="1"/>
  <c r="AM288" i="1"/>
  <c r="AM154" i="1"/>
  <c r="AM208" i="1"/>
  <c r="AM198" i="1"/>
  <c r="AM320" i="1"/>
  <c r="AM143" i="1"/>
  <c r="AM85" i="1"/>
  <c r="AM184" i="1"/>
  <c r="AM195" i="1"/>
  <c r="AM83" i="1"/>
  <c r="AM80" i="1"/>
  <c r="AM227" i="1"/>
  <c r="AM298" i="1"/>
  <c r="AM302" i="1"/>
  <c r="AM72" i="1"/>
  <c r="AM236" i="1"/>
  <c r="AM297" i="1"/>
  <c r="AM117" i="1"/>
  <c r="AM169" i="1"/>
  <c r="AM159" i="1"/>
  <c r="AM161" i="1"/>
  <c r="AM109" i="1"/>
  <c r="AM119" i="1"/>
  <c r="AM118" i="1"/>
  <c r="AM250" i="1"/>
  <c r="AM255" i="1"/>
  <c r="AM275" i="1"/>
  <c r="AM197" i="1"/>
  <c r="AM224" i="1"/>
  <c r="AM307" i="1"/>
  <c r="AM188" i="1"/>
  <c r="AM242" i="1"/>
  <c r="AM280" i="1"/>
  <c r="AM166" i="1"/>
  <c r="AM187" i="1"/>
  <c r="AM228" i="1"/>
  <c r="AM235" i="1"/>
  <c r="AM138" i="1"/>
  <c r="AM137" i="1"/>
  <c r="AM126" i="1"/>
  <c r="AM203" i="1"/>
  <c r="AM108" i="1"/>
  <c r="AM276" i="1"/>
  <c r="AM258" i="1"/>
  <c r="AM329" i="1"/>
  <c r="AM233" i="1"/>
  <c r="AM317" i="1"/>
  <c r="AM308" i="1"/>
  <c r="AM282" i="1"/>
  <c r="AM134" i="1"/>
  <c r="AM75" i="1"/>
  <c r="AM316" i="1"/>
  <c r="AM158" i="1"/>
  <c r="AM149" i="1"/>
  <c r="AM303" i="1"/>
  <c r="AM295" i="1"/>
  <c r="AM272" i="1"/>
  <c r="AM127" i="1"/>
  <c r="AM163" i="1"/>
  <c r="AM287" i="1"/>
  <c r="AM310" i="1"/>
  <c r="AM267" i="1"/>
  <c r="AM222" i="1"/>
  <c r="AM115" i="1"/>
  <c r="AM139" i="1"/>
  <c r="AM293" i="1"/>
  <c r="AM96" i="1"/>
  <c r="AM318" i="1"/>
  <c r="AM196" i="1"/>
  <c r="AM84" i="1"/>
  <c r="AM294" i="1"/>
  <c r="AM28" i="1"/>
  <c r="AM122" i="1"/>
  <c r="AM48" i="1"/>
  <c r="AM120" i="1"/>
  <c r="AM58" i="1"/>
  <c r="AM69" i="1"/>
  <c r="AM147" i="1"/>
  <c r="AM121" i="1"/>
  <c r="AM3" i="1"/>
  <c r="AM144" i="1"/>
  <c r="AM219" i="1"/>
  <c r="AM266" i="1"/>
  <c r="AM246" i="1"/>
  <c r="AM299" i="1"/>
  <c r="AM123" i="1"/>
  <c r="AM148" i="1"/>
  <c r="AM311" i="1"/>
  <c r="AM241" i="1"/>
  <c r="AM269" i="1"/>
  <c r="AM88" i="1"/>
  <c r="AM205" i="1"/>
  <c r="AM73" i="1"/>
  <c r="AM244" i="1"/>
  <c r="AM8" i="1"/>
  <c r="AM152" i="1"/>
  <c r="AM189" i="1"/>
  <c r="AM153" i="1"/>
  <c r="AM157" i="1"/>
  <c r="AM168" i="1"/>
  <c r="AM277" i="1"/>
  <c r="AM173" i="1"/>
  <c r="AM327" i="1"/>
  <c r="AM328" i="1"/>
  <c r="AM326" i="1"/>
  <c r="AM29" i="1"/>
  <c r="AM186" i="1"/>
  <c r="AM220" i="1"/>
  <c r="AM268" i="1"/>
  <c r="AM145" i="1"/>
  <c r="AM99" i="1"/>
  <c r="AM290" i="1"/>
  <c r="AM151" i="1"/>
  <c r="AM254" i="1"/>
  <c r="AM226" i="1"/>
  <c r="AM167" i="1"/>
  <c r="AM256" i="1"/>
  <c r="AM133" i="1"/>
  <c r="AM142" i="1"/>
  <c r="AM141" i="1"/>
  <c r="AM202" i="1"/>
  <c r="AM201" i="1"/>
  <c r="AM97" i="1"/>
  <c r="AM279" i="1"/>
  <c r="AM291" i="1"/>
  <c r="AM74" i="1"/>
  <c r="AM162" i="1"/>
  <c r="AM253" i="1"/>
  <c r="AM225" i="1"/>
  <c r="AM259" i="1"/>
  <c r="AM183" i="1"/>
  <c r="AM106" i="1"/>
  <c r="AM89" i="1"/>
  <c r="AM263" i="1"/>
  <c r="AM47" i="1"/>
  <c r="AM273" i="1"/>
  <c r="AM181" i="1"/>
  <c r="AM179" i="1"/>
  <c r="AM182" i="1"/>
  <c r="AM177" i="1"/>
  <c r="AM178" i="1"/>
  <c r="AM180" i="1"/>
  <c r="AM91" i="1"/>
  <c r="AM129" i="1"/>
  <c r="AM270" i="1"/>
  <c r="AM194" i="1"/>
  <c r="AM13" i="1"/>
  <c r="AM331" i="1"/>
  <c r="AM199" i="1"/>
  <c r="AM132" i="1"/>
  <c r="AM223" i="1"/>
  <c r="AM90" i="1"/>
  <c r="AM207" i="1"/>
  <c r="AM164" i="1"/>
  <c r="AM245" i="1"/>
  <c r="AM243" i="1"/>
  <c r="AM304" i="1"/>
  <c r="AM107" i="1"/>
  <c r="AM60" i="1"/>
  <c r="AM211" i="1"/>
  <c r="AF27" i="1"/>
  <c r="AG27" i="1"/>
  <c r="AH27" i="1"/>
  <c r="AI27" i="1"/>
  <c r="AJ27" i="1"/>
  <c r="AK27" i="1"/>
  <c r="AL27" i="1"/>
  <c r="AF5" i="1"/>
  <c r="AG5" i="1"/>
  <c r="AH5" i="1"/>
  <c r="AI5" i="1"/>
  <c r="AJ5" i="1"/>
  <c r="AK5" i="1"/>
  <c r="AL5" i="1"/>
  <c r="AF92" i="1"/>
  <c r="AG92" i="1"/>
  <c r="AH92" i="1"/>
  <c r="AI92" i="1"/>
  <c r="AJ92" i="1"/>
  <c r="AK92" i="1"/>
  <c r="AL92" i="1"/>
  <c r="AF93" i="1"/>
  <c r="AG93" i="1"/>
  <c r="AH93" i="1"/>
  <c r="AI93" i="1"/>
  <c r="AJ93" i="1"/>
  <c r="AK93" i="1"/>
  <c r="AL93" i="1"/>
  <c r="AF94" i="1"/>
  <c r="AG94" i="1"/>
  <c r="AH94" i="1"/>
  <c r="AI94" i="1"/>
  <c r="AJ94" i="1"/>
  <c r="AK94" i="1"/>
  <c r="AL94" i="1"/>
  <c r="AF14" i="1"/>
  <c r="AG14" i="1"/>
  <c r="AH14" i="1"/>
  <c r="AI14" i="1"/>
  <c r="AJ14" i="1"/>
  <c r="AK14" i="1"/>
  <c r="AL14" i="1"/>
  <c r="AF6" i="1"/>
  <c r="AG6" i="1"/>
  <c r="AH6" i="1"/>
  <c r="AI6" i="1"/>
  <c r="AJ6" i="1"/>
  <c r="AK6" i="1"/>
  <c r="AL6" i="1"/>
  <c r="AF18" i="1"/>
  <c r="AG18" i="1"/>
  <c r="AH18" i="1"/>
  <c r="AI18" i="1"/>
  <c r="AJ18" i="1"/>
  <c r="AK18" i="1"/>
  <c r="AL18" i="1"/>
  <c r="AF9" i="1"/>
  <c r="AG9" i="1"/>
  <c r="AH9" i="1"/>
  <c r="AI9" i="1"/>
  <c r="AJ9" i="1"/>
  <c r="AK9" i="1"/>
  <c r="AL9" i="1"/>
  <c r="AF128" i="1"/>
  <c r="AG128" i="1"/>
  <c r="AH128" i="1"/>
  <c r="AI128" i="1"/>
  <c r="AJ128" i="1"/>
  <c r="AK128" i="1"/>
  <c r="AL128" i="1"/>
  <c r="AF36" i="1"/>
  <c r="AG36" i="1"/>
  <c r="AH36" i="1"/>
  <c r="AI36" i="1"/>
  <c r="AJ36" i="1"/>
  <c r="AK36" i="1"/>
  <c r="AL36" i="1"/>
  <c r="AF215" i="1"/>
  <c r="AG215" i="1"/>
  <c r="AH215" i="1"/>
  <c r="AI215" i="1"/>
  <c r="AJ215" i="1"/>
  <c r="AK215" i="1"/>
  <c r="AL215" i="1"/>
  <c r="AF213" i="1"/>
  <c r="AG213" i="1"/>
  <c r="AH213" i="1"/>
  <c r="AI213" i="1"/>
  <c r="AJ213" i="1"/>
  <c r="AK213" i="1"/>
  <c r="AL213" i="1"/>
  <c r="AF214" i="1"/>
  <c r="AG214" i="1"/>
  <c r="AH214" i="1"/>
  <c r="AI214" i="1"/>
  <c r="AJ214" i="1"/>
  <c r="AK214" i="1"/>
  <c r="AL214" i="1"/>
  <c r="AF212" i="1"/>
  <c r="AG212" i="1"/>
  <c r="AH212" i="1"/>
  <c r="AI212" i="1"/>
  <c r="AJ212" i="1"/>
  <c r="AK212" i="1"/>
  <c r="AL212" i="1"/>
  <c r="AF17" i="1"/>
  <c r="AG17" i="1"/>
  <c r="AH17" i="1"/>
  <c r="AI17" i="1"/>
  <c r="AJ17" i="1"/>
  <c r="AK17" i="1"/>
  <c r="AL17" i="1"/>
  <c r="AF100" i="1"/>
  <c r="AG100" i="1"/>
  <c r="AH100" i="1"/>
  <c r="AI100" i="1"/>
  <c r="AJ100" i="1"/>
  <c r="AK100" i="1"/>
  <c r="AL100" i="1"/>
  <c r="AF101" i="1"/>
  <c r="AG101" i="1"/>
  <c r="AH101" i="1"/>
  <c r="AI101" i="1"/>
  <c r="AJ101" i="1"/>
  <c r="AK101" i="1"/>
  <c r="AL101" i="1"/>
  <c r="AF102" i="1"/>
  <c r="AG102" i="1"/>
  <c r="AH102" i="1"/>
  <c r="AI102" i="1"/>
  <c r="AJ102" i="1"/>
  <c r="AK102" i="1"/>
  <c r="AL102" i="1"/>
  <c r="AF10" i="1"/>
  <c r="AG10" i="1"/>
  <c r="AH10" i="1"/>
  <c r="AI10" i="1"/>
  <c r="AJ10" i="1"/>
  <c r="AK10" i="1"/>
  <c r="AL10" i="1"/>
  <c r="AF62" i="1"/>
  <c r="AG62" i="1"/>
  <c r="AH62" i="1"/>
  <c r="AI62" i="1"/>
  <c r="AJ62" i="1"/>
  <c r="AK62" i="1"/>
  <c r="AL62" i="1"/>
  <c r="AF7" i="1"/>
  <c r="AG7" i="1"/>
  <c r="AH7" i="1"/>
  <c r="AI7" i="1"/>
  <c r="AJ7" i="1"/>
  <c r="AK7" i="1"/>
  <c r="AL7" i="1"/>
  <c r="AF55" i="1"/>
  <c r="AG55" i="1"/>
  <c r="AH55" i="1"/>
  <c r="AI55" i="1"/>
  <c r="AJ55" i="1"/>
  <c r="AK55" i="1"/>
  <c r="AL55" i="1"/>
  <c r="AF35" i="1"/>
  <c r="AG35" i="1"/>
  <c r="AH35" i="1"/>
  <c r="AI35" i="1"/>
  <c r="AJ35" i="1"/>
  <c r="AK35" i="1"/>
  <c r="AL35" i="1"/>
  <c r="AF32" i="1"/>
  <c r="AG32" i="1"/>
  <c r="AH32" i="1"/>
  <c r="AI32" i="1"/>
  <c r="AJ32" i="1"/>
  <c r="AK32" i="1"/>
  <c r="AL32" i="1"/>
  <c r="AF15" i="1"/>
  <c r="AG15" i="1"/>
  <c r="AH15" i="1"/>
  <c r="AI15" i="1"/>
  <c r="AJ15" i="1"/>
  <c r="AK15" i="1"/>
  <c r="AL15" i="1"/>
  <c r="AF46" i="1"/>
  <c r="AG46" i="1"/>
  <c r="AH46" i="1"/>
  <c r="AI46" i="1"/>
  <c r="AJ46" i="1"/>
  <c r="AK46" i="1"/>
  <c r="AL46" i="1"/>
  <c r="AF21" i="1"/>
  <c r="AG21" i="1"/>
  <c r="AH21" i="1"/>
  <c r="AI21" i="1"/>
  <c r="AJ21" i="1"/>
  <c r="AK21" i="1"/>
  <c r="AL21" i="1"/>
  <c r="AF22" i="1"/>
  <c r="AG22" i="1"/>
  <c r="AH22" i="1"/>
  <c r="AI22" i="1"/>
  <c r="AJ22" i="1"/>
  <c r="AK22" i="1"/>
  <c r="AL22" i="1"/>
  <c r="AF239" i="1"/>
  <c r="AG239" i="1"/>
  <c r="AH239" i="1"/>
  <c r="AI239" i="1"/>
  <c r="AJ239" i="1"/>
  <c r="AK239" i="1"/>
  <c r="AL239" i="1"/>
  <c r="AF238" i="1"/>
  <c r="AG238" i="1"/>
  <c r="AH238" i="1"/>
  <c r="AI238" i="1"/>
  <c r="AJ238" i="1"/>
  <c r="AK238" i="1"/>
  <c r="AL238" i="1"/>
  <c r="AF33" i="1"/>
  <c r="AG33" i="1"/>
  <c r="AH33" i="1"/>
  <c r="AI33" i="1"/>
  <c r="AJ33" i="1"/>
  <c r="AK33" i="1"/>
  <c r="AL33" i="1"/>
  <c r="AF19" i="1"/>
  <c r="AG19" i="1"/>
  <c r="AH19" i="1"/>
  <c r="AI19" i="1"/>
  <c r="AJ19" i="1"/>
  <c r="AK19" i="1"/>
  <c r="AL19" i="1"/>
  <c r="AF231" i="1"/>
  <c r="AG231" i="1"/>
  <c r="AH231" i="1"/>
  <c r="AI231" i="1"/>
  <c r="AJ231" i="1"/>
  <c r="AK231" i="1"/>
  <c r="AL231" i="1"/>
  <c r="AF20" i="1"/>
  <c r="AG20" i="1"/>
  <c r="AH20" i="1"/>
  <c r="AI20" i="1"/>
  <c r="AJ20" i="1"/>
  <c r="AK20" i="1"/>
  <c r="AL20" i="1"/>
  <c r="AF37" i="1"/>
  <c r="AG37" i="1"/>
  <c r="AH37" i="1"/>
  <c r="AI37" i="1"/>
  <c r="AJ37" i="1"/>
  <c r="AK37" i="1"/>
  <c r="AL37" i="1"/>
  <c r="AF25" i="1"/>
  <c r="AG25" i="1"/>
  <c r="AH25" i="1"/>
  <c r="AI25" i="1"/>
  <c r="AJ25" i="1"/>
  <c r="AK25" i="1"/>
  <c r="AL25" i="1"/>
  <c r="AF192" i="1"/>
  <c r="AG192" i="1"/>
  <c r="AH192" i="1"/>
  <c r="AI192" i="1"/>
  <c r="AJ192" i="1"/>
  <c r="AK192" i="1"/>
  <c r="AL192" i="1"/>
  <c r="AF193" i="1"/>
  <c r="AG193" i="1"/>
  <c r="AH193" i="1"/>
  <c r="AI193" i="1"/>
  <c r="AJ193" i="1"/>
  <c r="AK193" i="1"/>
  <c r="AL193" i="1"/>
  <c r="AF38" i="1"/>
  <c r="AG38" i="1"/>
  <c r="AH38" i="1"/>
  <c r="AI38" i="1"/>
  <c r="AJ38" i="1"/>
  <c r="AK38" i="1"/>
  <c r="AL38" i="1"/>
  <c r="AF190" i="1"/>
  <c r="AG190" i="1"/>
  <c r="AH190" i="1"/>
  <c r="AI190" i="1"/>
  <c r="AJ190" i="1"/>
  <c r="AK190" i="1"/>
  <c r="AL190" i="1"/>
  <c r="AF30" i="1"/>
  <c r="AG30" i="1"/>
  <c r="AH30" i="1"/>
  <c r="AI30" i="1"/>
  <c r="AJ30" i="1"/>
  <c r="AK30" i="1"/>
  <c r="AL30" i="1"/>
  <c r="AF43" i="1"/>
  <c r="AG43" i="1"/>
  <c r="AH43" i="1"/>
  <c r="AI43" i="1"/>
  <c r="AJ43" i="1"/>
  <c r="AK43" i="1"/>
  <c r="AL43" i="1"/>
  <c r="AF45" i="1"/>
  <c r="AG45" i="1"/>
  <c r="AH45" i="1"/>
  <c r="AI45" i="1"/>
  <c r="AJ45" i="1"/>
  <c r="AK45" i="1"/>
  <c r="AL45" i="1"/>
  <c r="AF23" i="1"/>
  <c r="AG23" i="1"/>
  <c r="AH23" i="1"/>
  <c r="AI23" i="1"/>
  <c r="AJ23" i="1"/>
  <c r="AK23" i="1"/>
  <c r="AL23" i="1"/>
  <c r="AF264" i="1"/>
  <c r="AG264" i="1"/>
  <c r="AH264" i="1"/>
  <c r="AI264" i="1"/>
  <c r="AJ264" i="1"/>
  <c r="AK264" i="1"/>
  <c r="AL264" i="1"/>
  <c r="AF135" i="1"/>
  <c r="AG135" i="1"/>
  <c r="AH135" i="1"/>
  <c r="AI135" i="1"/>
  <c r="AJ135" i="1"/>
  <c r="AK135" i="1"/>
  <c r="AL135" i="1"/>
  <c r="AF31" i="1"/>
  <c r="AG31" i="1"/>
  <c r="AH31" i="1"/>
  <c r="AI31" i="1"/>
  <c r="AJ31" i="1"/>
  <c r="AK31" i="1"/>
  <c r="AL31" i="1"/>
  <c r="AF16" i="1"/>
  <c r="AG16" i="1"/>
  <c r="AH16" i="1"/>
  <c r="AI16" i="1"/>
  <c r="AJ16" i="1"/>
  <c r="AK16" i="1"/>
  <c r="AL16" i="1"/>
  <c r="AF24" i="1"/>
  <c r="AG24" i="1"/>
  <c r="AH24" i="1"/>
  <c r="AI24" i="1"/>
  <c r="AJ24" i="1"/>
  <c r="AK24" i="1"/>
  <c r="AL24" i="1"/>
  <c r="AF40" i="1"/>
  <c r="AG40" i="1"/>
  <c r="AH40" i="1"/>
  <c r="AI40" i="1"/>
  <c r="AJ40" i="1"/>
  <c r="AK40" i="1"/>
  <c r="AL40" i="1"/>
  <c r="AF26" i="1"/>
  <c r="AG26" i="1"/>
  <c r="AH26" i="1"/>
  <c r="AI26" i="1"/>
  <c r="AJ26" i="1"/>
  <c r="AK26" i="1"/>
  <c r="AL26" i="1"/>
  <c r="AF39" i="1"/>
  <c r="AG39" i="1"/>
  <c r="AH39" i="1"/>
  <c r="AI39" i="1"/>
  <c r="AJ39" i="1"/>
  <c r="AK39" i="1"/>
  <c r="AL39" i="1"/>
  <c r="AF240" i="1"/>
  <c r="AG240" i="1"/>
  <c r="AH240" i="1"/>
  <c r="AI240" i="1"/>
  <c r="AJ240" i="1"/>
  <c r="AK240" i="1"/>
  <c r="AL240" i="1"/>
  <c r="AF41" i="1"/>
  <c r="AG41" i="1"/>
  <c r="AH41" i="1"/>
  <c r="AI41" i="1"/>
  <c r="AJ41" i="1"/>
  <c r="AK41" i="1"/>
  <c r="AL41" i="1"/>
  <c r="AF42" i="1"/>
  <c r="AG42" i="1"/>
  <c r="AH42" i="1"/>
  <c r="AI42" i="1"/>
  <c r="AJ42" i="1"/>
  <c r="AK42" i="1"/>
  <c r="AL42" i="1"/>
  <c r="AF51" i="1"/>
  <c r="AG51" i="1"/>
  <c r="AH51" i="1"/>
  <c r="AI51" i="1"/>
  <c r="AJ51" i="1"/>
  <c r="AK51" i="1"/>
  <c r="AL51" i="1"/>
  <c r="AF52" i="1"/>
  <c r="AG52" i="1"/>
  <c r="AH52" i="1"/>
  <c r="AI52" i="1"/>
  <c r="AJ52" i="1"/>
  <c r="AK52" i="1"/>
  <c r="AL52" i="1"/>
  <c r="AF56" i="1"/>
  <c r="AG56" i="1"/>
  <c r="AH56" i="1"/>
  <c r="AI56" i="1"/>
  <c r="AJ56" i="1"/>
  <c r="AK56" i="1"/>
  <c r="AL56" i="1"/>
  <c r="AF249" i="1"/>
  <c r="AG249" i="1"/>
  <c r="AH249" i="1"/>
  <c r="AI249" i="1"/>
  <c r="AJ249" i="1"/>
  <c r="AK249" i="1"/>
  <c r="AL249" i="1"/>
  <c r="AF204" i="1"/>
  <c r="AG204" i="1"/>
  <c r="AH204" i="1"/>
  <c r="AI204" i="1"/>
  <c r="AJ204" i="1"/>
  <c r="AK204" i="1"/>
  <c r="AL204" i="1"/>
  <c r="AF49" i="1"/>
  <c r="AG49" i="1"/>
  <c r="AH49" i="1"/>
  <c r="AI49" i="1"/>
  <c r="AJ49" i="1"/>
  <c r="AK49" i="1"/>
  <c r="AL49" i="1"/>
  <c r="AF53" i="1"/>
  <c r="AG53" i="1"/>
  <c r="AH53" i="1"/>
  <c r="AI53" i="1"/>
  <c r="AJ53" i="1"/>
  <c r="AK53" i="1"/>
  <c r="AL53" i="1"/>
  <c r="AF283" i="1"/>
  <c r="AG283" i="1"/>
  <c r="AH283" i="1"/>
  <c r="AI283" i="1"/>
  <c r="AJ283" i="1"/>
  <c r="AK283" i="1"/>
  <c r="AL283" i="1"/>
  <c r="AF284" i="1"/>
  <c r="AG284" i="1"/>
  <c r="AH284" i="1"/>
  <c r="AI284" i="1"/>
  <c r="AJ284" i="1"/>
  <c r="AK284" i="1"/>
  <c r="AL284" i="1"/>
  <c r="AF315" i="1"/>
  <c r="AG315" i="1"/>
  <c r="AH315" i="1"/>
  <c r="AI315" i="1"/>
  <c r="AJ315" i="1"/>
  <c r="AK315" i="1"/>
  <c r="AL315" i="1"/>
  <c r="AF314" i="1"/>
  <c r="AG314" i="1"/>
  <c r="AH314" i="1"/>
  <c r="AI314" i="1"/>
  <c r="AJ314" i="1"/>
  <c r="AK314" i="1"/>
  <c r="AL314" i="1"/>
  <c r="AF313" i="1"/>
  <c r="AG313" i="1"/>
  <c r="AH313" i="1"/>
  <c r="AI313" i="1"/>
  <c r="AJ313" i="1"/>
  <c r="AK313" i="1"/>
  <c r="AL313" i="1"/>
  <c r="AF66" i="1"/>
  <c r="AG66" i="1"/>
  <c r="AH66" i="1"/>
  <c r="AI66" i="1"/>
  <c r="AJ66" i="1"/>
  <c r="AK66" i="1"/>
  <c r="AL66" i="1"/>
  <c r="AF209" i="1"/>
  <c r="AG209" i="1"/>
  <c r="AH209" i="1"/>
  <c r="AI209" i="1"/>
  <c r="AJ209" i="1"/>
  <c r="AK209" i="1"/>
  <c r="AL209" i="1"/>
  <c r="AF70" i="1"/>
  <c r="AG70" i="1"/>
  <c r="AH70" i="1"/>
  <c r="AI70" i="1"/>
  <c r="AJ70" i="1"/>
  <c r="AK70" i="1"/>
  <c r="AL70" i="1"/>
  <c r="AF61" i="1"/>
  <c r="AG61" i="1"/>
  <c r="AH61" i="1"/>
  <c r="AI61" i="1"/>
  <c r="AJ61" i="1"/>
  <c r="AK61" i="1"/>
  <c r="AL61" i="1"/>
  <c r="AF54" i="1"/>
  <c r="AG54" i="1"/>
  <c r="AH54" i="1"/>
  <c r="AI54" i="1"/>
  <c r="AJ54" i="1"/>
  <c r="AK54" i="1"/>
  <c r="AL54" i="1"/>
  <c r="AF71" i="1"/>
  <c r="AG71" i="1"/>
  <c r="AH71" i="1"/>
  <c r="AI71" i="1"/>
  <c r="AJ71" i="1"/>
  <c r="AK71" i="1"/>
  <c r="AL71" i="1"/>
  <c r="AF292" i="1"/>
  <c r="AG292" i="1"/>
  <c r="AH292" i="1"/>
  <c r="AI292" i="1"/>
  <c r="AJ292" i="1"/>
  <c r="AK292" i="1"/>
  <c r="AL292" i="1"/>
  <c r="AF63" i="1"/>
  <c r="AG63" i="1"/>
  <c r="AH63" i="1"/>
  <c r="AI63" i="1"/>
  <c r="AJ63" i="1"/>
  <c r="AK63" i="1"/>
  <c r="AL63" i="1"/>
  <c r="AF57" i="1"/>
  <c r="AG57" i="1"/>
  <c r="AH57" i="1"/>
  <c r="AI57" i="1"/>
  <c r="AJ57" i="1"/>
  <c r="AK57" i="1"/>
  <c r="AL57" i="1"/>
  <c r="AF305" i="1"/>
  <c r="AG305" i="1"/>
  <c r="AH305" i="1"/>
  <c r="AI305" i="1"/>
  <c r="AJ305" i="1"/>
  <c r="AK305" i="1"/>
  <c r="AL305" i="1"/>
  <c r="AF281" i="1"/>
  <c r="AG281" i="1"/>
  <c r="AH281" i="1"/>
  <c r="AI281" i="1"/>
  <c r="AJ281" i="1"/>
  <c r="AK281" i="1"/>
  <c r="AL281" i="1"/>
  <c r="AF322" i="1"/>
  <c r="AG322" i="1"/>
  <c r="AH322" i="1"/>
  <c r="AI322" i="1"/>
  <c r="AJ322" i="1"/>
  <c r="AK322" i="1"/>
  <c r="AL322" i="1"/>
  <c r="AF59" i="1"/>
  <c r="AG59" i="1"/>
  <c r="AH59" i="1"/>
  <c r="AI59" i="1"/>
  <c r="AJ59" i="1"/>
  <c r="AK59" i="1"/>
  <c r="AL59" i="1"/>
  <c r="AF278" i="1"/>
  <c r="AG278" i="1"/>
  <c r="AH278" i="1"/>
  <c r="AI278" i="1"/>
  <c r="AJ278" i="1"/>
  <c r="AK278" i="1"/>
  <c r="AL278" i="1"/>
  <c r="AF338" i="1"/>
  <c r="AG338" i="1"/>
  <c r="AH338" i="1"/>
  <c r="AI338" i="1"/>
  <c r="AJ338" i="1"/>
  <c r="AK338" i="1"/>
  <c r="AL338" i="1"/>
  <c r="AF339" i="1"/>
  <c r="AG339" i="1"/>
  <c r="AH339" i="1"/>
  <c r="AI339" i="1"/>
  <c r="AJ339" i="1"/>
  <c r="AK339" i="1"/>
  <c r="AL339" i="1"/>
  <c r="AF340" i="1"/>
  <c r="AG340" i="1"/>
  <c r="AH340" i="1"/>
  <c r="AI340" i="1"/>
  <c r="AJ340" i="1"/>
  <c r="AK340" i="1"/>
  <c r="AL340" i="1"/>
  <c r="AF341" i="1"/>
  <c r="AG341" i="1"/>
  <c r="AH341" i="1"/>
  <c r="AI341" i="1"/>
  <c r="AJ341" i="1"/>
  <c r="AK341" i="1"/>
  <c r="AL341" i="1"/>
  <c r="AF342" i="1"/>
  <c r="AG342" i="1"/>
  <c r="AH342" i="1"/>
  <c r="AI342" i="1"/>
  <c r="AJ342" i="1"/>
  <c r="AK342" i="1"/>
  <c r="AL342" i="1"/>
  <c r="AF332" i="1"/>
  <c r="AG332" i="1"/>
  <c r="AH332" i="1"/>
  <c r="AI332" i="1"/>
  <c r="AJ332" i="1"/>
  <c r="AK332" i="1"/>
  <c r="AL332" i="1"/>
  <c r="AF333" i="1"/>
  <c r="AG333" i="1"/>
  <c r="AH333" i="1"/>
  <c r="AI333" i="1"/>
  <c r="AJ333" i="1"/>
  <c r="AK333" i="1"/>
  <c r="AL333" i="1"/>
  <c r="AF343" i="1"/>
  <c r="AG343" i="1"/>
  <c r="AH343" i="1"/>
  <c r="AI343" i="1"/>
  <c r="AJ343" i="1"/>
  <c r="AK343" i="1"/>
  <c r="AL343" i="1"/>
  <c r="AF334" i="1"/>
  <c r="AG334" i="1"/>
  <c r="AH334" i="1"/>
  <c r="AI334" i="1"/>
  <c r="AJ334" i="1"/>
  <c r="AK334" i="1"/>
  <c r="AL334" i="1"/>
  <c r="AF345" i="1"/>
  <c r="AG345" i="1"/>
  <c r="AH345" i="1"/>
  <c r="AI345" i="1"/>
  <c r="AJ345" i="1"/>
  <c r="AK345" i="1"/>
  <c r="AL345" i="1"/>
  <c r="AF335" i="1"/>
  <c r="AG335" i="1"/>
  <c r="AH335" i="1"/>
  <c r="AI335" i="1"/>
  <c r="AJ335" i="1"/>
  <c r="AK335" i="1"/>
  <c r="AL335" i="1"/>
  <c r="AF346" i="1"/>
  <c r="AG346" i="1"/>
  <c r="AH346" i="1"/>
  <c r="AI346" i="1"/>
  <c r="AJ346" i="1"/>
  <c r="AK346" i="1"/>
  <c r="AL346" i="1"/>
  <c r="AF336" i="1"/>
  <c r="AG336" i="1"/>
  <c r="AH336" i="1"/>
  <c r="AI336" i="1"/>
  <c r="AJ336" i="1"/>
  <c r="AK336" i="1"/>
  <c r="AL336" i="1"/>
  <c r="AF337" i="1"/>
  <c r="AG337" i="1"/>
  <c r="AH337" i="1"/>
  <c r="AI337" i="1"/>
  <c r="AJ337" i="1"/>
  <c r="AK337" i="1"/>
  <c r="AL337" i="1"/>
  <c r="AF344" i="1"/>
  <c r="AG344" i="1"/>
  <c r="AH344" i="1"/>
  <c r="AI344" i="1"/>
  <c r="AJ344" i="1"/>
  <c r="AK344" i="1"/>
  <c r="AL344" i="1"/>
  <c r="AF323" i="1"/>
  <c r="AG323" i="1"/>
  <c r="AH323" i="1"/>
  <c r="AI323" i="1"/>
  <c r="AJ323" i="1"/>
  <c r="AK323" i="1"/>
  <c r="AL323" i="1"/>
  <c r="AF325" i="1"/>
  <c r="AG325" i="1"/>
  <c r="AH325" i="1"/>
  <c r="AI325" i="1"/>
  <c r="AJ325" i="1"/>
  <c r="AK325" i="1"/>
  <c r="AL325" i="1"/>
  <c r="AF65" i="1"/>
  <c r="AG65" i="1"/>
  <c r="AH65" i="1"/>
  <c r="AI65" i="1"/>
  <c r="AJ65" i="1"/>
  <c r="AK65" i="1"/>
  <c r="AL65" i="1"/>
  <c r="AF64" i="1"/>
  <c r="AG64" i="1"/>
  <c r="AH64" i="1"/>
  <c r="AI64" i="1"/>
  <c r="AJ64" i="1"/>
  <c r="AK64" i="1"/>
  <c r="AL64" i="1"/>
  <c r="AF301" i="1"/>
  <c r="AG301" i="1"/>
  <c r="AH301" i="1"/>
  <c r="AI301" i="1"/>
  <c r="AJ301" i="1"/>
  <c r="AK301" i="1"/>
  <c r="AL301" i="1"/>
  <c r="AF67" i="1"/>
  <c r="AG67" i="1"/>
  <c r="AH67" i="1"/>
  <c r="AI67" i="1"/>
  <c r="AJ67" i="1"/>
  <c r="AK67" i="1"/>
  <c r="AL67" i="1"/>
  <c r="AF76" i="1"/>
  <c r="AG76" i="1"/>
  <c r="AH76" i="1"/>
  <c r="AI76" i="1"/>
  <c r="AJ76" i="1"/>
  <c r="AK76" i="1"/>
  <c r="AL76" i="1"/>
  <c r="AF77" i="1"/>
  <c r="AG77" i="1"/>
  <c r="AH77" i="1"/>
  <c r="AI77" i="1"/>
  <c r="AJ77" i="1"/>
  <c r="AK77" i="1"/>
  <c r="AL77" i="1"/>
  <c r="AF78" i="1"/>
  <c r="AG78" i="1"/>
  <c r="AH78" i="1"/>
  <c r="AI78" i="1"/>
  <c r="AJ78" i="1"/>
  <c r="AK78" i="1"/>
  <c r="AL78" i="1"/>
  <c r="AF79" i="1"/>
  <c r="AG79" i="1"/>
  <c r="AH79" i="1"/>
  <c r="AI79" i="1"/>
  <c r="AJ79" i="1"/>
  <c r="AK79" i="1"/>
  <c r="AL79" i="1"/>
  <c r="AF82" i="1"/>
  <c r="AG82" i="1"/>
  <c r="AH82" i="1"/>
  <c r="AI82" i="1"/>
  <c r="AJ82" i="1"/>
  <c r="AK82" i="1"/>
  <c r="AL82" i="1"/>
  <c r="AF81" i="1"/>
  <c r="AG81" i="1"/>
  <c r="AH81" i="1"/>
  <c r="AI81" i="1"/>
  <c r="AJ81" i="1"/>
  <c r="AK81" i="1"/>
  <c r="AL81" i="1"/>
  <c r="AF156" i="1"/>
  <c r="AG156" i="1"/>
  <c r="AH156" i="1"/>
  <c r="AI156" i="1"/>
  <c r="AJ156" i="1"/>
  <c r="AK156" i="1"/>
  <c r="AL156" i="1"/>
  <c r="AF251" i="1"/>
  <c r="AG251" i="1"/>
  <c r="AH251" i="1"/>
  <c r="AI251" i="1"/>
  <c r="AJ251" i="1"/>
  <c r="AK251" i="1"/>
  <c r="AL251" i="1"/>
  <c r="AF262" i="1"/>
  <c r="AG262" i="1"/>
  <c r="AH262" i="1"/>
  <c r="AI262" i="1"/>
  <c r="AJ262" i="1"/>
  <c r="AK262" i="1"/>
  <c r="AL262" i="1"/>
  <c r="AF103" i="1"/>
  <c r="AG103" i="1"/>
  <c r="AH103" i="1"/>
  <c r="AI103" i="1"/>
  <c r="AJ103" i="1"/>
  <c r="AK103" i="1"/>
  <c r="AL103" i="1"/>
  <c r="AF274" i="1"/>
  <c r="AG274" i="1"/>
  <c r="AH274" i="1"/>
  <c r="AI274" i="1"/>
  <c r="AJ274" i="1"/>
  <c r="AK274" i="1"/>
  <c r="AL274" i="1"/>
  <c r="AF111" i="1"/>
  <c r="AG111" i="1"/>
  <c r="AH111" i="1"/>
  <c r="AI111" i="1"/>
  <c r="AJ111" i="1"/>
  <c r="AK111" i="1"/>
  <c r="AL111" i="1"/>
  <c r="AF216" i="1"/>
  <c r="AG216" i="1"/>
  <c r="AH216" i="1"/>
  <c r="AI216" i="1"/>
  <c r="AJ216" i="1"/>
  <c r="AK216" i="1"/>
  <c r="AL216" i="1"/>
  <c r="AF11" i="1"/>
  <c r="AG11" i="1"/>
  <c r="AH11" i="1"/>
  <c r="AI11" i="1"/>
  <c r="AJ11" i="1"/>
  <c r="AK11" i="1"/>
  <c r="AL11" i="1"/>
  <c r="AF321" i="1"/>
  <c r="AG321" i="1"/>
  <c r="AH321" i="1"/>
  <c r="AI321" i="1"/>
  <c r="AJ321" i="1"/>
  <c r="AK321" i="1"/>
  <c r="AL321" i="1"/>
  <c r="AF105" i="1"/>
  <c r="AG105" i="1"/>
  <c r="AH105" i="1"/>
  <c r="AI105" i="1"/>
  <c r="AJ105" i="1"/>
  <c r="AK105" i="1"/>
  <c r="AL105" i="1"/>
  <c r="AF330" i="1"/>
  <c r="AG330" i="1"/>
  <c r="AH330" i="1"/>
  <c r="AI330" i="1"/>
  <c r="AJ330" i="1"/>
  <c r="AK330" i="1"/>
  <c r="AL330" i="1"/>
  <c r="AF232" i="1"/>
  <c r="AG232" i="1"/>
  <c r="AH232" i="1"/>
  <c r="AI232" i="1"/>
  <c r="AJ232" i="1"/>
  <c r="AK232" i="1"/>
  <c r="AL232" i="1"/>
  <c r="AF218" i="1"/>
  <c r="AG218" i="1"/>
  <c r="AH218" i="1"/>
  <c r="AI218" i="1"/>
  <c r="AJ218" i="1"/>
  <c r="AK218" i="1"/>
  <c r="AL218" i="1"/>
  <c r="AF44" i="1"/>
  <c r="AG44" i="1"/>
  <c r="AH44" i="1"/>
  <c r="AI44" i="1"/>
  <c r="AJ44" i="1"/>
  <c r="AK44" i="1"/>
  <c r="AL44" i="1"/>
  <c r="AF185" i="1"/>
  <c r="AG185" i="1"/>
  <c r="AH185" i="1"/>
  <c r="AI185" i="1"/>
  <c r="AJ185" i="1"/>
  <c r="AK185" i="1"/>
  <c r="AL185" i="1"/>
  <c r="AF165" i="1"/>
  <c r="AG165" i="1"/>
  <c r="AH165" i="1"/>
  <c r="AI165" i="1"/>
  <c r="AJ165" i="1"/>
  <c r="AK165" i="1"/>
  <c r="AL165" i="1"/>
  <c r="AF210" i="1"/>
  <c r="AG210" i="1"/>
  <c r="AH210" i="1"/>
  <c r="AI210" i="1"/>
  <c r="AJ210" i="1"/>
  <c r="AK210" i="1"/>
  <c r="AL210" i="1"/>
  <c r="AF50" i="1"/>
  <c r="AG50" i="1"/>
  <c r="AH50" i="1"/>
  <c r="AI50" i="1"/>
  <c r="AJ50" i="1"/>
  <c r="AK50" i="1"/>
  <c r="AL50" i="1"/>
  <c r="AF206" i="1"/>
  <c r="AG206" i="1"/>
  <c r="AH206" i="1"/>
  <c r="AI206" i="1"/>
  <c r="AJ206" i="1"/>
  <c r="AK206" i="1"/>
  <c r="AL206" i="1"/>
  <c r="AF130" i="1"/>
  <c r="AG130" i="1"/>
  <c r="AH130" i="1"/>
  <c r="AI130" i="1"/>
  <c r="AJ130" i="1"/>
  <c r="AK130" i="1"/>
  <c r="AL130" i="1"/>
  <c r="AF191" i="1"/>
  <c r="AG191" i="1"/>
  <c r="AH191" i="1"/>
  <c r="AI191" i="1"/>
  <c r="AJ191" i="1"/>
  <c r="AK191" i="1"/>
  <c r="AL191" i="1"/>
  <c r="AF176" i="1"/>
  <c r="AG176" i="1"/>
  <c r="AH176" i="1"/>
  <c r="AI176" i="1"/>
  <c r="AJ176" i="1"/>
  <c r="AK176" i="1"/>
  <c r="AL176" i="1"/>
  <c r="AF175" i="1"/>
  <c r="AG175" i="1"/>
  <c r="AH175" i="1"/>
  <c r="AI175" i="1"/>
  <c r="AJ175" i="1"/>
  <c r="AK175" i="1"/>
  <c r="AL175" i="1"/>
  <c r="AF285" i="1"/>
  <c r="AG285" i="1"/>
  <c r="AH285" i="1"/>
  <c r="AI285" i="1"/>
  <c r="AJ285" i="1"/>
  <c r="AK285" i="1"/>
  <c r="AL285" i="1"/>
  <c r="AF257" i="1"/>
  <c r="AG257" i="1"/>
  <c r="AH257" i="1"/>
  <c r="AI257" i="1"/>
  <c r="AJ257" i="1"/>
  <c r="AK257" i="1"/>
  <c r="AL257" i="1"/>
  <c r="AF306" i="1"/>
  <c r="AG306" i="1"/>
  <c r="AH306" i="1"/>
  <c r="AI306" i="1"/>
  <c r="AJ306" i="1"/>
  <c r="AK306" i="1"/>
  <c r="AL306" i="1"/>
  <c r="AF170" i="1"/>
  <c r="AG170" i="1"/>
  <c r="AH170" i="1"/>
  <c r="AI170" i="1"/>
  <c r="AJ170" i="1"/>
  <c r="AK170" i="1"/>
  <c r="AL170" i="1"/>
  <c r="AF312" i="1"/>
  <c r="AG312" i="1"/>
  <c r="AH312" i="1"/>
  <c r="AI312" i="1"/>
  <c r="AJ312" i="1"/>
  <c r="AK312" i="1"/>
  <c r="AL312" i="1"/>
  <c r="AF95" i="1"/>
  <c r="AG95" i="1"/>
  <c r="AH95" i="1"/>
  <c r="AI95" i="1"/>
  <c r="AJ95" i="1"/>
  <c r="AK95" i="1"/>
  <c r="AL95" i="1"/>
  <c r="AF146" i="1"/>
  <c r="AG146" i="1"/>
  <c r="AH146" i="1"/>
  <c r="AI146" i="1"/>
  <c r="AJ146" i="1"/>
  <c r="AK146" i="1"/>
  <c r="AL146" i="1"/>
  <c r="AF86" i="1"/>
  <c r="AG86" i="1"/>
  <c r="AH86" i="1"/>
  <c r="AI86" i="1"/>
  <c r="AJ86" i="1"/>
  <c r="AK86" i="1"/>
  <c r="AL86" i="1"/>
  <c r="AF221" i="1"/>
  <c r="AG221" i="1"/>
  <c r="AH221" i="1"/>
  <c r="AI221" i="1"/>
  <c r="AJ221" i="1"/>
  <c r="AK221" i="1"/>
  <c r="AL221" i="1"/>
  <c r="AF160" i="1"/>
  <c r="AG160" i="1"/>
  <c r="AH160" i="1"/>
  <c r="AI160" i="1"/>
  <c r="AJ160" i="1"/>
  <c r="AK160" i="1"/>
  <c r="AL160" i="1"/>
  <c r="AF309" i="1"/>
  <c r="AG309" i="1"/>
  <c r="AH309" i="1"/>
  <c r="AI309" i="1"/>
  <c r="AJ309" i="1"/>
  <c r="AK309" i="1"/>
  <c r="AL309" i="1"/>
  <c r="AF140" i="1"/>
  <c r="AG140" i="1"/>
  <c r="AH140" i="1"/>
  <c r="AI140" i="1"/>
  <c r="AJ140" i="1"/>
  <c r="AK140" i="1"/>
  <c r="AL140" i="1"/>
  <c r="AF289" i="1"/>
  <c r="AG289" i="1"/>
  <c r="AH289" i="1"/>
  <c r="AI289" i="1"/>
  <c r="AJ289" i="1"/>
  <c r="AK289" i="1"/>
  <c r="AL289" i="1"/>
  <c r="AF324" i="1"/>
  <c r="AG324" i="1"/>
  <c r="AH324" i="1"/>
  <c r="AI324" i="1"/>
  <c r="AJ324" i="1"/>
  <c r="AK324" i="1"/>
  <c r="AL324" i="1"/>
  <c r="AF136" i="1"/>
  <c r="AG136" i="1"/>
  <c r="AH136" i="1"/>
  <c r="AI136" i="1"/>
  <c r="AJ136" i="1"/>
  <c r="AK136" i="1"/>
  <c r="AL136" i="1"/>
  <c r="AF252" i="1"/>
  <c r="AG252" i="1"/>
  <c r="AH252" i="1"/>
  <c r="AI252" i="1"/>
  <c r="AJ252" i="1"/>
  <c r="AK252" i="1"/>
  <c r="AL252" i="1"/>
  <c r="AF230" i="1"/>
  <c r="AG230" i="1"/>
  <c r="AH230" i="1"/>
  <c r="AI230" i="1"/>
  <c r="AJ230" i="1"/>
  <c r="AK230" i="1"/>
  <c r="AL230" i="1"/>
  <c r="AF261" i="1"/>
  <c r="AG261" i="1"/>
  <c r="AH261" i="1"/>
  <c r="AI261" i="1"/>
  <c r="AJ261" i="1"/>
  <c r="AK261" i="1"/>
  <c r="AL261" i="1"/>
  <c r="AF98" i="1"/>
  <c r="AG98" i="1"/>
  <c r="AH98" i="1"/>
  <c r="AI98" i="1"/>
  <c r="AJ98" i="1"/>
  <c r="AK98" i="1"/>
  <c r="AL98" i="1"/>
  <c r="AF34" i="1"/>
  <c r="AG34" i="1"/>
  <c r="AH34" i="1"/>
  <c r="AI34" i="1"/>
  <c r="AJ34" i="1"/>
  <c r="AK34" i="1"/>
  <c r="AL34" i="1"/>
  <c r="AF150" i="1"/>
  <c r="AG150" i="1"/>
  <c r="AH150" i="1"/>
  <c r="AI150" i="1"/>
  <c r="AJ150" i="1"/>
  <c r="AK150" i="1"/>
  <c r="AL150" i="1"/>
  <c r="AF68" i="1"/>
  <c r="AG68" i="1"/>
  <c r="AH68" i="1"/>
  <c r="AI68" i="1"/>
  <c r="AJ68" i="1"/>
  <c r="AK68" i="1"/>
  <c r="AL68" i="1"/>
  <c r="AF12" i="1"/>
  <c r="AG12" i="1"/>
  <c r="AH12" i="1"/>
  <c r="AI12" i="1"/>
  <c r="AJ12" i="1"/>
  <c r="AK12" i="1"/>
  <c r="AL12" i="1"/>
  <c r="AF155" i="1"/>
  <c r="AG155" i="1"/>
  <c r="AH155" i="1"/>
  <c r="AI155" i="1"/>
  <c r="AJ155" i="1"/>
  <c r="AK155" i="1"/>
  <c r="AL155" i="1"/>
  <c r="AF174" i="1"/>
  <c r="AG174" i="1"/>
  <c r="AH174" i="1"/>
  <c r="AI174" i="1"/>
  <c r="AJ174" i="1"/>
  <c r="AK174" i="1"/>
  <c r="AL174" i="1"/>
  <c r="AF286" i="1"/>
  <c r="AG286" i="1"/>
  <c r="AH286" i="1"/>
  <c r="AI286" i="1"/>
  <c r="AJ286" i="1"/>
  <c r="AK286" i="1"/>
  <c r="AL286" i="1"/>
  <c r="AF217" i="1"/>
  <c r="AG217" i="1"/>
  <c r="AH217" i="1"/>
  <c r="AI217" i="1"/>
  <c r="AJ217" i="1"/>
  <c r="AK217" i="1"/>
  <c r="AL217" i="1"/>
  <c r="AF172" i="1"/>
  <c r="AG172" i="1"/>
  <c r="AH172" i="1"/>
  <c r="AI172" i="1"/>
  <c r="AJ172" i="1"/>
  <c r="AK172" i="1"/>
  <c r="AL172" i="1"/>
  <c r="AF113" i="1"/>
  <c r="AG113" i="1"/>
  <c r="AH113" i="1"/>
  <c r="AI113" i="1"/>
  <c r="AJ113" i="1"/>
  <c r="AK113" i="1"/>
  <c r="AL113" i="1"/>
  <c r="AF112" i="1"/>
  <c r="AG112" i="1"/>
  <c r="AH112" i="1"/>
  <c r="AI112" i="1"/>
  <c r="AJ112" i="1"/>
  <c r="AK112" i="1"/>
  <c r="AL112" i="1"/>
  <c r="AF114" i="1"/>
  <c r="AG114" i="1"/>
  <c r="AH114" i="1"/>
  <c r="AI114" i="1"/>
  <c r="AJ114" i="1"/>
  <c r="AK114" i="1"/>
  <c r="AL114" i="1"/>
  <c r="AF300" i="1"/>
  <c r="AG300" i="1"/>
  <c r="AH300" i="1"/>
  <c r="AI300" i="1"/>
  <c r="AJ300" i="1"/>
  <c r="AK300" i="1"/>
  <c r="AL300" i="1"/>
  <c r="AF131" i="1"/>
  <c r="AG131" i="1"/>
  <c r="AH131" i="1"/>
  <c r="AI131" i="1"/>
  <c r="AJ131" i="1"/>
  <c r="AK131" i="1"/>
  <c r="AL131" i="1"/>
  <c r="AF200" i="1"/>
  <c r="AG200" i="1"/>
  <c r="AH200" i="1"/>
  <c r="AI200" i="1"/>
  <c r="AJ200" i="1"/>
  <c r="AK200" i="1"/>
  <c r="AL200" i="1"/>
  <c r="AF234" i="1"/>
  <c r="AG234" i="1"/>
  <c r="AH234" i="1"/>
  <c r="AI234" i="1"/>
  <c r="AJ234" i="1"/>
  <c r="AK234" i="1"/>
  <c r="AL234" i="1"/>
  <c r="AF110" i="1"/>
  <c r="AG110" i="1"/>
  <c r="AH110" i="1"/>
  <c r="AI110" i="1"/>
  <c r="AJ110" i="1"/>
  <c r="AK110" i="1"/>
  <c r="AL110" i="1"/>
  <c r="AF104" i="1"/>
  <c r="AG104" i="1"/>
  <c r="AH104" i="1"/>
  <c r="AI104" i="1"/>
  <c r="AJ104" i="1"/>
  <c r="AK104" i="1"/>
  <c r="AL104" i="1"/>
  <c r="AF171" i="1"/>
  <c r="AG171" i="1"/>
  <c r="AH171" i="1"/>
  <c r="AI171" i="1"/>
  <c r="AJ171" i="1"/>
  <c r="AK171" i="1"/>
  <c r="AL171" i="1"/>
  <c r="AF319" i="1"/>
  <c r="AG319" i="1"/>
  <c r="AH319" i="1"/>
  <c r="AI319" i="1"/>
  <c r="AJ319" i="1"/>
  <c r="AK319" i="1"/>
  <c r="AL319" i="1"/>
  <c r="AF124" i="1"/>
  <c r="AG124" i="1"/>
  <c r="AH124" i="1"/>
  <c r="AI124" i="1"/>
  <c r="AJ124" i="1"/>
  <c r="AK124" i="1"/>
  <c r="AL124" i="1"/>
  <c r="AF125" i="1"/>
  <c r="AG125" i="1"/>
  <c r="AH125" i="1"/>
  <c r="AI125" i="1"/>
  <c r="AJ125" i="1"/>
  <c r="AK125" i="1"/>
  <c r="AL125" i="1"/>
  <c r="AF265" i="1"/>
  <c r="AG265" i="1"/>
  <c r="AH265" i="1"/>
  <c r="AI265" i="1"/>
  <c r="AJ265" i="1"/>
  <c r="AK265" i="1"/>
  <c r="AL265" i="1"/>
  <c r="AF87" i="1"/>
  <c r="AG87" i="1"/>
  <c r="AH87" i="1"/>
  <c r="AI87" i="1"/>
  <c r="AJ87" i="1"/>
  <c r="AK87" i="1"/>
  <c r="AL87" i="1"/>
  <c r="AF229" i="1"/>
  <c r="AG229" i="1"/>
  <c r="AH229" i="1"/>
  <c r="AI229" i="1"/>
  <c r="AJ229" i="1"/>
  <c r="AK229" i="1"/>
  <c r="AL229" i="1"/>
  <c r="AF248" i="1"/>
  <c r="AG248" i="1"/>
  <c r="AH248" i="1"/>
  <c r="AI248" i="1"/>
  <c r="AJ248" i="1"/>
  <c r="AK248" i="1"/>
  <c r="AL248" i="1"/>
  <c r="AF247" i="1"/>
  <c r="AG247" i="1"/>
  <c r="AH247" i="1"/>
  <c r="AI247" i="1"/>
  <c r="AJ247" i="1"/>
  <c r="AK247" i="1"/>
  <c r="AL247" i="1"/>
  <c r="AF116" i="1"/>
  <c r="AG116" i="1"/>
  <c r="AH116" i="1"/>
  <c r="AI116" i="1"/>
  <c r="AJ116" i="1"/>
  <c r="AK116" i="1"/>
  <c r="AL116" i="1"/>
  <c r="AF237" i="1"/>
  <c r="AG237" i="1"/>
  <c r="AH237" i="1"/>
  <c r="AI237" i="1"/>
  <c r="AJ237" i="1"/>
  <c r="AK237" i="1"/>
  <c r="AL237" i="1"/>
  <c r="AF296" i="1"/>
  <c r="AG296" i="1"/>
  <c r="AH296" i="1"/>
  <c r="AI296" i="1"/>
  <c r="AJ296" i="1"/>
  <c r="AK296" i="1"/>
  <c r="AL296" i="1"/>
  <c r="AF271" i="1"/>
  <c r="AG271" i="1"/>
  <c r="AH271" i="1"/>
  <c r="AI271" i="1"/>
  <c r="AJ271" i="1"/>
  <c r="AK271" i="1"/>
  <c r="AL271" i="1"/>
  <c r="AF260" i="1"/>
  <c r="AG260" i="1"/>
  <c r="AH260" i="1"/>
  <c r="AI260" i="1"/>
  <c r="AJ260" i="1"/>
  <c r="AK260" i="1"/>
  <c r="AL260" i="1"/>
  <c r="AF288" i="1"/>
  <c r="AG288" i="1"/>
  <c r="AH288" i="1"/>
  <c r="AI288" i="1"/>
  <c r="AJ288" i="1"/>
  <c r="AK288" i="1"/>
  <c r="AL288" i="1"/>
  <c r="AF154" i="1"/>
  <c r="AG154" i="1"/>
  <c r="AH154" i="1"/>
  <c r="AI154" i="1"/>
  <c r="AJ154" i="1"/>
  <c r="AK154" i="1"/>
  <c r="AL154" i="1"/>
  <c r="AF208" i="1"/>
  <c r="AG208" i="1"/>
  <c r="AH208" i="1"/>
  <c r="AI208" i="1"/>
  <c r="AJ208" i="1"/>
  <c r="AK208" i="1"/>
  <c r="AL208" i="1"/>
  <c r="AF198" i="1"/>
  <c r="AG198" i="1"/>
  <c r="AH198" i="1"/>
  <c r="AI198" i="1"/>
  <c r="AJ198" i="1"/>
  <c r="AK198" i="1"/>
  <c r="AL198" i="1"/>
  <c r="AF320" i="1"/>
  <c r="AG320" i="1"/>
  <c r="AH320" i="1"/>
  <c r="AI320" i="1"/>
  <c r="AJ320" i="1"/>
  <c r="AK320" i="1"/>
  <c r="AL320" i="1"/>
  <c r="AF143" i="1"/>
  <c r="AG143" i="1"/>
  <c r="AH143" i="1"/>
  <c r="AI143" i="1"/>
  <c r="AJ143" i="1"/>
  <c r="AK143" i="1"/>
  <c r="AL143" i="1"/>
  <c r="AF85" i="1"/>
  <c r="AG85" i="1"/>
  <c r="AH85" i="1"/>
  <c r="AI85" i="1"/>
  <c r="AJ85" i="1"/>
  <c r="AK85" i="1"/>
  <c r="AL85" i="1"/>
  <c r="AF184" i="1"/>
  <c r="AG184" i="1"/>
  <c r="AH184" i="1"/>
  <c r="AI184" i="1"/>
  <c r="AJ184" i="1"/>
  <c r="AK184" i="1"/>
  <c r="AL184" i="1"/>
  <c r="AF195" i="1"/>
  <c r="AG195" i="1"/>
  <c r="AH195" i="1"/>
  <c r="AI195" i="1"/>
  <c r="AJ195" i="1"/>
  <c r="AK195" i="1"/>
  <c r="AL195" i="1"/>
  <c r="AF83" i="1"/>
  <c r="AG83" i="1"/>
  <c r="AH83" i="1"/>
  <c r="AI83" i="1"/>
  <c r="AJ83" i="1"/>
  <c r="AK83" i="1"/>
  <c r="AL83" i="1"/>
  <c r="AF80" i="1"/>
  <c r="AG80" i="1"/>
  <c r="AH80" i="1"/>
  <c r="AI80" i="1"/>
  <c r="AJ80" i="1"/>
  <c r="AK80" i="1"/>
  <c r="AL80" i="1"/>
  <c r="AF227" i="1"/>
  <c r="AG227" i="1"/>
  <c r="AH227" i="1"/>
  <c r="AI227" i="1"/>
  <c r="AJ227" i="1"/>
  <c r="AK227" i="1"/>
  <c r="AL227" i="1"/>
  <c r="AF298" i="1"/>
  <c r="AG298" i="1"/>
  <c r="AH298" i="1"/>
  <c r="AI298" i="1"/>
  <c r="AJ298" i="1"/>
  <c r="AK298" i="1"/>
  <c r="AL298" i="1"/>
  <c r="AF302" i="1"/>
  <c r="AG302" i="1"/>
  <c r="AH302" i="1"/>
  <c r="AI302" i="1"/>
  <c r="AJ302" i="1"/>
  <c r="AK302" i="1"/>
  <c r="AL302" i="1"/>
  <c r="AF72" i="1"/>
  <c r="AG72" i="1"/>
  <c r="AH72" i="1"/>
  <c r="AI72" i="1"/>
  <c r="AJ72" i="1"/>
  <c r="AK72" i="1"/>
  <c r="AL72" i="1"/>
  <c r="AF236" i="1"/>
  <c r="AG236" i="1"/>
  <c r="AH236" i="1"/>
  <c r="AI236" i="1"/>
  <c r="AJ236" i="1"/>
  <c r="AK236" i="1"/>
  <c r="AL236" i="1"/>
  <c r="AF297" i="1"/>
  <c r="AG297" i="1"/>
  <c r="AH297" i="1"/>
  <c r="AI297" i="1"/>
  <c r="AJ297" i="1"/>
  <c r="AK297" i="1"/>
  <c r="AL297" i="1"/>
  <c r="AF117" i="1"/>
  <c r="AG117" i="1"/>
  <c r="AH117" i="1"/>
  <c r="AI117" i="1"/>
  <c r="AJ117" i="1"/>
  <c r="AK117" i="1"/>
  <c r="AL117" i="1"/>
  <c r="AF169" i="1"/>
  <c r="AG169" i="1"/>
  <c r="AH169" i="1"/>
  <c r="AI169" i="1"/>
  <c r="AJ169" i="1"/>
  <c r="AK169" i="1"/>
  <c r="AL169" i="1"/>
  <c r="AF159" i="1"/>
  <c r="AG159" i="1"/>
  <c r="AH159" i="1"/>
  <c r="AI159" i="1"/>
  <c r="AJ159" i="1"/>
  <c r="AK159" i="1"/>
  <c r="AL159" i="1"/>
  <c r="AF161" i="1"/>
  <c r="AG161" i="1"/>
  <c r="AH161" i="1"/>
  <c r="AI161" i="1"/>
  <c r="AJ161" i="1"/>
  <c r="AK161" i="1"/>
  <c r="AL161" i="1"/>
  <c r="AF109" i="1"/>
  <c r="AG109" i="1"/>
  <c r="AH109" i="1"/>
  <c r="AI109" i="1"/>
  <c r="AJ109" i="1"/>
  <c r="AK109" i="1"/>
  <c r="AL109" i="1"/>
  <c r="AF119" i="1"/>
  <c r="AG119" i="1"/>
  <c r="AH119" i="1"/>
  <c r="AI119" i="1"/>
  <c r="AJ119" i="1"/>
  <c r="AK119" i="1"/>
  <c r="AL119" i="1"/>
  <c r="AF118" i="1"/>
  <c r="AG118" i="1"/>
  <c r="AH118" i="1"/>
  <c r="AI118" i="1"/>
  <c r="AJ118" i="1"/>
  <c r="AK118" i="1"/>
  <c r="AL118" i="1"/>
  <c r="AF250" i="1"/>
  <c r="AG250" i="1"/>
  <c r="AH250" i="1"/>
  <c r="AI250" i="1"/>
  <c r="AJ250" i="1"/>
  <c r="AK250" i="1"/>
  <c r="AL250" i="1"/>
  <c r="AF255" i="1"/>
  <c r="AG255" i="1"/>
  <c r="AH255" i="1"/>
  <c r="AI255" i="1"/>
  <c r="AJ255" i="1"/>
  <c r="AK255" i="1"/>
  <c r="AL255" i="1"/>
  <c r="AF275" i="1"/>
  <c r="AG275" i="1"/>
  <c r="AH275" i="1"/>
  <c r="AI275" i="1"/>
  <c r="AJ275" i="1"/>
  <c r="AK275" i="1"/>
  <c r="AL275" i="1"/>
  <c r="AF197" i="1"/>
  <c r="AG197" i="1"/>
  <c r="AH197" i="1"/>
  <c r="AI197" i="1"/>
  <c r="AJ197" i="1"/>
  <c r="AK197" i="1"/>
  <c r="AL197" i="1"/>
  <c r="AF224" i="1"/>
  <c r="AG224" i="1"/>
  <c r="AH224" i="1"/>
  <c r="AI224" i="1"/>
  <c r="AJ224" i="1"/>
  <c r="AK224" i="1"/>
  <c r="AL224" i="1"/>
  <c r="AF307" i="1"/>
  <c r="AG307" i="1"/>
  <c r="AH307" i="1"/>
  <c r="AI307" i="1"/>
  <c r="AJ307" i="1"/>
  <c r="AK307" i="1"/>
  <c r="AL307" i="1"/>
  <c r="AF188" i="1"/>
  <c r="AG188" i="1"/>
  <c r="AH188" i="1"/>
  <c r="AI188" i="1"/>
  <c r="AJ188" i="1"/>
  <c r="AK188" i="1"/>
  <c r="AL188" i="1"/>
  <c r="AF242" i="1"/>
  <c r="AG242" i="1"/>
  <c r="AH242" i="1"/>
  <c r="AI242" i="1"/>
  <c r="AJ242" i="1"/>
  <c r="AK242" i="1"/>
  <c r="AL242" i="1"/>
  <c r="AF280" i="1"/>
  <c r="AG280" i="1"/>
  <c r="AH280" i="1"/>
  <c r="AI280" i="1"/>
  <c r="AJ280" i="1"/>
  <c r="AK280" i="1"/>
  <c r="AL280" i="1"/>
  <c r="AF166" i="1"/>
  <c r="AG166" i="1"/>
  <c r="AH166" i="1"/>
  <c r="AI166" i="1"/>
  <c r="AJ166" i="1"/>
  <c r="AK166" i="1"/>
  <c r="AL166" i="1"/>
  <c r="AF187" i="1"/>
  <c r="AG187" i="1"/>
  <c r="AH187" i="1"/>
  <c r="AI187" i="1"/>
  <c r="AJ187" i="1"/>
  <c r="AK187" i="1"/>
  <c r="AL187" i="1"/>
  <c r="AF228" i="1"/>
  <c r="AG228" i="1"/>
  <c r="AH228" i="1"/>
  <c r="AI228" i="1"/>
  <c r="AJ228" i="1"/>
  <c r="AK228" i="1"/>
  <c r="AL228" i="1"/>
  <c r="AF235" i="1"/>
  <c r="AG235" i="1"/>
  <c r="AH235" i="1"/>
  <c r="AI235" i="1"/>
  <c r="AJ235" i="1"/>
  <c r="AK235" i="1"/>
  <c r="AL235" i="1"/>
  <c r="AF138" i="1"/>
  <c r="AG138" i="1"/>
  <c r="AH138" i="1"/>
  <c r="AI138" i="1"/>
  <c r="AJ138" i="1"/>
  <c r="AK138" i="1"/>
  <c r="AL138" i="1"/>
  <c r="AF137" i="1"/>
  <c r="AG137" i="1"/>
  <c r="AH137" i="1"/>
  <c r="AI137" i="1"/>
  <c r="AJ137" i="1"/>
  <c r="AK137" i="1"/>
  <c r="AL137" i="1"/>
  <c r="AF126" i="1"/>
  <c r="AG126" i="1"/>
  <c r="AH126" i="1"/>
  <c r="AI126" i="1"/>
  <c r="AJ126" i="1"/>
  <c r="AK126" i="1"/>
  <c r="AL126" i="1"/>
  <c r="AF203" i="1"/>
  <c r="AG203" i="1"/>
  <c r="AH203" i="1"/>
  <c r="AI203" i="1"/>
  <c r="AJ203" i="1"/>
  <c r="AK203" i="1"/>
  <c r="AL203" i="1"/>
  <c r="AF108" i="1"/>
  <c r="AG108" i="1"/>
  <c r="AH108" i="1"/>
  <c r="AI108" i="1"/>
  <c r="AJ108" i="1"/>
  <c r="AK108" i="1"/>
  <c r="AL108" i="1"/>
  <c r="AF276" i="1"/>
  <c r="AG276" i="1"/>
  <c r="AH276" i="1"/>
  <c r="AI276" i="1"/>
  <c r="AJ276" i="1"/>
  <c r="AK276" i="1"/>
  <c r="AL276" i="1"/>
  <c r="AF258" i="1"/>
  <c r="AG258" i="1"/>
  <c r="AH258" i="1"/>
  <c r="AI258" i="1"/>
  <c r="AJ258" i="1"/>
  <c r="AK258" i="1"/>
  <c r="AL258" i="1"/>
  <c r="AF329" i="1"/>
  <c r="AG329" i="1"/>
  <c r="AH329" i="1"/>
  <c r="AI329" i="1"/>
  <c r="AJ329" i="1"/>
  <c r="AK329" i="1"/>
  <c r="AL329" i="1"/>
  <c r="AF233" i="1"/>
  <c r="AG233" i="1"/>
  <c r="AH233" i="1"/>
  <c r="AI233" i="1"/>
  <c r="AJ233" i="1"/>
  <c r="AK233" i="1"/>
  <c r="AL233" i="1"/>
  <c r="AF317" i="1"/>
  <c r="AG317" i="1"/>
  <c r="AH317" i="1"/>
  <c r="AI317" i="1"/>
  <c r="AJ317" i="1"/>
  <c r="AK317" i="1"/>
  <c r="AL317" i="1"/>
  <c r="AF308" i="1"/>
  <c r="AG308" i="1"/>
  <c r="AH308" i="1"/>
  <c r="AI308" i="1"/>
  <c r="AJ308" i="1"/>
  <c r="AK308" i="1"/>
  <c r="AL308" i="1"/>
  <c r="AF282" i="1"/>
  <c r="AG282" i="1"/>
  <c r="AH282" i="1"/>
  <c r="AI282" i="1"/>
  <c r="AJ282" i="1"/>
  <c r="AK282" i="1"/>
  <c r="AL282" i="1"/>
  <c r="AF134" i="1"/>
  <c r="AG134" i="1"/>
  <c r="AH134" i="1"/>
  <c r="AI134" i="1"/>
  <c r="AJ134" i="1"/>
  <c r="AK134" i="1"/>
  <c r="AL134" i="1"/>
  <c r="AF75" i="1"/>
  <c r="AG75" i="1"/>
  <c r="AH75" i="1"/>
  <c r="AI75" i="1"/>
  <c r="AJ75" i="1"/>
  <c r="AK75" i="1"/>
  <c r="AL75" i="1"/>
  <c r="AF316" i="1"/>
  <c r="AG316" i="1"/>
  <c r="AH316" i="1"/>
  <c r="AI316" i="1"/>
  <c r="AJ316" i="1"/>
  <c r="AK316" i="1"/>
  <c r="AL316" i="1"/>
  <c r="AF158" i="1"/>
  <c r="AG158" i="1"/>
  <c r="AH158" i="1"/>
  <c r="AI158" i="1"/>
  <c r="AJ158" i="1"/>
  <c r="AK158" i="1"/>
  <c r="AL158" i="1"/>
  <c r="AF149" i="1"/>
  <c r="AG149" i="1"/>
  <c r="AH149" i="1"/>
  <c r="AI149" i="1"/>
  <c r="AJ149" i="1"/>
  <c r="AK149" i="1"/>
  <c r="AL149" i="1"/>
  <c r="AF303" i="1"/>
  <c r="AG303" i="1"/>
  <c r="AH303" i="1"/>
  <c r="AI303" i="1"/>
  <c r="AJ303" i="1"/>
  <c r="AK303" i="1"/>
  <c r="AL303" i="1"/>
  <c r="AF295" i="1"/>
  <c r="AG295" i="1"/>
  <c r="AH295" i="1"/>
  <c r="AI295" i="1"/>
  <c r="AJ295" i="1"/>
  <c r="AK295" i="1"/>
  <c r="AL295" i="1"/>
  <c r="AF272" i="1"/>
  <c r="AG272" i="1"/>
  <c r="AH272" i="1"/>
  <c r="AI272" i="1"/>
  <c r="AJ272" i="1"/>
  <c r="AK272" i="1"/>
  <c r="AL272" i="1"/>
  <c r="AF127" i="1"/>
  <c r="AG127" i="1"/>
  <c r="AH127" i="1"/>
  <c r="AI127" i="1"/>
  <c r="AJ127" i="1"/>
  <c r="AK127" i="1"/>
  <c r="AL127" i="1"/>
  <c r="AF163" i="1"/>
  <c r="AG163" i="1"/>
  <c r="AH163" i="1"/>
  <c r="AI163" i="1"/>
  <c r="AJ163" i="1"/>
  <c r="AK163" i="1"/>
  <c r="AL163" i="1"/>
  <c r="AF287" i="1"/>
  <c r="AG287" i="1"/>
  <c r="AH287" i="1"/>
  <c r="AI287" i="1"/>
  <c r="AJ287" i="1"/>
  <c r="AK287" i="1"/>
  <c r="AL287" i="1"/>
  <c r="AF310" i="1"/>
  <c r="AG310" i="1"/>
  <c r="AH310" i="1"/>
  <c r="AI310" i="1"/>
  <c r="AJ310" i="1"/>
  <c r="AK310" i="1"/>
  <c r="AL310" i="1"/>
  <c r="AF267" i="1"/>
  <c r="AG267" i="1"/>
  <c r="AH267" i="1"/>
  <c r="AI267" i="1"/>
  <c r="AJ267" i="1"/>
  <c r="AK267" i="1"/>
  <c r="AL267" i="1"/>
  <c r="AF222" i="1"/>
  <c r="AG222" i="1"/>
  <c r="AH222" i="1"/>
  <c r="AI222" i="1"/>
  <c r="AJ222" i="1"/>
  <c r="AK222" i="1"/>
  <c r="AL222" i="1"/>
  <c r="AF115" i="1"/>
  <c r="AG115" i="1"/>
  <c r="AH115" i="1"/>
  <c r="AI115" i="1"/>
  <c r="AJ115" i="1"/>
  <c r="AK115" i="1"/>
  <c r="AL115" i="1"/>
  <c r="AF139" i="1"/>
  <c r="AG139" i="1"/>
  <c r="AH139" i="1"/>
  <c r="AI139" i="1"/>
  <c r="AJ139" i="1"/>
  <c r="AK139" i="1"/>
  <c r="AL139" i="1"/>
  <c r="AF293" i="1"/>
  <c r="AG293" i="1"/>
  <c r="AH293" i="1"/>
  <c r="AI293" i="1"/>
  <c r="AJ293" i="1"/>
  <c r="AK293" i="1"/>
  <c r="AL293" i="1"/>
  <c r="AF96" i="1"/>
  <c r="AG96" i="1"/>
  <c r="AH96" i="1"/>
  <c r="AI96" i="1"/>
  <c r="AJ96" i="1"/>
  <c r="AK96" i="1"/>
  <c r="AL96" i="1"/>
  <c r="AF318" i="1"/>
  <c r="AG318" i="1"/>
  <c r="AH318" i="1"/>
  <c r="AI318" i="1"/>
  <c r="AJ318" i="1"/>
  <c r="AK318" i="1"/>
  <c r="AL318" i="1"/>
  <c r="AF196" i="1"/>
  <c r="AG196" i="1"/>
  <c r="AH196" i="1"/>
  <c r="AI196" i="1"/>
  <c r="AJ196" i="1"/>
  <c r="AK196" i="1"/>
  <c r="AL196" i="1"/>
  <c r="AF84" i="1"/>
  <c r="AG84" i="1"/>
  <c r="AH84" i="1"/>
  <c r="AI84" i="1"/>
  <c r="AJ84" i="1"/>
  <c r="AK84" i="1"/>
  <c r="AL84" i="1"/>
  <c r="AF294" i="1"/>
  <c r="AG294" i="1"/>
  <c r="AH294" i="1"/>
  <c r="AI294" i="1"/>
  <c r="AJ294" i="1"/>
  <c r="AK294" i="1"/>
  <c r="AL294" i="1"/>
  <c r="AF28" i="1"/>
  <c r="AG28" i="1"/>
  <c r="AH28" i="1"/>
  <c r="AI28" i="1"/>
  <c r="AJ28" i="1"/>
  <c r="AK28" i="1"/>
  <c r="AL28" i="1"/>
  <c r="AF122" i="1"/>
  <c r="AG122" i="1"/>
  <c r="AH122" i="1"/>
  <c r="AI122" i="1"/>
  <c r="AJ122" i="1"/>
  <c r="AK122" i="1"/>
  <c r="AL122" i="1"/>
  <c r="AF48" i="1"/>
  <c r="AG48" i="1"/>
  <c r="AH48" i="1"/>
  <c r="AI48" i="1"/>
  <c r="AJ48" i="1"/>
  <c r="AK48" i="1"/>
  <c r="AL48" i="1"/>
  <c r="AF120" i="1"/>
  <c r="AG120" i="1"/>
  <c r="AH120" i="1"/>
  <c r="AI120" i="1"/>
  <c r="AJ120" i="1"/>
  <c r="AK120" i="1"/>
  <c r="AL120" i="1"/>
  <c r="AF58" i="1"/>
  <c r="AG58" i="1"/>
  <c r="AH58" i="1"/>
  <c r="AI58" i="1"/>
  <c r="AJ58" i="1"/>
  <c r="AK58" i="1"/>
  <c r="AL58" i="1"/>
  <c r="AF69" i="1"/>
  <c r="AG69" i="1"/>
  <c r="AH69" i="1"/>
  <c r="AI69" i="1"/>
  <c r="AJ69" i="1"/>
  <c r="AK69" i="1"/>
  <c r="AL69" i="1"/>
  <c r="AF147" i="1"/>
  <c r="AG147" i="1"/>
  <c r="AH147" i="1"/>
  <c r="AI147" i="1"/>
  <c r="AJ147" i="1"/>
  <c r="AK147" i="1"/>
  <c r="AL147" i="1"/>
  <c r="AF121" i="1"/>
  <c r="AG121" i="1"/>
  <c r="AH121" i="1"/>
  <c r="AI121" i="1"/>
  <c r="AJ121" i="1"/>
  <c r="AK121" i="1"/>
  <c r="AL121" i="1"/>
  <c r="AF3" i="1"/>
  <c r="AG3" i="1"/>
  <c r="AH3" i="1"/>
  <c r="AI3" i="1"/>
  <c r="AJ3" i="1"/>
  <c r="AK3" i="1"/>
  <c r="AL3" i="1"/>
  <c r="AF144" i="1"/>
  <c r="AG144" i="1"/>
  <c r="AH144" i="1"/>
  <c r="AI144" i="1"/>
  <c r="AJ144" i="1"/>
  <c r="AK144" i="1"/>
  <c r="AL144" i="1"/>
  <c r="AF219" i="1"/>
  <c r="AG219" i="1"/>
  <c r="AH219" i="1"/>
  <c r="AI219" i="1"/>
  <c r="AJ219" i="1"/>
  <c r="AK219" i="1"/>
  <c r="AL219" i="1"/>
  <c r="AF266" i="1"/>
  <c r="AG266" i="1"/>
  <c r="AH266" i="1"/>
  <c r="AI266" i="1"/>
  <c r="AJ266" i="1"/>
  <c r="AK266" i="1"/>
  <c r="AL266" i="1"/>
  <c r="AF246" i="1"/>
  <c r="AG246" i="1"/>
  <c r="AH246" i="1"/>
  <c r="AI246" i="1"/>
  <c r="AJ246" i="1"/>
  <c r="AK246" i="1"/>
  <c r="AL246" i="1"/>
  <c r="AF299" i="1"/>
  <c r="AG299" i="1"/>
  <c r="AH299" i="1"/>
  <c r="AI299" i="1"/>
  <c r="AJ299" i="1"/>
  <c r="AK299" i="1"/>
  <c r="AL299" i="1"/>
  <c r="AF123" i="1"/>
  <c r="AG123" i="1"/>
  <c r="AH123" i="1"/>
  <c r="AI123" i="1"/>
  <c r="AJ123" i="1"/>
  <c r="AK123" i="1"/>
  <c r="AL123" i="1"/>
  <c r="AF148" i="1"/>
  <c r="AG148" i="1"/>
  <c r="AH148" i="1"/>
  <c r="AI148" i="1"/>
  <c r="AJ148" i="1"/>
  <c r="AK148" i="1"/>
  <c r="AL148" i="1"/>
  <c r="AF311" i="1"/>
  <c r="AG311" i="1"/>
  <c r="AH311" i="1"/>
  <c r="AI311" i="1"/>
  <c r="AJ311" i="1"/>
  <c r="AK311" i="1"/>
  <c r="AL311" i="1"/>
  <c r="AF241" i="1"/>
  <c r="AG241" i="1"/>
  <c r="AH241" i="1"/>
  <c r="AI241" i="1"/>
  <c r="AJ241" i="1"/>
  <c r="AK241" i="1"/>
  <c r="AL241" i="1"/>
  <c r="AF269" i="1"/>
  <c r="AG269" i="1"/>
  <c r="AH269" i="1"/>
  <c r="AI269" i="1"/>
  <c r="AJ269" i="1"/>
  <c r="AK269" i="1"/>
  <c r="AL269" i="1"/>
  <c r="AF88" i="1"/>
  <c r="AG88" i="1"/>
  <c r="AH88" i="1"/>
  <c r="AI88" i="1"/>
  <c r="AJ88" i="1"/>
  <c r="AK88" i="1"/>
  <c r="AL88" i="1"/>
  <c r="AF205" i="1"/>
  <c r="AG205" i="1"/>
  <c r="AH205" i="1"/>
  <c r="AI205" i="1"/>
  <c r="AJ205" i="1"/>
  <c r="AK205" i="1"/>
  <c r="AL205" i="1"/>
  <c r="AF73" i="1"/>
  <c r="AG73" i="1"/>
  <c r="AH73" i="1"/>
  <c r="AI73" i="1"/>
  <c r="AJ73" i="1"/>
  <c r="AK73" i="1"/>
  <c r="AL73" i="1"/>
  <c r="AF244" i="1"/>
  <c r="AG244" i="1"/>
  <c r="AH244" i="1"/>
  <c r="AI244" i="1"/>
  <c r="AJ244" i="1"/>
  <c r="AK244" i="1"/>
  <c r="AL244" i="1"/>
  <c r="AF8" i="1"/>
  <c r="AG8" i="1"/>
  <c r="AH8" i="1"/>
  <c r="AI8" i="1"/>
  <c r="AJ8" i="1"/>
  <c r="AK8" i="1"/>
  <c r="AL8" i="1"/>
  <c r="AF152" i="1"/>
  <c r="AG152" i="1"/>
  <c r="AH152" i="1"/>
  <c r="AI152" i="1"/>
  <c r="AJ152" i="1"/>
  <c r="AK152" i="1"/>
  <c r="AL152" i="1"/>
  <c r="AF189" i="1"/>
  <c r="AG189" i="1"/>
  <c r="AH189" i="1"/>
  <c r="AI189" i="1"/>
  <c r="AJ189" i="1"/>
  <c r="AK189" i="1"/>
  <c r="AL189" i="1"/>
  <c r="AF153" i="1"/>
  <c r="AG153" i="1"/>
  <c r="AH153" i="1"/>
  <c r="AI153" i="1"/>
  <c r="AJ153" i="1"/>
  <c r="AK153" i="1"/>
  <c r="AL153" i="1"/>
  <c r="AF157" i="1"/>
  <c r="AG157" i="1"/>
  <c r="AH157" i="1"/>
  <c r="AI157" i="1"/>
  <c r="AJ157" i="1"/>
  <c r="AK157" i="1"/>
  <c r="AL157" i="1"/>
  <c r="AF168" i="1"/>
  <c r="AG168" i="1"/>
  <c r="AH168" i="1"/>
  <c r="AI168" i="1"/>
  <c r="AJ168" i="1"/>
  <c r="AK168" i="1"/>
  <c r="AL168" i="1"/>
  <c r="AF277" i="1"/>
  <c r="AG277" i="1"/>
  <c r="AH277" i="1"/>
  <c r="AI277" i="1"/>
  <c r="AJ277" i="1"/>
  <c r="AK277" i="1"/>
  <c r="AL277" i="1"/>
  <c r="AF173" i="1"/>
  <c r="AG173" i="1"/>
  <c r="AH173" i="1"/>
  <c r="AI173" i="1"/>
  <c r="AJ173" i="1"/>
  <c r="AK173" i="1"/>
  <c r="AL173" i="1"/>
  <c r="AF327" i="1"/>
  <c r="AG327" i="1"/>
  <c r="AH327" i="1"/>
  <c r="AI327" i="1"/>
  <c r="AJ327" i="1"/>
  <c r="AK327" i="1"/>
  <c r="AL327" i="1"/>
  <c r="AF328" i="1"/>
  <c r="AG328" i="1"/>
  <c r="AH328" i="1"/>
  <c r="AI328" i="1"/>
  <c r="AJ328" i="1"/>
  <c r="AK328" i="1"/>
  <c r="AL328" i="1"/>
  <c r="AF326" i="1"/>
  <c r="AG326" i="1"/>
  <c r="AH326" i="1"/>
  <c r="AI326" i="1"/>
  <c r="AJ326" i="1"/>
  <c r="AK326" i="1"/>
  <c r="AL326" i="1"/>
  <c r="AF29" i="1"/>
  <c r="AG29" i="1"/>
  <c r="AH29" i="1"/>
  <c r="AI29" i="1"/>
  <c r="AJ29" i="1"/>
  <c r="AK29" i="1"/>
  <c r="AL29" i="1"/>
  <c r="AF186" i="1"/>
  <c r="AG186" i="1"/>
  <c r="AH186" i="1"/>
  <c r="AI186" i="1"/>
  <c r="AJ186" i="1"/>
  <c r="AK186" i="1"/>
  <c r="AL186" i="1"/>
  <c r="AF220" i="1"/>
  <c r="AG220" i="1"/>
  <c r="AH220" i="1"/>
  <c r="AI220" i="1"/>
  <c r="AJ220" i="1"/>
  <c r="AK220" i="1"/>
  <c r="AL220" i="1"/>
  <c r="AF268" i="1"/>
  <c r="AG268" i="1"/>
  <c r="AH268" i="1"/>
  <c r="AI268" i="1"/>
  <c r="AJ268" i="1"/>
  <c r="AK268" i="1"/>
  <c r="AL268" i="1"/>
  <c r="AF145" i="1"/>
  <c r="AG145" i="1"/>
  <c r="AH145" i="1"/>
  <c r="AI145" i="1"/>
  <c r="AJ145" i="1"/>
  <c r="AK145" i="1"/>
  <c r="AL145" i="1"/>
  <c r="AF99" i="1"/>
  <c r="AG99" i="1"/>
  <c r="AH99" i="1"/>
  <c r="AI99" i="1"/>
  <c r="AJ99" i="1"/>
  <c r="AK99" i="1"/>
  <c r="AL99" i="1"/>
  <c r="AF290" i="1"/>
  <c r="AG290" i="1"/>
  <c r="AH290" i="1"/>
  <c r="AI290" i="1"/>
  <c r="AJ290" i="1"/>
  <c r="AK290" i="1"/>
  <c r="AL290" i="1"/>
  <c r="AF151" i="1"/>
  <c r="AG151" i="1"/>
  <c r="AH151" i="1"/>
  <c r="AI151" i="1"/>
  <c r="AJ151" i="1"/>
  <c r="AK151" i="1"/>
  <c r="AL151" i="1"/>
  <c r="AF254" i="1"/>
  <c r="AG254" i="1"/>
  <c r="AH254" i="1"/>
  <c r="AI254" i="1"/>
  <c r="AJ254" i="1"/>
  <c r="AK254" i="1"/>
  <c r="AL254" i="1"/>
  <c r="AF226" i="1"/>
  <c r="AG226" i="1"/>
  <c r="AH226" i="1"/>
  <c r="AI226" i="1"/>
  <c r="AJ226" i="1"/>
  <c r="AK226" i="1"/>
  <c r="AL226" i="1"/>
  <c r="AF167" i="1"/>
  <c r="AG167" i="1"/>
  <c r="AH167" i="1"/>
  <c r="AI167" i="1"/>
  <c r="AJ167" i="1"/>
  <c r="AK167" i="1"/>
  <c r="AL167" i="1"/>
  <c r="AF256" i="1"/>
  <c r="AG256" i="1"/>
  <c r="AH256" i="1"/>
  <c r="AI256" i="1"/>
  <c r="AJ256" i="1"/>
  <c r="AK256" i="1"/>
  <c r="AL256" i="1"/>
  <c r="AF133" i="1"/>
  <c r="AG133" i="1"/>
  <c r="AH133" i="1"/>
  <c r="AI133" i="1"/>
  <c r="AJ133" i="1"/>
  <c r="AK133" i="1"/>
  <c r="AL133" i="1"/>
  <c r="AF142" i="1"/>
  <c r="AG142" i="1"/>
  <c r="AH142" i="1"/>
  <c r="AI142" i="1"/>
  <c r="AJ142" i="1"/>
  <c r="AK142" i="1"/>
  <c r="AL142" i="1"/>
  <c r="AF141" i="1"/>
  <c r="AG141" i="1"/>
  <c r="AH141" i="1"/>
  <c r="AI141" i="1"/>
  <c r="AJ141" i="1"/>
  <c r="AK141" i="1"/>
  <c r="AL141" i="1"/>
  <c r="AF202" i="1"/>
  <c r="AG202" i="1"/>
  <c r="AH202" i="1"/>
  <c r="AI202" i="1"/>
  <c r="AJ202" i="1"/>
  <c r="AK202" i="1"/>
  <c r="AL202" i="1"/>
  <c r="AF201" i="1"/>
  <c r="AG201" i="1"/>
  <c r="AH201" i="1"/>
  <c r="AI201" i="1"/>
  <c r="AJ201" i="1"/>
  <c r="AK201" i="1"/>
  <c r="AL201" i="1"/>
  <c r="AF97" i="1"/>
  <c r="AG97" i="1"/>
  <c r="AH97" i="1"/>
  <c r="AI97" i="1"/>
  <c r="AJ97" i="1"/>
  <c r="AK97" i="1"/>
  <c r="AL97" i="1"/>
  <c r="AF279" i="1"/>
  <c r="AG279" i="1"/>
  <c r="AH279" i="1"/>
  <c r="AI279" i="1"/>
  <c r="AJ279" i="1"/>
  <c r="AK279" i="1"/>
  <c r="AL279" i="1"/>
  <c r="AF291" i="1"/>
  <c r="AG291" i="1"/>
  <c r="AH291" i="1"/>
  <c r="AI291" i="1"/>
  <c r="AJ291" i="1"/>
  <c r="AK291" i="1"/>
  <c r="AL291" i="1"/>
  <c r="AF74" i="1"/>
  <c r="AG74" i="1"/>
  <c r="AH74" i="1"/>
  <c r="AI74" i="1"/>
  <c r="AJ74" i="1"/>
  <c r="AK74" i="1"/>
  <c r="AL74" i="1"/>
  <c r="AF162" i="1"/>
  <c r="AG162" i="1"/>
  <c r="AH162" i="1"/>
  <c r="AI162" i="1"/>
  <c r="AJ162" i="1"/>
  <c r="AK162" i="1"/>
  <c r="AL162" i="1"/>
  <c r="AF253" i="1"/>
  <c r="AG253" i="1"/>
  <c r="AH253" i="1"/>
  <c r="AI253" i="1"/>
  <c r="AJ253" i="1"/>
  <c r="AK253" i="1"/>
  <c r="AL253" i="1"/>
  <c r="AF225" i="1"/>
  <c r="AG225" i="1"/>
  <c r="AH225" i="1"/>
  <c r="AI225" i="1"/>
  <c r="AJ225" i="1"/>
  <c r="AK225" i="1"/>
  <c r="AL225" i="1"/>
  <c r="AF259" i="1"/>
  <c r="AG259" i="1"/>
  <c r="AH259" i="1"/>
  <c r="AI259" i="1"/>
  <c r="AJ259" i="1"/>
  <c r="AK259" i="1"/>
  <c r="AL259" i="1"/>
  <c r="AF183" i="1"/>
  <c r="AG183" i="1"/>
  <c r="AH183" i="1"/>
  <c r="AI183" i="1"/>
  <c r="AJ183" i="1"/>
  <c r="AK183" i="1"/>
  <c r="AL183" i="1"/>
  <c r="AF106" i="1"/>
  <c r="AG106" i="1"/>
  <c r="AH106" i="1"/>
  <c r="AI106" i="1"/>
  <c r="AJ106" i="1"/>
  <c r="AK106" i="1"/>
  <c r="AL106" i="1"/>
  <c r="AF89" i="1"/>
  <c r="AG89" i="1"/>
  <c r="AH89" i="1"/>
  <c r="AI89" i="1"/>
  <c r="AJ89" i="1"/>
  <c r="AK89" i="1"/>
  <c r="AL89" i="1"/>
  <c r="AF263" i="1"/>
  <c r="AG263" i="1"/>
  <c r="AH263" i="1"/>
  <c r="AI263" i="1"/>
  <c r="AJ263" i="1"/>
  <c r="AK263" i="1"/>
  <c r="AL263" i="1"/>
  <c r="AF47" i="1"/>
  <c r="AG47" i="1"/>
  <c r="AH47" i="1"/>
  <c r="AI47" i="1"/>
  <c r="AJ47" i="1"/>
  <c r="AK47" i="1"/>
  <c r="AL47" i="1"/>
  <c r="AF273" i="1"/>
  <c r="AG273" i="1"/>
  <c r="AH273" i="1"/>
  <c r="AI273" i="1"/>
  <c r="AJ273" i="1"/>
  <c r="AK273" i="1"/>
  <c r="AL273" i="1"/>
  <c r="AF181" i="1"/>
  <c r="AG181" i="1"/>
  <c r="AH181" i="1"/>
  <c r="AI181" i="1"/>
  <c r="AJ181" i="1"/>
  <c r="AK181" i="1"/>
  <c r="AL181" i="1"/>
  <c r="AF179" i="1"/>
  <c r="AG179" i="1"/>
  <c r="AH179" i="1"/>
  <c r="AI179" i="1"/>
  <c r="AJ179" i="1"/>
  <c r="AK179" i="1"/>
  <c r="AL179" i="1"/>
  <c r="AF182" i="1"/>
  <c r="AG182" i="1"/>
  <c r="AH182" i="1"/>
  <c r="AI182" i="1"/>
  <c r="AJ182" i="1"/>
  <c r="AK182" i="1"/>
  <c r="AL182" i="1"/>
  <c r="AF177" i="1"/>
  <c r="AG177" i="1"/>
  <c r="AH177" i="1"/>
  <c r="AI177" i="1"/>
  <c r="AJ177" i="1"/>
  <c r="AK177" i="1"/>
  <c r="AL177" i="1"/>
  <c r="AF178" i="1"/>
  <c r="AG178" i="1"/>
  <c r="AH178" i="1"/>
  <c r="AI178" i="1"/>
  <c r="AJ178" i="1"/>
  <c r="AK178" i="1"/>
  <c r="AL178" i="1"/>
  <c r="AF180" i="1"/>
  <c r="AG180" i="1"/>
  <c r="AH180" i="1"/>
  <c r="AI180" i="1"/>
  <c r="AJ180" i="1"/>
  <c r="AK180" i="1"/>
  <c r="AL180" i="1"/>
  <c r="AF91" i="1"/>
  <c r="AG91" i="1"/>
  <c r="AH91" i="1"/>
  <c r="AI91" i="1"/>
  <c r="AJ91" i="1"/>
  <c r="AK91" i="1"/>
  <c r="AL91" i="1"/>
  <c r="AF129" i="1"/>
  <c r="AG129" i="1"/>
  <c r="AH129" i="1"/>
  <c r="AI129" i="1"/>
  <c r="AJ129" i="1"/>
  <c r="AK129" i="1"/>
  <c r="AL129" i="1"/>
  <c r="AF270" i="1"/>
  <c r="AG270" i="1"/>
  <c r="AH270" i="1"/>
  <c r="AI270" i="1"/>
  <c r="AJ270" i="1"/>
  <c r="AK270" i="1"/>
  <c r="AL270" i="1"/>
  <c r="AF194" i="1"/>
  <c r="AG194" i="1"/>
  <c r="AH194" i="1"/>
  <c r="AI194" i="1"/>
  <c r="AJ194" i="1"/>
  <c r="AK194" i="1"/>
  <c r="AL194" i="1"/>
  <c r="AF13" i="1"/>
  <c r="AG13" i="1"/>
  <c r="AH13" i="1"/>
  <c r="AI13" i="1"/>
  <c r="AJ13" i="1"/>
  <c r="AK13" i="1"/>
  <c r="AL13" i="1"/>
  <c r="AF331" i="1"/>
  <c r="AG331" i="1"/>
  <c r="AH331" i="1"/>
  <c r="AI331" i="1"/>
  <c r="AJ331" i="1"/>
  <c r="AK331" i="1"/>
  <c r="AL331" i="1"/>
  <c r="AF199" i="1"/>
  <c r="AG199" i="1"/>
  <c r="AH199" i="1"/>
  <c r="AI199" i="1"/>
  <c r="AJ199" i="1"/>
  <c r="AK199" i="1"/>
  <c r="AL199" i="1"/>
  <c r="AF132" i="1"/>
  <c r="AG132" i="1"/>
  <c r="AH132" i="1"/>
  <c r="AI132" i="1"/>
  <c r="AJ132" i="1"/>
  <c r="AK132" i="1"/>
  <c r="AL132" i="1"/>
  <c r="AF223" i="1"/>
  <c r="AG223" i="1"/>
  <c r="AH223" i="1"/>
  <c r="AI223" i="1"/>
  <c r="AJ223" i="1"/>
  <c r="AK223" i="1"/>
  <c r="AL223" i="1"/>
  <c r="AF90" i="1"/>
  <c r="AG90" i="1"/>
  <c r="AH90" i="1"/>
  <c r="AI90" i="1"/>
  <c r="AJ90" i="1"/>
  <c r="AK90" i="1"/>
  <c r="AL90" i="1"/>
  <c r="AF207" i="1"/>
  <c r="AG207" i="1"/>
  <c r="AH207" i="1"/>
  <c r="AI207" i="1"/>
  <c r="AJ207" i="1"/>
  <c r="AK207" i="1"/>
  <c r="AL207" i="1"/>
  <c r="AF164" i="1"/>
  <c r="AG164" i="1"/>
  <c r="AH164" i="1"/>
  <c r="AI164" i="1"/>
  <c r="AJ164" i="1"/>
  <c r="AK164" i="1"/>
  <c r="AL164" i="1"/>
  <c r="AF245" i="1"/>
  <c r="AG245" i="1"/>
  <c r="AH245" i="1"/>
  <c r="AI245" i="1"/>
  <c r="AJ245" i="1"/>
  <c r="AK245" i="1"/>
  <c r="AL245" i="1"/>
  <c r="AF243" i="1"/>
  <c r="AG243" i="1"/>
  <c r="AH243" i="1"/>
  <c r="AI243" i="1"/>
  <c r="AJ243" i="1"/>
  <c r="AK243" i="1"/>
  <c r="AL243" i="1"/>
  <c r="AF304" i="1"/>
  <c r="AG304" i="1"/>
  <c r="AH304" i="1"/>
  <c r="AI304" i="1"/>
  <c r="AJ304" i="1"/>
  <c r="AK304" i="1"/>
  <c r="AL304" i="1"/>
  <c r="AF107" i="1"/>
  <c r="AG107" i="1"/>
  <c r="AH107" i="1"/>
  <c r="AI107" i="1"/>
  <c r="AJ107" i="1"/>
  <c r="AK107" i="1"/>
  <c r="AL107" i="1"/>
  <c r="AF60" i="1"/>
  <c r="AG60" i="1"/>
  <c r="AH60" i="1"/>
  <c r="AI60" i="1"/>
  <c r="AJ60" i="1"/>
  <c r="AK60" i="1"/>
  <c r="AL60" i="1"/>
  <c r="AF211" i="1"/>
  <c r="AG211" i="1"/>
  <c r="AH211" i="1"/>
  <c r="AI211" i="1"/>
  <c r="AJ211" i="1"/>
  <c r="AK211" i="1"/>
  <c r="AL211" i="1"/>
  <c r="AG4" i="1"/>
  <c r="AH4" i="1"/>
  <c r="AI4" i="1"/>
  <c r="AJ4" i="1"/>
  <c r="AK4" i="1"/>
  <c r="AL4" i="1"/>
  <c r="AF4" i="1"/>
  <c r="Z14" i="37" l="1"/>
  <c r="Z17" i="37" s="1"/>
  <c r="Y17" i="37"/>
  <c r="AE93" i="1" l="1"/>
  <c r="V93" i="1"/>
  <c r="AN93" i="1" l="1"/>
  <c r="BI93" i="1" s="1"/>
  <c r="BG93" i="1" l="1"/>
  <c r="BH93" i="1"/>
  <c r="V101" i="1"/>
  <c r="AE65" i="1" l="1"/>
  <c r="AE64" i="1"/>
  <c r="AE307" i="1"/>
  <c r="AE301" i="1"/>
  <c r="AE296" i="1"/>
  <c r="AE287" i="1"/>
  <c r="AE164" i="1"/>
  <c r="AE67" i="1"/>
  <c r="AE76" i="1"/>
  <c r="AE189" i="1"/>
  <c r="AE319" i="1"/>
  <c r="AE177" i="1"/>
  <c r="AE178" i="1"/>
  <c r="AE172" i="1"/>
  <c r="AE162" i="1"/>
  <c r="AE179" i="1"/>
  <c r="AE180" i="1"/>
  <c r="AE309" i="1"/>
  <c r="AE77" i="1"/>
  <c r="AE308" i="1"/>
  <c r="AE303" i="1"/>
  <c r="AE75" i="1"/>
  <c r="AE304" i="1"/>
  <c r="AE181" i="1"/>
  <c r="AE306" i="1"/>
  <c r="AE312" i="1"/>
  <c r="AE329" i="1"/>
  <c r="AE310" i="1"/>
  <c r="AE316" i="1"/>
  <c r="AE150" i="1"/>
  <c r="AE182" i="1"/>
  <c r="AE320" i="1"/>
  <c r="AE78" i="1"/>
  <c r="AE79" i="1"/>
  <c r="AE331" i="1"/>
  <c r="AE82" i="1"/>
  <c r="AE81" i="1"/>
  <c r="V323" i="1"/>
  <c r="V74" i="1"/>
  <c r="V174" i="1"/>
  <c r="V325" i="1"/>
  <c r="V183" i="1"/>
  <c r="V295" i="1"/>
  <c r="V288" i="1"/>
  <c r="V317" i="1"/>
  <c r="V65" i="1"/>
  <c r="V64" i="1"/>
  <c r="V307" i="1"/>
  <c r="V301" i="1"/>
  <c r="V296" i="1"/>
  <c r="V287" i="1"/>
  <c r="V164" i="1"/>
  <c r="V67" i="1"/>
  <c r="V76" i="1"/>
  <c r="V189" i="1"/>
  <c r="V319" i="1"/>
  <c r="V177" i="1"/>
  <c r="V178" i="1"/>
  <c r="V172" i="1"/>
  <c r="V162" i="1"/>
  <c r="V179" i="1"/>
  <c r="V180" i="1"/>
  <c r="V309" i="1"/>
  <c r="V77" i="1"/>
  <c r="V308" i="1"/>
  <c r="V303" i="1"/>
  <c r="V75" i="1"/>
  <c r="V304" i="1"/>
  <c r="V181" i="1"/>
  <c r="V306" i="1"/>
  <c r="V312" i="1"/>
  <c r="V329" i="1"/>
  <c r="V310" i="1"/>
  <c r="V316" i="1"/>
  <c r="V150" i="1"/>
  <c r="V182" i="1"/>
  <c r="V320" i="1"/>
  <c r="V78" i="1"/>
  <c r="V79" i="1"/>
  <c r="V331" i="1"/>
  <c r="V82" i="1"/>
  <c r="V81" i="1"/>
  <c r="V83" i="1"/>
  <c r="V84" i="1"/>
  <c r="V85" i="1"/>
  <c r="V87" i="1"/>
  <c r="V3" i="1"/>
  <c r="V88" i="1"/>
  <c r="V89" i="1"/>
  <c r="V29" i="1"/>
  <c r="V4" i="1"/>
  <c r="V27" i="1"/>
  <c r="V117" i="1"/>
  <c r="V91" i="1"/>
  <c r="V124" i="1"/>
  <c r="V121" i="1"/>
  <c r="V86" i="1"/>
  <c r="V98" i="1"/>
  <c r="V5" i="1"/>
  <c r="V143" i="1"/>
  <c r="V92" i="1"/>
  <c r="V94" i="1"/>
  <c r="V90" i="1"/>
  <c r="V14" i="1"/>
  <c r="V99" i="1"/>
  <c r="V6" i="1"/>
  <c r="V108" i="1"/>
  <c r="V109" i="1"/>
  <c r="V254" i="1"/>
  <c r="V141" i="1"/>
  <c r="V18" i="1"/>
  <c r="V118" i="1"/>
  <c r="V119" i="1"/>
  <c r="V126" i="1"/>
  <c r="V116" i="1"/>
  <c r="V194" i="1"/>
  <c r="V8" i="1"/>
  <c r="V129" i="1"/>
  <c r="V110" i="1"/>
  <c r="V95" i="1"/>
  <c r="V9" i="1"/>
  <c r="V104" i="1"/>
  <c r="V128" i="1"/>
  <c r="V149" i="1"/>
  <c r="V36" i="1"/>
  <c r="V215" i="1"/>
  <c r="V225" i="1"/>
  <c r="V213" i="1"/>
  <c r="V214" i="1"/>
  <c r="V212" i="1"/>
  <c r="V96" i="1"/>
  <c r="V159" i="1"/>
  <c r="V113" i="1"/>
  <c r="V112" i="1"/>
  <c r="V114" i="1"/>
  <c r="V28" i="1"/>
  <c r="V17" i="1"/>
  <c r="V100" i="1"/>
  <c r="V102" i="1"/>
  <c r="V10" i="1"/>
  <c r="V107" i="1"/>
  <c r="V229" i="1"/>
  <c r="V217" i="1"/>
  <c r="V148" i="1"/>
  <c r="V191" i="1"/>
  <c r="V286" i="1"/>
  <c r="V255" i="1"/>
  <c r="V62" i="1"/>
  <c r="V7" i="1"/>
  <c r="V252" i="1"/>
  <c r="V55" i="1"/>
  <c r="V184" i="1"/>
  <c r="V125" i="1"/>
  <c r="V130" i="1"/>
  <c r="V103" i="1"/>
  <c r="V35" i="1"/>
  <c r="V106" i="1"/>
  <c r="V221" i="1"/>
  <c r="V241" i="1"/>
  <c r="V32" i="1"/>
  <c r="V123" i="1"/>
  <c r="V166" i="1"/>
  <c r="V153" i="1"/>
  <c r="V173" i="1"/>
  <c r="V145" i="1"/>
  <c r="V206" i="1"/>
  <c r="V158" i="1"/>
  <c r="V97" i="1"/>
  <c r="V248" i="1"/>
  <c r="V247" i="1"/>
  <c r="V226" i="1"/>
  <c r="V186" i="1"/>
  <c r="V60" i="1"/>
  <c r="V15" i="1"/>
  <c r="V44" i="1"/>
  <c r="V46" i="1"/>
  <c r="V205" i="1"/>
  <c r="V21" i="1"/>
  <c r="V267" i="1"/>
  <c r="V228" i="1"/>
  <c r="V165" i="1"/>
  <c r="V22" i="1"/>
  <c r="V195" i="1"/>
  <c r="V120" i="1"/>
  <c r="V238" i="1"/>
  <c r="V239" i="1"/>
  <c r="V224" i="1"/>
  <c r="V33" i="1"/>
  <c r="V19" i="1"/>
  <c r="V231" i="1"/>
  <c r="V227" i="1"/>
  <c r="V199" i="1"/>
  <c r="V136" i="1"/>
  <c r="V259" i="1"/>
  <c r="V20" i="1"/>
  <c r="V220" i="1"/>
  <c r="V138" i="1"/>
  <c r="V137" i="1"/>
  <c r="V235" i="1"/>
  <c r="V37" i="1"/>
  <c r="V13" i="1"/>
  <c r="V25" i="1"/>
  <c r="V11" i="1"/>
  <c r="V192" i="1"/>
  <c r="V193" i="1"/>
  <c r="V271" i="1"/>
  <c r="V218" i="1"/>
  <c r="V69" i="1"/>
  <c r="V111" i="1"/>
  <c r="V237" i="1"/>
  <c r="V105" i="1"/>
  <c r="V210" i="1"/>
  <c r="V38" i="1"/>
  <c r="V34" i="1"/>
  <c r="V58" i="1"/>
  <c r="V222" i="1"/>
  <c r="V302" i="1"/>
  <c r="V190" i="1"/>
  <c r="V146" i="1"/>
  <c r="V30" i="1"/>
  <c r="V43" i="1"/>
  <c r="V196" i="1"/>
  <c r="V216" i="1"/>
  <c r="V45" i="1"/>
  <c r="V131" i="1"/>
  <c r="V23" i="1"/>
  <c r="V144" i="1"/>
  <c r="V245" i="1"/>
  <c r="V264" i="1"/>
  <c r="V244" i="1"/>
  <c r="V232" i="1"/>
  <c r="V142" i="1"/>
  <c r="V297" i="1"/>
  <c r="V219" i="1"/>
  <c r="V211" i="1"/>
  <c r="V135" i="1"/>
  <c r="V73" i="1"/>
  <c r="V223" i="1"/>
  <c r="V230" i="1"/>
  <c r="V260" i="1"/>
  <c r="V31" i="1"/>
  <c r="V263" i="1"/>
  <c r="V151" i="1"/>
  <c r="V48" i="1"/>
  <c r="V147" i="1"/>
  <c r="V152" i="1"/>
  <c r="V246" i="1"/>
  <c r="V16" i="1"/>
  <c r="V127" i="1"/>
  <c r="V24" i="1"/>
  <c r="V256" i="1"/>
  <c r="V40" i="1"/>
  <c r="V115" i="1"/>
  <c r="V12" i="1"/>
  <c r="V233" i="1"/>
  <c r="V163" i="1"/>
  <c r="V251" i="1"/>
  <c r="V26" i="1"/>
  <c r="V39" i="1"/>
  <c r="V160" i="1"/>
  <c r="V47" i="1"/>
  <c r="V269" i="1"/>
  <c r="V240" i="1"/>
  <c r="V139" i="1"/>
  <c r="V41" i="1"/>
  <c r="V236" i="1"/>
  <c r="V68" i="1"/>
  <c r="V122" i="1"/>
  <c r="V42" i="1"/>
  <c r="V234" i="1"/>
  <c r="V200" i="1"/>
  <c r="V132" i="1"/>
  <c r="V261" i="1"/>
  <c r="V167" i="1"/>
  <c r="V242" i="1"/>
  <c r="V253" i="1"/>
  <c r="V134" i="1"/>
  <c r="V243" i="1"/>
  <c r="V201" i="1"/>
  <c r="V202" i="1"/>
  <c r="V208" i="1"/>
  <c r="V324" i="1"/>
  <c r="V51" i="1"/>
  <c r="V250" i="1"/>
  <c r="V52" i="1"/>
  <c r="V318" i="1"/>
  <c r="V56" i="1"/>
  <c r="V203" i="1"/>
  <c r="V249" i="1"/>
  <c r="V204" i="1"/>
  <c r="V294" i="1"/>
  <c r="V289" i="1"/>
  <c r="V293" i="1"/>
  <c r="V49" i="1"/>
  <c r="V274" i="1"/>
  <c r="V321" i="1"/>
  <c r="V53" i="1"/>
  <c r="V50" i="1"/>
  <c r="V154" i="1"/>
  <c r="V265" i="1"/>
  <c r="V257" i="1"/>
  <c r="V283" i="1"/>
  <c r="V284" i="1"/>
  <c r="V277" i="1"/>
  <c r="V262" i="1"/>
  <c r="V207" i="1"/>
  <c r="V155" i="1"/>
  <c r="V258" i="1"/>
  <c r="V276" i="1"/>
  <c r="V315" i="1"/>
  <c r="V314" i="1"/>
  <c r="V313" i="1"/>
  <c r="V285" i="1"/>
  <c r="V171" i="1"/>
  <c r="V66" i="1"/>
  <c r="V268" i="1"/>
  <c r="V273" i="1"/>
  <c r="V327" i="1"/>
  <c r="V328" i="1"/>
  <c r="V326" i="1"/>
  <c r="V290" i="1"/>
  <c r="V140" i="1"/>
  <c r="V209" i="1"/>
  <c r="V80" i="1"/>
  <c r="V266" i="1"/>
  <c r="V70" i="1"/>
  <c r="V61" i="1"/>
  <c r="V156" i="1"/>
  <c r="V133" i="1"/>
  <c r="V299" i="1"/>
  <c r="V187" i="1"/>
  <c r="V54" i="1"/>
  <c r="V71" i="1"/>
  <c r="V198" i="1"/>
  <c r="V188" i="1"/>
  <c r="V175" i="1"/>
  <c r="V298" i="1"/>
  <c r="V292" i="1"/>
  <c r="V330" i="1"/>
  <c r="V161" i="1"/>
  <c r="V72" i="1"/>
  <c r="V168" i="1"/>
  <c r="V270" i="1"/>
  <c r="V63" i="1"/>
  <c r="V291" i="1"/>
  <c r="V157" i="1"/>
  <c r="V176" i="1"/>
  <c r="V300" i="1"/>
  <c r="V272" i="1"/>
  <c r="V57" i="1"/>
  <c r="V169" i="1"/>
  <c r="V275" i="1"/>
  <c r="V305" i="1"/>
  <c r="V281" i="1"/>
  <c r="V185" i="1"/>
  <c r="V170" i="1"/>
  <c r="V322" i="1"/>
  <c r="V197" i="1"/>
  <c r="V59" i="1"/>
  <c r="V278" i="1"/>
  <c r="V280" i="1"/>
  <c r="V282" i="1"/>
  <c r="V279" i="1"/>
  <c r="AE83" i="1"/>
  <c r="AE84" i="1"/>
  <c r="AE85" i="1"/>
  <c r="AE87" i="1"/>
  <c r="AE3" i="1"/>
  <c r="AE88" i="1"/>
  <c r="AE89" i="1"/>
  <c r="AE29" i="1"/>
  <c r="AE27" i="1"/>
  <c r="AE117" i="1"/>
  <c r="AE91" i="1"/>
  <c r="AE124" i="1"/>
  <c r="AE121" i="1"/>
  <c r="AE86" i="1"/>
  <c r="AE98" i="1"/>
  <c r="AE5" i="1"/>
  <c r="AE143" i="1"/>
  <c r="AE92" i="1"/>
  <c r="AE94" i="1"/>
  <c r="AE90" i="1"/>
  <c r="AE14" i="1"/>
  <c r="AE99" i="1"/>
  <c r="AE108" i="1"/>
  <c r="AE109" i="1"/>
  <c r="AE254" i="1"/>
  <c r="AE141" i="1"/>
  <c r="AE18" i="1"/>
  <c r="AE118" i="1"/>
  <c r="AE119" i="1"/>
  <c r="AE126" i="1"/>
  <c r="AE116" i="1"/>
  <c r="AE194" i="1"/>
  <c r="AE8" i="1"/>
  <c r="AE129" i="1"/>
  <c r="AE110" i="1"/>
  <c r="AE95" i="1"/>
  <c r="AE9" i="1"/>
  <c r="AE104" i="1"/>
  <c r="AE128" i="1"/>
  <c r="AE149" i="1"/>
  <c r="AE36" i="1"/>
  <c r="AE215" i="1"/>
  <c r="AE225" i="1"/>
  <c r="AE213" i="1"/>
  <c r="AE214" i="1"/>
  <c r="AE212" i="1"/>
  <c r="AE96" i="1"/>
  <c r="AE159" i="1"/>
  <c r="AE113" i="1"/>
  <c r="AE112" i="1"/>
  <c r="AE114" i="1"/>
  <c r="AE28" i="1"/>
  <c r="AE17" i="1"/>
  <c r="AE101" i="1"/>
  <c r="AN101" i="1" s="1"/>
  <c r="AE100" i="1"/>
  <c r="AE102" i="1"/>
  <c r="AE10" i="1"/>
  <c r="AE107" i="1"/>
  <c r="AE229" i="1"/>
  <c r="AE217" i="1"/>
  <c r="AE148" i="1"/>
  <c r="AE191" i="1"/>
  <c r="AE286" i="1"/>
  <c r="AE255" i="1"/>
  <c r="AE62" i="1"/>
  <c r="AE7" i="1"/>
  <c r="AE252" i="1"/>
  <c r="AE55" i="1"/>
  <c r="AE184" i="1"/>
  <c r="AE125" i="1"/>
  <c r="AE130" i="1"/>
  <c r="AE103" i="1"/>
  <c r="AE35" i="1"/>
  <c r="AE106" i="1"/>
  <c r="AE221" i="1"/>
  <c r="AE241" i="1"/>
  <c r="AE32" i="1"/>
  <c r="AE123" i="1"/>
  <c r="AE166" i="1"/>
  <c r="AE153" i="1"/>
  <c r="AE173" i="1"/>
  <c r="AE145" i="1"/>
  <c r="AE206" i="1"/>
  <c r="AE158" i="1"/>
  <c r="AE97" i="1"/>
  <c r="AE248" i="1"/>
  <c r="AE247" i="1"/>
  <c r="AE226" i="1"/>
  <c r="AE186" i="1"/>
  <c r="AE60" i="1"/>
  <c r="AE15" i="1"/>
  <c r="AE44" i="1"/>
  <c r="AE46" i="1"/>
  <c r="AE205" i="1"/>
  <c r="AE21" i="1"/>
  <c r="AE267" i="1"/>
  <c r="AE228" i="1"/>
  <c r="AE165" i="1"/>
  <c r="AE22" i="1"/>
  <c r="AE195" i="1"/>
  <c r="AE120" i="1"/>
  <c r="AE238" i="1"/>
  <c r="AE239" i="1"/>
  <c r="AE224" i="1"/>
  <c r="AE33" i="1"/>
  <c r="AE19" i="1"/>
  <c r="AE231" i="1"/>
  <c r="AE227" i="1"/>
  <c r="AE199" i="1"/>
  <c r="AE136" i="1"/>
  <c r="AE259" i="1"/>
  <c r="AE20" i="1"/>
  <c r="AE220" i="1"/>
  <c r="AE138" i="1"/>
  <c r="AE137" i="1"/>
  <c r="AE235" i="1"/>
  <c r="AE37" i="1"/>
  <c r="AE13" i="1"/>
  <c r="AE25" i="1"/>
  <c r="AE11" i="1"/>
  <c r="AE192" i="1"/>
  <c r="AE193" i="1"/>
  <c r="AE271" i="1"/>
  <c r="AE218" i="1"/>
  <c r="AE69" i="1"/>
  <c r="AE111" i="1"/>
  <c r="AE237" i="1"/>
  <c r="AE105" i="1"/>
  <c r="AE210" i="1"/>
  <c r="AE38" i="1"/>
  <c r="AE34" i="1"/>
  <c r="AE58" i="1"/>
  <c r="AE222" i="1"/>
  <c r="AE302" i="1"/>
  <c r="AE190" i="1"/>
  <c r="AE146" i="1"/>
  <c r="AE30" i="1"/>
  <c r="AE43" i="1"/>
  <c r="AE196" i="1"/>
  <c r="AE216" i="1"/>
  <c r="AE45" i="1"/>
  <c r="AE131" i="1"/>
  <c r="AE23" i="1"/>
  <c r="AE144" i="1"/>
  <c r="AE245" i="1"/>
  <c r="AE264" i="1"/>
  <c r="AE244" i="1"/>
  <c r="AE232" i="1"/>
  <c r="AE142" i="1"/>
  <c r="AE297" i="1"/>
  <c r="AE219" i="1"/>
  <c r="AE211" i="1"/>
  <c r="AE135" i="1"/>
  <c r="AE73" i="1"/>
  <c r="AE223" i="1"/>
  <c r="AE230" i="1"/>
  <c r="AE260" i="1"/>
  <c r="AE31" i="1"/>
  <c r="AE263" i="1"/>
  <c r="AE151" i="1"/>
  <c r="AE48" i="1"/>
  <c r="AE147" i="1"/>
  <c r="AE152" i="1"/>
  <c r="AE246" i="1"/>
  <c r="AE16" i="1"/>
  <c r="AE127" i="1"/>
  <c r="AE24" i="1"/>
  <c r="AE256" i="1"/>
  <c r="AE40" i="1"/>
  <c r="AE115" i="1"/>
  <c r="AE12" i="1"/>
  <c r="AE233" i="1"/>
  <c r="AE163" i="1"/>
  <c r="AE251" i="1"/>
  <c r="AE26" i="1"/>
  <c r="AE39" i="1"/>
  <c r="AE160" i="1"/>
  <c r="AE47" i="1"/>
  <c r="AE269" i="1"/>
  <c r="AE240" i="1"/>
  <c r="AE139" i="1"/>
  <c r="AE41" i="1"/>
  <c r="AE236" i="1"/>
  <c r="AE68" i="1"/>
  <c r="AE122" i="1"/>
  <c r="AE42" i="1"/>
  <c r="AE234" i="1"/>
  <c r="AE200" i="1"/>
  <c r="AE132" i="1"/>
  <c r="AE261" i="1"/>
  <c r="AE167" i="1"/>
  <c r="AE242" i="1"/>
  <c r="AE253" i="1"/>
  <c r="AE134" i="1"/>
  <c r="AE243" i="1"/>
  <c r="AE201" i="1"/>
  <c r="AE202" i="1"/>
  <c r="AE208" i="1"/>
  <c r="AE324" i="1"/>
  <c r="AE51" i="1"/>
  <c r="AE250" i="1"/>
  <c r="AE52" i="1"/>
  <c r="AE318" i="1"/>
  <c r="AE56" i="1"/>
  <c r="AE203" i="1"/>
  <c r="AE249" i="1"/>
  <c r="AE204" i="1"/>
  <c r="AE294" i="1"/>
  <c r="AE289" i="1"/>
  <c r="AE293" i="1"/>
  <c r="AE49" i="1"/>
  <c r="AE274" i="1"/>
  <c r="AE321" i="1"/>
  <c r="AE53" i="1"/>
  <c r="AE50" i="1"/>
  <c r="AE154" i="1"/>
  <c r="AE265" i="1"/>
  <c r="AE257" i="1"/>
  <c r="AE283" i="1"/>
  <c r="AE284" i="1"/>
  <c r="AE277" i="1"/>
  <c r="AE262" i="1"/>
  <c r="AE207" i="1"/>
  <c r="AE155" i="1"/>
  <c r="AE258" i="1"/>
  <c r="AE276" i="1"/>
  <c r="AE315" i="1"/>
  <c r="AE314" i="1"/>
  <c r="AE313" i="1"/>
  <c r="AE285" i="1"/>
  <c r="AE171" i="1"/>
  <c r="AE311" i="1"/>
  <c r="AE66" i="1"/>
  <c r="AE268" i="1"/>
  <c r="AE273" i="1"/>
  <c r="AE327" i="1"/>
  <c r="AE328" i="1"/>
  <c r="AE326" i="1"/>
  <c r="AE290" i="1"/>
  <c r="AE140" i="1"/>
  <c r="AE209" i="1"/>
  <c r="AE80" i="1"/>
  <c r="AE266" i="1"/>
  <c r="AE70" i="1"/>
  <c r="AE61" i="1"/>
  <c r="AE156" i="1"/>
  <c r="AE133" i="1"/>
  <c r="AE299" i="1"/>
  <c r="AE187" i="1"/>
  <c r="AE54" i="1"/>
  <c r="AE71" i="1"/>
  <c r="AE198" i="1"/>
  <c r="AE188" i="1"/>
  <c r="AE175" i="1"/>
  <c r="AE298" i="1"/>
  <c r="AE292" i="1"/>
  <c r="AE330" i="1"/>
  <c r="AE161" i="1"/>
  <c r="AE72" i="1"/>
  <c r="AE168" i="1"/>
  <c r="AE270" i="1"/>
  <c r="AE63" i="1"/>
  <c r="AE291" i="1"/>
  <c r="AE157" i="1"/>
  <c r="AE176" i="1"/>
  <c r="AE272" i="1"/>
  <c r="AE57" i="1"/>
  <c r="AE169" i="1"/>
  <c r="AE275" i="1"/>
  <c r="AE305" i="1"/>
  <c r="AE281" i="1"/>
  <c r="AE185" i="1"/>
  <c r="AE170" i="1"/>
  <c r="AE322" i="1"/>
  <c r="AE197" i="1"/>
  <c r="AE59" i="1"/>
  <c r="AE278" i="1"/>
  <c r="AE280" i="1"/>
  <c r="AE282" i="1"/>
  <c r="AE279" i="1"/>
  <c r="AE338" i="1"/>
  <c r="AE332" i="1"/>
  <c r="AE339" i="1"/>
  <c r="AE333" i="1"/>
  <c r="AE340" i="1"/>
  <c r="AE334" i="1"/>
  <c r="AE341" i="1"/>
  <c r="AE345" i="1"/>
  <c r="AE342" i="1"/>
  <c r="AE335" i="1"/>
  <c r="AE346" i="1"/>
  <c r="AE336" i="1"/>
  <c r="AE337" i="1"/>
  <c r="AE343" i="1"/>
  <c r="AE344" i="1"/>
  <c r="AE323" i="1"/>
  <c r="AE74" i="1"/>
  <c r="AE174" i="1"/>
  <c r="AE325" i="1"/>
  <c r="AE183" i="1"/>
  <c r="AE295" i="1"/>
  <c r="AE288" i="1"/>
  <c r="AE317" i="1"/>
  <c r="V344" i="1"/>
  <c r="V343" i="1"/>
  <c r="V337" i="1"/>
  <c r="V336" i="1"/>
  <c r="V346" i="1"/>
  <c r="V335" i="1"/>
  <c r="V342" i="1"/>
  <c r="V345" i="1"/>
  <c r="V341" i="1"/>
  <c r="V333" i="1"/>
  <c r="V339" i="1"/>
  <c r="V338" i="1"/>
  <c r="AN264" i="1" l="1"/>
  <c r="AN4" i="1"/>
  <c r="AN183" i="1"/>
  <c r="AN295" i="1"/>
  <c r="AN323" i="1"/>
  <c r="AN317" i="1"/>
  <c r="AN192" i="1"/>
  <c r="BI192" i="1" s="1"/>
  <c r="AN137" i="1"/>
  <c r="AN227" i="1"/>
  <c r="AN120" i="1"/>
  <c r="BI120" i="1" s="1"/>
  <c r="AN226" i="1"/>
  <c r="AN206" i="1"/>
  <c r="AN32" i="1"/>
  <c r="AN59" i="1"/>
  <c r="AN185" i="1"/>
  <c r="AN57" i="1"/>
  <c r="AN270" i="1"/>
  <c r="AN330" i="1"/>
  <c r="AN198" i="1"/>
  <c r="AN299" i="1"/>
  <c r="AN61" i="1"/>
  <c r="AN273" i="1"/>
  <c r="AN103" i="1"/>
  <c r="AN325" i="1"/>
  <c r="AN315" i="1"/>
  <c r="AN52" i="1"/>
  <c r="AN201" i="1"/>
  <c r="AN167" i="1"/>
  <c r="BI167" i="1" s="1"/>
  <c r="AN68" i="1"/>
  <c r="AN163" i="1"/>
  <c r="AN147" i="1"/>
  <c r="AN230" i="1"/>
  <c r="AN142" i="1"/>
  <c r="AN168" i="1"/>
  <c r="AN133" i="1"/>
  <c r="AN266" i="1"/>
  <c r="AN311" i="1"/>
  <c r="AN283" i="1"/>
  <c r="AN274" i="1"/>
  <c r="BI274" i="1" s="1"/>
  <c r="AN200" i="1"/>
  <c r="AN139" i="1"/>
  <c r="AN12" i="1"/>
  <c r="AN127" i="1"/>
  <c r="BI127" i="1" s="1"/>
  <c r="AN263" i="1"/>
  <c r="AN73" i="1"/>
  <c r="AN131" i="1"/>
  <c r="AN176" i="1"/>
  <c r="AN54" i="1"/>
  <c r="AN326" i="1"/>
  <c r="BI326" i="1" s="1"/>
  <c r="AN249" i="1"/>
  <c r="AN34" i="1"/>
  <c r="AN218" i="1"/>
  <c r="BI218" i="1" s="1"/>
  <c r="AN11" i="1"/>
  <c r="AN220" i="1"/>
  <c r="AN231" i="1"/>
  <c r="AN22" i="1"/>
  <c r="AN21" i="1"/>
  <c r="AN15" i="1"/>
  <c r="AN248" i="1"/>
  <c r="AN241" i="1"/>
  <c r="AN125" i="1"/>
  <c r="BI125" i="1" s="1"/>
  <c r="AN62" i="1"/>
  <c r="AN229" i="1"/>
  <c r="AN100" i="1"/>
  <c r="AN159" i="1"/>
  <c r="BI159" i="1" s="1"/>
  <c r="AN215" i="1"/>
  <c r="AN126" i="1"/>
  <c r="BI126" i="1" s="1"/>
  <c r="AN18" i="1"/>
  <c r="AN124" i="1"/>
  <c r="AN89" i="1"/>
  <c r="AN96" i="1"/>
  <c r="AN36" i="1"/>
  <c r="AN104" i="1"/>
  <c r="AN110" i="1"/>
  <c r="AN141" i="1"/>
  <c r="BI141" i="1" s="1"/>
  <c r="AN14" i="1"/>
  <c r="AN143" i="1"/>
  <c r="BI143" i="1" s="1"/>
  <c r="AN91" i="1"/>
  <c r="AN87" i="1"/>
  <c r="AN282" i="1"/>
  <c r="AN322" i="1"/>
  <c r="AN305" i="1"/>
  <c r="AN300" i="1"/>
  <c r="AN298" i="1"/>
  <c r="BI298" i="1" s="1"/>
  <c r="AN71" i="1"/>
  <c r="AN290" i="1"/>
  <c r="AN66" i="1"/>
  <c r="AN284" i="1"/>
  <c r="AN204" i="1"/>
  <c r="AN250" i="1"/>
  <c r="AN132" i="1"/>
  <c r="AN41" i="1"/>
  <c r="AN233" i="1"/>
  <c r="AN24" i="1"/>
  <c r="AN151" i="1"/>
  <c r="AN244" i="1"/>
  <c r="AN23" i="1"/>
  <c r="AN58" i="1"/>
  <c r="AN69" i="1"/>
  <c r="AN25" i="1"/>
  <c r="AN20" i="1"/>
  <c r="AN19" i="1"/>
  <c r="AN165" i="1"/>
  <c r="BI165" i="1" s="1"/>
  <c r="AN60" i="1"/>
  <c r="AN145" i="1"/>
  <c r="AN221" i="1"/>
  <c r="BI221" i="1" s="1"/>
  <c r="AN184" i="1"/>
  <c r="AN255" i="1"/>
  <c r="AN112" i="1"/>
  <c r="BI112" i="1" s="1"/>
  <c r="AN225" i="1"/>
  <c r="AN6" i="1"/>
  <c r="AN29" i="1"/>
  <c r="AN257" i="1"/>
  <c r="AN203" i="1"/>
  <c r="BI203" i="1" s="1"/>
  <c r="AN134" i="1"/>
  <c r="AN240" i="1"/>
  <c r="AN115" i="1"/>
  <c r="AN237" i="1"/>
  <c r="BI237" i="1" s="1"/>
  <c r="AN107" i="1"/>
  <c r="AN286" i="1"/>
  <c r="AN269" i="1"/>
  <c r="AN38" i="1"/>
  <c r="AN259" i="1"/>
  <c r="AN33" i="1"/>
  <c r="AN106" i="1"/>
  <c r="AN79" i="1"/>
  <c r="AN279" i="1"/>
  <c r="AN197" i="1"/>
  <c r="AN281" i="1"/>
  <c r="AN272" i="1"/>
  <c r="AN292" i="1"/>
  <c r="BI292" i="1" s="1"/>
  <c r="AN70" i="1"/>
  <c r="AN268" i="1"/>
  <c r="AN276" i="1"/>
  <c r="AN277" i="1"/>
  <c r="AN321" i="1"/>
  <c r="AN294" i="1"/>
  <c r="AN261" i="1"/>
  <c r="BI261" i="1" s="1"/>
  <c r="AN236" i="1"/>
  <c r="AN48" i="1"/>
  <c r="AN223" i="1"/>
  <c r="AN232" i="1"/>
  <c r="AN43" i="1"/>
  <c r="AN130" i="1"/>
  <c r="AN217" i="1"/>
  <c r="AN113" i="1"/>
  <c r="BI113" i="1" s="1"/>
  <c r="AN128" i="1"/>
  <c r="BI128" i="1" s="1"/>
  <c r="AN116" i="1"/>
  <c r="BI116" i="1" s="1"/>
  <c r="AN99" i="1"/>
  <c r="AN3" i="1"/>
  <c r="AN84" i="1"/>
  <c r="AN155" i="1"/>
  <c r="AN291" i="1"/>
  <c r="AN40" i="1"/>
  <c r="AN193" i="1"/>
  <c r="BI193" i="1" s="1"/>
  <c r="AN219" i="1"/>
  <c r="BI219" i="1" s="1"/>
  <c r="AN74" i="1"/>
  <c r="AN156" i="1"/>
  <c r="AN209" i="1"/>
  <c r="AN314" i="1"/>
  <c r="AN207" i="1"/>
  <c r="BI207" i="1" s="1"/>
  <c r="AN50" i="1"/>
  <c r="AN318" i="1"/>
  <c r="AN202" i="1"/>
  <c r="AN242" i="1"/>
  <c r="AN251" i="1"/>
  <c r="AN256" i="1"/>
  <c r="AN260" i="1"/>
  <c r="AN297" i="1"/>
  <c r="AN302" i="1"/>
  <c r="AN105" i="1"/>
  <c r="AN235" i="1"/>
  <c r="AN238" i="1"/>
  <c r="AN46" i="1"/>
  <c r="AN114" i="1"/>
  <c r="BI114" i="1" s="1"/>
  <c r="AN149" i="1"/>
  <c r="BI149" i="1" s="1"/>
  <c r="AN146" i="1"/>
  <c r="AN224" i="1"/>
  <c r="AN205" i="1"/>
  <c r="AN97" i="1"/>
  <c r="AN35" i="1"/>
  <c r="AN333" i="1"/>
  <c r="AN243" i="1"/>
  <c r="AN340" i="1"/>
  <c r="AN346" i="1"/>
  <c r="BI346" i="1" s="1"/>
  <c r="AN111" i="1"/>
  <c r="BI111" i="1" s="1"/>
  <c r="AN138" i="1"/>
  <c r="AN195" i="1"/>
  <c r="BI195" i="1" s="1"/>
  <c r="AN267" i="1"/>
  <c r="AN44" i="1"/>
  <c r="AN247" i="1"/>
  <c r="AN174" i="1"/>
  <c r="AN98" i="1"/>
  <c r="AN337" i="1"/>
  <c r="AN208" i="1"/>
  <c r="AN336" i="1"/>
  <c r="AN341" i="1"/>
  <c r="BI341" i="1" s="1"/>
  <c r="AN182" i="1"/>
  <c r="AN345" i="1"/>
  <c r="BI345" i="1" s="1"/>
  <c r="AN75" i="1"/>
  <c r="AN262" i="1"/>
  <c r="AN53" i="1"/>
  <c r="AN312" i="1"/>
  <c r="AN303" i="1"/>
  <c r="AN189" i="1"/>
  <c r="AN301" i="1"/>
  <c r="AN344" i="1"/>
  <c r="AN342" i="1"/>
  <c r="BI342" i="1" s="1"/>
  <c r="AN77" i="1"/>
  <c r="AN67" i="1"/>
  <c r="AN343" i="1"/>
  <c r="AN331" i="1"/>
  <c r="AN65" i="1"/>
  <c r="AN280" i="1"/>
  <c r="AN275" i="1"/>
  <c r="AN175" i="1"/>
  <c r="AN328" i="1"/>
  <c r="BI328" i="1" s="1"/>
  <c r="AN171" i="1"/>
  <c r="BI171" i="1" s="1"/>
  <c r="AN258" i="1"/>
  <c r="AN30" i="1"/>
  <c r="AN173" i="1"/>
  <c r="AN157" i="1"/>
  <c r="AN327" i="1"/>
  <c r="BI327" i="1" s="1"/>
  <c r="AN49" i="1"/>
  <c r="AN56" i="1"/>
  <c r="AN246" i="1"/>
  <c r="AN245" i="1"/>
  <c r="AN216" i="1"/>
  <c r="AN271" i="1"/>
  <c r="AN186" i="1"/>
  <c r="AN55" i="1"/>
  <c r="AN214" i="1"/>
  <c r="AN119" i="1"/>
  <c r="AN109" i="1"/>
  <c r="AN90" i="1"/>
  <c r="AN117" i="1"/>
  <c r="BI117" i="1" s="1"/>
  <c r="AN88" i="1"/>
  <c r="AN85" i="1"/>
  <c r="AN180" i="1"/>
  <c r="BI180" i="1" s="1"/>
  <c r="AN179" i="1"/>
  <c r="AN339" i="1"/>
  <c r="BI339" i="1" s="1"/>
  <c r="AN140" i="1"/>
  <c r="BI140" i="1" s="1"/>
  <c r="AN144" i="1"/>
  <c r="BI144" i="1" s="1"/>
  <c r="AN7" i="1"/>
  <c r="AN307" i="1"/>
  <c r="AN196" i="1"/>
  <c r="BI196" i="1" s="1"/>
  <c r="AN222" i="1"/>
  <c r="AN148" i="1"/>
  <c r="AN102" i="1"/>
  <c r="AN9" i="1"/>
  <c r="AN95" i="1"/>
  <c r="AN8" i="1"/>
  <c r="AN92" i="1"/>
  <c r="BI92" i="1" s="1"/>
  <c r="AN86" i="1"/>
  <c r="AN82" i="1"/>
  <c r="AN338" i="1"/>
  <c r="BI338" i="1" s="1"/>
  <c r="AN63" i="1"/>
  <c r="AN194" i="1"/>
  <c r="AN122" i="1"/>
  <c r="BI122" i="1" s="1"/>
  <c r="AN161" i="1"/>
  <c r="AN199" i="1"/>
  <c r="AN158" i="1"/>
  <c r="AN169" i="1"/>
  <c r="AN188" i="1"/>
  <c r="AN324" i="1"/>
  <c r="AN136" i="1"/>
  <c r="AN153" i="1"/>
  <c r="AN170" i="1"/>
  <c r="AN289" i="1"/>
  <c r="AN123" i="1"/>
  <c r="AN234" i="1"/>
  <c r="AN5" i="1"/>
  <c r="AN278" i="1"/>
  <c r="AN72" i="1"/>
  <c r="AN187" i="1"/>
  <c r="AN313" i="1"/>
  <c r="AN154" i="1"/>
  <c r="AN329" i="1"/>
  <c r="AN308" i="1"/>
  <c r="AN177" i="1"/>
  <c r="AN64" i="1"/>
  <c r="AN16" i="1"/>
  <c r="AN45" i="1"/>
  <c r="AN306" i="1"/>
  <c r="AN319" i="1"/>
  <c r="AN164" i="1"/>
  <c r="BI164" i="1" s="1"/>
  <c r="AN254" i="1"/>
  <c r="AN80" i="1"/>
  <c r="AN39" i="1"/>
  <c r="AN178" i="1"/>
  <c r="BI178" i="1" s="1"/>
  <c r="AN332" i="1"/>
  <c r="BI332" i="1" s="1"/>
  <c r="AN13" i="1"/>
  <c r="AN83" i="1"/>
  <c r="AN78" i="1"/>
  <c r="AN150" i="1"/>
  <c r="AN181" i="1"/>
  <c r="AN287" i="1"/>
  <c r="AN265" i="1"/>
  <c r="AN211" i="1"/>
  <c r="AN334" i="1"/>
  <c r="AN81" i="1"/>
  <c r="AN316" i="1"/>
  <c r="AN304" i="1"/>
  <c r="AN162" i="1"/>
  <c r="AN296" i="1"/>
  <c r="BI296" i="1" s="1"/>
  <c r="AN335" i="1"/>
  <c r="BI335" i="1" s="1"/>
  <c r="AN51" i="1"/>
  <c r="AN10" i="1"/>
  <c r="AN17" i="1"/>
  <c r="AN212" i="1"/>
  <c r="AN310" i="1"/>
  <c r="AN172" i="1"/>
  <c r="AN285" i="1"/>
  <c r="AN160" i="1"/>
  <c r="BI160" i="1" s="1"/>
  <c r="AN135" i="1"/>
  <c r="BI135" i="1" s="1"/>
  <c r="AN320" i="1"/>
  <c r="AN309" i="1"/>
  <c r="AN76" i="1"/>
  <c r="AN288" i="1"/>
  <c r="BI288" i="1" s="1"/>
  <c r="AN47" i="1"/>
  <c r="AN190" i="1"/>
  <c r="AN239" i="1"/>
  <c r="AN191" i="1"/>
  <c r="AN27" i="1"/>
  <c r="AN293" i="1"/>
  <c r="AN152" i="1"/>
  <c r="AN37" i="1"/>
  <c r="AN253" i="1"/>
  <c r="AN28" i="1"/>
  <c r="AN129" i="1"/>
  <c r="BI129" i="1" s="1"/>
  <c r="AN26" i="1"/>
  <c r="AN210" i="1"/>
  <c r="AN213" i="1"/>
  <c r="AN118" i="1"/>
  <c r="AN31" i="1"/>
  <c r="AN228" i="1"/>
  <c r="AN166" i="1"/>
  <c r="AN252" i="1"/>
  <c r="AN108" i="1"/>
  <c r="AN42" i="1"/>
  <c r="AN94" i="1"/>
  <c r="BI94" i="1" s="1"/>
  <c r="BI333" i="1" l="1"/>
  <c r="BI101" i="1"/>
  <c r="BH334" i="1"/>
  <c r="BI334" i="1"/>
  <c r="BH340" i="1"/>
  <c r="BI340" i="1"/>
  <c r="BI208" i="1"/>
  <c r="BH129" i="1"/>
  <c r="BG129" i="1"/>
  <c r="BG173" i="1"/>
  <c r="BH173" i="1"/>
  <c r="BG145" i="1"/>
  <c r="BH145" i="1"/>
  <c r="BG178" i="1"/>
  <c r="BH178" i="1"/>
  <c r="BG219" i="1"/>
  <c r="BH219" i="1"/>
  <c r="BG137" i="1"/>
  <c r="BH137" i="1"/>
  <c r="BH296" i="1"/>
  <c r="BG296" i="1"/>
  <c r="BH140" i="1"/>
  <c r="BG140" i="1"/>
  <c r="BH138" i="1"/>
  <c r="BG138" i="1"/>
  <c r="BH193" i="1"/>
  <c r="BG193" i="1"/>
  <c r="BH116" i="1"/>
  <c r="BG116" i="1"/>
  <c r="BH165" i="1"/>
  <c r="BG165" i="1"/>
  <c r="BG151" i="1"/>
  <c r="BH151" i="1"/>
  <c r="BH274" i="1"/>
  <c r="BG274" i="1"/>
  <c r="BG147" i="1"/>
  <c r="BH147" i="1"/>
  <c r="BH192" i="1"/>
  <c r="BG192" i="1"/>
  <c r="BH135" i="1"/>
  <c r="BG135" i="1"/>
  <c r="BH159" i="1"/>
  <c r="BG159" i="1"/>
  <c r="BH339" i="1"/>
  <c r="BG339" i="1"/>
  <c r="BH188" i="1"/>
  <c r="BG188" i="1"/>
  <c r="BG338" i="1"/>
  <c r="BH338" i="1"/>
  <c r="BH148" i="1"/>
  <c r="BG148" i="1"/>
  <c r="BH328" i="1"/>
  <c r="BG328" i="1"/>
  <c r="BG346" i="1"/>
  <c r="BH346" i="1"/>
  <c r="BG207" i="1"/>
  <c r="BH207" i="1"/>
  <c r="BG128" i="1"/>
  <c r="BH128" i="1"/>
  <c r="BH112" i="1"/>
  <c r="BG112" i="1"/>
  <c r="BG143" i="1"/>
  <c r="BH143" i="1"/>
  <c r="BG125" i="1"/>
  <c r="BH125" i="1"/>
  <c r="BG117" i="1"/>
  <c r="BH117" i="1"/>
  <c r="BG341" i="1"/>
  <c r="BH341" i="1"/>
  <c r="BH326" i="1"/>
  <c r="BG326" i="1"/>
  <c r="BH335" i="1"/>
  <c r="BG335" i="1"/>
  <c r="BG122" i="1"/>
  <c r="BH122" i="1"/>
  <c r="BH111" i="1"/>
  <c r="BG111" i="1"/>
  <c r="BH94" i="1"/>
  <c r="BG94" i="1"/>
  <c r="BH180" i="1"/>
  <c r="BG180" i="1"/>
  <c r="BH342" i="1"/>
  <c r="BG342" i="1"/>
  <c r="BH149" i="1"/>
  <c r="BG149" i="1"/>
  <c r="BG113" i="1"/>
  <c r="BH113" i="1"/>
  <c r="BG292" i="1"/>
  <c r="BH292" i="1"/>
  <c r="BH298" i="1"/>
  <c r="BG298" i="1"/>
  <c r="BH218" i="1"/>
  <c r="BG218" i="1"/>
  <c r="BH167" i="1"/>
  <c r="BG167" i="1"/>
  <c r="BG332" i="1"/>
  <c r="BH332" i="1"/>
  <c r="BH144" i="1"/>
  <c r="BG144" i="1"/>
  <c r="BH195" i="1"/>
  <c r="BG195" i="1"/>
  <c r="BH288" i="1"/>
  <c r="BG288" i="1"/>
  <c r="BH171" i="1"/>
  <c r="BG171" i="1"/>
  <c r="BH163" i="1"/>
  <c r="BG163" i="1"/>
  <c r="BG164" i="1"/>
  <c r="BH164" i="1"/>
  <c r="BG158" i="1"/>
  <c r="BH158" i="1"/>
  <c r="BG196" i="1"/>
  <c r="BH196" i="1"/>
  <c r="BH327" i="1"/>
  <c r="BG327" i="1"/>
  <c r="BH345" i="1"/>
  <c r="BG345" i="1"/>
  <c r="BG114" i="1"/>
  <c r="BH114" i="1"/>
  <c r="BH261" i="1"/>
  <c r="BG261" i="1"/>
  <c r="BG141" i="1"/>
  <c r="BH141" i="1"/>
  <c r="BH126" i="1"/>
  <c r="BG126" i="1"/>
  <c r="BG127" i="1"/>
  <c r="BH127" i="1"/>
  <c r="BH160" i="1"/>
  <c r="BG160" i="1"/>
  <c r="BG153" i="1"/>
  <c r="BH153" i="1"/>
  <c r="BH237" i="1"/>
  <c r="BG237" i="1"/>
  <c r="BG92" i="1"/>
  <c r="BH92" i="1"/>
  <c r="BG333" i="1"/>
  <c r="BH333" i="1"/>
  <c r="BH203" i="1"/>
  <c r="BG203" i="1"/>
  <c r="BH221" i="1"/>
  <c r="BG221" i="1"/>
  <c r="BG120" i="1"/>
  <c r="BH120" i="1"/>
  <c r="BH101" i="1"/>
  <c r="BG101" i="1"/>
  <c r="BI205" i="1"/>
  <c r="BH83" i="1"/>
  <c r="BG88" i="1"/>
  <c r="BH84" i="1"/>
  <c r="BG87" i="1"/>
  <c r="BH85" i="1"/>
  <c r="BG89" i="1"/>
  <c r="BI162" i="1" l="1"/>
  <c r="BI133" i="1"/>
  <c r="BI177" i="1"/>
  <c r="BI136" i="1"/>
  <c r="BI109" i="1"/>
  <c r="BI104" i="1"/>
  <c r="BI179" i="1"/>
  <c r="BI86" i="1"/>
  <c r="BI110" i="1"/>
  <c r="BI176" i="1"/>
  <c r="BI184" i="1"/>
  <c r="BI182" i="1"/>
  <c r="BI142" i="1"/>
  <c r="BI197" i="1"/>
  <c r="BI90" i="1"/>
  <c r="BI154" i="1"/>
  <c r="BI283" i="1"/>
  <c r="BI132" i="1"/>
  <c r="BI102" i="1"/>
  <c r="BI115" i="1"/>
  <c r="BI95" i="1"/>
  <c r="BI100" i="1"/>
  <c r="BI130" i="1"/>
  <c r="BI190" i="1"/>
  <c r="BI118" i="1"/>
  <c r="BI209" i="1"/>
  <c r="BI191" i="1"/>
  <c r="BI106" i="1"/>
  <c r="BI297" i="1"/>
  <c r="BI263" i="1"/>
  <c r="BI252" i="1"/>
  <c r="BI307" i="1"/>
  <c r="BI285" i="1"/>
  <c r="BI215" i="1"/>
  <c r="BI213" i="1"/>
  <c r="BI256" i="1"/>
  <c r="BI322" i="1"/>
  <c r="BI254" i="1"/>
  <c r="BI305" i="1"/>
  <c r="BI264" i="1"/>
  <c r="BI315" i="1"/>
  <c r="BI316" i="1"/>
  <c r="BI210" i="1"/>
  <c r="BI287" i="1"/>
  <c r="BI235" i="1"/>
  <c r="BI275" i="1"/>
  <c r="BI278" i="1"/>
  <c r="BI323" i="1"/>
  <c r="BI290" i="1"/>
  <c r="BI325" i="1"/>
  <c r="BI300" i="1"/>
  <c r="BI231" i="1"/>
  <c r="BI317" i="1"/>
  <c r="BI273" i="1"/>
  <c r="BI260" i="1"/>
  <c r="BI286" i="1"/>
  <c r="BI281" i="1"/>
  <c r="BI268" i="1"/>
  <c r="BI312" i="1"/>
  <c r="BI314" i="1"/>
  <c r="BI301" i="1"/>
  <c r="BI246" i="1"/>
  <c r="BI241" i="1"/>
  <c r="BI302" i="1"/>
  <c r="BI225" i="1"/>
  <c r="BI124" i="1"/>
  <c r="BI103" i="1"/>
  <c r="BI183" i="1"/>
  <c r="BI96" i="1"/>
  <c r="BI91" i="1"/>
  <c r="BI150" i="1"/>
  <c r="BI282" i="1"/>
  <c r="BI222" i="1"/>
  <c r="BI321" i="1"/>
  <c r="BI270" i="1"/>
  <c r="BI232" i="1"/>
  <c r="BI269" i="1"/>
  <c r="BI238" i="1"/>
  <c r="BI319" i="1"/>
  <c r="BI251" i="1"/>
  <c r="BI291" i="1"/>
  <c r="BI239" i="1"/>
  <c r="BI83" i="1"/>
  <c r="BI295" i="1"/>
  <c r="BI226" i="1"/>
  <c r="BI212" i="1"/>
  <c r="BI277" i="1"/>
  <c r="BI267" i="1"/>
  <c r="BI310" i="1"/>
  <c r="BI230" i="1"/>
  <c r="BI181" i="1"/>
  <c r="BI108" i="1"/>
  <c r="BI98" i="1"/>
  <c r="BI199" i="1"/>
  <c r="BI211" i="1"/>
  <c r="BI227" i="1"/>
  <c r="BI233" i="1"/>
  <c r="BI245" i="1"/>
  <c r="BI224" i="1"/>
  <c r="BI258" i="1"/>
  <c r="BI249" i="1"/>
  <c r="BI257" i="1"/>
  <c r="BI284" i="1"/>
  <c r="BI247" i="1"/>
  <c r="BI99" i="1"/>
  <c r="BI166" i="1"/>
  <c r="BI198" i="1"/>
  <c r="BI175" i="1"/>
  <c r="BI272" i="1"/>
  <c r="BI217" i="1"/>
  <c r="BI331" i="1"/>
  <c r="BI318" i="1"/>
  <c r="BI311" i="1"/>
  <c r="BI271" i="1"/>
  <c r="BI304" i="1"/>
  <c r="BH344" i="1"/>
  <c r="BI344" i="1"/>
  <c r="BI214" i="1"/>
  <c r="BG139" i="1"/>
  <c r="BI139" i="1"/>
  <c r="BI265" i="1"/>
  <c r="BI243" i="1"/>
  <c r="BI308" i="1"/>
  <c r="BI306" i="1"/>
  <c r="BI266" i="1"/>
  <c r="BI255" i="1"/>
  <c r="BI202" i="1"/>
  <c r="BI242" i="1"/>
  <c r="BI201" i="1"/>
  <c r="BI259" i="1"/>
  <c r="BH337" i="1"/>
  <c r="BI337" i="1"/>
  <c r="BI324" i="1"/>
  <c r="BI134" i="1"/>
  <c r="BI119" i="1"/>
  <c r="BI105" i="1"/>
  <c r="BI97" i="1"/>
  <c r="BI131" i="1"/>
  <c r="BI186" i="1"/>
  <c r="BI309" i="1"/>
  <c r="BI223" i="1"/>
  <c r="BI244" i="1"/>
  <c r="BI253" i="1"/>
  <c r="BI262" i="1"/>
  <c r="BI216" i="1"/>
  <c r="BI279" i="1"/>
  <c r="BI276" i="1"/>
  <c r="BH343" i="1"/>
  <c r="BI343" i="1"/>
  <c r="BH289" i="1"/>
  <c r="BI289" i="1"/>
  <c r="BH206" i="1"/>
  <c r="BI206" i="1"/>
  <c r="BI87" i="1"/>
  <c r="BI240" i="1"/>
  <c r="BH336" i="1"/>
  <c r="BI336" i="1"/>
  <c r="BH204" i="1"/>
  <c r="BI204" i="1"/>
  <c r="BI84" i="1"/>
  <c r="BI200" i="1"/>
  <c r="BI107" i="1"/>
  <c r="BI123" i="1"/>
  <c r="BI187" i="1"/>
  <c r="BI174" i="1"/>
  <c r="BI157" i="1"/>
  <c r="BI329" i="1"/>
  <c r="BI234" i="1"/>
  <c r="BI303" i="1"/>
  <c r="BI330" i="1"/>
  <c r="BI229" i="1"/>
  <c r="BI236" i="1"/>
  <c r="BI280" i="1"/>
  <c r="BI320" i="1"/>
  <c r="BI299" i="1"/>
  <c r="BI313" i="1"/>
  <c r="BI248" i="1"/>
  <c r="BI88" i="1"/>
  <c r="BI228" i="1"/>
  <c r="BI250" i="1"/>
  <c r="BI220" i="1"/>
  <c r="BI293" i="1"/>
  <c r="BG294" i="1"/>
  <c r="BI294" i="1"/>
  <c r="BI89" i="1"/>
  <c r="BI85" i="1"/>
  <c r="BG289" i="1"/>
  <c r="BH139" i="1"/>
  <c r="BH294" i="1"/>
  <c r="BG204" i="1"/>
  <c r="BG215" i="1"/>
  <c r="BG206" i="1"/>
  <c r="BH215" i="1"/>
  <c r="BG285" i="1"/>
  <c r="BH282" i="1"/>
  <c r="BH285" i="1"/>
  <c r="BH87" i="1"/>
  <c r="BH88" i="1"/>
  <c r="BG83" i="1"/>
  <c r="BG85" i="1"/>
  <c r="BG84" i="1"/>
  <c r="BG156" i="1"/>
  <c r="BH156" i="1"/>
  <c r="BG222" i="1"/>
  <c r="BH222" i="1"/>
  <c r="BH172" i="1"/>
  <c r="BG172" i="1"/>
  <c r="BH175" i="1"/>
  <c r="BG175" i="1"/>
  <c r="BH224" i="1"/>
  <c r="BG224" i="1"/>
  <c r="BG271" i="1"/>
  <c r="BH271" i="1"/>
  <c r="BG210" i="1"/>
  <c r="BH210" i="1"/>
  <c r="BG189" i="1"/>
  <c r="BH189" i="1"/>
  <c r="BH91" i="1"/>
  <c r="BG91" i="1"/>
  <c r="BH100" i="1"/>
  <c r="BG100" i="1"/>
  <c r="BG246" i="1"/>
  <c r="BH246" i="1"/>
  <c r="BH223" i="1"/>
  <c r="BG223" i="1"/>
  <c r="BH306" i="1"/>
  <c r="BG306" i="1"/>
  <c r="BH297" i="1"/>
  <c r="BG297" i="1"/>
  <c r="BG263" i="1"/>
  <c r="BH263" i="1"/>
  <c r="BH242" i="1"/>
  <c r="BG242" i="1"/>
  <c r="BG212" i="1"/>
  <c r="BH212" i="1"/>
  <c r="BH99" i="1"/>
  <c r="BG99" i="1"/>
  <c r="BG105" i="1"/>
  <c r="BH105" i="1"/>
  <c r="BH97" i="1"/>
  <c r="BG97" i="1"/>
  <c r="BH131" i="1"/>
  <c r="BG131" i="1"/>
  <c r="BH186" i="1"/>
  <c r="BG186" i="1"/>
  <c r="BG272" i="1"/>
  <c r="BH272" i="1"/>
  <c r="BH217" i="1"/>
  <c r="BG217" i="1"/>
  <c r="BH256" i="1"/>
  <c r="BG256" i="1"/>
  <c r="BH322" i="1"/>
  <c r="BG322" i="1"/>
  <c r="BG254" i="1"/>
  <c r="BH254" i="1"/>
  <c r="BG315" i="1"/>
  <c r="BH315" i="1"/>
  <c r="BG233" i="1"/>
  <c r="BH233" i="1"/>
  <c r="BH232" i="1"/>
  <c r="BG232" i="1"/>
  <c r="BH266" i="1"/>
  <c r="BG266" i="1"/>
  <c r="BG255" i="1"/>
  <c r="BH255" i="1"/>
  <c r="BH202" i="1"/>
  <c r="BG202" i="1"/>
  <c r="BH230" i="1"/>
  <c r="BG230" i="1"/>
  <c r="BG279" i="1"/>
  <c r="BH279" i="1"/>
  <c r="BH259" i="1"/>
  <c r="BG259" i="1"/>
  <c r="BG307" i="1"/>
  <c r="BH307" i="1"/>
  <c r="BH313" i="1"/>
  <c r="BG313" i="1"/>
  <c r="BG191" i="1"/>
  <c r="BH191" i="1"/>
  <c r="BG214" i="1"/>
  <c r="BH214" i="1"/>
  <c r="BH89" i="1"/>
  <c r="BG257" i="1"/>
  <c r="BH257" i="1"/>
  <c r="BG247" i="1"/>
  <c r="BH247" i="1"/>
  <c r="BH124" i="1"/>
  <c r="BG124" i="1"/>
  <c r="BG190" i="1"/>
  <c r="BH190" i="1"/>
  <c r="BG240" i="1"/>
  <c r="BH240" i="1"/>
  <c r="BH321" i="1"/>
  <c r="BG321" i="1"/>
  <c r="BG251" i="1"/>
  <c r="BH251" i="1"/>
  <c r="BH239" i="1"/>
  <c r="BG239" i="1"/>
  <c r="BG176" i="1"/>
  <c r="BH176" i="1"/>
  <c r="BH194" i="1"/>
  <c r="BG194" i="1"/>
  <c r="BG130" i="1"/>
  <c r="BH130" i="1"/>
  <c r="BG211" i="1"/>
  <c r="BH211" i="1"/>
  <c r="BG308" i="1"/>
  <c r="BH308" i="1"/>
  <c r="BH231" i="1"/>
  <c r="BG231" i="1"/>
  <c r="BG110" i="1"/>
  <c r="BH110" i="1"/>
  <c r="BH115" i="1"/>
  <c r="BG115" i="1"/>
  <c r="BH121" i="1"/>
  <c r="BG121" i="1"/>
  <c r="BG150" i="1"/>
  <c r="BH150" i="1"/>
  <c r="BH104" i="1"/>
  <c r="BG104" i="1"/>
  <c r="BG118" i="1"/>
  <c r="BH118" i="1"/>
  <c r="BG301" i="1"/>
  <c r="BH301" i="1"/>
  <c r="BH253" i="1"/>
  <c r="BG253" i="1"/>
  <c r="BG134" i="1"/>
  <c r="BH134" i="1"/>
  <c r="BH166" i="1"/>
  <c r="BG166" i="1"/>
  <c r="BH174" i="1"/>
  <c r="BG174" i="1"/>
  <c r="BG265" i="1"/>
  <c r="BH265" i="1"/>
  <c r="BG262" i="1"/>
  <c r="BH262" i="1"/>
  <c r="BG216" i="1"/>
  <c r="BH216" i="1"/>
  <c r="BH226" i="1"/>
  <c r="BG226" i="1"/>
  <c r="BG249" i="1"/>
  <c r="BH249" i="1"/>
  <c r="BG229" i="1"/>
  <c r="BH229" i="1"/>
  <c r="BH236" i="1"/>
  <c r="BG236" i="1"/>
  <c r="BH280" i="1"/>
  <c r="BG280" i="1"/>
  <c r="BH319" i="1"/>
  <c r="BG319" i="1"/>
  <c r="BH252" i="1"/>
  <c r="BG252" i="1"/>
  <c r="BG276" i="1"/>
  <c r="BH276" i="1"/>
  <c r="BG287" i="1"/>
  <c r="BH287" i="1"/>
  <c r="BG299" i="1"/>
  <c r="BH299" i="1"/>
  <c r="BH268" i="1"/>
  <c r="BG268" i="1"/>
  <c r="BG235" i="1"/>
  <c r="BH235" i="1"/>
  <c r="BH275" i="1"/>
  <c r="BG275" i="1"/>
  <c r="BH283" i="1"/>
  <c r="BG283" i="1"/>
  <c r="BH258" i="1"/>
  <c r="BG258" i="1"/>
  <c r="BG316" i="1"/>
  <c r="BH316" i="1"/>
  <c r="BG317" i="1"/>
  <c r="BH317" i="1"/>
  <c r="BH312" i="1"/>
  <c r="BG312" i="1"/>
  <c r="BH208" i="1"/>
  <c r="BG208" i="1"/>
  <c r="BG282" i="1"/>
  <c r="BH161" i="1"/>
  <c r="BG161" i="1"/>
  <c r="BG227" i="1"/>
  <c r="BH227" i="1"/>
  <c r="BG241" i="1"/>
  <c r="BH241" i="1"/>
  <c r="BG293" i="1"/>
  <c r="BH293" i="1"/>
  <c r="BG324" i="1"/>
  <c r="BH324" i="1"/>
  <c r="BH201" i="1"/>
  <c r="BG201" i="1"/>
  <c r="BH162" i="1"/>
  <c r="BG162" i="1"/>
  <c r="BH102" i="1"/>
  <c r="BG102" i="1"/>
  <c r="BH177" i="1"/>
  <c r="BG177" i="1"/>
  <c r="BG109" i="1"/>
  <c r="BH109" i="1"/>
  <c r="BH179" i="1"/>
  <c r="BG179" i="1"/>
  <c r="BH260" i="1"/>
  <c r="BG260" i="1"/>
  <c r="BH244" i="1"/>
  <c r="BG244" i="1"/>
  <c r="BG132" i="1"/>
  <c r="BH132" i="1"/>
  <c r="BH103" i="1"/>
  <c r="BG103" i="1"/>
  <c r="BG133" i="1"/>
  <c r="BH133" i="1"/>
  <c r="BH146" i="1"/>
  <c r="BG146" i="1"/>
  <c r="BG182" i="1"/>
  <c r="BH182" i="1"/>
  <c r="BG95" i="1"/>
  <c r="BH95" i="1"/>
  <c r="BH273" i="1"/>
  <c r="BG273" i="1"/>
  <c r="BG309" i="1"/>
  <c r="BH309" i="1"/>
  <c r="BH290" i="1"/>
  <c r="BG290" i="1"/>
  <c r="BH305" i="1"/>
  <c r="BG305" i="1"/>
  <c r="BH267" i="1"/>
  <c r="BG267" i="1"/>
  <c r="BG228" i="1"/>
  <c r="BH228" i="1"/>
  <c r="BG310" i="1"/>
  <c r="BH310" i="1"/>
  <c r="BG300" i="1"/>
  <c r="BH300" i="1"/>
  <c r="BG286" i="1"/>
  <c r="BH286" i="1"/>
  <c r="BH245" i="1"/>
  <c r="BG245" i="1"/>
  <c r="BG234" i="1"/>
  <c r="BH234" i="1"/>
  <c r="BH303" i="1"/>
  <c r="BG303" i="1"/>
  <c r="BG330" i="1"/>
  <c r="BH330" i="1"/>
  <c r="BG302" i="1"/>
  <c r="BH302" i="1"/>
  <c r="BH311" i="1"/>
  <c r="BG311" i="1"/>
  <c r="BG320" i="1"/>
  <c r="BH320" i="1"/>
  <c r="BG278" i="1"/>
  <c r="BH278" i="1"/>
  <c r="BG205" i="1"/>
  <c r="BH205" i="1"/>
  <c r="BG213" i="1"/>
  <c r="BH213" i="1"/>
  <c r="BG187" i="1"/>
  <c r="BH187" i="1"/>
  <c r="BG209" i="1"/>
  <c r="BH209" i="1"/>
  <c r="BG184" i="1"/>
  <c r="BH184" i="1"/>
  <c r="BH154" i="1"/>
  <c r="BG154" i="1"/>
  <c r="BG199" i="1"/>
  <c r="BH199" i="1"/>
  <c r="BG200" i="1"/>
  <c r="BH200" i="1"/>
  <c r="BG243" i="1"/>
  <c r="BH243" i="1"/>
  <c r="BG325" i="1"/>
  <c r="BH325" i="1"/>
  <c r="BG264" i="1"/>
  <c r="BH264" i="1"/>
  <c r="BH250" i="1"/>
  <c r="BG250" i="1"/>
  <c r="BH269" i="1"/>
  <c r="BG269" i="1"/>
  <c r="BG119" i="1"/>
  <c r="BH119" i="1"/>
  <c r="BH238" i="1"/>
  <c r="BG238" i="1"/>
  <c r="BG106" i="1"/>
  <c r="BH106" i="1"/>
  <c r="BG152" i="1"/>
  <c r="BH152" i="1"/>
  <c r="BH86" i="1"/>
  <c r="BG86" i="1"/>
  <c r="BH107" i="1"/>
  <c r="BG107" i="1"/>
  <c r="BH123" i="1"/>
  <c r="BG123" i="1"/>
  <c r="BG181" i="1"/>
  <c r="BH181" i="1"/>
  <c r="BG198" i="1"/>
  <c r="BH198" i="1"/>
  <c r="BH108" i="1"/>
  <c r="BG108" i="1"/>
  <c r="BG98" i="1"/>
  <c r="BH98" i="1"/>
  <c r="BG157" i="1"/>
  <c r="BH157" i="1"/>
  <c r="BG331" i="1"/>
  <c r="BH331" i="1"/>
  <c r="BH291" i="1"/>
  <c r="BG291" i="1"/>
  <c r="BG318" i="1"/>
  <c r="BH318" i="1"/>
  <c r="BG220" i="1"/>
  <c r="BH220" i="1"/>
  <c r="BG281" i="1"/>
  <c r="BH281" i="1"/>
  <c r="BH225" i="1"/>
  <c r="BG225" i="1"/>
  <c r="BH304" i="1"/>
  <c r="BG304" i="1"/>
  <c r="BG248" i="1"/>
  <c r="BH248" i="1"/>
  <c r="BG155" i="1"/>
  <c r="BH155" i="1"/>
  <c r="BH168" i="1"/>
  <c r="BG168" i="1"/>
  <c r="BH183" i="1"/>
  <c r="BG183" i="1"/>
  <c r="BH96" i="1"/>
  <c r="BG96" i="1"/>
  <c r="BG136" i="1"/>
  <c r="BH136" i="1"/>
  <c r="BH142" i="1"/>
  <c r="BG142" i="1"/>
  <c r="BH197" i="1"/>
  <c r="BG197" i="1"/>
  <c r="BH90" i="1"/>
  <c r="BG90" i="1"/>
  <c r="BH170" i="1"/>
  <c r="BG170" i="1"/>
  <c r="BG277" i="1"/>
  <c r="BH277" i="1"/>
  <c r="BH314" i="1"/>
  <c r="BG314" i="1"/>
  <c r="BH329" i="1"/>
  <c r="BG329" i="1"/>
  <c r="BG270" i="1"/>
  <c r="BH270" i="1"/>
  <c r="BG323" i="1"/>
  <c r="BH323" i="1"/>
  <c r="BG284" i="1"/>
  <c r="BH284" i="1"/>
  <c r="BH295" i="1"/>
  <c r="BG295" i="1"/>
</calcChain>
</file>

<file path=xl/sharedStrings.xml><?xml version="1.0" encoding="utf-8"?>
<sst xmlns="http://schemas.openxmlformats.org/spreadsheetml/2006/main" count="5592" uniqueCount="1763">
  <si>
    <t>PROPOSAL</t>
  </si>
  <si>
    <t>ADDRESS</t>
  </si>
  <si>
    <t>PostCode</t>
  </si>
  <si>
    <t>1 BED EXISTING</t>
  </si>
  <si>
    <t>2 BED EXISTING</t>
  </si>
  <si>
    <t>3 BED EXISTING</t>
  </si>
  <si>
    <t>4 BED EXISTING</t>
  </si>
  <si>
    <t>5 BED EXISTING</t>
  </si>
  <si>
    <t>6 BED EXISTING</t>
  </si>
  <si>
    <t>7 BED EXISTING</t>
  </si>
  <si>
    <t>Affordable</t>
  </si>
  <si>
    <t>1 BED PROPOSED</t>
  </si>
  <si>
    <t>2 BED PROPOSED</t>
  </si>
  <si>
    <t>3 BED PROPOSED</t>
  </si>
  <si>
    <t>4 BED PROPOSED</t>
  </si>
  <si>
    <t>5 BED PROPOSED</t>
  </si>
  <si>
    <t>6 BED PROPOSED</t>
  </si>
  <si>
    <t>7 BED PROPOSED</t>
  </si>
  <si>
    <t>8 BED PROPOSED</t>
  </si>
  <si>
    <t>OlderPeople</t>
  </si>
  <si>
    <t>19/2765/FUL</t>
  </si>
  <si>
    <t>NEW</t>
  </si>
  <si>
    <t>01. Completion</t>
  </si>
  <si>
    <t>London Affordable Rent</t>
  </si>
  <si>
    <t>Erection of  5 no. 2 bed/4 person terraced houses (including 1 wheelchair unit) and 4 no. 3 bed/5  person semi-detached houses; formation of new access off Simpson Road and 12 no. off-street car parking space; creation of publicly accessible pocket park a</t>
  </si>
  <si>
    <t xml:space="preserve">Land To The Northeast Of Simpson Road, Whitton
</t>
  </si>
  <si>
    <t>TW4 5QE</t>
  </si>
  <si>
    <t>Y</t>
  </si>
  <si>
    <t>15/3296/FUL</t>
  </si>
  <si>
    <t xml:space="preserve">Garages Site A, Bucklands Road, Teddington
</t>
  </si>
  <si>
    <t>TW11</t>
  </si>
  <si>
    <t>20/0539/FUL</t>
  </si>
  <si>
    <t>02. Under Construction</t>
  </si>
  <si>
    <t>Demolition of all existing buildings; erection of two 3-storey buildings comprising 30 residential dwellings in total (6 x1 bedroom, 17 x 2 bedroom &amp; 7 x 3 bedroom); erection of single storey nursery building (294 sqm in total) alterations to existing acc</t>
  </si>
  <si>
    <t xml:space="preserve">The Strathmore Centre, Strathmore Road, Teddington TW11 8UH
</t>
  </si>
  <si>
    <t>TW11 8UH</t>
  </si>
  <si>
    <t>Intermediate</t>
  </si>
  <si>
    <t>20/0222/FUL</t>
  </si>
  <si>
    <t>London Living rent</t>
  </si>
  <si>
    <t>Erection of a two storey residential building with accommodation within the roof to provide 14 flats (11 x 1 bed &amp; 3 x 2 bed units) with associated car parking and landscaping.</t>
  </si>
  <si>
    <t xml:space="preserve">Land Ajacent To 38 - 42 Hampton Road, Teddington
</t>
  </si>
  <si>
    <t>TW11 0JE</t>
  </si>
  <si>
    <t>Shared Ownership</t>
  </si>
  <si>
    <t>19/0111/FUL</t>
  </si>
  <si>
    <t>MIX</t>
  </si>
  <si>
    <t>Erection of an independent senior living extra care building comprising of 28 units (following demolition of existing care home) at 12 - 14 Station Road, the refurbishment and renovation of Nos.13 and 23 - 33 Lower Teddington Road (including the erection</t>
  </si>
  <si>
    <t xml:space="preserve">12 To 14 Station Road And 13 And 19 To 33 Lower Teddington Road, Hampton Wick
</t>
  </si>
  <si>
    <t>KT1</t>
  </si>
  <si>
    <t>18/3950/FUL</t>
  </si>
  <si>
    <t>CHU</t>
  </si>
  <si>
    <t>Affordable rent</t>
  </si>
  <si>
    <t>(1) Conversion of the existing health facilities (use class D1) to a mixed-use development providing 71 no. residential apartments (use class C3) and 500 sqm of D1 (Health) floorspace.  _x000D_(2) Restoration, alteration, extensions and demolition (mainly of la</t>
  </si>
  <si>
    <t xml:space="preserve">Richmond Royal Hospital (Original Block), Kew Foot Road, Richmond TW9 2TE
</t>
  </si>
  <si>
    <t>TW9 2TE</t>
  </si>
  <si>
    <t>16/3506/FUL</t>
  </si>
  <si>
    <t>Social Rent</t>
  </si>
  <si>
    <t>Demolition of the existing building and erection of 2 buildings at single-storey and three-stories to provide 24 affordable residential units (sheltered accommodation for older people of the minimum age of 55) with associated external amenities, communal</t>
  </si>
  <si>
    <t xml:space="preserve">Somerville House, 1 Rodney Road, Twickenham
</t>
  </si>
  <si>
    <t>TW2 7AL</t>
  </si>
  <si>
    <t>15/3297/FUL</t>
  </si>
  <si>
    <t>SITE B_x000D_The site is currently an open parking court of approximately 28 spaces accessed from Bucklands Road. Create a pair of semi-detached high quality four-bedroom houses._x000D_-Provision of 24 car parking spaces</t>
  </si>
  <si>
    <t xml:space="preserve">Garage Site B, Bucklands Road, Teddington
</t>
  </si>
  <si>
    <t>PlotDescription</t>
  </si>
  <si>
    <t>19/2789/FUL</t>
  </si>
  <si>
    <t>03. Not Started</t>
  </si>
  <si>
    <t>Demolition of existing commercial building and erection of building to provide 15 affordable residential units, together with 12 parking spaces and communal amenity space.</t>
  </si>
  <si>
    <t>Lockcorp House, 75 Norcutt Road, Twickenham TW2 6SR</t>
  </si>
  <si>
    <t>TW2 6SR</t>
  </si>
  <si>
    <t>18/3642/OUT</t>
  </si>
  <si>
    <t>Outline planning permission for the demolition and comprehensive redevelopment (phased development) of land at Barnes Hospital to provide a mixed use development comprising a health centre (Use Class D1), a Special Educational Needs (SEN) School (Use Clas</t>
  </si>
  <si>
    <t>Barnes Hospital, South Worple Way, East Sheen, London SW14 8SU</t>
  </si>
  <si>
    <t>SW14 8SU</t>
  </si>
  <si>
    <t>19/3616/FUL</t>
  </si>
  <si>
    <t>Proposed redevelopment of existing car park to provide a new building of 5 to 6 storeys, comprising 46 no. residential units (Use Class C3), disabled car parking, cycle parking, landscaping, enhancements to public realm and associated works</t>
  </si>
  <si>
    <t xml:space="preserve">Old Station Forecourt, Railway Approach, Twickenham TW1 4LJ
</t>
  </si>
  <si>
    <t>TW1 4LJ</t>
  </si>
  <si>
    <t>19/2404/FUL</t>
  </si>
  <si>
    <t>Redevelopment of existing hard standing court to accommodate new 4 storey residential building (comprising 11x1 bed and 1x2 bed charitable housing units) fronting Queens Road and 15 no. surface car parking spaces to the rear. Creation of a new multi-use recreational space, minor alterations for the existing Dickson House office building and a small extension (26 sqm) to the Cambrian Centre at the ground floor of the Caplan Court Building.</t>
  </si>
  <si>
    <t xml:space="preserve">Queens Road Estate, Queens Road, Richmond TW10
</t>
  </si>
  <si>
    <t>TW10</t>
  </si>
  <si>
    <t>21/2642/FUL</t>
  </si>
  <si>
    <t>Change of use to four C3 residential units for supported living together with external alterations including changes to the roof form and a first floor extension</t>
  </si>
  <si>
    <t>67A Holly Road, Twickenham, TW1 4HF</t>
  </si>
  <si>
    <t>TW1 4HF</t>
  </si>
  <si>
    <t>21/2533/FUL</t>
  </si>
  <si>
    <t>Provision of new community centre on existing North Lane Depot, East Car Park site, together with demolition of existing community centre and provision of affordable housing on existing Elleray Hall site.</t>
  </si>
  <si>
    <t xml:space="preserve">Elleray Hall Site North Lane Depot And East Car Park, Middle Lane, Teddington
</t>
  </si>
  <si>
    <t>TW11 0HG</t>
  </si>
  <si>
    <t>22/1825/FUL</t>
  </si>
  <si>
    <t>Demolition of existing dwelling and associated outbuildings, and erection of 4no. new 1bed and 2bed affordable flats, with associated landscaping, cycle and refuse stores</t>
  </si>
  <si>
    <t>88 Richmond Road, Twickenham TW1 3BB</t>
  </si>
  <si>
    <t>TW1 3BB</t>
  </si>
  <si>
    <t>21/2758/FUL</t>
  </si>
  <si>
    <t>Demolition of existing buildings and structures and redevelopment of the site comprising 45 residential units (Use Class C3), ground floor commercial/retail/cafe (Use Class E), public house (Sui Generis), boathouse locker storage, floating pontoon and flo</t>
  </si>
  <si>
    <t xml:space="preserve">1-1C King Street, 2-4 Water Lane, The Embankment And River Wall, Water Lane, Wharf Lane And The Diamond Jubilee Gardens, Twickenham
</t>
  </si>
  <si>
    <t>TW1</t>
  </si>
  <si>
    <t>Water Lane</t>
  </si>
  <si>
    <t>22/2082/FUL</t>
  </si>
  <si>
    <t>Demolition of 17 existing garages and erection of five one-bed single-storey dwellings (almshouses) for the over 65s.</t>
  </si>
  <si>
    <t>Garages Rear Of, 20 - 34 St Marys Grove, Richmond</t>
  </si>
  <si>
    <t>TW9 1UY</t>
  </si>
  <si>
    <t>21/2282/FUL</t>
  </si>
  <si>
    <t>Erection of a two-storey building comprising 4 residential apartments ( 3 x 1 bed/1 person units and 1 x 1 bed/1 person M(4)3 unit); landscaping including private amenity space and ecological enhancement; secure cycle and refuse storage structures.</t>
  </si>
  <si>
    <t>Land Adjacent 12 Willow Avenue, Barnes, London</t>
  </si>
  <si>
    <t>SW13 0LT</t>
  </si>
  <si>
    <t>21/3136/FUL</t>
  </si>
  <si>
    <t>Demolition of existing college buildings, removal of hard-surfacing, site clearance and groundworks together with the redevelopment of the site to provide new residential units; together with associated parking, cycle parking, open space and landscaping.</t>
  </si>
  <si>
    <t xml:space="preserve">Richmond Upon Thames College, Langhorn Drive, Twickenham TW2 7SJ
</t>
  </si>
  <si>
    <t>TW2 7SJ</t>
  </si>
  <si>
    <t>22/1442/FUL</t>
  </si>
  <si>
    <t>Demolition of existing buildings on-site and change of use of land within Ham Close, the Woodville Day Centre and St Richards Church of England Primary School and the existing recycling and parking area to the east of Ham Village Green for a phased mixed-</t>
  </si>
  <si>
    <t xml:space="preserve">Ham Close, Ham Village Green, Car Park To East Of Ham Village Green, And Part Of Woodville Day Centre Site And St Richards Church Of England Primary School Site, Ham
</t>
  </si>
  <si>
    <t>TW10 7PG</t>
  </si>
  <si>
    <t>Phase 1 Existing</t>
  </si>
  <si>
    <t>Phase 1 Proposed</t>
  </si>
  <si>
    <t>Phase 2 Existing</t>
  </si>
  <si>
    <t>Phase 2 Proposed</t>
  </si>
  <si>
    <t>Phase 3 Existing</t>
  </si>
  <si>
    <t>Phase 3 Proposed</t>
  </si>
  <si>
    <t>16/4890/FUL</t>
  </si>
  <si>
    <t>Redevelopment of site to provide for a mixed use development of 535m2 of commercial space (B1 (a), (b) and (c) and B8 use) and 20 residential units, together with car parking and landscaping</t>
  </si>
  <si>
    <t xml:space="preserve">1 - 9 Sandycombe Road, Richmond
</t>
  </si>
  <si>
    <t>Market</t>
  </si>
  <si>
    <t>TW9 2EP</t>
  </si>
  <si>
    <t>20/1080/FUL</t>
  </si>
  <si>
    <t>Subdivision of existing plot and erection of a 2 bedroom detached dwelling with associated landscaping and shared front parking</t>
  </si>
  <si>
    <t xml:space="preserve">1 Butts Crescent, Hanworth, Feltham TW13 6HU
</t>
  </si>
  <si>
    <t>TW13 6HU</t>
  </si>
  <si>
    <t>19/0495/FUL</t>
  </si>
  <si>
    <t>Demolition of the existing dwelling and the erection of a pair of semi-detached dwellings with associated hard and soft landscaping and refuse store.</t>
  </si>
  <si>
    <t xml:space="preserve">1 Curtis Road, Whitton, Hounslow TW4 5PU
</t>
  </si>
  <si>
    <t>TW4 5PU</t>
  </si>
  <si>
    <t>20/2505/FUL</t>
  </si>
  <si>
    <t>Demolition of an existing garage and creation of a new 4-bedroom house with associated parking, refuse, recycling, cycle storage, landscaping and amenity space.</t>
  </si>
  <si>
    <t>1 Derwent Road, Twickenham TW2 7HQ</t>
  </si>
  <si>
    <t>TW2 7HQ</t>
  </si>
  <si>
    <t>22/2954/GPD26</t>
  </si>
  <si>
    <t>CLASS MA Prior Approval Application for change of use to single dwelling</t>
  </si>
  <si>
    <t>1 High Street, Hampton Hill, Hampton TW12 1NA</t>
  </si>
  <si>
    <t>TW12 1NA</t>
  </si>
  <si>
    <t>20/2238/FUL</t>
  </si>
  <si>
    <t>One new, single storey, 3 bedroom house (C3a) with associated parking off Southfield Gardens and amenity space.</t>
  </si>
  <si>
    <t xml:space="preserve">11 - 12 Cusack Close, Twickenham
</t>
  </si>
  <si>
    <t>16/2306/FUL</t>
  </si>
  <si>
    <t>CON</t>
  </si>
  <si>
    <t>Conversion of the building into one family house, plus an additional apartment at basement level to the front.</t>
  </si>
  <si>
    <t xml:space="preserve">112 Richmond Hill, Richmond
</t>
  </si>
  <si>
    <t>20/1417/GPD15</t>
  </si>
  <si>
    <t>Change of use of office (B1a) to dwelling (C3)</t>
  </si>
  <si>
    <t xml:space="preserve">112 Shacklegate Lane, Teddington TW11 8SH
</t>
  </si>
  <si>
    <t>TW11 8SH</t>
  </si>
  <si>
    <t>20/2490/FUL</t>
  </si>
  <si>
    <t>Conversion of the first and second floor c3 single dwelling  (ex-HMO) into 2no. Self contained flats. Consisting of two 2 bedroom 3 person flats. Provision for external bin &amp; cycle storage to the rear.</t>
  </si>
  <si>
    <t>112A Heath Road, Twickenham TW1 4BW</t>
  </si>
  <si>
    <t>TW1 4BW</t>
  </si>
  <si>
    <t>21/3971/GPD26</t>
  </si>
  <si>
    <t>Conversion from restaurant use class E (B) (formerly A3) to 4 x self contained residential units</t>
  </si>
  <si>
    <t xml:space="preserve">117 London Road, Twickenham TW1 1EE
</t>
  </si>
  <si>
    <t>TW1 1EE</t>
  </si>
  <si>
    <t>TW12 1NT</t>
  </si>
  <si>
    <t>22/1953/GPD26</t>
  </si>
  <si>
    <t>Change of use from retail (Class E) to residential (Class C3) to provide one dwelling</t>
  </si>
  <si>
    <t xml:space="preserve">123 Station Road, Hampton TW12 2AL
</t>
  </si>
  <si>
    <t>TW12 2AL</t>
  </si>
  <si>
    <t>TW1 3EE</t>
  </si>
  <si>
    <t>21/3975/GPD26</t>
  </si>
  <si>
    <t>Change of use of part ground floor and all of first floor at 14 Eton Street from commercial, business and service (Class E) to residential (Class C3) to provide 1 no. studio flat_x000D_</t>
  </si>
  <si>
    <t xml:space="preserve">14 Eton Street, Richmond TW9 1EE
</t>
  </si>
  <si>
    <t>TW9 1EE</t>
  </si>
  <si>
    <t>22/1721/FUL</t>
  </si>
  <si>
    <t>Change of use of a 6-bedroom house in mulitple occupation (C4 class) to a 7-bedroom house in multiple occupation (Sui Generis).</t>
  </si>
  <si>
    <t>145 Constance Road, Twickenham TW2 7HX</t>
  </si>
  <si>
    <t>TW2 7HX</t>
  </si>
  <si>
    <t>21/4328/FUL</t>
  </si>
  <si>
    <t>The proposal is to revert the building from two flats back into a single residential dwellinghouse</t>
  </si>
  <si>
    <t>17 Elmers Drive, Teddington</t>
  </si>
  <si>
    <t>TW11 9JB</t>
  </si>
  <si>
    <t>21/3415/FUL</t>
  </si>
  <si>
    <t>Reversion of existing building to 1No. single family dwelling from 3Nos. self-contained flats</t>
  </si>
  <si>
    <t>18 Twickenham Road, Teddington TW11 8AG</t>
  </si>
  <si>
    <t>TW11 8AG</t>
  </si>
  <si>
    <t>19/1098/FUL</t>
  </si>
  <si>
    <t>Demolition of detached house, construction of four classrooms and a multi use hall complete with change of use from residential to education.</t>
  </si>
  <si>
    <t xml:space="preserve">190 Sheen Lane, East Sheen, London SW14 8LF
</t>
  </si>
  <si>
    <t>SW14 8LF</t>
  </si>
  <si>
    <t>20/2000/FUL</t>
  </si>
  <si>
    <t>Change of use of existing financial and professional services to C3 (Residential) to create 1 two bed flat, rear extension, fenestration alterations and insertion of rooflight to single storey front projection.</t>
  </si>
  <si>
    <t>192 Heath Road, Twickenham, TW2 5TX</t>
  </si>
  <si>
    <t>TW2 5TX</t>
  </si>
  <si>
    <t>20/0256/FUL</t>
  </si>
  <si>
    <t>Alterations to existing shopfront to create new entrance door, part change of use of ground floor, 2 rooflights on front roof slope, rear dormer roof extension to rear roof slope and roof to outrigger to facilitate the conversion of upper floors into C3 (</t>
  </si>
  <si>
    <t xml:space="preserve">195 Upper Richmond Road West, East Sheen, London SW14 8QT
</t>
  </si>
  <si>
    <t>SW14 8QT</t>
  </si>
  <si>
    <t>15/2204/FUL</t>
  </si>
  <si>
    <t>Change of use from a private garage and store to a 2 bedroom house with associated single storey extensions; retention of existing photovoltaic arrays; associated cycle and refuse/recycle stores; hard and soft landscaping and installation of car turntable</t>
  </si>
  <si>
    <t xml:space="preserve">1E Colonial Avenue, Twickenham TW2 7EE
</t>
  </si>
  <si>
    <t>TW2 7EE</t>
  </si>
  <si>
    <t>20/0136/FUL</t>
  </si>
  <si>
    <t>Demolition of the existing house and reconstruction of replacement 2 storey with basement and accommodation in the roof single family home and associated parking, hard and soft landscaping.</t>
  </si>
  <si>
    <t>2 Belgrave Road, Barnes, London SW13 9NS</t>
  </si>
  <si>
    <t>SW13 9NS</t>
  </si>
  <si>
    <t>20/0618/FUL</t>
  </si>
  <si>
    <t>Proposed conversion of existing office to 2 bedroom apartment.</t>
  </si>
  <si>
    <t>2 Heron Court, 3 - 5 High Street, Hampton, TW12 2SQ</t>
  </si>
  <si>
    <t>TW12 2SQ</t>
  </si>
  <si>
    <t>20/2352/FUL</t>
  </si>
  <si>
    <t>New detached 2 storey house at northern end of property plot, new single storey detached garage, new driveway off Cardinal's Walk. Existing house retained to Manor Gardens, sub division of plot.</t>
  </si>
  <si>
    <t>2 Manor Gardens, Hampton, TW12 2TU</t>
  </si>
  <si>
    <t>TW12 2TU</t>
  </si>
  <si>
    <t>20/0915/GPD15</t>
  </si>
  <si>
    <t>Conversion of existing ground and first floor office to 2no. residential units</t>
  </si>
  <si>
    <t xml:space="preserve">2 Mount Mews, Hampton TW12 2SH
</t>
  </si>
  <si>
    <t>TW12 2SH</t>
  </si>
  <si>
    <t>21/2217/GPD15</t>
  </si>
  <si>
    <t>Conversion of the first floor offices accommodation to a two bedroom flat</t>
  </si>
  <si>
    <t xml:space="preserve">2 Tudor Road, Hampton TW12 2NQ
</t>
  </si>
  <si>
    <t>TW12 2NQ</t>
  </si>
  <si>
    <t>19/0823/GPD13</t>
  </si>
  <si>
    <t xml:space="preserve">203 Sandycombe Road, Richmond TW9 2EW
</t>
  </si>
  <si>
    <t>TW9 2EW</t>
  </si>
  <si>
    <t>20/0384/GPD15</t>
  </si>
  <si>
    <t>Change of use of part of first floor level from B1(a) office unit C3 (dwelling house) to form one x 4 bed self-contained apartment.</t>
  </si>
  <si>
    <t xml:space="preserve">21 Station Road, Barnes, London, SW13 0LF
</t>
  </si>
  <si>
    <t>SW13 0LF</t>
  </si>
  <si>
    <t>EXT</t>
  </si>
  <si>
    <t>21/2391/FUL</t>
  </si>
  <si>
    <t xml:space="preserve">24 Cambrian Road, Richmond
</t>
  </si>
  <si>
    <t>TW10 6JQ</t>
  </si>
  <si>
    <t>20/3754/FUL</t>
  </si>
  <si>
    <t>Roof extension to provide a self contained studio flat and replacement shopfront</t>
  </si>
  <si>
    <t>241 Sandycombe Road, Richmond TW9 2EW</t>
  </si>
  <si>
    <t>20/0361/FUL</t>
  </si>
  <si>
    <t>Enlargement of existing dormer on rear roof, replacement shopfront, replacement windows to front and rear, removel of exisitng lean to at rear first floor level to facilitate change of use of part ground floor, first, second and third floors from A4 to C3</t>
  </si>
  <si>
    <t xml:space="preserve">26 - 28 York Street, Twickenham TW1 3LJ
</t>
  </si>
  <si>
    <t>TW1 3LJ</t>
  </si>
  <si>
    <t>20/2987/FUL</t>
  </si>
  <si>
    <t>Demolition of existing bungalow and erection of 3no. new residential units comprising 3 x 3 bedroom terraced houses, together with associated landscaping and parking.</t>
  </si>
  <si>
    <t>27 Blandford Road, Teddington TW11 0LF</t>
  </si>
  <si>
    <t>TW11 0LF</t>
  </si>
  <si>
    <t>21/2864/FUL</t>
  </si>
  <si>
    <t>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t>
  </si>
  <si>
    <t>28 Lonsdale Road, Barnes, London SW13 9EB</t>
  </si>
  <si>
    <t>SW13 9EB</t>
  </si>
  <si>
    <t>20/0857/GPD15</t>
  </si>
  <si>
    <t>Change of Use of B1(a) (Office) accommodation to provide 3 no. self-contained flats (C3 Residential) and associated refuse, recycling and cycle parking.</t>
  </si>
  <si>
    <t xml:space="preserve">2B Claremont Road, Teddington TW11 8DG
</t>
  </si>
  <si>
    <t>TW11 8DG</t>
  </si>
  <si>
    <t>22/0429/GPD26</t>
  </si>
  <si>
    <t>Change of use of a commercial office building in to 5 no. 1 bedrooms flats</t>
  </si>
  <si>
    <t xml:space="preserve">3 Mount Mews, Hampton TW12 2SH
</t>
  </si>
  <si>
    <t>18/0723/FUL</t>
  </si>
  <si>
    <t>Demolition of existing dwelling and the erection of a replacement two storey, 4 bedroom dwelling</t>
  </si>
  <si>
    <t>3 Queens Rise, Richmond TW10 6HL</t>
  </si>
  <si>
    <t>TW10 6HL</t>
  </si>
  <si>
    <t>19/0551/FUL</t>
  </si>
  <si>
    <t>Convert 2 flats back to one family house. Proposed pitched side infill extension adjacent neighbouring infill extension with glazed rooflight. Proposed loft conversion with full width rear dormer, partial dormer to outrigger and rooflights.</t>
  </si>
  <si>
    <t xml:space="preserve">32 Selwyn Avenue, Richmond TW9 2HA
</t>
  </si>
  <si>
    <t>TW9 2HA</t>
  </si>
  <si>
    <t>SW14 8QN</t>
  </si>
  <si>
    <t>20/0373/PS192</t>
  </si>
  <si>
    <t>Change of use of part ground and upper floors from A2 (Financial Services) use class into C3 (Residential).</t>
  </si>
  <si>
    <t>347 Upper Richmond Road West, East Sheen, London SW14 8RH</t>
  </si>
  <si>
    <t>SW14 8RH</t>
  </si>
  <si>
    <t>21/3443/FUL</t>
  </si>
  <si>
    <t>Single storey side/rear extension to facilitate the reinstatement of 2 flats to a single dwellinghouse. Alterations to front boundary wall and associated cycle and refuse stores, hard and soft landscaping.</t>
  </si>
  <si>
    <t xml:space="preserve">36 Sydney Road, Richmond TW9 1UB
</t>
  </si>
  <si>
    <t>TW9 1UB</t>
  </si>
  <si>
    <t>22/1706/ES191</t>
  </si>
  <si>
    <t>Use of existing outbuilding as an independent self-contained dwellinghouse.</t>
  </si>
  <si>
    <t xml:space="preserve">361 Sandycombe Road, Richmond TW9 3PR
</t>
  </si>
  <si>
    <t>TW9 3PR</t>
  </si>
  <si>
    <t>21/1438/GPD15</t>
  </si>
  <si>
    <t>Prior approval for the change of use from B1(a) (Office) to C3 (Residential) to provide a self contained flat.</t>
  </si>
  <si>
    <t xml:space="preserve">375 Upper Richmond Road West, East Sheen, London SW14 7NX
</t>
  </si>
  <si>
    <t>SW14 7NX</t>
  </si>
  <si>
    <t>20/3688/FUL</t>
  </si>
  <si>
    <t>Change of Use to day nursery use from a mixed use day nursery and C3 residential to provide a total of 48 no. places for 0-2 year olds (23 places for under 2s and 25 places for 2 year olds) and increase of staff number to 15. Extension of operation hours</t>
  </si>
  <si>
    <t xml:space="preserve">41 - 43 Powder Mill Lane, Twickenham TW2 6EF
</t>
  </si>
  <si>
    <t>TW2 6EF</t>
  </si>
  <si>
    <t>18/3952/FUL</t>
  </si>
  <si>
    <t>Replacement of existing dwelling with 1 no. 2 storey with accommodation in the roof (5B10P) dwellinghouse and new pedestrian gate.</t>
  </si>
  <si>
    <t>45 Ormond Crescent, Hampton, TW12 2TJ</t>
  </si>
  <si>
    <t>TW12 2TJ</t>
  </si>
  <si>
    <t>22/3714/ES191</t>
  </si>
  <si>
    <t>Existing use of the dwelling as a 6 bedroom House in Multiple Occupation (Use Class C4)</t>
  </si>
  <si>
    <t xml:space="preserve">47 Hounslow Road, Twickenham TW2 7BZ
</t>
  </si>
  <si>
    <t>TW2 7BZ</t>
  </si>
  <si>
    <t>20/2691/FUL</t>
  </si>
  <si>
    <t>Replacement two storey dwellinghouse with accommodation in the roof and associated cycle and refuse stores</t>
  </si>
  <si>
    <t>51 Howsman Road, Barnes, London SW13 9AW</t>
  </si>
  <si>
    <t>SW13 9AW</t>
  </si>
  <si>
    <t>21/1521/FUL</t>
  </si>
  <si>
    <t xml:space="preserve">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t>
  </si>
  <si>
    <t>54 George Street, Richmond TW9 1HJ</t>
  </si>
  <si>
    <t>TW9 1HJ</t>
  </si>
  <si>
    <t>23/0180/ES191</t>
  </si>
  <si>
    <t>house has been in use as a separate, self-contained dwelling for a continuous period of at least 4 years</t>
  </si>
  <si>
    <t xml:space="preserve">5A Kentwode Green, Barnes, London SW13 9AD
</t>
  </si>
  <si>
    <t>SW13 9AD</t>
  </si>
  <si>
    <t>22/0190/ES191</t>
  </si>
  <si>
    <t>An existing dwelling house that has been divided to form two separate dwelling houses.</t>
  </si>
  <si>
    <t xml:space="preserve">6 Gilpin Crescent, Twickenham TW2 7BP
</t>
  </si>
  <si>
    <t>TW2 7BP</t>
  </si>
  <si>
    <t>19/3652/FUL</t>
  </si>
  <si>
    <t>Single-storey rear extension and replacement window arrangement in side dormer and conversion of a dwelling house into two flats.</t>
  </si>
  <si>
    <t xml:space="preserve">600 Hanworth Road, Whitton, Hounslow TW4 5LJ
</t>
  </si>
  <si>
    <t>TW4 5LJ</t>
  </si>
  <si>
    <t>19/0171/GPD15</t>
  </si>
  <si>
    <t>Change of use from B1 (Offices) to C3(a) (Dwellings) (2 x 2 bed).</t>
  </si>
  <si>
    <t xml:space="preserve">62 Glentham Road, Barnes, London SW13 9JJ
</t>
  </si>
  <si>
    <t>SW13 9JJ</t>
  </si>
  <si>
    <t>20/2757/VRC</t>
  </si>
  <si>
    <t>Variation of Condition 2 (Approved Drawings) of application 19/2753/FUL to allow for 1) the alterations to Unit 6 comprising the enlargement of balcony and change from a 1 bed flat to a 2 bed flat; 2) removal of lifts in the North Block and redesigned sta</t>
  </si>
  <si>
    <t>63 Sandycombe Road, Richmond, TW9 2EP</t>
  </si>
  <si>
    <t>20/3707/FUL</t>
  </si>
  <si>
    <t>Erection of 1 x residential flat with associated access, cycle and bin store.</t>
  </si>
  <si>
    <t>19/3672/FUL</t>
  </si>
  <si>
    <t>Removal of existing stairs to rear, erection of the single-storey rear extension, replacement/new windows, refurbishment of existing side dormer roof extension, new access gate to facilitate the reversion of 2 x flats to a single-family dwellinghouse</t>
  </si>
  <si>
    <t>68 Mount Ararat Road, Richmond TW10 6PJ</t>
  </si>
  <si>
    <t>TW10 6PJ</t>
  </si>
  <si>
    <t>23/0349/ES191</t>
  </si>
  <si>
    <t>Certificate of lawfulness existing for use of first floor as 2 self-contained flats.</t>
  </si>
  <si>
    <t xml:space="preserve">70A White Hart Lane, Barnes, London SW13 0PZ
</t>
  </si>
  <si>
    <t>SW13 0PZ</t>
  </si>
  <si>
    <t>22/1129/ES191</t>
  </si>
  <si>
    <t>Use of property as 3No. self-contained flats</t>
  </si>
  <si>
    <t xml:space="preserve">72 Gordon Avenue, Twickenham TW1 1NQ
</t>
  </si>
  <si>
    <t>TW1 1NQ</t>
  </si>
  <si>
    <t>18/3285/FUL</t>
  </si>
  <si>
    <t>Demolition of existing house and construction of a new 5 bed house with basement</t>
  </si>
  <si>
    <t>74 Lowther Road, Barnes, London SW13 9NU</t>
  </si>
  <si>
    <t>SW13 9NU</t>
  </si>
  <si>
    <t>19/2725/GPD15</t>
  </si>
  <si>
    <t>Change of use of first, second and third floor from B1(a) offices to C3 residential to provide 3 x flats (2 x 1 bed and 1 x studio).</t>
  </si>
  <si>
    <t xml:space="preserve">7A York Street, Twickenham
</t>
  </si>
  <si>
    <t>19/3419/FUL</t>
  </si>
  <si>
    <t>Demolition of existing dwellinghouse and erection of detached two storey dwellinghouse, associated hard and soft landscaping</t>
  </si>
  <si>
    <t xml:space="preserve">8 Sandy Lane, Petersham, Richmond TW10 7EN
</t>
  </si>
  <si>
    <t>TW10 7EN</t>
  </si>
  <si>
    <t>20/3144/FUL</t>
  </si>
  <si>
    <t>Demolition of existing dwelling and garage and erection of new detached dwelling and outbuilding following previous approval.</t>
  </si>
  <si>
    <t>8 St Albans Gardens, Teddington TW11 8AE</t>
  </si>
  <si>
    <t>TW11 8AE</t>
  </si>
  <si>
    <t>14/0599/P3JPA</t>
  </si>
  <si>
    <t>Change of use of ground floor offices (B1) to residential (C3)</t>
  </si>
  <si>
    <t>9 Hanworth Road, Hampton TW12 3DH</t>
  </si>
  <si>
    <t>TW12 3DH</t>
  </si>
  <si>
    <t>20/3483/FUL</t>
  </si>
  <si>
    <t xml:space="preserve">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t>
  </si>
  <si>
    <t>9-10 George Street, Richmond, TW9 1JY</t>
  </si>
  <si>
    <t>TW9 1JY</t>
  </si>
  <si>
    <t>22/2041/ES191</t>
  </si>
  <si>
    <t>Established use of the property as one single family dwelling house.</t>
  </si>
  <si>
    <t xml:space="preserve">93 Waldegrave Road, Teddington TW11 8LA
</t>
  </si>
  <si>
    <t>TW11 8LA</t>
  </si>
  <si>
    <t>21/2400/GPD15</t>
  </si>
  <si>
    <t>Change of use of first floor from B1(a)(Offices) to C3 (residential) use to provide 2 x 1 bed flats_x000D_</t>
  </si>
  <si>
    <t>95 South Worple Way, East Sheen, London</t>
  </si>
  <si>
    <t>SW14 8ND</t>
  </si>
  <si>
    <t>19/3295/FUL</t>
  </si>
  <si>
    <t>Addition of two two-storey en suite extensions on northern elevation of rear wing. Addition of new wheelchair lift on eastern elevation of rear wing. Ground floor extension to Nurses' Station at rear of Leslie Grade Wing and renewal of metal balcony over.</t>
  </si>
  <si>
    <t>TW2 5AL</t>
  </si>
  <si>
    <t>15/3072/FUL</t>
  </si>
  <si>
    <t>Conversion, extension and alteration of the existing church building to provide for 6 x 2 bedroom flats over four levels together with 6 off-street car parking spaces, motorcycle parking, garden amenity areas and refuse, recycling and cycle parking areas.</t>
  </si>
  <si>
    <t xml:space="preserve">Christ Church, Station Road, Teddington
</t>
  </si>
  <si>
    <t>22/2821/ES191</t>
  </si>
  <si>
    <t>Use of coach house annexe as a self-contained dwelling unit.</t>
  </si>
  <si>
    <t xml:space="preserve">Coach House Annexe, 69 Lonsdale Road, Barnes, London SW13 9JR
</t>
  </si>
  <si>
    <t>SW13 9BY</t>
  </si>
  <si>
    <t>18/4183/FUL</t>
  </si>
  <si>
    <t>Demolition of existing garage compound and erection of one detached dwelling with 2 parking spaces, turning area, landscaping and tree planting.</t>
  </si>
  <si>
    <t>Garage Site, Rosslyn Avenue/Treen Avenue, Barnes, London SW13 0JT</t>
  </si>
  <si>
    <t>SW13 0JT</t>
  </si>
  <si>
    <t>23/0392/ES191</t>
  </si>
  <si>
    <t>Establish use of property as two bedroom flat (C3)</t>
  </si>
  <si>
    <t xml:space="preserve">Ground Floor Flat, 18 Water Lane, Richmond TW9 1TJ
</t>
  </si>
  <si>
    <t>TW9 1TJ</t>
  </si>
  <si>
    <t>19/2665/FUL</t>
  </si>
  <si>
    <t>Change of use of Hampton Court Gate Lodge from vacant police offices (sui generis) to a single family residential dwelling (use class C3) and the creation of a residential curtilage with associated parking and amenity space.  Change of use of land to the</t>
  </si>
  <si>
    <t>Hampton Court Gate Lodge, Hampton Court Road, Hampton, East Molesey, KT8 9BZ</t>
  </si>
  <si>
    <t>KT8 9BZ</t>
  </si>
  <si>
    <t>20/1025/FUL</t>
  </si>
  <si>
    <t>Demolition of existing delivery office and redevelopment of the site for mixed use development (Class E and Class C3) comprising 6 residential townhouses of 2 storeys + roof in height (ground inclusive) and a building of two storeys + roof in height (grou</t>
  </si>
  <si>
    <t>Hampton Delivery Office, Rosehill, Hampton TW12 2AA</t>
  </si>
  <si>
    <t>TW12 2AA</t>
  </si>
  <si>
    <t>16/4384/FUL</t>
  </si>
  <si>
    <t>Demolition of the existing garage and erection of a new partially sunken one-bedroom, single-storey dwelling, and provision of a new boundary wall and entrance gate.</t>
  </si>
  <si>
    <t xml:space="preserve">Land Junction Of North Worple Way And Wrights Walk Rear Of 31 Alder Road, Mortlake, London
</t>
  </si>
  <si>
    <t>SW14</t>
  </si>
  <si>
    <t>20/1484/FUL</t>
  </si>
  <si>
    <t>Demolition of garage and erection of Coach House style dwelling.</t>
  </si>
  <si>
    <t>Land To The Rear Of 178A - 184 Kingston Lane, Teddington TW11 9HD</t>
  </si>
  <si>
    <t>TW11 9HD</t>
  </si>
  <si>
    <t>19/2860/FUL</t>
  </si>
  <si>
    <t>Change of use of five, B1(a) office units to provide five three-bedroomed terraced houses (Class C3), Retention of remaining class B1(a) office unit, extension and provision of rear private amenity space, facade alterations and other external alterations.</t>
  </si>
  <si>
    <t>Schurlock Place, 9 - 23 Third Cross Road, Twickenham TW2 5FP</t>
  </si>
  <si>
    <t>TW2 5FP</t>
  </si>
  <si>
    <t>19/2729/FUL</t>
  </si>
  <si>
    <t>Part change of use of rear garden area, single storey side extension, part two storey part single storey rear extension and insertion of 2 rooflights on roof to outrigger to facilitate the creation of a self-contained 2 bed maisonette.  Associated boundar</t>
  </si>
  <si>
    <t>The China Chef , 78 White Hart Lane, Barnes, London, SW13 0PZ</t>
  </si>
  <si>
    <t>N/A</t>
  </si>
  <si>
    <t>20/0899/GPD15</t>
  </si>
  <si>
    <t>Change of use from office B1 (a) to residential (C3) in the form of 5 no. units</t>
  </si>
  <si>
    <t xml:space="preserve">The Coach House, 273A Sandycombe Road, Richmond TW9 3LU
</t>
  </si>
  <si>
    <t>TW9 3LU</t>
  </si>
  <si>
    <t>17/1550/NMA1</t>
  </si>
  <si>
    <t>Non material amendment to planning approval 17/1550/FUL to allow for revision to the description of development to remove the words new basement level to facilitate provision of underground parking as previously approved and a revision to remove reference</t>
  </si>
  <si>
    <t xml:space="preserve">The Firs, Church Grove, Hampton Wick, Kingston Upon Thames KT1 4AL
</t>
  </si>
  <si>
    <t>KT1 4AL</t>
  </si>
  <si>
    <t>TW10 6NE</t>
  </si>
  <si>
    <t>21/1600/GPD15</t>
  </si>
  <si>
    <t>Change of use of the office building (Use Class E) to 1No. one-bed and 2No. two-bed residential units</t>
  </si>
  <si>
    <t xml:space="preserve">Unit 5, The Mews, 53 High Street, Hampton Hill
</t>
  </si>
  <si>
    <t>TW12 1NH</t>
  </si>
  <si>
    <t>22/1464/GPD26</t>
  </si>
  <si>
    <t>Change of use to single dwelling house.</t>
  </si>
  <si>
    <t>Unit B, Causer Buildings, 16A Crown Road, Twickenham, TW1 3EE</t>
  </si>
  <si>
    <t>SW14 8</t>
  </si>
  <si>
    <t>19/1663/FUL</t>
  </si>
  <si>
    <t>Conversion and extension of workshop building Use Class E(g) - light industrial (formerly B1c and B1a lightl) to form a one-storey, 3 bedroom dwelling with accomodation in the roof Use Class C3 residential.</t>
  </si>
  <si>
    <t>Workshop Rear Of 8 High Street, Hampton TW12 2SJ</t>
  </si>
  <si>
    <t>TW12 2SJ</t>
  </si>
  <si>
    <t>21/0129/PS192</t>
  </si>
  <si>
    <t>Conversion of the existing 4-storey Use Class A2 unit to mixed-use, comprising an A2 unit at ground floor and two residential flats above on the second, third, and fourth floors.</t>
  </si>
  <si>
    <t>1 London Road, Twickenham TW1 3SX</t>
  </si>
  <si>
    <t>TW1 3SX</t>
  </si>
  <si>
    <t>22/1106/GPD26</t>
  </si>
  <si>
    <t>Conversion of a shop to single family dwelling house.</t>
  </si>
  <si>
    <t>1 Station Road, Teddington, TW11 9AA</t>
  </si>
  <si>
    <t>TW11 9AA</t>
  </si>
  <si>
    <t>18/1248/FUL</t>
  </si>
  <si>
    <t>Conversion, refurbishment and extension of existing tyre shop with maisonette above (C3) into two self-contained one bedroom flats (C3).</t>
  </si>
  <si>
    <t>1 Trinity Road, Richmond TW9 2LD</t>
  </si>
  <si>
    <t>TW9 2LD</t>
  </si>
  <si>
    <t>19/2235/FUL</t>
  </si>
  <si>
    <t>Demolition of existing dwelling and the erection of two 4-bedroom semi-detached dwellings with associated access and car parking.</t>
  </si>
  <si>
    <t>10 Broad Lane, Hampton, TW12 3AW</t>
  </si>
  <si>
    <t>TW12 3AW</t>
  </si>
  <si>
    <t>22/2177/FUL</t>
  </si>
  <si>
    <t>Part change of use of ground floor from commercial to C3 (residential) use, removal of rear access stairs, relocation of exisitng extraction flue, alterations to fenestration arrangement, two storey rear infill extension, Replacement of Roof with New Flat</t>
  </si>
  <si>
    <t xml:space="preserve">102 - 104 Kew Road, Richmond TW9 2PQ
</t>
  </si>
  <si>
    <t>TW9 2PQ</t>
  </si>
  <si>
    <t>20/2393/FUL</t>
  </si>
  <si>
    <t>Conversion of Upper Floors to No. 104 (House of Multiple Occupation) to two self contained Flats, with new ground floor pedestrian access.</t>
  </si>
  <si>
    <t>102-104 Heath Road, Twickenham TW1 4BW</t>
  </si>
  <si>
    <t>27-29 Lower Teddington Road</t>
  </si>
  <si>
    <t>23-27 Lower Teddington Road</t>
  </si>
  <si>
    <t>19/2471/FUL</t>
  </si>
  <si>
    <t>Demoltion of existing staircase/structures to rear. Construction of a part 3 part 2 storey rear extension to provide 2 x new flats and roof terrace (1 x studio and 1 x 1 bed flat) and associated bin store, cycle parking and hard and soft landscaping.</t>
  </si>
  <si>
    <t xml:space="preserve">121 High Street, Whitton, Twickenham TW2 7LG
</t>
  </si>
  <si>
    <t>TW2 7LG</t>
  </si>
  <si>
    <t>19/2377/GPD15</t>
  </si>
  <si>
    <t>Partial change of use from office to residential (4 No flats).</t>
  </si>
  <si>
    <t>122 - 124 St Margarets Road, Twickenham</t>
  </si>
  <si>
    <t>TW1 2LH</t>
  </si>
  <si>
    <t>21/3223/FUL</t>
  </si>
  <si>
    <t>Conversion of two flats back to a single family dwelling-house.</t>
  </si>
  <si>
    <t>14 Warwick Road, Hampton Wick</t>
  </si>
  <si>
    <t>KT1 4DW</t>
  </si>
  <si>
    <t>21/4401/FUL</t>
  </si>
  <si>
    <t>Second floor rear roof extension and the conversion of the existing dwelling to form three new flats.</t>
  </si>
  <si>
    <t>14 Whitton Road, Twickenham, TW1 1BJ</t>
  </si>
  <si>
    <t>TW1 1BJ</t>
  </si>
  <si>
    <t>21/3498/FUL</t>
  </si>
  <si>
    <t>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t>
  </si>
  <si>
    <t>17 Elm Grove Road, Barnes, London</t>
  </si>
  <si>
    <t>SW13 0BU</t>
  </si>
  <si>
    <t xml:space="preserve">174 Kew Road, Kew, Richmond TW9 2AS
</t>
  </si>
  <si>
    <t>TW9 2AS</t>
  </si>
  <si>
    <t>20/1986/FUL</t>
  </si>
  <si>
    <t>Replacement of the dwelling and garages with a new build dwelling and garage. Demolition of the existing dwelling and garages. Uses as existing</t>
  </si>
  <si>
    <t>17A Strawberry Hill Road, Twickenham TW1 4QB</t>
  </si>
  <si>
    <t>TW1 4QB</t>
  </si>
  <si>
    <t>19/1731/FUL</t>
  </si>
  <si>
    <t>Demolition of existing dwellinghouse and erection of replacement two storey 4 bedroom dwellinghouse with associated hard and soft landscaping and cycle and refuse store. Replacement boundary fence/gates.</t>
  </si>
  <si>
    <t>17A Tower Road, Twickenham TW1 4PD</t>
  </si>
  <si>
    <t>TW1 4PD</t>
  </si>
  <si>
    <t>20/2358/FUL</t>
  </si>
  <si>
    <t>Change of use for conversion of an office designed as a live work one-bedroom residential property to a two-bedroom residential property, with associated landscaping.</t>
  </si>
  <si>
    <t>19 Thames Street, Hampton, TW12 2EW</t>
  </si>
  <si>
    <t>TW12 2EW</t>
  </si>
  <si>
    <t>16/2537/FUL</t>
  </si>
  <si>
    <t>Demolition of the existing building, and redevelopment of the site for 8 residential units (1 x 1 bed, 7 x 2 bed units) with associated car and cycle parking, amenity space, refuse and recycling storage.</t>
  </si>
  <si>
    <t xml:space="preserve">1D Becketts Place, Hampton Wick
</t>
  </si>
  <si>
    <t>KT1 4EW</t>
  </si>
  <si>
    <t>20/3641/FUL</t>
  </si>
  <si>
    <t>Demolition of existing semi-detached bungalow and garage replacement detached dwelling house (Class C3) comprising ground, first floor and accommodation within the roof space.</t>
  </si>
  <si>
    <t>2 Chestnut Avenue, Hampton, TW12 2NU</t>
  </si>
  <si>
    <t>TW12 2NU</t>
  </si>
  <si>
    <t>21/3152/FUL</t>
  </si>
  <si>
    <t>Demolition of existing house and construction of detached 2-storey dwelling house with basement and accomodation in roof space and associated hard and soft landscaping</t>
  </si>
  <si>
    <t xml:space="preserve">2 Fife Road, East Sheen, London SW14 7EP
</t>
  </si>
  <si>
    <t>SW14 7EP</t>
  </si>
  <si>
    <t>16/0680/FUL</t>
  </si>
  <si>
    <t>Part demolition of single dwelling house and formation of two semi-detached houses.</t>
  </si>
  <si>
    <t xml:space="preserve">2 Firs Avenue, East Sheen, London SW14 7NZ
</t>
  </si>
  <si>
    <t>22/3626/GPD26</t>
  </si>
  <si>
    <t>Conversion of first and second floor office accommodation to provide 2no. flats</t>
  </si>
  <si>
    <t xml:space="preserve">2 Friars Lane, Richmond TW9 1NL
</t>
  </si>
  <si>
    <t>TW9 1NL</t>
  </si>
  <si>
    <t>20/0997/FUL</t>
  </si>
  <si>
    <t>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t>
  </si>
  <si>
    <t>2 Grand Parade, East Sheen, London, SW14 7PS</t>
  </si>
  <si>
    <t>SW14 7PS</t>
  </si>
  <si>
    <t>21/2775/FUL</t>
  </si>
  <si>
    <t>The subdivision of existing plot comprising of the erection of a 2-storey dwelling house as an extension of the existing semi-detached terrace; associated external works to the existing semi-detached building, including changes to the roof form and a sing</t>
  </si>
  <si>
    <t xml:space="preserve">2 Thompson Avenue, Richmond TW9 4JW
</t>
  </si>
  <si>
    <t>TW9 4JW</t>
  </si>
  <si>
    <t>19/3857/FUL</t>
  </si>
  <si>
    <t>Part two storey, part first floor infill, part second floor rear extensions and extensions / alterations to the roof to facilitate the conversion of existing 1 x studio and 1 x 2 bed flat into four flats (2 x studio and 2 x 1 bed) and increase in retail f</t>
  </si>
  <si>
    <t>20 London Road, Twickenham TW1 3RR</t>
  </si>
  <si>
    <t>TW1 3RR</t>
  </si>
  <si>
    <t>19/1703/FUL</t>
  </si>
  <si>
    <t>Internal alterations to provide accessible accommodation at the ground floor level of live/work unit. Employment use as printers/graphic design business to be retained. Partial demolition of part of ground floor extension to provide courtyard garden.</t>
  </si>
  <si>
    <t>216 Hampton Road, Twickenham TW2 5NJ</t>
  </si>
  <si>
    <t>TW2 5NJ</t>
  </si>
  <si>
    <t>19/1890/FUL</t>
  </si>
  <si>
    <t>Erection of two pairs of semi-detached 4 bedroom dwellings and associated parking and landscaping following the demolition of the existing property.</t>
  </si>
  <si>
    <t>224 Hospital Bridge Road, Twickenham, TW2 6LF</t>
  </si>
  <si>
    <t>TW2 6LF</t>
  </si>
  <si>
    <t>21/3676/GPD26</t>
  </si>
  <si>
    <t>Change of use from Doctors Surgery (Class E) to a Single Family/Household Dwellinghouse (C3)</t>
  </si>
  <si>
    <t xml:space="preserve">224 London Road, Twickenham TW1 1EU
</t>
  </si>
  <si>
    <t>TW1 1EU</t>
  </si>
  <si>
    <t>19/0391/FUL</t>
  </si>
  <si>
    <t>Demolition all buildings on site and the erection of a three-storey building and a part one, two-storey building comprising (3 x 1 bedroom and 4 x 2 bedroom) flats and approximately 805 sqm of flexible B1/D1 and flexible B1/D2 commercial floorspace, surfa</t>
  </si>
  <si>
    <t>26-28 Priests Bridge, East Sheen, London SW14 8TA</t>
  </si>
  <si>
    <t>SW14 8TA</t>
  </si>
  <si>
    <t>16/0905/FUL</t>
  </si>
  <si>
    <t>Demolition of the existing hall and the erection of a new community facility building and 6 flats</t>
  </si>
  <si>
    <t xml:space="preserve">275 Sandycombe Road, Richmond TW9 3LU
</t>
  </si>
  <si>
    <t>22/0754/FUL</t>
  </si>
  <si>
    <t>Demolition and reconstruction of a terraced property with basement, ground and loft extensions.</t>
  </si>
  <si>
    <t xml:space="preserve">28 Westfields Avenue, Barnes, London SW13 0AU
</t>
  </si>
  <si>
    <t>16/0058/FUL</t>
  </si>
  <si>
    <t>Change of use of 2nd floor and 3rd floor level from ancillary retail to nine 1 bedroom flats (C3 use) with external alterations and enclosure of walkway at 1st floor, new residential access, bin store, bicycle storage, replacement of plant, new stairs to</t>
  </si>
  <si>
    <t xml:space="preserve">29 George Street, Richmond TW9 1HY
</t>
  </si>
  <si>
    <t>22/2110/GPD26</t>
  </si>
  <si>
    <t>Conversion of 3 Friars Lane and part of ground floor of 4 Friars Lane from Class E to C3 dwellinghouses - provision of 3no. flats. _x000D_</t>
  </si>
  <si>
    <t xml:space="preserve">3 And 4 Friars Lane, Richmond
</t>
  </si>
  <si>
    <t>20/1461/FUL</t>
  </si>
  <si>
    <t>Replacement door.  Change of use from C3 residential to Flexible Non-Residential Institutions or office use.  External cycle racks.</t>
  </si>
  <si>
    <t>3 Cedar Terrace, Richmond, TW9 2JE</t>
  </si>
  <si>
    <t>TW9 2JE</t>
  </si>
  <si>
    <t>22/2337/GPD26</t>
  </si>
  <si>
    <t>Conversion of 3 Friars Lane to provide 2no. flats</t>
  </si>
  <si>
    <t xml:space="preserve">3 Friars Lane, Richmond TW9 1NL
</t>
  </si>
  <si>
    <t>20/2345/FUL</t>
  </si>
  <si>
    <t>Erection of a new 3 bedroom disabled dwelling with mezzanine, dormer room and carers' accommodation and retrospective permission for the demolition of fire destroyed bungalow.</t>
  </si>
  <si>
    <t>31A Whitton Waye, Whitton, Hounslow, TW3 2LT</t>
  </si>
  <si>
    <t>TW3 2LT</t>
  </si>
  <si>
    <t>22/0229/GPD26</t>
  </si>
  <si>
    <t>Change of use from offices to dwelling houses to create 2 self contained flats (3b 6p, 5b 8p)</t>
  </si>
  <si>
    <t>32 Candler Mews, Twickenham, TW1 3JF</t>
  </si>
  <si>
    <t>TW1 3JF</t>
  </si>
  <si>
    <t>18/0216/FUL</t>
  </si>
  <si>
    <t>The division of the existing single dwelling on the upper floors into two dwellings. Rear dormer and roof lights to the front roofslope.</t>
  </si>
  <si>
    <t>34 Colston Road, East Sheen, London SW14 7PG</t>
  </si>
  <si>
    <t>SW14 7PG</t>
  </si>
  <si>
    <t>22/2230/GPD26</t>
  </si>
  <si>
    <t>The change of use of the ground floor from commercial business and service(Class E) to residential (Class C3) to provide 1 no. 2 bed flat</t>
  </si>
  <si>
    <t>34 Crown Road, Twickenham, TW1 3EH</t>
  </si>
  <si>
    <t>TW1 3EH</t>
  </si>
  <si>
    <t>18/3930/FUL</t>
  </si>
  <si>
    <t>Demolition of existing garage and erection of 1No. 2 storey with habitable roofspace 4 bed dwelling with associated hard and soft landscaping. Alterations to existing crossover and creation of a new crossover in front of No.38 Langham Road to facilitate p</t>
  </si>
  <si>
    <t>38 Langham Road, Teddington TW11 9HQ</t>
  </si>
  <si>
    <t>TW11 9HQ</t>
  </si>
  <si>
    <t>21/2646/FUL</t>
  </si>
  <si>
    <t>Two storey side extension to facilitate the conversion of the existing house into two flats. Associated cycle and refuse stores. Solar panels on rear roofslope and side roofslope to outrigger.</t>
  </si>
  <si>
    <t>39 Gainsborough Road, Richmond, TW9 2DZ</t>
  </si>
  <si>
    <t>TW9 2DZ</t>
  </si>
  <si>
    <t>22/2111/GPD26</t>
  </si>
  <si>
    <t>Conversion of part of ground floor of 4 Friars Lane to provide 1no. 1 bedroom flat._x000D_</t>
  </si>
  <si>
    <t xml:space="preserve">4 Friars Lane, Richmond, TW9 1NL
</t>
  </si>
  <si>
    <t>22/2338/GPD26</t>
  </si>
  <si>
    <t>Conversion of part of 4 Friars Lane to provide 1no. flat_x000D_</t>
  </si>
  <si>
    <t>22/1512/GPD26</t>
  </si>
  <si>
    <t>Conversion of the rear of the existing shop from Class E(a) to one self-contained flat (Class C3 Use)</t>
  </si>
  <si>
    <t>408 Richmond Road, Twickenham, TW1 2EB</t>
  </si>
  <si>
    <t>TW1 2EB</t>
  </si>
  <si>
    <t>19/3905/FUL</t>
  </si>
  <si>
    <t>Replacement shopfront, replacement windows, 2 no. rooflights on front roof slope, new basement level with lightwells and rear staircase ground floor side/rear extension and 3 rear dormer roof extension to facilitate the provision of 1 no. retail unit and</t>
  </si>
  <si>
    <t>422 Upper Richmond Road West, East Sheen, London</t>
  </si>
  <si>
    <t>TW10 5DY</t>
  </si>
  <si>
    <t>22/0523/FUL</t>
  </si>
  <si>
    <t>Erection of a 5-bedroom dwellinghouse with associated outbuilding, parking and landscaping following demolition of the existing bungalow</t>
  </si>
  <si>
    <t>45 Langham Road, Teddington, TW11 9HF</t>
  </si>
  <si>
    <t>TW11 9HF</t>
  </si>
  <si>
    <t>19/0954/VRC</t>
  </si>
  <si>
    <t>Minor material amendment to application ref 16/3290/FUL (Partial demolition of an existing building and the creation of 3 new dwelling houses and associated works) by variation of appeal decision condition 2 (approved drawing numbers) to allow for externa</t>
  </si>
  <si>
    <t xml:space="preserve">45 The Vineyard, Richmond TW10 6AS
</t>
  </si>
  <si>
    <t>TW10 6AS</t>
  </si>
  <si>
    <t>22/1929/GPD26</t>
  </si>
  <si>
    <t>Conversion of ground floor &amp; first floor offices to  x1. 1 bed flat  and x1 . 2 bed flat</t>
  </si>
  <si>
    <t>46 - 48 Heath Road, Twickenham</t>
  </si>
  <si>
    <t>14/5284/FUL</t>
  </si>
  <si>
    <t>The reversion of a Building of Townscape Merit from two self-contained flats (1x1 and 1x3 beds) to a single-family dwelling (Use Class C3: Dwelling Houses) including a rear side infill extension with associated works.</t>
  </si>
  <si>
    <t xml:space="preserve">46 Halford Road, Richmond
</t>
  </si>
  <si>
    <t>TW10 6AP</t>
  </si>
  <si>
    <t>19/0338/FUL</t>
  </si>
  <si>
    <t>Demolition of existing 3-bedroom bungalow and erection of a new 3-bedroom detached house with basement level.</t>
  </si>
  <si>
    <t>48 Fourth Cross Road, Twickenham TW2 5EL</t>
  </si>
  <si>
    <t>TW2 5EL</t>
  </si>
  <si>
    <t>17/4005/FUL</t>
  </si>
  <si>
    <t>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t>
  </si>
  <si>
    <t>51 Kew Road, Richmond TW9 2NQ</t>
  </si>
  <si>
    <t>TW9 2NQ</t>
  </si>
  <si>
    <t>20/2721/FUL</t>
  </si>
  <si>
    <t>Change of use of the building into 2no. flats and reduction and retention of outbuilding</t>
  </si>
  <si>
    <t>54 Percy Road, Hampton TW12 2JR</t>
  </si>
  <si>
    <t>TW12 2JR</t>
  </si>
  <si>
    <t>18/3768/FUL</t>
  </si>
  <si>
    <t>Demolition of two existing workshop buildings. Change of use from current vacant B1 use to C3. Construction of 2No. semi-detached 5-bedroom family houses consisting of 2 storeys plus loft space with integral garaging.  Associated hard &amp; soft landscaping t</t>
  </si>
  <si>
    <t>58 Oldfield Road, Hampton TW12 2AE</t>
  </si>
  <si>
    <t>TW12 2AE</t>
  </si>
  <si>
    <t>22/0785/FUL</t>
  </si>
  <si>
    <t>Installation of front and rear rooflights to facilitate the conversion of an existing 3 bed maisonette to 2 x self-contained flats (1 x 1 bed and 1 x 2 bed) with associated cycle and waste storage.</t>
  </si>
  <si>
    <t xml:space="preserve">6 Colston Road, East Sheen, London SW14 7PQ
</t>
  </si>
  <si>
    <t>SW14 7PQ</t>
  </si>
  <si>
    <t>20/0714/FUL</t>
  </si>
  <si>
    <t>Demolition of existing semi-detached dwelling and replacement with a 2 storey semi-detached dwelling with basement and accommodation in the roof and associated parking, hard and soft landscaping, cycle and refuse stores</t>
  </si>
  <si>
    <t>6 Cumberland Road, Barnes, London, SW13 9LY</t>
  </si>
  <si>
    <t>SW13 9LY</t>
  </si>
  <si>
    <t>20/2902/FUL</t>
  </si>
  <si>
    <t>New 2-storey detached house with associated parking to replace existing bungalow. .</t>
  </si>
  <si>
    <t>60A Wensleydale Road, Hampton TW12 2LX</t>
  </si>
  <si>
    <t>TW12 2LX</t>
  </si>
  <si>
    <t>21/0754/GPD15</t>
  </si>
  <si>
    <t>Change of use from existing offices in building of 63-65 High Street to 12 residential flats (including retention of 3 existing self-contained flats on second floor)</t>
  </si>
  <si>
    <t xml:space="preserve">63 - 65 High Street, Hampton Hill
</t>
  </si>
  <si>
    <t>07/3512/FUL</t>
  </si>
  <si>
    <t>Demolition of an existing bungalow and construction of two new residential units. Separate entrance will be provided to both dwellings. The developments two main levels: above lower ground and a built out roof area underneath a pitch roof.</t>
  </si>
  <si>
    <t xml:space="preserve">64 Ormond Avenue, Hampton TW12 2RX
</t>
  </si>
  <si>
    <t>16/3625/FUL</t>
  </si>
  <si>
    <t>Demolition of existing car repair workshop and replacement with 1 no. ground floor B1(a) commercial unit and 1 no. 2 bed residential unit with associated landscaping, car and cycle parking.</t>
  </si>
  <si>
    <t xml:space="preserve">65 Holly Road, Twickenham TW1 4HF
</t>
  </si>
  <si>
    <t>TW12 2BT</t>
  </si>
  <si>
    <t>19/3568/FUL</t>
  </si>
  <si>
    <t>Replacement of existing single-storey detached bungalow to provide a pair of two-storey semi-detached dwelling houses with habitable roofspace, each with 5-bedrooms; off-street parking provision for two vehicles per dwelling; the removal of the existing t</t>
  </si>
  <si>
    <t>73A High Street, Hampton TW12 2SX</t>
  </si>
  <si>
    <t>TW12 2SX</t>
  </si>
  <si>
    <t>19/3490/FUL</t>
  </si>
  <si>
    <t>Part two-storey/part single-storey rear extension to provide 1no. additional dwelling, including associated alterations to fenestration, following demolition of existing single-storey rear extension.</t>
  </si>
  <si>
    <t>81 High Street, Hampton Wick, Kingston Upon Thames KT1 4DG</t>
  </si>
  <si>
    <t>KT1 4DG</t>
  </si>
  <si>
    <t>19/1162/FUL</t>
  </si>
  <si>
    <t>Part change of use of ground floor and rear garden from A1 to C3 (residential use) and replacement window on ground floor rear elevation to facilitate the conversion of existing 1 x 3 bed flat into 2 x 2 bed flats and associated cycle and refuse stores (R</t>
  </si>
  <si>
    <t xml:space="preserve">82 - 84 Hill Rise, Richmond
</t>
  </si>
  <si>
    <t>TW10 6UB</t>
  </si>
  <si>
    <t>04/1020/FUL</t>
  </si>
  <si>
    <t>Erection Of One And Half Storey Rear Extension To Create Self Contained Dwelling</t>
  </si>
  <si>
    <t>83 High Street, Hampton Wick</t>
  </si>
  <si>
    <t>20/3740/FUL</t>
  </si>
  <si>
    <t>Erection of two semi detached houses with associated landscaping and parking</t>
  </si>
  <si>
    <t>86 Ormond Drive, Hampton, TW12 2TN</t>
  </si>
  <si>
    <t>TW12 2TN</t>
  </si>
  <si>
    <t>20/1223/FUL</t>
  </si>
  <si>
    <t>The construction of a two storey 4 bedroom dwelling with a basement level following the demolition of the existing house and garage.</t>
  </si>
  <si>
    <t xml:space="preserve">90 Ormond Avenue, Hampton TW12 2RX
</t>
  </si>
  <si>
    <t>TW12 2RX</t>
  </si>
  <si>
    <t>TW11 8UB</t>
  </si>
  <si>
    <t>21/4119/FUL</t>
  </si>
  <si>
    <t>Construction of new detached family home following demolition of existing detached bungalow.</t>
  </si>
  <si>
    <t>92 Sandy Lane, Teddington, TW11 0DF</t>
  </si>
  <si>
    <t>TW11 0DF</t>
  </si>
  <si>
    <t>21/3820/FUL</t>
  </si>
  <si>
    <t>Single storey rear extension, with a change of use of part of a derelict retail unit and residential unit to a one bedroom flat and the erection of an overhead shutter door to the rear yard.</t>
  </si>
  <si>
    <t xml:space="preserve">95 Stanley Road, Teddington, TW11 8UB
</t>
  </si>
  <si>
    <t>20/2500/FUL</t>
  </si>
  <si>
    <t>Erection of a single detached dwellinghouse with basement and sunken patio following demolition of existing side extension to former care home.   Conversion of former care home to a single dwellinghouse together with a proposed single storey rear extensio</t>
  </si>
  <si>
    <t>96 Wensleydale Road, Hampton, TW12 2LY</t>
  </si>
  <si>
    <t>TW12 2LY</t>
  </si>
  <si>
    <t>11/0468/PS192</t>
  </si>
  <si>
    <t>Continuing construction of block of 11 flats on site of Osbourne House under permission 07/2991/FUL after 28/02/2011 (when the permission would otherwise have expired) will be lawful.</t>
  </si>
  <si>
    <t xml:space="preserve">Becketts Wharf And Osbourne House, Becketts Place, Hampton Wick
</t>
  </si>
  <si>
    <t>20/1499/FUL</t>
  </si>
  <si>
    <t>Demolition of existing buildings and the erection of a replacement building to contain 9no. flats (Use Class C3), with associated works including landscaping and parking.</t>
  </si>
  <si>
    <t xml:space="preserve">Boundaries, 1 St James's Road, Hampton Hill, Hampton TW12 1DH
</t>
  </si>
  <si>
    <t>TW12 1DH</t>
  </si>
  <si>
    <t>17/4292/FUL</t>
  </si>
  <si>
    <t>Proposed roof and side extension to the existing two storey residential building to provide three new apartment units and to increase the size of four of the existing units. Alterations to elevations including balconies at first and second floor.</t>
  </si>
  <si>
    <t>Cliveden House, Victoria Villas, Richmond, TW9 2JX</t>
  </si>
  <si>
    <t>TW9 2JX</t>
  </si>
  <si>
    <t>17/0323/FUL</t>
  </si>
  <si>
    <t>Erection of a three-storey building to provide  4 two-bedroom residential units (Class C3) separate refuse facilities and altered parking layout.</t>
  </si>
  <si>
    <t xml:space="preserve">Courtyard Apartments, 70B Hampton Road, Teddington
</t>
  </si>
  <si>
    <t>TW11 0JX</t>
  </si>
  <si>
    <t>14/2797/P3JPA</t>
  </si>
  <si>
    <t>Proposed change of use of part of an existing two storey office block (B1a Use Class) to Residential (C3 Use Class) creating 6 No.flats (comprising 1 x 1-bed unit and 5 x 2-bed units).</t>
  </si>
  <si>
    <t xml:space="preserve">Crane Mews, 32 Gould Road, Twickenham
</t>
  </si>
  <si>
    <t>TW2 6RS</t>
  </si>
  <si>
    <t>13/1327/FUL</t>
  </si>
  <si>
    <t>Reversion of Doughty House and Doughty Cottage, change of use from D1 gallery to a single family dwelling. New conservatory with basement below; underground car parking beneath the upper garden and linked to Doughty House; part re-construction of rear ele</t>
  </si>
  <si>
    <t xml:space="preserve">Doughty House And Doughty Cottage, 142 - 142A Richmond Hill, Richmond
</t>
  </si>
  <si>
    <t>22/3002/GPD26</t>
  </si>
  <si>
    <t>Conversion of offices on ground floor (Class E Use) to 1no. residential dwelling (Class C3 Use)</t>
  </si>
  <si>
    <t>Friars Way, The Green, Richmond, TW9 1NQ</t>
  </si>
  <si>
    <t>TW9 1NQ</t>
  </si>
  <si>
    <t>19/3324/FUL</t>
  </si>
  <si>
    <t>Demolition of 30 garages and erection of 5 x 3 bedroom detached dwellings with associated hard and soft landscaping, parking and cycle and refuse stores</t>
  </si>
  <si>
    <t xml:space="preserve">Garages And Land Adjacent Railway South Worple Way, East Sheen, London
</t>
  </si>
  <si>
    <t>19/1763/FUL</t>
  </si>
  <si>
    <t>Demolition of existing residential garages and erection of 2x four bed semi-detached houses (Use Class C3), associated amenity space, landscaping, car and cycle parking and refuse storage.</t>
  </si>
  <si>
    <t xml:space="preserve">Garages At Craneford Way, Twickenham
</t>
  </si>
  <si>
    <t>TW2 7SQ</t>
  </si>
  <si>
    <t>17/3590/FUL</t>
  </si>
  <si>
    <t>Demolition of the existing garages. Erection of 1 x 2 bed single storey house and 1 x 3 bed single storey house with basement with associated hard and soft landscaping, refuse and cycle stores.</t>
  </si>
  <si>
    <t xml:space="preserve">Garages Rear Of 48-52 Anlaby Road, Teddington
</t>
  </si>
  <si>
    <t>TW11 0PP</t>
  </si>
  <si>
    <t>17/0788/FUL</t>
  </si>
  <si>
    <t>Demolition of lock up garages to provide 1 no. detached 4 bedroom dwellinghouse with associated parking, cycle and refuse stores, new boundary fence and hard and soft landscaping.</t>
  </si>
  <si>
    <t>High Wigsell, 35 Twickenham Road, Teddington</t>
  </si>
  <si>
    <t>21/4278/FUL</t>
  </si>
  <si>
    <t>Conversion of three flats to single dwelling. Proposed single storey rear extension.</t>
  </si>
  <si>
    <t xml:space="preserve">Kingsleigh House, 5 St Albans Gardens, Teddington
</t>
  </si>
  <si>
    <t>17/1390/FUL</t>
  </si>
  <si>
    <t>Demolition of builders storage building and erection of one bedroomed  2 storey detached dwellinghouse with basement.</t>
  </si>
  <si>
    <t>Land Adjacent To No 1, South Western Road, Twickenham</t>
  </si>
  <si>
    <t>TW1 1LG</t>
  </si>
  <si>
    <t>20/0773/FUL</t>
  </si>
  <si>
    <t>Erection of 1no. single storey 2 bed dwellinghouse with associated cycle and refuse stores</t>
  </si>
  <si>
    <t xml:space="preserve">Land At Railway Side, Barnes, London
</t>
  </si>
  <si>
    <t>SW13 0AL</t>
  </si>
  <si>
    <t>16/4635/FUL</t>
  </si>
  <si>
    <t>Construction of a three bedroom single storey dwelling with associated hard and soft landscaping, parking and access road (bollard lit)</t>
  </si>
  <si>
    <t xml:space="preserve">Land Rear Of 12 To 36 Vincam Close, Twickenham
</t>
  </si>
  <si>
    <t>20/0990/FUL</t>
  </si>
  <si>
    <t>Demolition of existing garage and the erection of a single storey studio dwelling unit with associated hard and soft landscaping, refuse and cycle stores and boundary treatment.</t>
  </si>
  <si>
    <t>Land Rear Of 40 Pagoda Avenue, Richmond TW9 2HF</t>
  </si>
  <si>
    <t>TW9 2HF</t>
  </si>
  <si>
    <t>18/1442/FUL</t>
  </si>
  <si>
    <t>Demolition of the existing outbuilding to the rear of no.48 Fourth Cross Road accessed via Rutland Road and construction of 1x2 bedroom dwelling including basement, with associated car parking, cycle parking and recycle/refuse storage.</t>
  </si>
  <si>
    <t xml:space="preserve">Land Rear Of 48 Fourth Cross Road, Twickenham
</t>
  </si>
  <si>
    <t>TW2 5ER</t>
  </si>
  <si>
    <t>20/3164/OUT</t>
  </si>
  <si>
    <t>Outline application for a single storey 2 bedroomed dwelling to the rear of 2 Sunbury Avenue, associated hard and soft landscaping and off-street parking</t>
  </si>
  <si>
    <t>Land Rear Of, 2 Sunbury Avenue, East Sheen, London</t>
  </si>
  <si>
    <t>17/4015/FUL</t>
  </si>
  <si>
    <t>Erection of 2no. dwellings with associated cycle parking and refuse storage.</t>
  </si>
  <si>
    <t xml:space="preserve">Land To Rear Of 34 - 40 The Quadrant, Richmond
</t>
  </si>
  <si>
    <t>TW9 1DN</t>
  </si>
  <si>
    <t>18/1889/FUL</t>
  </si>
  <si>
    <t>Erection of a pair of 2 storey semi-detached 2 bed (1 x 2B4P and 1 x 2B3P) dwellinghouses with associated hard and soft landscaping and parking.</t>
  </si>
  <si>
    <t xml:space="preserve">Land To The Side Of 61 Acacia Road, Hampton TW12 3DP
</t>
  </si>
  <si>
    <t>TW12 3DP</t>
  </si>
  <si>
    <t>19/1728/FUL</t>
  </si>
  <si>
    <t>Conversion and alteration of the existing garage building to provide a one bedroom flat over two levels together with a garden amenity area.</t>
  </si>
  <si>
    <t xml:space="preserve">Manning House, 3 Gloucester Road, Teddington TW11 0NS
</t>
  </si>
  <si>
    <t>TW11 0NS</t>
  </si>
  <si>
    <t>17/3667/FUL</t>
  </si>
  <si>
    <t>Demolition of existing staff accommodation caravans and storage barn and erection of replacement grooms accommodation.</t>
  </si>
  <si>
    <t xml:space="preserve">Manor Farm Riding School, Petersham Road, Petersham, Richmond TW10 7AH
</t>
  </si>
  <si>
    <t>TW10 7AH</t>
  </si>
  <si>
    <t>21/0156/FUL</t>
  </si>
  <si>
    <t>Demolition of the existing structures and the erection on of two buildings, consisting of a retail unit and community centre at ground floor and 15 residential units above, parking and associated hard and soft landscaping</t>
  </si>
  <si>
    <t xml:space="preserve">Milevale Properties Ltd, 672 Hanworth Road, Whitton, Hounslow TW4 5NP
</t>
  </si>
  <si>
    <t>TW4 5NP</t>
  </si>
  <si>
    <t>16/0606/FUL</t>
  </si>
  <si>
    <t xml:space="preserve">Police Station, 60 - 68 Station Road, Hampton
</t>
  </si>
  <si>
    <t>TW12 2AX</t>
  </si>
  <si>
    <t>East Wing</t>
  </si>
  <si>
    <t>22/2043/FUL</t>
  </si>
  <si>
    <t>Replacement railing to rear and conversion into one dwellinghouse. Installation of ac unit.</t>
  </si>
  <si>
    <t xml:space="preserve">Ryan House, Cross Deep, Twickenham TW1 4QJ
</t>
  </si>
  <si>
    <t>TW1 4QJ</t>
  </si>
  <si>
    <t>16/0510/FUL</t>
  </si>
  <si>
    <t>Alterations including construction of a new rear ground floor extension and change of use to commercial space and two 2-bedroom self-contained flats.</t>
  </si>
  <si>
    <t>Shanklin House, 70 Sheen Road, Richmond TW9 1UF</t>
  </si>
  <si>
    <t>TW9 1UF</t>
  </si>
  <si>
    <t>19/1065/VRC</t>
  </si>
  <si>
    <t>Minor material amendment to planning permission 17/4358/VRC (which varied/removed approved conditions attached to planning permission ref: 08/1760/EXT dated 30.06.2017) and as further amended by 17/4358/NMA to enable minor changes to Block A of the staff</t>
  </si>
  <si>
    <t xml:space="preserve">St Pauls School, Lonsdale Road, Barnes, London, SW13 9JT
</t>
  </si>
  <si>
    <t>SW13 9JT</t>
  </si>
  <si>
    <t>19/0175/FUL</t>
  </si>
  <si>
    <t>Demolition of existing one-bedroom, two-storey dwelling and construction of one-bedroom, one-person single-storey dwelling.</t>
  </si>
  <si>
    <t>The Haven, Eel Pie Island, Twickenham TW1 3DY</t>
  </si>
  <si>
    <t>TW1 3DY</t>
  </si>
  <si>
    <t>21/4038/FUL</t>
  </si>
  <si>
    <t xml:space="preserve">The Old Kings Head, Hampton Court Road, Hampton Wick, Kingston Upon Thames KT1 4AE
</t>
  </si>
  <si>
    <t>KT1 4AE</t>
  </si>
  <si>
    <t>21/2441/FUL</t>
  </si>
  <si>
    <t>Change of use (to C3) of former Royal Oak Public House. Alterations and extension to ground floor, and alterations to existing facades to create 1 x 3 bedroom dwellinghouse with 2 x off-street parking spaces and associated cycle parking.</t>
  </si>
  <si>
    <t>The Royal Oak, Ham Street, Ham, Richmond, TW10 7HN</t>
  </si>
  <si>
    <t>TW10 7HN</t>
  </si>
  <si>
    <t>Block A</t>
  </si>
  <si>
    <t>Block B</t>
  </si>
  <si>
    <t>19/1033/GPD23</t>
  </si>
  <si>
    <t xml:space="preserve">Unit 1 Hampton Works Rear Of 119 Sheen Lane, East Sheen, London
</t>
  </si>
  <si>
    <t>22/3588/GPD26</t>
  </si>
  <si>
    <t>Conversion of first floor office unit into 1 x two-bedroom self-contained flat.</t>
  </si>
  <si>
    <t xml:space="preserve">Unit 23 Station Point, 121 Sandycombe Road, Richmond TW9 2AD
</t>
  </si>
  <si>
    <t>TW9 2AD</t>
  </si>
  <si>
    <t>TW11 9BN</t>
  </si>
  <si>
    <t>17/3001/GPD16</t>
  </si>
  <si>
    <t>Change of use from B8 (storage) to C3 (residential use) to create a 1 bedroom unit.</t>
  </si>
  <si>
    <t xml:space="preserve">Unit 3, Plough Lane, Teddington
</t>
  </si>
  <si>
    <t>17/3003/GPD16</t>
  </si>
  <si>
    <t>Change of use from B8 (storage) to C3 (residential) to create 2 Studio units.</t>
  </si>
  <si>
    <t xml:space="preserve">Unit 4 To 5A, Plough Lane, Teddington
</t>
  </si>
  <si>
    <t>20/1870/FUL</t>
  </si>
  <si>
    <t>Conversion to Use Class C3 of part only of B1 commercial space (with direct access at ground floor level) approved under LPA Ref: 13/3388 and providing at first floor level 4 x 2 Bed and 2 x 1 Bed dwellings.</t>
  </si>
  <si>
    <t>Unit B, 1 Railshead Road, Twickenham, Isleworth, TW7 7EP</t>
  </si>
  <si>
    <t>TW7 7EP</t>
  </si>
  <si>
    <t>21/4123/GPD26</t>
  </si>
  <si>
    <t>Change of use and conversion of Unit H from Use Class E office to Use Class C3 dwelling house, with ground level car and cycle parking and refuse storage.</t>
  </si>
  <si>
    <t>Unit H, 42 Upper Richmond Road West, East Sheen, London, SW14 8DD</t>
  </si>
  <si>
    <t>SW14 8DD</t>
  </si>
  <si>
    <t>22/0304/GPD26</t>
  </si>
  <si>
    <t>Change of use from class E office to single dwellinghouse, with ground level car and cycle parking and refuse storage.</t>
  </si>
  <si>
    <t>Unit J1 And J2, 42 Upper Richmond Road West, East Sheen, London, SW14 8DD</t>
  </si>
  <si>
    <t>19/0911/FUL</t>
  </si>
  <si>
    <t>Proposed construction of additional floor level to create 2 no. additional two bed flats, together with a three storey side extension in the form of a bay window, change to existing fenestration and addition of 8 no. balconies at first and second floor le</t>
  </si>
  <si>
    <t xml:space="preserve">Wick House, 10 Station Road, Hampton Wick KT1 4HF
</t>
  </si>
  <si>
    <t>KT2 4HF</t>
  </si>
  <si>
    <t>19/3632/FUL</t>
  </si>
  <si>
    <t>Loft conversion to no. 1 and no. 3 Cromwell Road to provide 2 x 1 person studios with external extensions (side dormer roof extensions) and alterations with internal remodeling and ancillary cycle and refuse storage.</t>
  </si>
  <si>
    <t>1 - 3 Cromwell Road, Teddington</t>
  </si>
  <si>
    <t>22/0707/PS192</t>
  </si>
  <si>
    <t>Use of ancillary caretakers bungalow at The Vineyard School as Class F1(a) education use</t>
  </si>
  <si>
    <t xml:space="preserve">10 Friars Stile Road, Richmond TW10 6NE
</t>
  </si>
  <si>
    <t>Small</t>
  </si>
  <si>
    <t>20/2841/FUL</t>
  </si>
  <si>
    <t>Proposed erection of single storey building at rear to provide 1 no. self contained flat</t>
  </si>
  <si>
    <t>118A - 118B High Street, Hampton Hill, Hampton, TW12 1NT</t>
  </si>
  <si>
    <t>Wharf Lane</t>
  </si>
  <si>
    <t>20/1985/GPD23</t>
  </si>
  <si>
    <t>Proposed change of use from Class B1(c) light industrial to Class C3 (residential) (2 dwellings).</t>
  </si>
  <si>
    <t xml:space="preserve">12 High Street, Hampton Hill TW12 1PD
</t>
  </si>
  <si>
    <t>TW12 1PD</t>
  </si>
  <si>
    <t>21/1639/FUL</t>
  </si>
  <si>
    <t>Demolition of existing dwelling and construction of two-storey, 2-bedroom detached dwelling, with associated parking, landscaping, boundary treatments and associated works.</t>
  </si>
  <si>
    <t>12 Oxford Road, Teddington, TW11 0PZ</t>
  </si>
  <si>
    <t>TW11 0PZ</t>
  </si>
  <si>
    <t>12 Park Road, Hampton Wick, Kingston Upon Thames, KT1 4AS</t>
  </si>
  <si>
    <t>KT1 4AS</t>
  </si>
  <si>
    <t>22/3652/GPD26</t>
  </si>
  <si>
    <t>Addition of mezzanine floor to create 5 residential units.</t>
  </si>
  <si>
    <t>TW1 4BN</t>
  </si>
  <si>
    <t>21/2788/FUL</t>
  </si>
  <si>
    <t>Convert the building containing 9no. flats to 4no flats (Use Class C3) , car parking, extension to existing basement, two storey rear extension, replacement fenestrations at front of the property, replacement and new fenestrations  to rear and rear patio.</t>
  </si>
  <si>
    <t>13 Manor Road, Twickenham</t>
  </si>
  <si>
    <t>TW2 5DF</t>
  </si>
  <si>
    <t>20/0145/FUL</t>
  </si>
  <si>
    <t>3,2m rear extension and division of a single flat into 2 flats.</t>
  </si>
  <si>
    <t>133A Percy Road, Twickenham TW2 6HT</t>
  </si>
  <si>
    <t>TW2 6HT</t>
  </si>
  <si>
    <t>19/2199/FUL</t>
  </si>
  <si>
    <t>Erection of a two-storey building with a basement level providing a commercial unit (Flexible Use Class B1 or D1) on part ground floor and basement levels and two flats (2 x 2-beds) on ground and upper floors.  Associated cycle and refuse stores.</t>
  </si>
  <si>
    <t>14 St Leonards Road, East Sheen, London, SW14 7LY</t>
  </si>
  <si>
    <t>SW14 7LY</t>
  </si>
  <si>
    <t>21/2209/FUL</t>
  </si>
  <si>
    <t>Extension and subdivision of existing end of terrace house to form two maisonette flats.</t>
  </si>
  <si>
    <t>155 Priory Road, Hampton, TW12 2PT</t>
  </si>
  <si>
    <t>TW12 2PT</t>
  </si>
  <si>
    <t>20/1805/FUL</t>
  </si>
  <si>
    <t>Change of use of part of ground floor commercial unit to provide 4 x 1 bedroom dwellings</t>
  </si>
  <si>
    <t>159 Heath Road, Twickenham, TW1 4BH</t>
  </si>
  <si>
    <t>TW1 4BH</t>
  </si>
  <si>
    <t>20/2093/GPD15</t>
  </si>
  <si>
    <t>CHANGE OF USE FROM OFFICE TO RESIDENTIAL TO CREATE 31 RESIDENTIAL UNITS</t>
  </si>
  <si>
    <t xml:space="preserve">159 Mortlake Road, Kew
</t>
  </si>
  <si>
    <t>TW9</t>
  </si>
  <si>
    <t>20/3689/GPD15</t>
  </si>
  <si>
    <t>Proposed change the use from office to residential (1No. 2-bed unit) within the wing to the south of the property</t>
  </si>
  <si>
    <t>171 Kingston Road, Teddington, TW11 9JP</t>
  </si>
  <si>
    <t>TW11 9JP</t>
  </si>
  <si>
    <t>19/0228/FUL</t>
  </si>
  <si>
    <t>Division of the existing dwelling house into two residential units in the form of semi detached houses. The demolition of the existing adjoined garage and alterations to fenestration.</t>
  </si>
  <si>
    <t>173 Kew Road, Richmond, TW9 2BB</t>
  </si>
  <si>
    <t>TW9 2BB</t>
  </si>
  <si>
    <t>22/0428/GPD26</t>
  </si>
  <si>
    <t>Change of use of ground floor hair salon from Use Class E Retail to Use Class C3 dwelling houses.</t>
  </si>
  <si>
    <t>173 Percy Road, Hampton, TW12 2JN</t>
  </si>
  <si>
    <t>TW12 2JN</t>
  </si>
  <si>
    <t>21/2970/FUL</t>
  </si>
  <si>
    <t>Change of use from retail (Use Class E) on first and second floors at no 19 to create a new, three bed maisonette; First floor side/rear extension and PV panels to existing roof of No.19; change of use and extension of roof space (Use Class E) at no. 19a,</t>
  </si>
  <si>
    <t>19 - 19A King Street, Richmond</t>
  </si>
  <si>
    <t>TW9 1ND</t>
  </si>
  <si>
    <t>21/0146/FUL</t>
  </si>
  <si>
    <t>Demolition of the Existing house and outbuildings and replacement with a Single Family Dwelling, new front boundary wall and vehicular gate and associated hard and soft landscaping, cycle and refuse stores</t>
  </si>
  <si>
    <t>19 Nylands Avenue, Kew, Richmond, TW9 4HH</t>
  </si>
  <si>
    <t>TW9 4HH</t>
  </si>
  <si>
    <t>21/2965/FUL</t>
  </si>
  <si>
    <t>Change of use of basement from mixed storage to self-contained 2 bed dwelling,  single storey extension, extension to existing basement, creation  new side entrance on the eastern elevation, extension of rear terrace,  new pitched roof on the front elevat</t>
  </si>
  <si>
    <t>2 Montrose Avenue, Twickenham, TW2 6HB</t>
  </si>
  <si>
    <t>TW2 6HB</t>
  </si>
  <si>
    <t>21/2602/FUL</t>
  </si>
  <si>
    <t>Construction of a single storey rear extension and change of use of existing lower ground floor flat from C3 to E(e) (Medical and Health Services) to enable the enlargement of the existing dental practice to provide a further 3 x surgeries.</t>
  </si>
  <si>
    <t>200 Castelnau, Barnes, London, SW13 9DW</t>
  </si>
  <si>
    <t>SW13 9DW</t>
  </si>
  <si>
    <t>19/1219/FUL</t>
  </si>
  <si>
    <t>Replacement 2 storey 4 bedroom dwellinghouse with basement level and accommodation in the roof.  Associated hard and soft landscaping, cycle and refuse stores and parking.</t>
  </si>
  <si>
    <t>21 Sunbury Avenue, East Sheen, London SW14 8RA</t>
  </si>
  <si>
    <t>SW14 8RA</t>
  </si>
  <si>
    <t>20/0921/FUL</t>
  </si>
  <si>
    <t>Conversion of existing 3-bed terraced dwelling to 2 x 1-bed flats</t>
  </si>
  <si>
    <t>22 Linden Road, Hampton, TW12 2JB</t>
  </si>
  <si>
    <t>TW12 2JB</t>
  </si>
  <si>
    <t>21/2225/FUL</t>
  </si>
  <si>
    <t>Demolition of existing building and erection of replacement 5 bedroom dwelling including associated hard and soft landscaping, cycle store and outbuilding</t>
  </si>
  <si>
    <t>22 Parke Road, Barnes, London, SW13 9NG</t>
  </si>
  <si>
    <t>SW13 9NG</t>
  </si>
  <si>
    <t>22/3141/FUL</t>
  </si>
  <si>
    <t>Rear dormer roof extension to facilitate the conversion of existing 2 bed maisonette into 2 flats (1 x 1 bed and 1 x 2 bed). Solar PV panels to rear pitched and flat roofs. 2no. Velux roof lights to front roof slope.</t>
  </si>
  <si>
    <t>23 Colston Road, East Sheen, London, SW14 7PQ</t>
  </si>
  <si>
    <t>23/0253/GPD26</t>
  </si>
  <si>
    <t>Conversion of first floor to two self-contained residential flats</t>
  </si>
  <si>
    <t xml:space="preserve">26A York Street, Twickenham, TW1 3LJ
</t>
  </si>
  <si>
    <t>20/2298/FUL</t>
  </si>
  <si>
    <t>Demolition of garage to rear of property accessed from Castle Yard to facilitate change of use of rear part to C3 (Residential) use to provide 1 x 2 bedroom two storey house with associated cycle and refuse stores</t>
  </si>
  <si>
    <t>28 Hill Street, Richmond, TW9 1TW</t>
  </si>
  <si>
    <t>TW9 1TW</t>
  </si>
  <si>
    <t>21/3800/FUL</t>
  </si>
  <si>
    <t>Change of use of single dwelling house to provide one x 4 bedroom dwelling and one x 2 bedroom dwelling</t>
  </si>
  <si>
    <t xml:space="preserve">286 Staines Road, Twickenham TW2 5AS
</t>
  </si>
  <si>
    <t>TW2 5AS</t>
  </si>
  <si>
    <t>22/0153/GPD26</t>
  </si>
  <si>
    <t>Change of use of part of ground floor and first floor from restaurant to C3 residential use to provide 1 additional first floor flat</t>
  </si>
  <si>
    <t>29 Kew Road, Richmond, TW9 2NQ</t>
  </si>
  <si>
    <t>22/1513/FUL</t>
  </si>
  <si>
    <t>Erection of a new dwelling with associated parking and landscaping.</t>
  </si>
  <si>
    <t xml:space="preserve">2A Courtlands Avenue, Hampton TW12 3NT
</t>
  </si>
  <si>
    <t>TW12 3NT</t>
  </si>
  <si>
    <t>19/3704/FUL</t>
  </si>
  <si>
    <t>Part single, part two-storey rear extension to allow the expansion of both ground floor retail / commercial units and the sub-division of the existing 3 bedroom first floor flat to form 2No. 1-bedroom flats and the construction of a mansard style roof ext</t>
  </si>
  <si>
    <t xml:space="preserve">3 - 4 New Broadway, Hampton Hill
</t>
  </si>
  <si>
    <t>TW12 1JG</t>
  </si>
  <si>
    <t>21/2665/GPD13</t>
  </si>
  <si>
    <t>Proposed change of use from A1 (retail) units to 2No. 1 bed apartments C3 (residential) Use Class</t>
  </si>
  <si>
    <t>22/3328/FUL</t>
  </si>
  <si>
    <t>Ground floor conversion from commercial to two 1B1P self-contained dwellings. Single storey rear extension to accommodate one new 2B4P self-contained dwelling.</t>
  </si>
  <si>
    <t>22/1924/GPD26</t>
  </si>
  <si>
    <t>Conversion of Ground Floor Commercial unit (Class E) to Use Class C3 Dwelling-house, Comprising of 2 No x Self Contained Studio units.</t>
  </si>
  <si>
    <t>3 - 5 Wensleydale Road, Hampton</t>
  </si>
  <si>
    <t>TW12 2LP</t>
  </si>
  <si>
    <t>22/0208/FUL</t>
  </si>
  <si>
    <t>Construction of two-storey house with basement.</t>
  </si>
  <si>
    <t>3 Bridle Lane, Twickenham, TW1 3EG</t>
  </si>
  <si>
    <t>TW1 3EG</t>
  </si>
  <si>
    <t>20/2118/FUL</t>
  </si>
  <si>
    <t>Fenestration alterations to rear and side elevation to facilitate change of use of rear part of premises from Class E (Retail) to C3 to create 1 x 1 bed flat and associated refuse and cycle store.</t>
  </si>
  <si>
    <t>301 Richmond Road, Kingston Upon Thames, KT2 5QU</t>
  </si>
  <si>
    <t>KT2 5QU</t>
  </si>
  <si>
    <t>21/2764/FUL</t>
  </si>
  <si>
    <t>Change of use of ground floor to create mixed Class E and C3 uses to provide a retail unit at ground floor, a separately accessed office in the basement and the replacement of the former tyre fitting bay and parking area with a building comprising two residential units</t>
  </si>
  <si>
    <t>311 Upper Richmond Road West, East Sheen, London SW14 8QR</t>
  </si>
  <si>
    <t>SW14 8QR</t>
  </si>
  <si>
    <t>20/0564/FUL</t>
  </si>
  <si>
    <t>Single-storey rear extension to rear of existing shop and part change of use from A1 to C3, to facilitate creation of one one-bedroom two-person dwellinghouse. Construction of external stairway to rear elevation to provide access to existing upper-floor f</t>
  </si>
  <si>
    <t>311A Richmond Road, Kingston Upon Thames, KT2 5QU</t>
  </si>
  <si>
    <t>22/1497/FUL</t>
  </si>
  <si>
    <t>The demolition of the existing dwelling house and 22 garages and the construction of 5 x new residential dwellings (Class C3) with associated hard and soft landscaping, parking and associated infrastructure.</t>
  </si>
  <si>
    <t xml:space="preserve">32 Haverfield Gardens, Kew, Richmond TW9 3DD
</t>
  </si>
  <si>
    <t>TW9 3DD</t>
  </si>
  <si>
    <t>22/1916/FUL</t>
  </si>
  <si>
    <t>Demolition of an existing detached residence and construction of a replacement 2 storey 5 bedroom house and associated hard and soft landscaping, refuse and cycle parking facilities</t>
  </si>
  <si>
    <t>32 Sandy Lane, Petersham, Richmond TW10 7EL</t>
  </si>
  <si>
    <t>TW10 7EL</t>
  </si>
  <si>
    <t>18/3418/FUL</t>
  </si>
  <si>
    <t>Demolition of existing garages and erection of 1no. Dwelling house. Relocation of entrance to existing flats.</t>
  </si>
  <si>
    <t>332 Richmond Road, Twickenham TW1 2DU</t>
  </si>
  <si>
    <t>TW1 2DU</t>
  </si>
  <si>
    <t>22/3397/GPD26</t>
  </si>
  <si>
    <t>Change of use of the building from Use Class E (Office) to C3 (Residential) single dwelling.</t>
  </si>
  <si>
    <t>33A Milton Road, Hampton, TW12 2LL</t>
  </si>
  <si>
    <t>TW12 2LL</t>
  </si>
  <si>
    <t>22/1742/FUL</t>
  </si>
  <si>
    <t>Demolition of existing building and erection of two semi-detached houses</t>
  </si>
  <si>
    <t>34 Udney Park Road, Teddington, TW11 9BG</t>
  </si>
  <si>
    <t>TW11 9BG</t>
  </si>
  <si>
    <t>20/0127/FUL</t>
  </si>
  <si>
    <t>Conversion of existing maisonette on first and second floors into 2 flats (1 x 1 bedroom flat and 1 x 2 bedroom flat)</t>
  </si>
  <si>
    <t>350 Richmond Road, Twickenham, TW1 2DU</t>
  </si>
  <si>
    <t>22/3043/GPD24</t>
  </si>
  <si>
    <t>Change of use from Class E (commercial, business and service) to Mixed Use Class E (commercial, business and service) and Class C3 (dwellinghouses) to provide 1x self-contained dwelling.</t>
  </si>
  <si>
    <t>357 Upper Richmond Road West, East Sheen, London SW14 8QN</t>
  </si>
  <si>
    <t>21/2528/GPD13</t>
  </si>
  <si>
    <t>Change of use of part of ground floor of property from A2 to C3 Use.</t>
  </si>
  <si>
    <t xml:space="preserve">357 Upper Richmond Road West, East Sheen, London SW14 8QN
</t>
  </si>
  <si>
    <t>21/1788/GPD15</t>
  </si>
  <si>
    <t>Change of use from office space to 6 residential units.</t>
  </si>
  <si>
    <t xml:space="preserve">37 Sheen Road, Richmond TW9 1AJ
</t>
  </si>
  <si>
    <t>TW9 1AJ</t>
  </si>
  <si>
    <t>21/2497/FUL</t>
  </si>
  <si>
    <t>Retention of dental surgery (Use Class D1) to ground floor and conversion of the first floor to residential use (Use Class C3). Ground and first floor side extension with first floor roof terrace.  Alterations to fenestration and boundary gates. Cycle and</t>
  </si>
  <si>
    <t>37 The Vineyard, Richmond, TW10 6AS</t>
  </si>
  <si>
    <t>21/3140/FUL</t>
  </si>
  <si>
    <t>Demolition of 3 houses and construction of 8 new houses at 38 to 42 Vincam close</t>
  </si>
  <si>
    <t xml:space="preserve">38 - 42 Vincam Close, Twickenham
</t>
  </si>
  <si>
    <t>20/1846/FUL</t>
  </si>
  <si>
    <t>Ground and basement extensions to facilitate change of use of basement and part change of use of ground floor from A1 to C3 to provide a one- bedroom residential unit</t>
  </si>
  <si>
    <t>4 The Broadway, Barnes, London, SW13 0NY</t>
  </si>
  <si>
    <t>SW13 0NY</t>
  </si>
  <si>
    <t>21/2151/FUL</t>
  </si>
  <si>
    <t>Demolition of the existing three storey house and erection of a replacement two storey plus basement single family dwelling with associated hard and soft landscpaing and refuse store.</t>
  </si>
  <si>
    <t>40 West Temple Sheen, East Sheen, London, SW14 7AP</t>
  </si>
  <si>
    <t>SW14 7AP</t>
  </si>
  <si>
    <t>21/4262/FUL</t>
  </si>
  <si>
    <t>A new window opening to the rear and change of use of existing office to C3 (residential) use to provide one bedroom flat</t>
  </si>
  <si>
    <t>41 Barnes High Street, Barnes, London, SW13 9LN</t>
  </si>
  <si>
    <t>SW13 9LN</t>
  </si>
  <si>
    <t>21/1907/FUL</t>
  </si>
  <si>
    <t>DEMOLITION OF EXISTING TWO (2) STOREY DETACHED DWELLING AND CONSTRUCTION OF NEW TWO (2) STOREY DETACHED DWELLING WITH HABITABLE ROOF SPACE.</t>
  </si>
  <si>
    <t>42 Ormond Crescent, Hampton, TW12 2TH</t>
  </si>
  <si>
    <t>TW12 2TH</t>
  </si>
  <si>
    <t>21/1841/FUL</t>
  </si>
  <si>
    <t>Demolition of existing car showroom and partial demolition of ancillary offices to facilitate the construction of 4 semi-detached houses with associated landscaping and car parking spaces, construction of a new vehicle access._x000D_</t>
  </si>
  <si>
    <t xml:space="preserve">45 - 49 Station Road, Hampton TW12 2BT
</t>
  </si>
  <si>
    <t>21/0699/FUL</t>
  </si>
  <si>
    <t>Upward roof extension to provide for one flat, and alter elevations, and associated works</t>
  </si>
  <si>
    <t>47 Crown Road, Twickenham, TW1 3EJ</t>
  </si>
  <si>
    <t>TW1 3EJ</t>
  </si>
  <si>
    <t>22/1453/FUL</t>
  </si>
  <si>
    <t>Proposed four bedroom dwelling house with full wheelchair accessibility to all levels &amp; rooms.  The proposed dwelling is to be built in the side garden of number 47 Nightingale Road.</t>
  </si>
  <si>
    <t xml:space="preserve">47 Nightingale Road, Hampton TW12 3HZ
</t>
  </si>
  <si>
    <t>TW12 3HZ</t>
  </si>
  <si>
    <t>22/0399/FUL</t>
  </si>
  <si>
    <t>Construction of a part 1/2/3 storey building including basement level to provide 14 co-living units (sui generis) and associated hard and soft landscaping, cycle and refuse stores</t>
  </si>
  <si>
    <t>47A 47 And 49 Lower Mortlake Road, Richmond</t>
  </si>
  <si>
    <t>Co-living</t>
  </si>
  <si>
    <t>TW9 2LW</t>
  </si>
  <si>
    <t>19/2893/FUL</t>
  </si>
  <si>
    <t>Construction of a detached two-storey building comprising of two x one-bedroom flats on the vacant car parking site including associated amenity space and no car parking.</t>
  </si>
  <si>
    <t>48 - 50 Ashley Road, Hampton</t>
  </si>
  <si>
    <t>TW12 2HU</t>
  </si>
  <si>
    <t>20/1333/FUL</t>
  </si>
  <si>
    <t>Rear extension at first floor level with green roof, installation of rooflights on side and rear facing roof slopes to facilitate change of use of upper floors to C3 (residential) use and to provide 1 x 2 bed maisonette: additional shop storage space at f</t>
  </si>
  <si>
    <t>5 Barnes High Street, Barnes, London SW13 9LB</t>
  </si>
  <si>
    <t>SW13 9LB</t>
  </si>
  <si>
    <t>22/1285/GPD26</t>
  </si>
  <si>
    <t>CHANGE OF USE TO SINGLE DWELLING HOUSE</t>
  </si>
  <si>
    <t>5 Bridle Lane, Twickenham TW1 3EG</t>
  </si>
  <si>
    <t>21/4201/FUL</t>
  </si>
  <si>
    <t>Erection of a new dwellinghouse with associated parking and landscaping following the demolition of the existing house.</t>
  </si>
  <si>
    <t>5 Monmouth Avenue, Hampton Wick, Kingston Upon Thames, KT1 4HR</t>
  </si>
  <si>
    <t>KT1 4HR</t>
  </si>
  <si>
    <t>20/2411/FUL</t>
  </si>
  <si>
    <t>Erection of a 3 bed detached dwelling house with associated off-street parking and amenity space</t>
  </si>
  <si>
    <t>52 Ringwood Way, Hampton Hill, TW12 1AT</t>
  </si>
  <si>
    <t>TW12 1AT</t>
  </si>
  <si>
    <t>22/0663/FUL</t>
  </si>
  <si>
    <t>Demolition of existing outbuilding.  Erection of side/rear extension to additional office floorspace and create 1 x 1 bed flat with associated landscaping, cycle and refuse storage facilities.</t>
  </si>
  <si>
    <t>53 Sheen Lane, East Sheen, London SW14 8AB</t>
  </si>
  <si>
    <t>SW14 8AB</t>
  </si>
  <si>
    <t>TW11 8HA</t>
  </si>
  <si>
    <t>22/0624/GPD26</t>
  </si>
  <si>
    <t>Change of use of first floor from offices (Class E) to residential (Class C3) (1no. studio and 2no. one bed)</t>
  </si>
  <si>
    <t xml:space="preserve">6 High Street, Teddington, TW11 8EP
</t>
  </si>
  <si>
    <t>TW11 8EP</t>
  </si>
  <si>
    <t>21/1493/GPD15</t>
  </si>
  <si>
    <t>Change of use of first floor office space to create 5 residential units (C3)</t>
  </si>
  <si>
    <t>61 High Street, Teddington, TW11 8HA</t>
  </si>
  <si>
    <t>22/2843/FUL</t>
  </si>
  <si>
    <t>Demolition of existing dwelling and replacement with a pair of two storey with basement semi-detached dwellings.  Alterations to boundary wall and assoicated hard and soft landscaping, cycle and refuse stores.</t>
  </si>
  <si>
    <t>62 Derby Road, East Sheen, London, SW14 7DP</t>
  </si>
  <si>
    <t>SW14 7DP</t>
  </si>
  <si>
    <t>17/0925/FUL</t>
  </si>
  <si>
    <t>Two storey side extension, first floor rear extension, rear dormer roof extension and installation of external metal staircase to facilitate the provision of 1 no. 1 bed flat and reconfiguration of existing 2 bed flat to 1 bed flat and associated parking,</t>
  </si>
  <si>
    <t>638 Hanworth Road, Whitton, Hounslow, TW4 5NP</t>
  </si>
  <si>
    <t>20/0595/FUL</t>
  </si>
  <si>
    <t>Demolition of existing outbuilding.  Single storey side/rear extension to facilitate change of use of rear part of ground floor (A1 (Retail)) to residential use (Class C3) to create 1 x 1 bed flat with associated cycle and refuse store.</t>
  </si>
  <si>
    <t>64 White Hart Lane, Barnes, London SW13 0PZ</t>
  </si>
  <si>
    <t>22/1278/GPD26</t>
  </si>
  <si>
    <t>Change of use from offices in building of 67-71 High Street to seven residential flats (three 1-bed, three 2-bed, one 3-bed)</t>
  </si>
  <si>
    <t xml:space="preserve">67 - 71 High Street, Hampton Hill, Hampton TW12 1NH
</t>
  </si>
  <si>
    <t>20/3489/FUL</t>
  </si>
  <si>
    <t>Erection of hip to gable roof extension to No. 7. Subdivision of garden plot, first floor side and rear extension, rear dormer, front ground and first floor bay windows to facilitate the provision of 1 x 3 bed house adjoining 7 Dorset Way with associated</t>
  </si>
  <si>
    <t>7 Dorset Way, Twickenham, TW2 6NB</t>
  </si>
  <si>
    <t>TW2 6NB</t>
  </si>
  <si>
    <t>19/0483/FUL</t>
  </si>
  <si>
    <t>Insertion of 3 no. rooflights on front roof slope and 2 no. rear dormer roof extensions to facilitate the conversion of existing 2 no. 3 bed maisonettes at no. 8A and 10A High Street to 5 flats (4 no. 1 bed and 1 no. 2 bed)</t>
  </si>
  <si>
    <t xml:space="preserve">8 - 10 High Street, Teddington
</t>
  </si>
  <si>
    <t>TW11 8EW</t>
  </si>
  <si>
    <t>20/1885/FUL</t>
  </si>
  <si>
    <t>Conversion of public house to a single residential dwelling</t>
  </si>
  <si>
    <t xml:space="preserve">80 Windmill Road, Hampton Hill, Hampton TW12 1QU
</t>
  </si>
  <si>
    <t>TW12 1QU</t>
  </si>
  <si>
    <t>21/2729/FUL</t>
  </si>
  <si>
    <t>Renovation, rear single storey extension, new gable roof extension and rear basement to existing building to form six apartments.</t>
  </si>
  <si>
    <t xml:space="preserve">85 Connaught Road, Teddington
</t>
  </si>
  <si>
    <t>TW11 0QQ</t>
  </si>
  <si>
    <t>21/0111/GPD15</t>
  </si>
  <si>
    <t>Change of Use from Office (Class E formerly B1(a)) to C3 to form 1 x 2 bed flat._x000D_</t>
  </si>
  <si>
    <t xml:space="preserve">86 - 88 Lower Mortlake Road, Richmond
</t>
  </si>
  <si>
    <t>TW9 2JG</t>
  </si>
  <si>
    <t>22/2399/FUL</t>
  </si>
  <si>
    <t>Single storey rear extension, side dormer roof extension with solar panels, rooflights on front and side roof slopes, replacement fenestration and associated bin store to facilitate the conversion of two flats into a single dwellinghouse.</t>
  </si>
  <si>
    <t xml:space="preserve">92 Palewell Park, East Sheen, London SW14 8JH
</t>
  </si>
  <si>
    <t>SW14 8JH</t>
  </si>
  <si>
    <t>21/2559/FUL</t>
  </si>
  <si>
    <t>Proposed Conversion of Existing Dwelling to 1no. Two Bedroom Dwelling and 1no. Three Bedroom Dwelling</t>
  </si>
  <si>
    <t>96 Court Way, Twickenham, TW2 7SW</t>
  </si>
  <si>
    <t>TW2 7SW</t>
  </si>
  <si>
    <t>22/2877/GPD26</t>
  </si>
  <si>
    <t>Change of Use from the existing Use Class E (dental surgery) to the Use Class C3 (Residential Flat)</t>
  </si>
  <si>
    <t>9A Tangley Park Road, Hampton TW12 3YH</t>
  </si>
  <si>
    <t>TW12 3YH</t>
  </si>
  <si>
    <t>21/3188/FUL</t>
  </si>
  <si>
    <t>Erection of 7 residential units (4 x 1 and 2 bed flats and 3 x 3 bed houses) with ground floor Class E commercial business and service space (73.3m2) including associated works.</t>
  </si>
  <si>
    <t xml:space="preserve">Adjacent To 118 Kneller Road, Twickenham, Hounslow TW2 7DX
</t>
  </si>
  <si>
    <t>22/2994/GPH03</t>
  </si>
  <si>
    <t>Erection of a roof extension comprising an additional storey (providing 3 additional residential units) to the existing mixed-use, 3 storey terraced building along with the provision of a green roof, refuse and recycling storage and cycle parking associat</t>
  </si>
  <si>
    <t xml:space="preserve">Canham House, 17 Heath Road, Twickenham TW1 4AW
</t>
  </si>
  <si>
    <t>TW1 4AW</t>
  </si>
  <si>
    <t>21/3330/FUL</t>
  </si>
  <si>
    <t>Construction of terrace of 3 family houses with associated parking and landscaping.</t>
  </si>
  <si>
    <t>Car Park, Brooklands Place, Hampton</t>
  </si>
  <si>
    <t>TW12</t>
  </si>
  <si>
    <t>21/4257/FUL</t>
  </si>
  <si>
    <t>Demolition of Existing House and Garaging and Erection of New Replacement Two Storey House with Part Basement, Additional Accommodation within the Roof Space, Attached Garages and External Works.</t>
  </si>
  <si>
    <t xml:space="preserve">Denbigh, 34 Lower Teddington Road, Hampton Wick, Kingston Upon Thames KT1 4HJ
</t>
  </si>
  <si>
    <t>KT1 4HJ</t>
  </si>
  <si>
    <t>20/0740/FUL</t>
  </si>
  <si>
    <t>Demolition of existing detached dwelling and construction of new 2 storey 4 bed house with basement level with associated hard and soft landscaping, cycle and refuse stores</t>
  </si>
  <si>
    <t xml:space="preserve">Downlands, Petersham Close, Petersham, Richmond TW10 7DZ
</t>
  </si>
  <si>
    <t>TW10 7DZ</t>
  </si>
  <si>
    <t>20/0815/FUL</t>
  </si>
  <si>
    <t>Change of use of forecourt and existing lobby and staircase from B1(a) to sui generis (mixed B1(a)/C3) to facilitate the creation of a second floor extension to the existing office building to provide a 3 bed flat, external alterations to the fenestration</t>
  </si>
  <si>
    <t>East House, 109 South Worple Way, East Sheen, London SW14 8TN</t>
  </si>
  <si>
    <t>SW14 8TN</t>
  </si>
  <si>
    <t>22/1214/GPD26</t>
  </si>
  <si>
    <t>Change of use of first and second floors to C3 (residential) use to facilitate the creation of 2x 2-bed 3-person flats.</t>
  </si>
  <si>
    <t>First And Second Floors, 41 Broad Street, Teddington TW11 8QZ</t>
  </si>
  <si>
    <t>TW11 8QZ</t>
  </si>
  <si>
    <t>22/1075/FUL</t>
  </si>
  <si>
    <t>Change of use of first floor from self-contained residential flat to office. Internal alterations including, upgrading the fire escape route, refurbishment of the kitchen to a tea room and WC facilities . Painting and decorating all rooms and corridors th</t>
  </si>
  <si>
    <t xml:space="preserve">First Floor Flat, Teddington District Library, Waldegrave Road, Teddington TW11 8NY
</t>
  </si>
  <si>
    <t>TW11 8NY</t>
  </si>
  <si>
    <t>20/2077/GPD15</t>
  </si>
  <si>
    <t>Change of use from Class B1(a) to Class C3 to provide 1 x 3 bed flat</t>
  </si>
  <si>
    <t>First Floor, 23 - 25 King Street, Twickenham, TW1 3SD</t>
  </si>
  <si>
    <t>TW1 3SD</t>
  </si>
  <si>
    <t>21/1087/GPD15</t>
  </si>
  <si>
    <t>The proposed works is for the change of use of existing Class E office use on first floor to provide C3 3 x 1 bedroom units and a 1 x 2 bedroom unit</t>
  </si>
  <si>
    <t>First Floor, 55 - 61 Heath Road, Twickenham</t>
  </si>
  <si>
    <t>20/1570/FUL</t>
  </si>
  <si>
    <t>Demolition of existing garages and erection of a part two / four storey building to provide 4 x 1, 4 x 2 and 1 x 3 bedroom flats and associated soft and hard landscaping, cycle and refuse stores. Plans readvertised on 09.04.2021, with the main amendments:</t>
  </si>
  <si>
    <t>Garage Site, Marys Terrace, Twickenham TW1 3JB</t>
  </si>
  <si>
    <t>TW1 3JB</t>
  </si>
  <si>
    <t>19/1647/FUL</t>
  </si>
  <si>
    <t>Demolition of the existing garage block and the erection of a mews development, consisting of 2 x 2 bedroom dwellings, together with associated car parking and landscaping improvements.</t>
  </si>
  <si>
    <t>Garages Adjacent 75, Churchview Road, Twickenham</t>
  </si>
  <si>
    <t>TW2 5BT</t>
  </si>
  <si>
    <t>20/1558/FUL</t>
  </si>
  <si>
    <t>Additional storey to 2-storey commercial building to provide 4 no.1 bed apartments</t>
  </si>
  <si>
    <t>Ground Floor, 55 - 61 Heath Road, Twickenham, TW1 4AW</t>
  </si>
  <si>
    <t>Affordable Rent</t>
  </si>
  <si>
    <t>London Living Rent</t>
  </si>
  <si>
    <t>Shared ownership</t>
  </si>
  <si>
    <t>20/2626/GPH01</t>
  </si>
  <si>
    <t>Construction of an additonal storey containing 3no. flats immediately above the existing topmost residential storey, and recreation of the existing roof shape; addition of 2no. off-street parking spaces along with secure bike and bin storage.</t>
  </si>
  <si>
    <t>Heritage House, 145 London Road, Twickenham</t>
  </si>
  <si>
    <t>TW1 1EF</t>
  </si>
  <si>
    <t>21/0313/GPD15</t>
  </si>
  <si>
    <t>Conversion of offices in Sandford House into 6 self-contained flats and Jardine House into 4 self-contained flats.</t>
  </si>
  <si>
    <t xml:space="preserve">Jardine House And Sandford House, 1B And 1C Claremont Road , Teddington </t>
  </si>
  <si>
    <t>22/1568/FUL</t>
  </si>
  <si>
    <t>Demolition of the existing 5-bed bungalow and replacement with a 5-bed family house. Associated hard and soft landscaping. Installation of vehicular and pedestrian gate. Bike and refuse stores.</t>
  </si>
  <si>
    <t xml:space="preserve">Jude Gate, 35 Ham Common, Ham, Richmond, TW10 7JG, </t>
  </si>
  <si>
    <t>TW10 7JG</t>
  </si>
  <si>
    <t>21/1528/FUL</t>
  </si>
  <si>
    <t>Second floor extension to create one additional one bed dwelling, together with car parking, cycle parking and associated landscaping works</t>
  </si>
  <si>
    <t xml:space="preserve">Junction Court, 127 Station Road, Hampton
</t>
  </si>
  <si>
    <t>18/3310/FUL</t>
  </si>
  <si>
    <t>Demolition of existing buildings and structures, and redevelopment of the site to provide a 4-6 storey specialist extra care facility for the elderly with existing health conditions, comprising of 88 units, communal healthcare, therapy, leisure and social</t>
  </si>
  <si>
    <t xml:space="preserve">Kew Biothane Plant, Melliss Avenue, Kew
</t>
  </si>
  <si>
    <t>19/0404/FUL</t>
  </si>
  <si>
    <t>Proposed construction of 2 bedroom dwellinghouse with 1No car parking space; secure storage for 2No cycles; refuse &amp; recycling storage; replacement of part of existing boundary wall with gates, piers &amp; railings to provide new pedestrian &amp; vehicular access</t>
  </si>
  <si>
    <t>Land Adjacent To, 53 Old Deer Park Gardens, Richmond</t>
  </si>
  <si>
    <t>TW9 2T</t>
  </si>
  <si>
    <t>22/3400/GPD26</t>
  </si>
  <si>
    <t>Application for change of use from Use Class E to Use Class C3._x000D_</t>
  </si>
  <si>
    <t xml:space="preserve">Land At Myrtle Road Adjacent 1 High Street, Hampton Hill
</t>
  </si>
  <si>
    <t>20/1871/FUL</t>
  </si>
  <si>
    <t>Demolition of two blocks of lock-up garages and construction of 3 x 2 bed dwellings with associated structures and landscaping works.</t>
  </si>
  <si>
    <t>Land R/O 8 To 18 Atbara Road, Teddington</t>
  </si>
  <si>
    <t>20/2923/FUL</t>
  </si>
  <si>
    <t>Demolition of existing garages and greenhouses and redevelopment to provide a single detached residential property</t>
  </si>
  <si>
    <t>Land Rear Of 130, Castelnau, Barnes, London</t>
  </si>
  <si>
    <t>SW13 9ET</t>
  </si>
  <si>
    <t>20/0969/FUL</t>
  </si>
  <si>
    <t>The demolition of an existing garage and ancillary outbuildings on garden land and the construction of 2 new detached houses.</t>
  </si>
  <si>
    <t>Land Rear Of 256 To 258 Kingston Road, Teddington</t>
  </si>
  <si>
    <t>19/0691/FUL</t>
  </si>
  <si>
    <t>Demolition of 38 garages including vehicle repair garage and the erection of six residential units (2x 3 bed and 4 x 2 bed), incorporating two commercial (B1a offices) units (totalling 152 sq.m), with amenity space, 14 off-street car parking spaces and as</t>
  </si>
  <si>
    <t>Land Rear Of, 127 - 147 Kingsway, Mortlake, London, SW14 7HN</t>
  </si>
  <si>
    <t>SW14 7HN</t>
  </si>
  <si>
    <t>21/1328/FUL</t>
  </si>
  <si>
    <t>Part three storey part single storey extension to provide an additional retail unit (Class E) at ground floor and 1 x residential dwelling on upper floors.  Alterations to bay windows at 171 Ashburnham Road.  Associated hard and soft landscaping works inc</t>
  </si>
  <si>
    <t xml:space="preserve">Land South Of 171 And 171 Ashburnham Road, Ham
</t>
  </si>
  <si>
    <t>TW10 7NR</t>
  </si>
  <si>
    <t>22/1575/FUL</t>
  </si>
  <si>
    <t>Proposed two-storey 2-bedroom mews house with accommodation in the roof including parking, bicycle and bin storage and private amenity space</t>
  </si>
  <si>
    <t xml:space="preserve">Land To Rear Of 177 High Street, Hampton Hill
</t>
  </si>
  <si>
    <t>TW12 1NL</t>
  </si>
  <si>
    <t>20/3495/FUL</t>
  </si>
  <si>
    <t>Conversion of existing ancillary residential accommodation to a single-family dwelling house with minor external alterations, associated parking, refuse and cycle enclosures.</t>
  </si>
  <si>
    <t>Land To Rear Of 24 Marchmont Road, Richmond TW10 6HQ</t>
  </si>
  <si>
    <t>TW10 6HQ</t>
  </si>
  <si>
    <t>Mega House, 159A High Street, Hampton Hill, Hampton, TW12 1NL</t>
  </si>
  <si>
    <t>22/2876/GPD26</t>
  </si>
  <si>
    <t>Change of use of vacant office building to two flats_x000D_</t>
  </si>
  <si>
    <t>19/2414/FUL</t>
  </si>
  <si>
    <t>Erection of a single storey one-bed dwelling, associated parking provision, cycle and refuse stores and landscaping.</t>
  </si>
  <si>
    <t>Rear Of 54 Heathside, Whitton</t>
  </si>
  <si>
    <t>TW4 5NN</t>
  </si>
  <si>
    <t>22/1496/FUL</t>
  </si>
  <si>
    <t>Richmond Inn Hotel, 50 - 56 Sheen Road, Richmond, TW9 1UG</t>
  </si>
  <si>
    <t>TW9 1UG</t>
  </si>
  <si>
    <t>22/1167/GPD26</t>
  </si>
  <si>
    <t>Change of use of the second floor only from  commercial, business and service (Use Class E) to dwellinghouses (Use Class C3) to provide 2 x two-bedroom (4 person) apartments and cycle parking</t>
  </si>
  <si>
    <t xml:space="preserve">Second Floor Offices, 27 - 28 George Street, Richmond TW9 1HY
</t>
  </si>
  <si>
    <t>TW9 1HY</t>
  </si>
  <si>
    <t>21/1219/GPD15</t>
  </si>
  <si>
    <t>Change of use from offices (B1a) to single dwelling house (C3).</t>
  </si>
  <si>
    <t xml:space="preserve">Suite 1, 47 St Margarets Grove, Twickenham TW1 1JF
</t>
  </si>
  <si>
    <t>TW1 1JF</t>
  </si>
  <si>
    <t>21/1220/GPD15</t>
  </si>
  <si>
    <t>Change of use of suites 2, 3 and 4 from offices (B1) to 3 one-bedroom single family dwellings.</t>
  </si>
  <si>
    <t>Suites 2, 3 And 4, 47 St Margarets Grove, Twickenham</t>
  </si>
  <si>
    <t>19/3746/FUL</t>
  </si>
  <si>
    <t>Rear extension at second and third floor levels to form 2 x 1 person flats</t>
  </si>
  <si>
    <t>Tabard House, 22 Upper Teddington Road, Hampton Wick</t>
  </si>
  <si>
    <t>KT1 4DT</t>
  </si>
  <si>
    <t>21/2661/FUL</t>
  </si>
  <si>
    <t>Conversion and extension of roof space above modern boarding blocks (C2 use) to provide additional boarding accommodation and rooflights. Raising of parapet walls.  Plant at ground level; 4No electric vehicle charging points in Entrance Forecourt; tempora</t>
  </si>
  <si>
    <t>TW10 5HR</t>
  </si>
  <si>
    <t>20/0238/GPD23</t>
  </si>
  <si>
    <t>Change of use of existing light industrial unit B1(c) to residential dwelling C3</t>
  </si>
  <si>
    <t>Unit 2, Princes Works, Princes Road, Teddington</t>
  </si>
  <si>
    <t>TW11 0RW</t>
  </si>
  <si>
    <t>19/3101/GPD23</t>
  </si>
  <si>
    <t>Change of Use of existing B1(c) light industrial unit to residential C3 providing 1No. 2 Bed dwelling.</t>
  </si>
  <si>
    <t xml:space="preserve">Unit 4, Princes Works, Princes Road, Teddington TW11 0RW
</t>
  </si>
  <si>
    <t>21/0110/GPD15</t>
  </si>
  <si>
    <t>Change of Use from Offices (Class E formerly B1(a)) to C3 to form 1 x 2 bed and 1 x 1 bed flats.</t>
  </si>
  <si>
    <t xml:space="preserve">Unit A, 92 - 98 Lower Mortlake Road, Richmond
</t>
  </si>
  <si>
    <t>19/0198/HOT</t>
  </si>
  <si>
    <t>Works of alteration and refurbishment in connection with the use of the building as a single, family dwellinghouse, including: demolition of existing Victorian side extension and construction of replacement side extension with roof terrace. Construction o</t>
  </si>
  <si>
    <t>Wick House, Richmond Hill, Richmond TW10 6RN</t>
  </si>
  <si>
    <t>TW10 6RN</t>
  </si>
  <si>
    <t>17/4014/FUL</t>
  </si>
  <si>
    <t>Change of use of part front ground floor A5(hot food takeaways) use to C3(residential) use to facilitate the conversion of existing 3 bed maisonette above shop into 2 x 2 bed (2B3P) flats. _x000D_Change of use of part rear ground floor rear from A5(retail) to C</t>
  </si>
  <si>
    <t>126 Heath Road, Twickenham, TW1 4BN</t>
  </si>
  <si>
    <t>Row Labels</t>
  </si>
  <si>
    <t>(blank)</t>
  </si>
  <si>
    <t>Grand Total</t>
  </si>
  <si>
    <t>Large Site</t>
  </si>
  <si>
    <t>Not Started</t>
  </si>
  <si>
    <t>Under Construction</t>
  </si>
  <si>
    <t>Change of use from premises in light industrial use (Class B1(c)) to one dwelling house (Class C3).</t>
  </si>
  <si>
    <t>Conversion of commercial unit to self-contained 2no. bedroom unit</t>
  </si>
  <si>
    <t>Brinsworth House , 72 Staines Road, Twickenham, TW2 5AL</t>
  </si>
  <si>
    <t>SITE A:-Removal of 40 garages Create a short terrace of high quality two storey houses consisting of three x  three-bedroom houses and two x  four-bedroom houses. Provision of 16 parking spaces in a shared surface courtyard</t>
  </si>
  <si>
    <t>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t>
  </si>
  <si>
    <t xml:space="preserve">The Royal Ballet School, White Lodge, Richmond Park, Richmond, TW10 5HR, </t>
  </si>
  <si>
    <t>HMO</t>
  </si>
  <si>
    <t>(Multiple Items)</t>
  </si>
  <si>
    <t xml:space="preserve">Change of use of ground floor and basement of the former Old Kings Head public house to a Mixed Use Community Cycle Hub comprising Café (Use Class E(b)), Training Area (Use Class F2(b)) and Treatment Room/Medical (Use Class E(e)) and 1No. 1-bedroom  apartment.   Alterations and conversion of the first and second floors to replace existing staff accommodation with 3No. 2-bedroom apartments.  External Alterations to include the replacement of French doors with balconies and a roof terrace on the first floor western and southern elevations, the installation of 2 no. conservation-style rooflights on the southern and western roof slopes and a bike enclosure to the rear at ground floor.  
</t>
  </si>
  <si>
    <t>Planning Ref</t>
  </si>
  <si>
    <t>Development Category</t>
  </si>
  <si>
    <t>Application Type</t>
  </si>
  <si>
    <t>PA</t>
  </si>
  <si>
    <t>Decision Date</t>
  </si>
  <si>
    <t>Expiry Date</t>
  </si>
  <si>
    <t>Start Date</t>
  </si>
  <si>
    <t>Completion Date</t>
  </si>
  <si>
    <t>Site Status</t>
  </si>
  <si>
    <t>Tenure</t>
  </si>
  <si>
    <t>Units Existing</t>
  </si>
  <si>
    <t>Units Proposed</t>
  </si>
  <si>
    <t>1 bed net</t>
  </si>
  <si>
    <t>2 bed net</t>
  </si>
  <si>
    <t>3 bed net</t>
  </si>
  <si>
    <t>4 bed net</t>
  </si>
  <si>
    <t>5 bed net</t>
  </si>
  <si>
    <t>6 bed net</t>
  </si>
  <si>
    <t>7 bed net</t>
  </si>
  <si>
    <t>8 bed net</t>
  </si>
  <si>
    <t>Net Dwellings</t>
  </si>
  <si>
    <t>Table 1</t>
  </si>
  <si>
    <t>Performance against the London Plan (2021) - 1 April 2021 to 1 April 2031</t>
  </si>
  <si>
    <t>Additional Homes (net)</t>
  </si>
  <si>
    <t>London Plan Target</t>
  </si>
  <si>
    <t>Total</t>
  </si>
  <si>
    <t>% of Target</t>
  </si>
  <si>
    <t>2021/22</t>
  </si>
  <si>
    <t>Table 2</t>
  </si>
  <si>
    <t>Five year housing land supply calculation methodology - London Plan 2021 - 1 April 2021 to 1 April 2031</t>
  </si>
  <si>
    <t>a</t>
  </si>
  <si>
    <t>London Plan 2021 Requirement - 1 April 2021 to 1 April 2031 (10 year plan period)</t>
  </si>
  <si>
    <t>b</t>
  </si>
  <si>
    <t>c</t>
  </si>
  <si>
    <t>a - b</t>
  </si>
  <si>
    <t>d</t>
  </si>
  <si>
    <t>Average per year</t>
  </si>
  <si>
    <t>e</t>
  </si>
  <si>
    <t>Five year requirement</t>
  </si>
  <si>
    <t>d x 5</t>
  </si>
  <si>
    <t>f</t>
  </si>
  <si>
    <t>Five percent buffer</t>
  </si>
  <si>
    <t>e x 0.05</t>
  </si>
  <si>
    <t>g</t>
  </si>
  <si>
    <t>Five year requirement (including 5% buffer)</t>
  </si>
  <si>
    <t>e + f</t>
  </si>
  <si>
    <t>h</t>
  </si>
  <si>
    <t>Estimated supply over five year period</t>
  </si>
  <si>
    <t>i</t>
  </si>
  <si>
    <t>Five year land supply as a percentage of requirement (excluding 5% buffer)</t>
  </si>
  <si>
    <t>(h ÷ e) x 100</t>
  </si>
  <si>
    <t>j</t>
  </si>
  <si>
    <t>Five year land supply expressed in years (excluding 5% buffer)</t>
  </si>
  <si>
    <t>h ÷ d</t>
  </si>
  <si>
    <t>Table 3</t>
  </si>
  <si>
    <t>Site Type</t>
  </si>
  <si>
    <t>Total used for 5-year supply</t>
  </si>
  <si>
    <t>New Build Sites under construction</t>
  </si>
  <si>
    <t>New Build Sites with planning permission</t>
  </si>
  <si>
    <t>Conversion sites under construction</t>
  </si>
  <si>
    <t>Conversion sites with planning permission</t>
  </si>
  <si>
    <t>Conversion sites with prior notification approval</t>
  </si>
  <si>
    <t>Deliverable Sites</t>
  </si>
  <si>
    <t>Total 5 year supply</t>
  </si>
  <si>
    <t>Table 4</t>
  </si>
  <si>
    <t>Table 5</t>
  </si>
  <si>
    <t>Year</t>
  </si>
  <si>
    <t>Completions</t>
  </si>
  <si>
    <t>5 Year Average</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</si>
  <si>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</si>
  <si>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</si>
  <si>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</si>
  <si>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</si>
  <si>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</si>
  <si>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</si>
  <si>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</si>
  <si>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</si>
  <si>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</si>
  <si>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</si>
  <si>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</si>
  <si>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</si>
  <si>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</si>
  <si>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</si>
  <si>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</si>
  <si>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</si>
  <si>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</si>
  <si>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</si>
  <si>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</si>
  <si>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Table 6</t>
  </si>
  <si>
    <t>Net completions by tenure and financial year (2005/06 to 2021/22)</t>
  </si>
  <si>
    <t xml:space="preserve"> Open Market</t>
  </si>
  <si>
    <t xml:space="preserve"> Affordable</t>
  </si>
  <si>
    <t>Total 
Units</t>
  </si>
  <si>
    <t>Units</t>
  </si>
  <si>
    <t>%</t>
  </si>
  <si>
    <t>Table 7</t>
  </si>
  <si>
    <t>Dwelling Type / Size</t>
  </si>
  <si>
    <t>Permissions</t>
  </si>
  <si>
    <t>Prior Approvals</t>
  </si>
  <si>
    <t xml:space="preserve">1 bed </t>
  </si>
  <si>
    <t xml:space="preserve">2 bed </t>
  </si>
  <si>
    <t xml:space="preserve">3 bed </t>
  </si>
  <si>
    <t xml:space="preserve">4+ bed </t>
  </si>
  <si>
    <t>Percentage</t>
  </si>
  <si>
    <t>Table 8</t>
  </si>
  <si>
    <t>% Permissions</t>
  </si>
  <si>
    <t>% Prior Approvals</t>
  </si>
  <si>
    <t>Table 9</t>
  </si>
  <si>
    <t>Proportion of housing completions provided by large sites</t>
  </si>
  <si>
    <t>Table 10</t>
  </si>
  <si>
    <t>Net completions on small / large sites</t>
  </si>
  <si>
    <t>Large</t>
  </si>
  <si>
    <t>% Small</t>
  </si>
  <si>
    <t>% Large</t>
  </si>
  <si>
    <t xml:space="preserve">Total </t>
  </si>
  <si>
    <t>Average</t>
  </si>
  <si>
    <t>Spatial Areas</t>
  </si>
  <si>
    <t>Town Centres</t>
  </si>
  <si>
    <t>Policy Areas</t>
  </si>
  <si>
    <t>Table 11</t>
  </si>
  <si>
    <t>Net completions within town centre boundaries</t>
  </si>
  <si>
    <t>Table 12</t>
  </si>
  <si>
    <t>Net completions by policy areas</t>
  </si>
  <si>
    <t>Town Centre</t>
  </si>
  <si>
    <t>Policy Area</t>
  </si>
  <si>
    <t>East Sheen</t>
  </si>
  <si>
    <t>Richmond</t>
  </si>
  <si>
    <t>Thames Policy Area</t>
  </si>
  <si>
    <t>Teddington</t>
  </si>
  <si>
    <t>Mixed Use Area</t>
  </si>
  <si>
    <t>Twickenham</t>
  </si>
  <si>
    <t>OOLTI</t>
  </si>
  <si>
    <t>Whitton</t>
  </si>
  <si>
    <t>Green Belt MOL</t>
  </si>
  <si>
    <t>Total in Town Centres</t>
  </si>
  <si>
    <t>Garden Land</t>
  </si>
  <si>
    <t>Conservation Area</t>
  </si>
  <si>
    <t>Wards</t>
  </si>
  <si>
    <t>Table 13</t>
  </si>
  <si>
    <t>Ward</t>
  </si>
  <si>
    <t>Barnes</t>
  </si>
  <si>
    <t>Hampton</t>
  </si>
  <si>
    <t>Hampton North</t>
  </si>
  <si>
    <t>Heathfield</t>
  </si>
  <si>
    <t>Kew</t>
  </si>
  <si>
    <t>North Richmond</t>
  </si>
  <si>
    <t>South Richmond</t>
  </si>
  <si>
    <t>South Twickenham</t>
  </si>
  <si>
    <t>Twickenham Riverside</t>
  </si>
  <si>
    <t>West Twickenham</t>
  </si>
  <si>
    <t>Table 14</t>
  </si>
  <si>
    <t>Proposed</t>
  </si>
  <si>
    <t>Existing</t>
  </si>
  <si>
    <t>Net Gain</t>
  </si>
  <si>
    <t>Dwelling Mix</t>
  </si>
  <si>
    <t>Table 15</t>
  </si>
  <si>
    <t>Net new build units completed by unit size and tenure</t>
  </si>
  <si>
    <t>Net new build units completed by unit size</t>
  </si>
  <si>
    <t>1 bed</t>
  </si>
  <si>
    <t>2 bed</t>
  </si>
  <si>
    <t>3 bed</t>
  </si>
  <si>
    <t>4 + bed</t>
  </si>
  <si>
    <t>Not Known</t>
  </si>
  <si>
    <t>Affordable Rented</t>
  </si>
  <si>
    <t>Table 16</t>
  </si>
  <si>
    <t>Net new build units under construction by unit size and tenure</t>
  </si>
  <si>
    <t>Net new build units under construction by unit size</t>
  </si>
  <si>
    <t>Intermediate (&amp;SO)</t>
  </si>
  <si>
    <t>Social Rented</t>
  </si>
  <si>
    <t>Table 17</t>
  </si>
  <si>
    <t>Net new build units with planning permission by unit size and tenure</t>
  </si>
  <si>
    <t>Net new build units with planning permission by unit size</t>
  </si>
  <si>
    <t>Future Housing Supply</t>
  </si>
  <si>
    <t>Table 18</t>
  </si>
  <si>
    <t>New Build Sites Under Construction</t>
  </si>
  <si>
    <t>Conversion Sites Under Construction</t>
  </si>
  <si>
    <t>Conversion Sites with planning permission</t>
  </si>
  <si>
    <t>Prior Approval Sites with approval</t>
  </si>
  <si>
    <t>Proposal / Other known large sites</t>
  </si>
  <si>
    <t>Small Sites Trend</t>
  </si>
  <si>
    <t>05. Deliverable Sites</t>
  </si>
  <si>
    <t>Sum of Net Dwellings</t>
  </si>
  <si>
    <t>SELECT SITES</t>
  </si>
  <si>
    <t>Stag Brewery</t>
  </si>
  <si>
    <t>New Build under construction</t>
  </si>
  <si>
    <t>Teddington Police Station</t>
  </si>
  <si>
    <t>Twickenham Telephone Exchange</t>
  </si>
  <si>
    <t>Whitton Telephone Exchange</t>
  </si>
  <si>
    <t>Meadows Hall</t>
  </si>
  <si>
    <t>Homebase, Manor Road</t>
  </si>
  <si>
    <t>5YHLS</t>
  </si>
  <si>
    <t>(All)</t>
  </si>
  <si>
    <t>Net NB Completions</t>
  </si>
  <si>
    <t>Net NB Under Construction</t>
  </si>
  <si>
    <t>Net NB Not Started</t>
  </si>
  <si>
    <t>Gross NB Completions</t>
  </si>
  <si>
    <t>Gross NB Under Construction</t>
  </si>
  <si>
    <t>Gross NB Not Started</t>
  </si>
  <si>
    <t>Sum of Units Proposed</t>
  </si>
  <si>
    <t>Net Conversion Completions</t>
  </si>
  <si>
    <t>Net Conversion Under Construction</t>
  </si>
  <si>
    <t>Net Conversions Not Started</t>
  </si>
  <si>
    <t>Gross Conversions Completions</t>
  </si>
  <si>
    <t>Gross Conversions Under Construction</t>
  </si>
  <si>
    <t>Gross Conversions Not Started</t>
  </si>
  <si>
    <t>Net Completions Intermediate</t>
  </si>
  <si>
    <t>Net Under Construction Intermediate</t>
  </si>
  <si>
    <t>Not Started Intermediate</t>
  </si>
  <si>
    <t>Net Completions Affordable</t>
  </si>
  <si>
    <t>Net Under Construction Affordable Rent</t>
  </si>
  <si>
    <t>Net Not Started Affordable Rent</t>
  </si>
  <si>
    <t>Net Completions Open Market</t>
  </si>
  <si>
    <t>Net Under Construction Open Market</t>
  </si>
  <si>
    <t>Net Not Started Open Market</t>
  </si>
  <si>
    <t>Open Market</t>
  </si>
  <si>
    <t>Gross Completions Intermediate</t>
  </si>
  <si>
    <t>Gross Under Construction Intermediate</t>
  </si>
  <si>
    <t>Gross Not Started Intermediate</t>
  </si>
  <si>
    <t>Gross Completions Affordable Rent</t>
  </si>
  <si>
    <t>Gross Under Construction Affordable Rent &amp; London Affordable Rent</t>
  </si>
  <si>
    <t>Gross Not Started Affordable Rent &amp; London Affordable Rent</t>
  </si>
  <si>
    <t>Gross Completions Open Market</t>
  </si>
  <si>
    <t>Gross Under Construction Open Market</t>
  </si>
  <si>
    <t>Gross Not Started Open Market</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</si>
  <si>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</si>
  <si>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</si>
  <si>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</si>
  <si>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</si>
  <si>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</si>
  <si>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</si>
  <si>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</si>
  <si>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</si>
  <si>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</si>
  <si>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</si>
  <si>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</si>
  <si>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</si>
  <si>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</si>
  <si>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&amp; London Affordable Rent Net</t>
  </si>
  <si>
    <t>New Build Not Started Affordable Rent Net</t>
  </si>
  <si>
    <t>New Build Completions Affordable Rent Gross</t>
  </si>
  <si>
    <t>New Build Under Construction Affordable Rent &amp; London Affordable Rent Gross</t>
  </si>
  <si>
    <t>New Build Not Started Affordable Rent &amp; London Affordable Rent Gross</t>
  </si>
  <si>
    <t>New Build Completions Net</t>
  </si>
  <si>
    <t>New Build Under Construction Net</t>
  </si>
  <si>
    <t>New Build Not Started Net</t>
  </si>
  <si>
    <t>Conversions Completions Net</t>
  </si>
  <si>
    <t>Conversions Under Construction Net</t>
  </si>
  <si>
    <t>Conversions Not Started Net</t>
  </si>
  <si>
    <t>Completions Net</t>
  </si>
  <si>
    <t>Sum of 1 bed net</t>
  </si>
  <si>
    <t>Sum of 2 bed net</t>
  </si>
  <si>
    <t>Sum of 3 bed net</t>
  </si>
  <si>
    <t>Sum of 4 bed net</t>
  </si>
  <si>
    <t>Sum of 5 bed net</t>
  </si>
  <si>
    <t>Sum of 6 bed net</t>
  </si>
  <si>
    <t>Sum of 7 bed net</t>
  </si>
  <si>
    <t>Sum of 8 bed net</t>
  </si>
  <si>
    <t>Net Dwellings Not Started by Ward</t>
  </si>
  <si>
    <t>Net Dwellings Under Construction by Ward</t>
  </si>
  <si>
    <t>Net Dwellings Completed by Ward</t>
  </si>
  <si>
    <t>Gross and Net Dwellings Completed by Ward</t>
  </si>
  <si>
    <t>Sum of Units Existing</t>
  </si>
  <si>
    <t>PA Conversion Sites Under Construction</t>
  </si>
  <si>
    <t>04. Site Allocation</t>
  </si>
  <si>
    <t>2022/23</t>
  </si>
  <si>
    <t xml:space="preserve">Provision 
(20% of plan period)   </t>
  </si>
  <si>
    <r>
      <t>Richmond upon Thames - Authority Monitoring Report 
Housing Land Financial Year Report 2022/23 - Position at 1</t>
    </r>
    <r>
      <rPr>
        <b/>
        <vertAlign val="superscript"/>
        <sz val="16"/>
        <rFont val="Arial"/>
        <family val="2"/>
      </rPr>
      <t>st</t>
    </r>
    <r>
      <rPr>
        <b/>
        <sz val="16"/>
        <rFont val="Arial"/>
        <family val="2"/>
      </rPr>
      <t xml:space="preserve"> April 2023</t>
    </r>
  </si>
  <si>
    <t>Net completions 1 April 2021 to 31 March 2023</t>
  </si>
  <si>
    <t>Site Allocation</t>
  </si>
  <si>
    <t>Open Market / Affordable</t>
  </si>
  <si>
    <t>Sainsbury’s, Manor Road</t>
  </si>
  <si>
    <t>Mereway Centre</t>
  </si>
  <si>
    <t>The Mereway Centre Mereway Road Twickenham</t>
  </si>
  <si>
    <t>Teddington Telephone Exchange</t>
  </si>
  <si>
    <t>Telephone Exchange, 88 High Street, Teddington, TW1 18JD</t>
  </si>
  <si>
    <t>19/0510/FUL</t>
  </si>
  <si>
    <t>Homebase, 84 Manor Road Richmond TW9 1YB</t>
  </si>
  <si>
    <t>22/3112/FUL</t>
  </si>
  <si>
    <t>Meadows Hall Church Road Richmond TW10 6LN</t>
  </si>
  <si>
    <t>The Stag Brewery Lower Richmond Road Mortlake London SW14 7ET</t>
  </si>
  <si>
    <t>Telephone Exchange, Garfield Road, Twickenham</t>
  </si>
  <si>
    <t>Telephone Exchange, Ashdale Close, Whitton, TW1 7BE</t>
  </si>
  <si>
    <t>2022/23 (R)</t>
  </si>
  <si>
    <t>2023/24 (1)</t>
  </si>
  <si>
    <t>2024/25 (2)</t>
  </si>
  <si>
    <t>2025/26 (3)</t>
  </si>
  <si>
    <t>2026/27 (4)</t>
  </si>
  <si>
    <t>2027/28 (5)</t>
  </si>
  <si>
    <t>2028/29 (6)</t>
  </si>
  <si>
    <t>2029/30 (7)</t>
  </si>
  <si>
    <t>2030/31 (8)</t>
  </si>
  <si>
    <t>2031/32 (9)</t>
  </si>
  <si>
    <t>2032/33 (10)</t>
  </si>
  <si>
    <t>2023/2027 Total</t>
  </si>
  <si>
    <t>2023-2033 Total</t>
  </si>
  <si>
    <t>23/0260/FUL</t>
  </si>
  <si>
    <t>Sum of 2023/2027 Total</t>
  </si>
  <si>
    <t>Sum of 2023-2033 Total</t>
  </si>
  <si>
    <t>c ÷ 8 years</t>
  </si>
  <si>
    <t>Proposal</t>
  </si>
  <si>
    <t>Hampton Wick &amp; South Teddington</t>
  </si>
  <si>
    <t>Ham, Petersham &amp; Richmond Riverside</t>
  </si>
  <si>
    <t>St. Margarets &amp; North Twickenham</t>
  </si>
  <si>
    <t>Mortlake &amp; Barnes Common</t>
  </si>
  <si>
    <t>Fulwell &amp; Hampton Hill</t>
  </si>
  <si>
    <t>Ward_Name</t>
  </si>
  <si>
    <t>Net units with planning permission, commenced or completed by Ward in 2022/23</t>
  </si>
  <si>
    <t>Net units completed by Ward in 2022/23</t>
  </si>
  <si>
    <t>Sum of 2023/24 (1)</t>
  </si>
  <si>
    <t>Sum of 2024/25 (2)</t>
  </si>
  <si>
    <t>Sum of 2025/26 (3)</t>
  </si>
  <si>
    <t>Sum of 2026/27 (4)</t>
  </si>
  <si>
    <t>Sum of 2027/28 (5)</t>
  </si>
  <si>
    <t>Sum of 5 year total</t>
  </si>
  <si>
    <t>Sum of 2028/29 (6)</t>
  </si>
  <si>
    <t>Sum of 2029/30 (7)</t>
  </si>
  <si>
    <t>Sum of 2030/31 (8)</t>
  </si>
  <si>
    <t>Sum of 2031/32 (9)</t>
  </si>
  <si>
    <t>Sum of 2032/33 (10)</t>
  </si>
  <si>
    <t>Expected Housing Delivery Trajectory</t>
  </si>
  <si>
    <t>London Plan Period</t>
  </si>
  <si>
    <t>2016 London Plan</t>
  </si>
  <si>
    <t>2023/24</t>
  </si>
  <si>
    <t>2024/25</t>
  </si>
  <si>
    <t>2025/26</t>
  </si>
  <si>
    <t>2026/27</t>
  </si>
  <si>
    <t>2027/28</t>
  </si>
  <si>
    <t>2028/29</t>
  </si>
  <si>
    <t>2029/30</t>
  </si>
  <si>
    <t>2030/31</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</si>
  <si>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</si>
  <si>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</si>
  <si>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</si>
  <si>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</si>
  <si>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</si>
  <si>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</si>
  <si>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</si>
  <si>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</si>
  <si>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against Cumulative Target</t>
  </si>
  <si>
    <t>Stepped Trajectory</t>
  </si>
  <si>
    <t>Barnes and East Sheen</t>
  </si>
  <si>
    <t>Teddington and the Hamptons</t>
  </si>
  <si>
    <t>Ham &amp; Petersham</t>
  </si>
  <si>
    <t>Area Name</t>
  </si>
  <si>
    <t>Retention of former police station building with partial demolition of the rear wings of the police station and demolition of the rear garages and the construction of 28 residential units (4 x 1 bedroom, 12 x 2 bedroom, 10 x 3 bedroom and 2 x 4 bedroom) and associated access, servicing, cycle parking and landscaping (The proposal has been amended to include setting back the top floor away from the eastern boundary of the site; roof design on Plots 24 to 28 amended; and amendments to unit mix).</t>
  </si>
  <si>
    <t>Ham Close</t>
  </si>
  <si>
    <t xml:space="preserve">Address
</t>
  </si>
  <si>
    <t>Existing C3 Dwelling</t>
  </si>
  <si>
    <t>Existing Home Rooms</t>
  </si>
  <si>
    <t>Proposed Home Rooms</t>
  </si>
  <si>
    <t>Net Home Rooms</t>
  </si>
  <si>
    <t>Existing House in Multiple Occupation Rooms</t>
  </si>
  <si>
    <t>Proposed House in Multiple Occupation Rooms</t>
  </si>
  <si>
    <t>Net House in Multiple Occupation Rooms</t>
  </si>
  <si>
    <t>Existing Student Bedrooms</t>
  </si>
  <si>
    <t>Proposed Student Bedrooms</t>
  </si>
  <si>
    <t>Net Student Bedrooms</t>
  </si>
  <si>
    <t>Existing Staff Accomodation</t>
  </si>
  <si>
    <t>Proposed Staff Accomodation</t>
  </si>
  <si>
    <t>Net Staff Accomodation</t>
  </si>
  <si>
    <t>1.8 : 1</t>
  </si>
  <si>
    <t>2.5:1</t>
  </si>
  <si>
    <t>C1</t>
  </si>
  <si>
    <t>D1</t>
  </si>
  <si>
    <t>Net Residential Units</t>
  </si>
  <si>
    <t>Care Home Beds</t>
  </si>
  <si>
    <t>Student Bedrooms</t>
  </si>
  <si>
    <t>10 Year Housing Land Supply - Conventional</t>
  </si>
  <si>
    <t>10 Year Housing Land Supply - Non Self Contained</t>
  </si>
  <si>
    <t xml:space="preserve">19/2822/FUL </t>
  </si>
  <si>
    <t>Retention and refurbishment of the former police station building with part demolition of rear wings and ancillary buildings, and the construction of a three storey side and rear extension and basement to form a registered care home comprising 22 care suites and 66 care bed units, with shared facilities, car and cycle parking, landscaping and ancillary works.</t>
  </si>
  <si>
    <t>Hampton Police Station, Station Road, Hampton TW12 2AX</t>
  </si>
  <si>
    <t>2031/32</t>
  </si>
  <si>
    <t>2032/33</t>
  </si>
  <si>
    <t>Local Plan</t>
  </si>
  <si>
    <t>Change of use from hotel (Class C1) to care and physiotherapy-led rehabilitation centre (Class C2) to include partial demolition and extension of the existing building along with the provision of associated car parking, cycle parking, refuse storage, landscaping, boundary treatments, servicing, access and necessary highways works.</t>
  </si>
  <si>
    <t>New single storey side extension, new verandah roof, replacement fenestration to all elevations, new rooflights to existing rear extension, new roof dormers and associated landscaping to facilitate the conversion of existing 2 properties into 1 dwellinghouse. Extension to existing basement, new car stacker.  Installation of 2 x ASHPs, 3 x AC units and associated enclosure in garden.</t>
  </si>
  <si>
    <t>22/2628/FUL</t>
  </si>
  <si>
    <t>Remaining London Plan Requirement 1 April 2023 to 31 March 2031 (8 year plan period)</t>
  </si>
  <si>
    <t>Non Self Contained</t>
  </si>
  <si>
    <t>New Build Sites with planning permission - 5YHLS</t>
  </si>
  <si>
    <t>Estimated supply over ten year period</t>
  </si>
  <si>
    <t>Total 10 year supply</t>
  </si>
  <si>
    <t>ALL New Build Sites with planning permission</t>
  </si>
  <si>
    <t>Site Allocations</t>
  </si>
  <si>
    <t>New Build Sites with planning permission - 10 YHLS</t>
  </si>
  <si>
    <t>London Plan (2021 - 2031)</t>
  </si>
  <si>
    <t>Dwelling Size of Net Completions 2022/23 (All tenures)</t>
  </si>
  <si>
    <t>09/0382/FUL</t>
  </si>
  <si>
    <t>Loft conversion with dormer, two storey rear extension and conversion into 6 studios and 1no. two bedroom flat with bicycle parking</t>
  </si>
  <si>
    <t>30 Broad Street_x000D_Teddington_x000D_Middlesex_x000D_TW11 8RF</t>
  </si>
  <si>
    <t xml:space="preserve">
TW11 8RF</t>
  </si>
  <si>
    <t>Hostel Room</t>
  </si>
  <si>
    <t>Change of use of a 6-bedroom house in multiple occupation (C4 class) to a 7-bedroom house in multiple occupation (Sui Generis).</t>
  </si>
  <si>
    <t>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t>
  </si>
  <si>
    <t>2033/34</t>
  </si>
  <si>
    <t>2034/35</t>
  </si>
  <si>
    <t>2035/36</t>
  </si>
  <si>
    <t>2036/37</t>
  </si>
  <si>
    <t>2037/38</t>
  </si>
  <si>
    <t>2038/39</t>
  </si>
  <si>
    <t>2023-2040 Total</t>
  </si>
  <si>
    <t>15 Year Housing Land Supply - Conventional</t>
  </si>
  <si>
    <t>Sum of 2033/34</t>
  </si>
  <si>
    <t>Sum of 2034/35</t>
  </si>
  <si>
    <t>Sum of 2035/36</t>
  </si>
  <si>
    <t>Sum of 2036/37</t>
  </si>
  <si>
    <t>Sum of 2037/38</t>
  </si>
  <si>
    <t>Sum of 2038/39</t>
  </si>
  <si>
    <t xml:space="preserve">St Clares Business Park </t>
  </si>
  <si>
    <t>22/2204/FUL</t>
  </si>
  <si>
    <t>St Clare Business Park And 7 - 11 Windmill Road Hampton Hill</t>
  </si>
  <si>
    <t>Demolition of existing buildings and erection of 1no. mixed use building between three and five storeys plus basement in height, comprising 86no. residential flats (Class C3) and 1,311.2sq.m of commercial floorspace (Class E); 1no.two storey building comprising 595sq.m of commercial floorspace (Class E); 14no. residential houses (Class C3); and, associated access, external landscaping and car parking.</t>
  </si>
  <si>
    <t>The erection of 7 part single, part two-storey residential dwellings; 8 car parking spaces (including 1 disabled parking space); landscaping incorporating communal amenity space and ecological enhancement area; secure cycle and refuse storage.</t>
  </si>
  <si>
    <t>Demolition of existing buildings and structures and comprehensive phased residential-led redevelopment to provide 453 residential units (of which 173 units will be affordable), flexible retail, community and office uses, provision of car and cycle parking, landscaping, public and private open spaces and all other necessary enabling works</t>
  </si>
  <si>
    <t>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t>
  </si>
  <si>
    <t>Conventional Supply</t>
  </si>
  <si>
    <t>SW14 8AE</t>
  </si>
  <si>
    <t>Sheltered Accom</t>
  </si>
  <si>
    <t>Easting</t>
  </si>
  <si>
    <t>Northing</t>
  </si>
  <si>
    <t>Town_Centre</t>
  </si>
  <si>
    <t>Thames_Policy_Area</t>
  </si>
  <si>
    <t>Met_Open_Land</t>
  </si>
  <si>
    <t>Areas for Intensification</t>
  </si>
  <si>
    <t>CA84 Broad Street</t>
  </si>
  <si>
    <t>CA37 High Street Teddington</t>
  </si>
  <si>
    <t>CA5 Richmond Hill</t>
  </si>
  <si>
    <t>CA25 Castelnau</t>
  </si>
  <si>
    <t>CA1 Barnes Green</t>
  </si>
  <si>
    <t>CA8 Twickenham Riverside</t>
  </si>
  <si>
    <t>CA33 Mortlake</t>
  </si>
  <si>
    <t>CA18 Hampton Wick</t>
  </si>
  <si>
    <t>CA30 St Matthias Richmond</t>
  </si>
  <si>
    <t>CA12 Hampton Village</t>
  </si>
  <si>
    <t>Thames Street, Hampton</t>
  </si>
  <si>
    <t>CA15 Kew Gardens Kew</t>
  </si>
  <si>
    <t>CA64 Sheen Lane East Sheen</t>
  </si>
  <si>
    <t>Sandycombe Road South</t>
  </si>
  <si>
    <t>White Hart lane, Barnes</t>
  </si>
  <si>
    <t>CA17 Central Richmond</t>
  </si>
  <si>
    <t>Wensleydale Road, Hampton</t>
  </si>
  <si>
    <t>High Street, Hampton Hill</t>
  </si>
  <si>
    <t>CA38 High Street Hampton Hill</t>
  </si>
  <si>
    <t>Bushy Park</t>
  </si>
  <si>
    <t>CA11 Hampton Court Green</t>
  </si>
  <si>
    <t>CA31 Sheen Road Richmond</t>
  </si>
  <si>
    <t>Oldfield Road, Hampton</t>
  </si>
  <si>
    <t>Twickenham Green</t>
  </si>
  <si>
    <t>CA9 Twickenham Green</t>
  </si>
  <si>
    <t>St Margarets</t>
  </si>
  <si>
    <t>Hampton Wick</t>
  </si>
  <si>
    <t>CA4 Richmond Riverside</t>
  </si>
  <si>
    <t>CA49 Crown Road St Margarets</t>
  </si>
  <si>
    <t>Sandycombe Road North</t>
  </si>
  <si>
    <t>CA16 Thorne Passage Mortlake</t>
  </si>
  <si>
    <t>CA36 Kew Foot Road</t>
  </si>
  <si>
    <t>Petersham Lodge</t>
  </si>
  <si>
    <t>CA6 Petersham</t>
  </si>
  <si>
    <t>Station Road, Hampton</t>
  </si>
  <si>
    <t>Sheen Road</t>
  </si>
  <si>
    <t>CA70 Sheen Lane Mortlake</t>
  </si>
  <si>
    <t>CA43 Strawberry Hill Road</t>
  </si>
  <si>
    <t>CA13 Christchurch Road East Sheen</t>
  </si>
  <si>
    <t>CA19 St Margarets</t>
  </si>
  <si>
    <t>The Manor House Ham</t>
  </si>
  <si>
    <t>CA23 Ham House</t>
  </si>
  <si>
    <t>CA32 Barnes Common</t>
  </si>
  <si>
    <t>CA27 Teddington Lock</t>
  </si>
  <si>
    <t>Hanworth Road</t>
  </si>
  <si>
    <t>Kew Road</t>
  </si>
  <si>
    <t>CA55 Kew Road</t>
  </si>
  <si>
    <t>CA3 Richmond Green</t>
  </si>
  <si>
    <t>East Twickenham</t>
  </si>
  <si>
    <t>CA66 Richmond Road East Twickenham</t>
  </si>
  <si>
    <t>Stanley Road, Teddington</t>
  </si>
  <si>
    <t>Radnor Gardens</t>
  </si>
  <si>
    <t>Priests Bridge, Barnes</t>
  </si>
  <si>
    <t>Hampton Court</t>
  </si>
  <si>
    <t>Townmead Kew</t>
  </si>
  <si>
    <t>High Street, Barnes</t>
  </si>
  <si>
    <t>Petersham Common</t>
  </si>
  <si>
    <t>White Hart Lane/Mortlake H</t>
  </si>
  <si>
    <t>Castelnau, North Barnes</t>
  </si>
  <si>
    <t>CA7 Ham Common</t>
  </si>
  <si>
    <t>Orleans School</t>
  </si>
  <si>
    <t>CA83 Wick Road</t>
  </si>
  <si>
    <t>CA2 Kew Green</t>
  </si>
  <si>
    <t>Mortlake</t>
  </si>
  <si>
    <t>CA22 Park Road Teddington</t>
  </si>
  <si>
    <t>Conservation_Area</t>
  </si>
  <si>
    <t>Conservation Area Name</t>
  </si>
  <si>
    <t>Mixed Use Area Name</t>
  </si>
  <si>
    <t>Net units completed during the period 2002/03 to 2022/23</t>
  </si>
  <si>
    <t>Housing Land Supply by ward (net gain) 2023/24 – 2032/33  (conventional supply)</t>
  </si>
  <si>
    <t>Housing Land Supply 2023/24 – 2032/33</t>
  </si>
  <si>
    <t>Sainsbury’s, Lower Richmond Road</t>
  </si>
  <si>
    <t>05. Deliverable Site (Application under consideration)</t>
  </si>
  <si>
    <t>22/0900/OUT</t>
  </si>
  <si>
    <t>05. Deliverable Site (Site Allocation)</t>
  </si>
  <si>
    <t>Application Type of Net Completions 2016/17 - 2022/23 (All tenures)</t>
  </si>
  <si>
    <t>Large Sites Trend</t>
  </si>
  <si>
    <t>10-year supply</t>
  </si>
  <si>
    <t>SHLAA Sites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</si>
</sst>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49" x14ac:knownFonts="1">
    <font>
      <sz val="11"/>
      <color theme="1"/>
      <name val="Calibri"/>
      <family val="2"/>
      <scheme val="minor"/>
    </font>
    <font>
      <sz val="11"/>
      <name val="Calibri"/>
      <family val="2"/>
      <scheme val="minor"/>
    </font>
    <font>
      <sz val="12"/>
      <name val="Calibri"/>
      <family val="2"/>
      <scheme val="minor"/>
    </font>
    <font>
      <sz val="11"/>
      <color theme="1"/>
      <name val="Calibri"/>
      <family val="2"/>
      <scheme val="minor"/>
    </font>
    <font>
      <sz val="10"/>
      <name val="Calibri"/>
      <family val="2"/>
      <scheme val="minor"/>
    </font>
    <font>
      <sz val="10"/>
      <name val="Arial"/>
      <family val="2"/>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sz val="9"/>
      <color theme="0" tint="-0.249977111117893"/>
      <name val="Arial"/>
      <family val="2"/>
    </font>
    <font>
      <b/>
      <sz val="9"/>
      <color theme="0" tint="-0.499984740745262"/>
      <name val="Arial"/>
      <family val="2"/>
    </font>
    <font>
      <sz val="8"/>
      <color theme="0" tint="-0.499984740745262"/>
      <name val="Arial"/>
      <family val="2"/>
    </font>
    <font>
      <b/>
      <sz val="8"/>
      <color theme="0" tint="-0.499984740745262"/>
      <name val="Arial"/>
      <family val="2"/>
    </font>
    <font>
      <sz val="9"/>
      <color theme="0" tint="-0.499984740745262"/>
      <name val="Arial"/>
      <family val="2"/>
    </font>
    <font>
      <b/>
      <sz val="9"/>
      <name val="Arial"/>
      <family val="2"/>
    </font>
    <font>
      <sz val="9"/>
      <color rgb="FFFF0000"/>
      <name val="Arial"/>
      <family val="2"/>
    </font>
    <font>
      <b/>
      <sz val="8"/>
      <name val="Arial"/>
      <family val="2"/>
    </font>
    <font>
      <sz val="8"/>
      <name val="Arial"/>
      <family val="2"/>
    </font>
    <font>
      <b/>
      <sz val="9"/>
      <color rgb="FFFF0000"/>
      <name val="Arial"/>
      <family val="2"/>
    </font>
    <font>
      <sz val="8"/>
      <color rgb="FFFF0000"/>
      <name val="Arial"/>
      <family val="2"/>
    </font>
    <font>
      <b/>
      <sz val="8"/>
      <color rgb="FFFF0000"/>
      <name val="Arial"/>
      <family val="2"/>
    </font>
    <font>
      <i/>
      <sz val="8"/>
      <color rgb="FFFF0000"/>
      <name val="Arial"/>
      <family val="2"/>
    </font>
    <font>
      <b/>
      <i/>
      <sz val="8"/>
      <color rgb="FFFF0000"/>
      <name val="Arial"/>
      <family val="2"/>
    </font>
    <font>
      <i/>
      <sz val="8"/>
      <name val="Arial"/>
      <family val="2"/>
    </font>
    <font>
      <b/>
      <i/>
      <sz val="8"/>
      <name val="Arial"/>
      <family val="2"/>
    </font>
    <font>
      <i/>
      <sz val="9"/>
      <color theme="0" tint="-0.249977111117893"/>
      <name val="Arial"/>
      <family val="2"/>
    </font>
    <font>
      <sz val="8"/>
      <color theme="0" tint="-0.249977111117893"/>
      <name val="Arial"/>
      <family val="2"/>
    </font>
    <font>
      <b/>
      <sz val="8"/>
      <color theme="1"/>
      <name val="Arial"/>
      <family val="2"/>
    </font>
    <font>
      <sz val="10"/>
      <color indexed="10"/>
      <name val="Arial"/>
      <family val="2"/>
    </font>
    <font>
      <b/>
      <sz val="10"/>
      <name val="Arial"/>
      <family val="2"/>
    </font>
    <font>
      <sz val="10"/>
      <color indexed="8"/>
      <name val="Arial"/>
      <family val="2"/>
    </font>
    <font>
      <sz val="8"/>
      <color indexed="8"/>
      <name val="Arial"/>
      <family val="2"/>
    </font>
    <font>
      <b/>
      <u/>
      <sz val="16"/>
      <name val="Arial"/>
      <family val="2"/>
    </font>
    <font>
      <b/>
      <sz val="8"/>
      <color theme="1"/>
      <name val="Calibri"/>
      <family val="2"/>
      <scheme val="minor"/>
    </font>
    <font>
      <b/>
      <sz val="11"/>
      <name val="Arial"/>
      <family val="2"/>
    </font>
    <font>
      <sz val="8"/>
      <color theme="1"/>
      <name val="Arial"/>
      <family val="2"/>
    </font>
    <font>
      <b/>
      <sz val="8"/>
      <color indexed="17"/>
      <name val="Arial"/>
      <family val="2"/>
    </font>
    <font>
      <sz val="7.5"/>
      <color theme="1"/>
      <name val="Arial"/>
      <family val="2"/>
    </font>
    <font>
      <sz val="7.5"/>
      <name val="Arial"/>
      <family val="2"/>
    </font>
    <font>
      <b/>
      <sz val="10"/>
      <name val="Calibri"/>
      <family val="2"/>
      <scheme val="minor"/>
    </font>
    <font>
      <b/>
      <sz val="12"/>
      <name val="Arial"/>
      <family val="2"/>
    </font>
    <font>
      <sz val="10"/>
      <color theme="1"/>
      <name val="Arial"/>
      <family val="2"/>
    </font>
    <font>
      <i/>
      <sz val="9"/>
      <name val="Arial"/>
      <family val="2"/>
    </font>
    <font>
      <sz val="8"/>
      <name val="Calibri"/>
      <family val="2"/>
      <scheme val="minor"/>
    </font>
    <font>
      <sz val="9"/>
      <color theme="0" tint="-0.249977111117893"/>
      <name val="Segoe UI"/>
      <family val="2"/>
    </font>
    <font>
      <sz val="9"/>
      <color theme="0" tint="-0.14999847407452621"/>
      <name val="Arial"/>
      <family val="2"/>
    </font>
    <font>
      <sz val="10"/>
      <name val="Calibri"/>
      <family val="2"/>
    </font>
  </fonts>
  <fills count="10">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FF"/>
        <bgColor rgb="FF000000"/>
      </patternFill>
    </fill>
    <fill>
      <patternFill patternType="solid">
        <fgColor rgb="FFB7DEE8"/>
        <bgColor rgb="FF000000"/>
      </patternFill>
    </fill>
    <fill>
      <patternFill patternType="solid">
        <fgColor theme="9" tint="0.79998168889431442"/>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rgb="FF808080"/>
      </top>
      <bottom/>
      <diagonal/>
    </border>
    <border>
      <left style="thin">
        <color indexed="64"/>
      </left>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medium">
        <color theme="0" tint="-0.499984740745262"/>
      </left>
      <right/>
      <top/>
      <bottom/>
      <diagonal/>
    </border>
    <border>
      <left style="thin">
        <color indexed="64"/>
      </left>
      <right/>
      <top style="thin">
        <color theme="0" tint="-0.499984740745262"/>
      </top>
      <bottom/>
      <diagonal/>
    </border>
    <border>
      <left style="thin">
        <color indexed="64"/>
      </left>
      <right style="medium">
        <color theme="0" tint="-0.499984740745262"/>
      </right>
      <top style="thin">
        <color indexed="64"/>
      </top>
      <bottom style="thin">
        <color indexed="64"/>
      </bottom>
      <diagonal/>
    </border>
    <border>
      <left style="thin">
        <color indexed="64"/>
      </left>
      <right/>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medium">
        <color theme="0" tint="-0.499984740745262"/>
      </left>
      <right/>
      <top/>
      <bottom style="thin">
        <color theme="0" tint="-0.499984740745262"/>
      </bottom>
      <diagonal/>
    </border>
  </borders>
  <cellStyleXfs count="15">
    <xf numFmtId="0" fontId="0"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6" fillId="0" borderId="0"/>
    <xf numFmtId="0" fontId="32" fillId="0" borderId="0"/>
    <xf numFmtId="0" fontId="5" fillId="0" borderId="0"/>
    <xf numFmtId="0" fontId="5" fillId="0" borderId="0"/>
    <xf numFmtId="0" fontId="42" fillId="0" borderId="0" applyNumberFormat="0" applyFill="0" applyBorder="0" applyAlignment="0" applyProtection="0"/>
    <xf numFmtId="0" fontId="43" fillId="6" borderId="0"/>
    <xf numFmtId="0" fontId="31" fillId="0" borderId="0" applyNumberFormat="0" applyFill="0" applyAlignment="0" applyProtection="0"/>
    <xf numFmtId="0" fontId="5" fillId="0" borderId="0"/>
    <xf numFmtId="0" fontId="32" fillId="0" borderId="0"/>
    <xf numFmtId="0" fontId="6" fillId="0" borderId="0"/>
    <xf numFmtId="0" fontId="5" fillId="0" borderId="0"/>
  </cellStyleXfs>
  <cellXfs count="443">
    <xf numFmtId="0" fontId="0" fillId="0" borderId="0" xfId="0"/>
    <xf numFmtId="0" fontId="1" fillId="0" borderId="0" xfId="0" applyFont="1"/>
    <xf numFmtId="0" fontId="5" fillId="6" borderId="0" xfId="3" applyFill="1"/>
    <xf numFmtId="0" fontId="5" fillId="6" borderId="9" xfId="3" applyFill="1" applyBorder="1"/>
    <xf numFmtId="0" fontId="7" fillId="6" borderId="9" xfId="4" applyFont="1" applyFill="1" applyBorder="1" applyAlignment="1">
      <alignment vertical="top"/>
    </xf>
    <xf numFmtId="0" fontId="8" fillId="6" borderId="9" xfId="4" applyFont="1" applyFill="1" applyBorder="1"/>
    <xf numFmtId="0" fontId="8" fillId="6" borderId="10" xfId="4" applyFont="1" applyFill="1" applyBorder="1"/>
    <xf numFmtId="0" fontId="5" fillId="6" borderId="8" xfId="3" applyFill="1" applyBorder="1"/>
    <xf numFmtId="0" fontId="11" fillId="6" borderId="0" xfId="4" applyFont="1" applyFill="1"/>
    <xf numFmtId="0" fontId="11" fillId="6" borderId="15" xfId="4" applyFont="1" applyFill="1" applyBorder="1"/>
    <xf numFmtId="0" fontId="12" fillId="6" borderId="0" xfId="4" applyFont="1" applyFill="1"/>
    <xf numFmtId="0" fontId="13" fillId="6" borderId="0" xfId="4" applyFont="1" applyFill="1" applyAlignment="1">
      <alignment horizontal="left" wrapText="1"/>
    </xf>
    <xf numFmtId="3" fontId="14" fillId="6" borderId="0" xfId="4" applyNumberFormat="1" applyFont="1" applyFill="1" applyAlignment="1">
      <alignment horizontal="center" wrapText="1"/>
    </xf>
    <xf numFmtId="3" fontId="13" fillId="6" borderId="0" xfId="4" applyNumberFormat="1" applyFont="1" applyFill="1" applyAlignment="1">
      <alignment horizontal="right" wrapText="1"/>
    </xf>
    <xf numFmtId="9" fontId="14" fillId="6" borderId="0" xfId="4" applyNumberFormat="1" applyFont="1" applyFill="1" applyAlignment="1">
      <alignment horizontal="center" wrapText="1"/>
    </xf>
    <xf numFmtId="0" fontId="15" fillId="6" borderId="0" xfId="4" applyFont="1" applyFill="1"/>
    <xf numFmtId="0" fontId="16" fillId="6" borderId="14" xfId="4" applyFont="1" applyFill="1" applyBorder="1"/>
    <xf numFmtId="0" fontId="8" fillId="6" borderId="14" xfId="4" applyFont="1" applyFill="1" applyBorder="1"/>
    <xf numFmtId="0" fontId="17" fillId="6" borderId="0" xfId="4" applyFont="1" applyFill="1"/>
    <xf numFmtId="0" fontId="18" fillId="5" borderId="3" xfId="4" applyFont="1" applyFill="1" applyBorder="1" applyAlignment="1">
      <alignment horizontal="center" vertical="top" wrapText="1"/>
    </xf>
    <xf numFmtId="0" fontId="18" fillId="5" borderId="5" xfId="4" applyFont="1" applyFill="1" applyBorder="1" applyAlignment="1">
      <alignment horizontal="center" vertical="top" wrapText="1"/>
    </xf>
    <xf numFmtId="3" fontId="17" fillId="6" borderId="0" xfId="4" applyNumberFormat="1" applyFont="1" applyFill="1"/>
    <xf numFmtId="0" fontId="20" fillId="6" borderId="0" xfId="4" applyFont="1" applyFill="1"/>
    <xf numFmtId="0" fontId="21" fillId="6" borderId="0" xfId="4" applyFont="1" applyFill="1" applyAlignment="1">
      <alignment horizontal="left" wrapText="1"/>
    </xf>
    <xf numFmtId="3" fontId="22" fillId="6" borderId="0" xfId="4" applyNumberFormat="1" applyFont="1" applyFill="1" applyAlignment="1">
      <alignment horizontal="center" wrapText="1"/>
    </xf>
    <xf numFmtId="3" fontId="21" fillId="6" borderId="0" xfId="4" applyNumberFormat="1" applyFont="1" applyFill="1" applyAlignment="1">
      <alignment horizontal="right" wrapText="1"/>
    </xf>
    <xf numFmtId="9" fontId="21" fillId="6" borderId="0" xfId="1" applyFont="1" applyFill="1" applyBorder="1" applyAlignment="1">
      <alignment horizontal="right" wrapText="1"/>
    </xf>
    <xf numFmtId="9" fontId="22" fillId="6" borderId="0" xfId="4" applyNumberFormat="1" applyFont="1" applyFill="1" applyAlignment="1">
      <alignment horizontal="center" wrapText="1"/>
    </xf>
    <xf numFmtId="0" fontId="23" fillId="6" borderId="0" xfId="3" applyFont="1" applyFill="1" applyAlignment="1">
      <alignment horizontal="center" vertical="center" wrapText="1"/>
    </xf>
    <xf numFmtId="0" fontId="23" fillId="6" borderId="0" xfId="3" applyFont="1" applyFill="1" applyAlignment="1">
      <alignment horizontal="left" vertical="center" wrapText="1"/>
    </xf>
    <xf numFmtId="164" fontId="24" fillId="6" borderId="0" xfId="3" applyNumberFormat="1" applyFont="1" applyFill="1" applyAlignment="1">
      <alignment horizontal="right" vertical="center" wrapText="1"/>
    </xf>
    <xf numFmtId="0" fontId="19" fillId="6" borderId="0" xfId="4" applyFont="1" applyFill="1"/>
    <xf numFmtId="0" fontId="19" fillId="6" borderId="15" xfId="4" applyFont="1" applyFill="1" applyBorder="1"/>
    <xf numFmtId="0" fontId="5" fillId="7" borderId="0" xfId="0" applyFont="1" applyFill="1"/>
    <xf numFmtId="0" fontId="5" fillId="7" borderId="8" xfId="0" applyFont="1" applyFill="1" applyBorder="1"/>
    <xf numFmtId="0" fontId="16" fillId="7" borderId="0" xfId="0" applyFont="1" applyFill="1"/>
    <xf numFmtId="0" fontId="16" fillId="6" borderId="0" xfId="4" applyFont="1" applyFill="1"/>
    <xf numFmtId="0" fontId="8" fillId="7" borderId="0" xfId="0" applyFont="1" applyFill="1"/>
    <xf numFmtId="0" fontId="19" fillId="7" borderId="0" xfId="0" applyFont="1" applyFill="1"/>
    <xf numFmtId="0" fontId="19" fillId="7" borderId="15" xfId="0" applyFont="1" applyFill="1" applyBorder="1"/>
    <xf numFmtId="0" fontId="5" fillId="7" borderId="7" xfId="0" applyFont="1" applyFill="1" applyBorder="1"/>
    <xf numFmtId="0" fontId="19" fillId="7" borderId="19" xfId="0" applyFont="1" applyFill="1" applyBorder="1" applyAlignment="1">
      <alignment horizontal="center" vertical="center" wrapText="1"/>
    </xf>
    <xf numFmtId="9" fontId="19" fillId="7" borderId="0" xfId="1" applyFont="1" applyFill="1" applyBorder="1"/>
    <xf numFmtId="0" fontId="25" fillId="7" borderId="0" xfId="0" applyFont="1" applyFill="1" applyAlignment="1">
      <alignment horizontal="center" vertical="center" wrapText="1"/>
    </xf>
    <xf numFmtId="165" fontId="26" fillId="6" borderId="0" xfId="3" applyNumberFormat="1" applyFont="1" applyFill="1" applyAlignment="1">
      <alignment horizontal="right" vertical="center" wrapText="1"/>
    </xf>
    <xf numFmtId="0" fontId="27" fillId="6" borderId="0" xfId="4" applyFont="1" applyFill="1"/>
    <xf numFmtId="0" fontId="28" fillId="6" borderId="0" xfId="3" applyFont="1" applyFill="1" applyAlignment="1">
      <alignment horizontal="center" vertical="center" wrapText="1"/>
    </xf>
    <xf numFmtId="0" fontId="28" fillId="6" borderId="0" xfId="3" applyFont="1" applyFill="1" applyAlignment="1">
      <alignment horizontal="left" vertical="center" wrapText="1"/>
    </xf>
    <xf numFmtId="0" fontId="28" fillId="6" borderId="0" xfId="3" applyFont="1" applyFill="1" applyAlignment="1">
      <alignment horizontal="right" vertical="center" wrapText="1"/>
    </xf>
    <xf numFmtId="0" fontId="5" fillId="6" borderId="7" xfId="3" applyFill="1" applyBorder="1"/>
    <xf numFmtId="0" fontId="30" fillId="6" borderId="0" xfId="3" applyFont="1" applyFill="1"/>
    <xf numFmtId="0" fontId="30" fillId="6" borderId="7" xfId="3" applyFont="1" applyFill="1" applyBorder="1"/>
    <xf numFmtId="3" fontId="11" fillId="6" borderId="0" xfId="4" applyNumberFormat="1" applyFont="1" applyFill="1"/>
    <xf numFmtId="3" fontId="19" fillId="6" borderId="0" xfId="4" applyNumberFormat="1" applyFont="1" applyFill="1"/>
    <xf numFmtId="0" fontId="31" fillId="6" borderId="0" xfId="4" applyFont="1" applyFill="1" applyAlignment="1">
      <alignment wrapText="1"/>
    </xf>
    <xf numFmtId="0" fontId="19" fillId="6" borderId="0" xfId="5" applyFont="1" applyFill="1"/>
    <xf numFmtId="0" fontId="19" fillId="6" borderId="0" xfId="5" applyFont="1" applyFill="1" applyAlignment="1">
      <alignment wrapText="1"/>
    </xf>
    <xf numFmtId="3" fontId="19" fillId="6" borderId="0" xfId="5" applyNumberFormat="1" applyFont="1" applyFill="1" applyAlignment="1">
      <alignment horizontal="center"/>
    </xf>
    <xf numFmtId="0" fontId="32" fillId="6" borderId="0" xfId="5" applyFill="1"/>
    <xf numFmtId="0" fontId="32" fillId="6" borderId="15" xfId="5" applyFill="1" applyBorder="1"/>
    <xf numFmtId="0" fontId="8" fillId="6" borderId="0" xfId="4" applyFont="1" applyFill="1"/>
    <xf numFmtId="0" fontId="6" fillId="6" borderId="0" xfId="4" applyFill="1"/>
    <xf numFmtId="0" fontId="18" fillId="5" borderId="25" xfId="4" applyFont="1" applyFill="1" applyBorder="1" applyAlignment="1">
      <alignment horizontal="center"/>
    </xf>
    <xf numFmtId="3" fontId="18" fillId="5" borderId="25" xfId="4" applyNumberFormat="1" applyFont="1" applyFill="1" applyBorder="1" applyAlignment="1">
      <alignment horizontal="right"/>
    </xf>
    <xf numFmtId="0" fontId="5" fillId="6" borderId="13" xfId="3" applyFill="1" applyBorder="1"/>
    <xf numFmtId="0" fontId="33" fillId="6" borderId="14" xfId="5" applyFont="1" applyFill="1" applyBorder="1"/>
    <xf numFmtId="0" fontId="32" fillId="6" borderId="14" xfId="5" applyFill="1" applyBorder="1"/>
    <xf numFmtId="0" fontId="32" fillId="6" borderId="4" xfId="5" applyFill="1" applyBorder="1"/>
    <xf numFmtId="0" fontId="5" fillId="6" borderId="11" xfId="3" applyFill="1" applyBorder="1"/>
    <xf numFmtId="0" fontId="32" fillId="6" borderId="9" xfId="5" applyFill="1" applyBorder="1"/>
    <xf numFmtId="0" fontId="32" fillId="6" borderId="12" xfId="5" applyFill="1" applyBorder="1"/>
    <xf numFmtId="0" fontId="16" fillId="6" borderId="0" xfId="5" applyFont="1" applyFill="1"/>
    <xf numFmtId="0" fontId="8" fillId="6" borderId="0" xfId="5" applyFont="1" applyFill="1"/>
    <xf numFmtId="0" fontId="19" fillId="6" borderId="0" xfId="5" applyFont="1" applyFill="1" applyAlignment="1">
      <alignment horizontal="center" vertical="center"/>
    </xf>
    <xf numFmtId="0" fontId="8" fillId="6" borderId="0" xfId="5" applyFont="1" applyFill="1" applyAlignment="1">
      <alignment horizontal="center" vertical="center"/>
    </xf>
    <xf numFmtId="0" fontId="32" fillId="6" borderId="0" xfId="5" applyFill="1" applyAlignment="1">
      <alignment horizontal="center" vertical="center"/>
    </xf>
    <xf numFmtId="0" fontId="32" fillId="6" borderId="15" xfId="5" applyFill="1" applyBorder="1" applyAlignment="1">
      <alignment horizontal="center" vertical="center"/>
    </xf>
    <xf numFmtId="3" fontId="19" fillId="6" borderId="0" xfId="5" applyNumberFormat="1" applyFont="1" applyFill="1" applyAlignment="1">
      <alignment horizontal="right" vertical="center"/>
    </xf>
    <xf numFmtId="3" fontId="33" fillId="6" borderId="0" xfId="5" applyNumberFormat="1" applyFont="1" applyFill="1" applyAlignment="1">
      <alignment horizontal="right" vertical="center"/>
    </xf>
    <xf numFmtId="0" fontId="5" fillId="6" borderId="15" xfId="3" applyFill="1" applyBorder="1"/>
    <xf numFmtId="0" fontId="18" fillId="6" borderId="0" xfId="4" applyFont="1" applyFill="1"/>
    <xf numFmtId="3" fontId="18" fillId="6" borderId="0" xfId="4" applyNumberFormat="1" applyFont="1" applyFill="1" applyAlignment="1">
      <alignment horizontal="right"/>
    </xf>
    <xf numFmtId="0" fontId="5" fillId="6" borderId="14" xfId="3" applyFill="1" applyBorder="1"/>
    <xf numFmtId="0" fontId="5" fillId="6" borderId="4" xfId="3" applyFill="1" applyBorder="1"/>
    <xf numFmtId="0" fontId="5" fillId="6" borderId="12" xfId="3" applyFill="1" applyBorder="1"/>
    <xf numFmtId="0" fontId="34" fillId="6" borderId="0" xfId="4" applyFont="1" applyFill="1" applyAlignment="1">
      <alignment horizontal="left" indent="1"/>
    </xf>
    <xf numFmtId="0" fontId="18" fillId="5" borderId="28" xfId="4" applyFont="1" applyFill="1" applyBorder="1" applyAlignment="1">
      <alignment horizontal="center"/>
    </xf>
    <xf numFmtId="0" fontId="19" fillId="6" borderId="29" xfId="4" applyFont="1" applyFill="1" applyBorder="1"/>
    <xf numFmtId="3" fontId="19" fillId="6" borderId="28" xfId="4" applyNumberFormat="1" applyFont="1" applyFill="1" applyBorder="1" applyAlignment="1">
      <alignment horizontal="right"/>
    </xf>
    <xf numFmtId="9" fontId="19" fillId="6" borderId="28" xfId="4" applyNumberFormat="1" applyFont="1" applyFill="1" applyBorder="1" applyAlignment="1">
      <alignment horizontal="right"/>
    </xf>
    <xf numFmtId="0" fontId="19" fillId="6" borderId="29" xfId="5" applyFont="1" applyFill="1" applyBorder="1"/>
    <xf numFmtId="0" fontId="14" fillId="6" borderId="0" xfId="4" applyFont="1" applyFill="1" applyAlignment="1">
      <alignment horizontal="center"/>
    </xf>
    <xf numFmtId="3" fontId="19" fillId="6" borderId="28" xfId="5" applyNumberFormat="1" applyFont="1" applyFill="1" applyBorder="1" applyAlignment="1">
      <alignment horizontal="right"/>
    </xf>
    <xf numFmtId="0" fontId="35" fillId="6" borderId="0" xfId="0" applyFont="1" applyFill="1"/>
    <xf numFmtId="0" fontId="13" fillId="6" borderId="0" xfId="4" applyFont="1" applyFill="1"/>
    <xf numFmtId="3" fontId="13" fillId="6" borderId="0" xfId="4" applyNumberFormat="1" applyFont="1" applyFill="1" applyAlignment="1">
      <alignment horizontal="right"/>
    </xf>
    <xf numFmtId="0" fontId="14" fillId="6" borderId="0" xfId="4" applyFont="1" applyFill="1"/>
    <xf numFmtId="3" fontId="14" fillId="6" borderId="0" xfId="4" applyNumberFormat="1" applyFont="1" applyFill="1" applyAlignment="1">
      <alignment horizontal="right"/>
    </xf>
    <xf numFmtId="0" fontId="6" fillId="6" borderId="14" xfId="4" applyFill="1" applyBorder="1"/>
    <xf numFmtId="0" fontId="6" fillId="6" borderId="9" xfId="4" applyFill="1" applyBorder="1"/>
    <xf numFmtId="9" fontId="19" fillId="6" borderId="0" xfId="1" applyFont="1" applyFill="1" applyBorder="1" applyAlignment="1">
      <alignment horizontal="center"/>
    </xf>
    <xf numFmtId="0" fontId="19" fillId="6" borderId="28" xfId="3" applyFont="1" applyFill="1" applyBorder="1" applyAlignment="1">
      <alignment horizontal="center"/>
    </xf>
    <xf numFmtId="9" fontId="19" fillId="6" borderId="28" xfId="1" applyFont="1" applyFill="1" applyBorder="1" applyAlignment="1">
      <alignment horizontal="center"/>
    </xf>
    <xf numFmtId="0" fontId="19" fillId="6" borderId="0" xfId="3" applyFont="1" applyFill="1" applyAlignment="1">
      <alignment horizontal="left"/>
    </xf>
    <xf numFmtId="0" fontId="18" fillId="5" borderId="28" xfId="3" applyFont="1" applyFill="1" applyBorder="1" applyAlignment="1">
      <alignment horizontal="center"/>
    </xf>
    <xf numFmtId="166" fontId="19" fillId="6" borderId="28" xfId="2" applyNumberFormat="1" applyFont="1" applyFill="1" applyBorder="1" applyAlignment="1">
      <alignment horizontal="center" vertical="center"/>
    </xf>
    <xf numFmtId="9" fontId="21" fillId="6" borderId="0" xfId="1" applyFont="1" applyFill="1" applyBorder="1" applyAlignment="1">
      <alignment horizontal="center"/>
    </xf>
    <xf numFmtId="0" fontId="18" fillId="6" borderId="28" xfId="3" applyFont="1" applyFill="1" applyBorder="1" applyAlignment="1">
      <alignment horizontal="center"/>
    </xf>
    <xf numFmtId="166" fontId="18" fillId="5" borderId="28" xfId="2" applyNumberFormat="1" applyFont="1" applyFill="1" applyBorder="1" applyAlignment="1">
      <alignment horizontal="center" vertical="center"/>
    </xf>
    <xf numFmtId="9" fontId="18" fillId="5" borderId="28" xfId="1" applyFont="1" applyFill="1" applyBorder="1" applyAlignment="1">
      <alignment horizontal="center"/>
    </xf>
    <xf numFmtId="0" fontId="36" fillId="6" borderId="0" xfId="4" applyFont="1" applyFill="1"/>
    <xf numFmtId="3" fontId="18" fillId="6" borderId="25" xfId="4" applyNumberFormat="1" applyFont="1" applyFill="1" applyBorder="1" applyAlignment="1">
      <alignment horizontal="right"/>
    </xf>
    <xf numFmtId="3" fontId="18" fillId="0" borderId="25" xfId="4" applyNumberFormat="1" applyFont="1" applyBorder="1" applyAlignment="1">
      <alignment horizontal="right"/>
    </xf>
    <xf numFmtId="3" fontId="19" fillId="6" borderId="0" xfId="4" applyNumberFormat="1" applyFont="1" applyFill="1" applyAlignment="1">
      <alignment horizontal="center"/>
    </xf>
    <xf numFmtId="1" fontId="18" fillId="6" borderId="0" xfId="4" applyNumberFormat="1" applyFont="1" applyFill="1" applyAlignment="1">
      <alignment horizontal="right"/>
    </xf>
    <xf numFmtId="3" fontId="8" fillId="6" borderId="0" xfId="4" applyNumberFormat="1" applyFont="1" applyFill="1" applyAlignment="1">
      <alignment horizontal="center"/>
    </xf>
    <xf numFmtId="0" fontId="19" fillId="5" borderId="25" xfId="4" applyFont="1" applyFill="1" applyBorder="1" applyAlignment="1">
      <alignment horizontal="center" vertical="top"/>
    </xf>
    <xf numFmtId="0" fontId="19" fillId="5" borderId="25" xfId="4" applyFont="1" applyFill="1" applyBorder="1" applyAlignment="1">
      <alignment horizontal="center" vertical="top" wrapText="1"/>
    </xf>
    <xf numFmtId="1" fontId="18" fillId="5" borderId="25" xfId="4" applyNumberFormat="1" applyFont="1" applyFill="1" applyBorder="1" applyAlignment="1">
      <alignment horizontal="right"/>
    </xf>
    <xf numFmtId="0" fontId="18" fillId="6" borderId="0" xfId="4" applyFont="1" applyFill="1" applyAlignment="1">
      <alignment horizontal="left"/>
    </xf>
    <xf numFmtId="0" fontId="18" fillId="6" borderId="14" xfId="4" applyFont="1" applyFill="1" applyBorder="1" applyAlignment="1">
      <alignment horizontal="left"/>
    </xf>
    <xf numFmtId="3" fontId="18" fillId="6" borderId="14" xfId="4" applyNumberFormat="1" applyFont="1" applyFill="1" applyBorder="1" applyAlignment="1">
      <alignment horizontal="right"/>
    </xf>
    <xf numFmtId="1" fontId="18" fillId="6" borderId="14" xfId="4" applyNumberFormat="1" applyFont="1" applyFill="1" applyBorder="1" applyAlignment="1">
      <alignment horizontal="right"/>
    </xf>
    <xf numFmtId="3" fontId="8" fillId="6" borderId="14" xfId="4" applyNumberFormat="1" applyFont="1" applyFill="1" applyBorder="1" applyAlignment="1">
      <alignment horizontal="center"/>
    </xf>
    <xf numFmtId="0" fontId="18" fillId="6" borderId="9" xfId="4" applyFont="1" applyFill="1" applyBorder="1" applyAlignment="1">
      <alignment horizontal="left"/>
    </xf>
    <xf numFmtId="0" fontId="18" fillId="6" borderId="9" xfId="4" applyFont="1" applyFill="1" applyBorder="1"/>
    <xf numFmtId="3" fontId="38" fillId="6" borderId="9" xfId="4" applyNumberFormat="1" applyFont="1" applyFill="1" applyBorder="1" applyAlignment="1">
      <alignment horizontal="center"/>
    </xf>
    <xf numFmtId="0" fontId="19" fillId="5" borderId="25" xfId="4" applyFont="1" applyFill="1" applyBorder="1" applyAlignment="1">
      <alignment horizontal="center"/>
    </xf>
    <xf numFmtId="0" fontId="16" fillId="6" borderId="0" xfId="4" applyFont="1" applyFill="1" applyAlignment="1">
      <alignment horizontal="left"/>
    </xf>
    <xf numFmtId="9" fontId="18" fillId="5" borderId="25" xfId="4" applyNumberFormat="1" applyFont="1" applyFill="1" applyBorder="1" applyAlignment="1">
      <alignment horizontal="right"/>
    </xf>
    <xf numFmtId="9" fontId="8" fillId="6" borderId="0" xfId="4" applyNumberFormat="1" applyFont="1" applyFill="1" applyAlignment="1">
      <alignment horizontal="center"/>
    </xf>
    <xf numFmtId="3" fontId="8" fillId="6" borderId="0" xfId="4" applyNumberFormat="1" applyFont="1" applyFill="1"/>
    <xf numFmtId="9" fontId="8" fillId="6" borderId="14" xfId="4" applyNumberFormat="1" applyFont="1" applyFill="1" applyBorder="1" applyAlignment="1">
      <alignment horizontal="center"/>
    </xf>
    <xf numFmtId="9" fontId="8" fillId="6" borderId="9" xfId="4" applyNumberFormat="1" applyFont="1" applyFill="1" applyBorder="1" applyAlignment="1">
      <alignment horizontal="center"/>
    </xf>
    <xf numFmtId="9" fontId="8" fillId="6" borderId="0" xfId="4" applyNumberFormat="1" applyFont="1" applyFill="1" applyAlignment="1">
      <alignment horizontal="left"/>
    </xf>
    <xf numFmtId="0" fontId="39" fillId="5" borderId="5" xfId="0" applyFont="1" applyFill="1" applyBorder="1" applyAlignment="1">
      <alignment horizontal="center" vertical="top" wrapText="1"/>
    </xf>
    <xf numFmtId="0" fontId="40" fillId="5" borderId="5" xfId="0" applyFont="1" applyFill="1" applyBorder="1" applyAlignment="1">
      <alignment horizontal="center" vertical="top" wrapText="1"/>
    </xf>
    <xf numFmtId="0" fontId="18" fillId="5" borderId="5" xfId="0" applyFont="1" applyFill="1" applyBorder="1" applyAlignment="1">
      <alignment horizontal="center" vertical="top" wrapText="1"/>
    </xf>
    <xf numFmtId="166" fontId="19" fillId="0" borderId="5" xfId="2" applyNumberFormat="1" applyFont="1" applyFill="1" applyBorder="1" applyAlignment="1">
      <alignment horizontal="center" vertical="center" wrapText="1"/>
    </xf>
    <xf numFmtId="166" fontId="18" fillId="0" borderId="5" xfId="2" applyNumberFormat="1" applyFont="1" applyFill="1" applyBorder="1" applyAlignment="1">
      <alignment horizontal="center" vertical="center" wrapText="1"/>
    </xf>
    <xf numFmtId="166" fontId="18" fillId="5" borderId="5" xfId="2" applyNumberFormat="1" applyFont="1" applyFill="1" applyBorder="1" applyAlignment="1">
      <alignment horizontal="center" vertical="center" wrapText="1"/>
    </xf>
    <xf numFmtId="0" fontId="4" fillId="0" borderId="0" xfId="0" applyFont="1"/>
    <xf numFmtId="0" fontId="4" fillId="0" borderId="0" xfId="6" applyFont="1"/>
    <xf numFmtId="0" fontId="4" fillId="0" borderId="0" xfId="7" applyFont="1"/>
    <xf numFmtId="0" fontId="41" fillId="0" borderId="0" xfId="0" applyFont="1"/>
    <xf numFmtId="1" fontId="4" fillId="0" borderId="0" xfId="0" applyNumberFormat="1" applyFont="1"/>
    <xf numFmtId="0" fontId="4" fillId="0" borderId="0" xfId="0" applyFont="1" applyAlignment="1">
      <alignment horizontal="left"/>
    </xf>
    <xf numFmtId="49" fontId="18" fillId="5" borderId="5" xfId="4" applyNumberFormat="1" applyFont="1" applyFill="1" applyBorder="1" applyAlignment="1">
      <alignment horizontal="center" vertical="center" wrapText="1"/>
    </xf>
    <xf numFmtId="3" fontId="19" fillId="6" borderId="31" xfId="4" applyNumberFormat="1" applyFont="1" applyFill="1" applyBorder="1" applyAlignment="1">
      <alignment horizontal="right"/>
    </xf>
    <xf numFmtId="9" fontId="19" fillId="6" borderId="31" xfId="4" applyNumberFormat="1" applyFont="1" applyFill="1" applyBorder="1" applyAlignment="1">
      <alignment horizontal="right"/>
    </xf>
    <xf numFmtId="3" fontId="19" fillId="0" borderId="31" xfId="5" applyNumberFormat="1" applyFont="1" applyBorder="1" applyAlignment="1">
      <alignment horizontal="right"/>
    </xf>
    <xf numFmtId="0" fontId="18" fillId="5" borderId="5" xfId="4" applyFont="1" applyFill="1" applyBorder="1"/>
    <xf numFmtId="3" fontId="18" fillId="5" borderId="5" xfId="4" applyNumberFormat="1" applyFont="1" applyFill="1" applyBorder="1" applyAlignment="1">
      <alignment horizontal="right"/>
    </xf>
    <xf numFmtId="9" fontId="18" fillId="5" borderId="5" xfId="4" applyNumberFormat="1" applyFont="1" applyFill="1" applyBorder="1" applyAlignment="1">
      <alignment horizontal="right"/>
    </xf>
    <xf numFmtId="0" fontId="19" fillId="6" borderId="45" xfId="5" applyFont="1" applyFill="1" applyBorder="1" applyAlignment="1">
      <alignment horizontal="left"/>
    </xf>
    <xf numFmtId="0" fontId="19" fillId="6" borderId="28" xfId="5" applyFont="1" applyFill="1" applyBorder="1" applyAlignment="1">
      <alignment horizontal="left"/>
    </xf>
    <xf numFmtId="0" fontId="16" fillId="6" borderId="0" xfId="11" applyFont="1" applyFill="1" applyAlignment="1">
      <alignment horizontal="left"/>
    </xf>
    <xf numFmtId="0" fontId="8" fillId="6" borderId="0" xfId="11" applyFont="1" applyFill="1"/>
    <xf numFmtId="0" fontId="8" fillId="6" borderId="0" xfId="11" applyFont="1" applyFill="1" applyAlignment="1">
      <alignment horizontal="right"/>
    </xf>
    <xf numFmtId="3" fontId="25" fillId="2" borderId="9" xfId="13" applyNumberFormat="1" applyFont="1" applyFill="1" applyBorder="1" applyAlignment="1">
      <alignment horizontal="center" vertical="center"/>
    </xf>
    <xf numFmtId="3" fontId="25" fillId="2" borderId="10" xfId="13" applyNumberFormat="1" applyFont="1" applyFill="1" applyBorder="1" applyAlignment="1">
      <alignment horizontal="center" vertical="center"/>
    </xf>
    <xf numFmtId="3" fontId="25" fillId="2" borderId="6" xfId="13" applyNumberFormat="1" applyFont="1" applyFill="1" applyBorder="1" applyAlignment="1">
      <alignment horizontal="center" vertical="center"/>
    </xf>
    <xf numFmtId="0" fontId="1" fillId="6" borderId="0" xfId="0" applyFont="1" applyFill="1" applyAlignment="1">
      <alignment horizontal="left" vertical="top" wrapText="1"/>
    </xf>
    <xf numFmtId="0" fontId="1" fillId="6" borderId="0" xfId="0" applyFont="1" applyFill="1" applyAlignment="1">
      <alignment horizontal="center" vertical="top" wrapText="1"/>
    </xf>
    <xf numFmtId="0" fontId="19" fillId="2" borderId="16" xfId="12" applyFont="1" applyFill="1" applyBorder="1" applyAlignment="1">
      <alignment vertical="center" wrapText="1"/>
    </xf>
    <xf numFmtId="0" fontId="19" fillId="0" borderId="5" xfId="14" applyFont="1" applyBorder="1" applyAlignment="1">
      <alignment horizontal="center" vertical="center"/>
    </xf>
    <xf numFmtId="3" fontId="19" fillId="0" borderId="49" xfId="12" applyNumberFormat="1" applyFont="1" applyBorder="1" applyAlignment="1">
      <alignment horizontal="center" vertical="center"/>
    </xf>
    <xf numFmtId="3" fontId="19" fillId="0" borderId="5" xfId="12" applyNumberFormat="1" applyFont="1" applyBorder="1" applyAlignment="1">
      <alignment horizontal="center" vertical="center"/>
    </xf>
    <xf numFmtId="3" fontId="21" fillId="0" borderId="5" xfId="11" applyNumberFormat="1" applyFont="1" applyBorder="1" applyAlignment="1">
      <alignment horizontal="center" vertical="center"/>
    </xf>
    <xf numFmtId="0" fontId="21" fillId="0" borderId="5" xfId="14" applyFont="1" applyBorder="1" applyAlignment="1">
      <alignment horizontal="center" vertical="center"/>
    </xf>
    <xf numFmtId="0" fontId="22" fillId="0" borderId="5" xfId="14" applyFont="1" applyBorder="1" applyAlignment="1">
      <alignment horizontal="center" vertical="center"/>
    </xf>
    <xf numFmtId="1" fontId="21" fillId="0" borderId="49" xfId="14" applyNumberFormat="1" applyFont="1" applyBorder="1" applyAlignment="1">
      <alignment horizontal="center" vertical="center"/>
    </xf>
    <xf numFmtId="1" fontId="19" fillId="0" borderId="5" xfId="14" applyNumberFormat="1" applyFont="1" applyBorder="1" applyAlignment="1">
      <alignment horizontal="center" vertical="center"/>
    </xf>
    <xf numFmtId="3" fontId="19" fillId="0" borderId="5" xfId="13" applyNumberFormat="1" applyFont="1" applyBorder="1" applyAlignment="1">
      <alignment horizontal="center" vertical="center"/>
    </xf>
    <xf numFmtId="3" fontId="19" fillId="0" borderId="49" xfId="13" applyNumberFormat="1" applyFont="1" applyBorder="1" applyAlignment="1">
      <alignment horizontal="center" vertical="center"/>
    </xf>
    <xf numFmtId="0" fontId="19" fillId="2" borderId="16" xfId="12" applyFont="1" applyFill="1" applyBorder="1" applyAlignment="1">
      <alignment horizontal="left" vertical="center" wrapText="1"/>
    </xf>
    <xf numFmtId="0" fontId="17" fillId="6" borderId="0" xfId="11" applyFont="1" applyFill="1" applyAlignment="1">
      <alignment horizontal="right"/>
    </xf>
    <xf numFmtId="0" fontId="19" fillId="6" borderId="0" xfId="11" applyFont="1" applyFill="1" applyAlignment="1">
      <alignment horizontal="right"/>
    </xf>
    <xf numFmtId="3" fontId="18" fillId="0" borderId="5" xfId="4" applyNumberFormat="1" applyFont="1" applyBorder="1" applyAlignment="1">
      <alignment horizontal="center" wrapText="1"/>
    </xf>
    <xf numFmtId="3" fontId="19" fillId="0" borderId="5" xfId="4" applyNumberFormat="1" applyFont="1" applyBorder="1" applyAlignment="1">
      <alignment horizontal="center" wrapText="1"/>
    </xf>
    <xf numFmtId="9" fontId="18" fillId="0" borderId="3" xfId="4" applyNumberFormat="1" applyFont="1" applyBorder="1" applyAlignment="1">
      <alignment horizontal="center" wrapText="1"/>
    </xf>
    <xf numFmtId="3" fontId="19" fillId="0" borderId="25" xfId="4" applyNumberFormat="1" applyFont="1" applyBorder="1" applyAlignment="1">
      <alignment horizontal="right"/>
    </xf>
    <xf numFmtId="3" fontId="18" fillId="0" borderId="21" xfId="0" applyNumberFormat="1" applyFont="1" applyBorder="1" applyAlignment="1">
      <alignment horizontal="right" vertical="center" wrapText="1"/>
    </xf>
    <xf numFmtId="1" fontId="18" fillId="0" borderId="21" xfId="0" applyNumberFormat="1" applyFont="1" applyBorder="1" applyAlignment="1">
      <alignment horizontal="right" vertical="center" wrapText="1"/>
    </xf>
    <xf numFmtId="1" fontId="19" fillId="0" borderId="16" xfId="14" applyNumberFormat="1" applyFont="1" applyBorder="1" applyAlignment="1">
      <alignment horizontal="center" vertical="center"/>
    </xf>
    <xf numFmtId="1" fontId="19" fillId="0" borderId="6" xfId="14" applyNumberFormat="1" applyFont="1" applyBorder="1" applyAlignment="1">
      <alignment horizontal="center" vertical="center"/>
    </xf>
    <xf numFmtId="3" fontId="19" fillId="0" borderId="51" xfId="12" applyNumberFormat="1" applyFont="1" applyBorder="1" applyAlignment="1">
      <alignment horizontal="center" vertical="center"/>
    </xf>
    <xf numFmtId="3" fontId="25" fillId="2" borderId="12" xfId="13" applyNumberFormat="1" applyFont="1" applyFill="1" applyBorder="1" applyAlignment="1">
      <alignment horizontal="center" vertical="center"/>
    </xf>
    <xf numFmtId="0" fontId="19" fillId="6" borderId="0" xfId="3" applyFont="1" applyFill="1" applyAlignment="1">
      <alignment horizontal="left" vertical="center" wrapText="1"/>
    </xf>
    <xf numFmtId="0" fontId="25" fillId="6" borderId="0" xfId="3" applyFont="1" applyFill="1" applyAlignment="1">
      <alignment horizontal="left" vertical="center" wrapText="1"/>
    </xf>
    <xf numFmtId="0" fontId="44" fillId="6" borderId="0" xfId="4" applyFont="1" applyFill="1"/>
    <xf numFmtId="0" fontId="18" fillId="3" borderId="8" xfId="12" applyFont="1" applyFill="1" applyBorder="1" applyAlignment="1">
      <alignment horizontal="right" vertical="center" indent="3"/>
    </xf>
    <xf numFmtId="0" fontId="18" fillId="3" borderId="0" xfId="12" applyFont="1" applyFill="1" applyAlignment="1">
      <alignment horizontal="right" vertical="center" indent="3"/>
    </xf>
    <xf numFmtId="3" fontId="18" fillId="3" borderId="47" xfId="13" applyNumberFormat="1" applyFont="1" applyFill="1" applyBorder="1" applyAlignment="1">
      <alignment horizontal="center" vertical="center"/>
    </xf>
    <xf numFmtId="3" fontId="18" fillId="3" borderId="0" xfId="13" applyNumberFormat="1" applyFont="1" applyFill="1" applyAlignment="1">
      <alignment horizontal="center" vertical="center"/>
    </xf>
    <xf numFmtId="3" fontId="25" fillId="2" borderId="16" xfId="13" applyNumberFormat="1" applyFont="1" applyFill="1" applyBorder="1" applyAlignment="1">
      <alignment horizontal="center" vertical="center"/>
    </xf>
    <xf numFmtId="0" fontId="18" fillId="2" borderId="16" xfId="12" applyFont="1" applyFill="1" applyBorder="1" applyAlignment="1">
      <alignment horizontal="right" vertical="center"/>
    </xf>
    <xf numFmtId="0" fontId="18" fillId="2" borderId="10" xfId="12" applyFont="1" applyFill="1" applyBorder="1" applyAlignment="1">
      <alignment horizontal="right" vertical="center"/>
    </xf>
    <xf numFmtId="0" fontId="18" fillId="2" borderId="6" xfId="12" applyFont="1" applyFill="1" applyBorder="1" applyAlignment="1">
      <alignment horizontal="right" vertical="center"/>
    </xf>
    <xf numFmtId="0" fontId="8" fillId="6" borderId="5" xfId="11" applyFont="1" applyFill="1" applyBorder="1" applyAlignment="1">
      <alignment horizontal="right"/>
    </xf>
    <xf numFmtId="3" fontId="21" fillId="0" borderId="5" xfId="13" applyNumberFormat="1" applyFont="1" applyBorder="1" applyAlignment="1">
      <alignment horizontal="center" vertical="center"/>
    </xf>
    <xf numFmtId="3" fontId="19" fillId="0" borderId="5" xfId="11" applyNumberFormat="1" applyFont="1" applyBorder="1" applyAlignment="1">
      <alignment horizontal="center" vertical="center"/>
    </xf>
    <xf numFmtId="0" fontId="18" fillId="3" borderId="48" xfId="11" applyFont="1" applyFill="1" applyBorder="1" applyAlignment="1">
      <alignment vertical="center" wrapText="1"/>
    </xf>
    <xf numFmtId="3" fontId="18" fillId="0" borderId="5" xfId="12" applyNumberFormat="1" applyFont="1" applyBorder="1" applyAlignment="1">
      <alignment horizontal="center" vertical="center"/>
    </xf>
    <xf numFmtId="3" fontId="19" fillId="0" borderId="31" xfId="4" applyNumberFormat="1" applyFont="1" applyBorder="1" applyAlignment="1">
      <alignment horizontal="right"/>
    </xf>
    <xf numFmtId="9" fontId="19" fillId="0" borderId="31" xfId="4" applyNumberFormat="1" applyFont="1" applyBorder="1" applyAlignment="1">
      <alignment horizontal="right"/>
    </xf>
    <xf numFmtId="166" fontId="19" fillId="0" borderId="28" xfId="2" applyNumberFormat="1" applyFont="1" applyFill="1" applyBorder="1" applyAlignment="1">
      <alignment horizontal="center" vertical="center"/>
    </xf>
    <xf numFmtId="9" fontId="19" fillId="0" borderId="28" xfId="1" applyFont="1" applyFill="1" applyBorder="1" applyAlignment="1">
      <alignment horizontal="center"/>
    </xf>
    <xf numFmtId="3" fontId="19" fillId="0" borderId="25" xfId="5" applyNumberFormat="1" applyFont="1" applyBorder="1" applyAlignment="1">
      <alignment horizontal="right"/>
    </xf>
    <xf numFmtId="9" fontId="19" fillId="0" borderId="25" xfId="4" applyNumberFormat="1" applyFont="1" applyBorder="1" applyAlignment="1">
      <alignment horizontal="right"/>
    </xf>
    <xf numFmtId="165" fontId="18" fillId="0" borderId="25" xfId="3" applyNumberFormat="1" applyFont="1" applyBorder="1" applyAlignment="1">
      <alignment horizontal="right" vertical="center" wrapText="1"/>
    </xf>
    <xf numFmtId="0" fontId="8" fillId="3" borderId="8" xfId="11" applyFont="1" applyFill="1" applyBorder="1"/>
    <xf numFmtId="0" fontId="8" fillId="3" borderId="0" xfId="11" applyFont="1" applyFill="1" applyAlignment="1">
      <alignment horizontal="right"/>
    </xf>
    <xf numFmtId="3" fontId="18" fillId="3" borderId="4" xfId="13" applyNumberFormat="1" applyFont="1" applyFill="1" applyBorder="1" applyAlignment="1">
      <alignment horizontal="center" vertical="center"/>
    </xf>
    <xf numFmtId="3" fontId="18" fillId="0" borderId="5" xfId="13" applyNumberFormat="1" applyFont="1" applyBorder="1" applyAlignment="1">
      <alignment horizontal="center" vertical="center"/>
    </xf>
    <xf numFmtId="0" fontId="8" fillId="3" borderId="0" xfId="11" applyFont="1" applyFill="1"/>
    <xf numFmtId="0" fontId="8" fillId="3" borderId="15" xfId="11" applyFont="1" applyFill="1" applyBorder="1"/>
    <xf numFmtId="0" fontId="8" fillId="3" borderId="15" xfId="11" applyFont="1" applyFill="1" applyBorder="1" applyAlignment="1">
      <alignment horizontal="right"/>
    </xf>
    <xf numFmtId="3" fontId="18" fillId="3" borderId="8" xfId="13" applyNumberFormat="1" applyFont="1" applyFill="1" applyBorder="1" applyAlignment="1">
      <alignment vertical="center"/>
    </xf>
    <xf numFmtId="3" fontId="18" fillId="3" borderId="0" xfId="13" applyNumberFormat="1" applyFont="1" applyFill="1" applyAlignment="1">
      <alignment vertical="center"/>
    </xf>
    <xf numFmtId="3" fontId="18" fillId="3" borderId="15" xfId="13" applyNumberFormat="1" applyFont="1" applyFill="1" applyBorder="1" applyAlignment="1">
      <alignment vertical="center"/>
    </xf>
    <xf numFmtId="1" fontId="46" fillId="0" borderId="0" xfId="0" applyNumberFormat="1" applyFont="1" applyAlignment="1">
      <alignment horizontal="center"/>
    </xf>
    <xf numFmtId="3" fontId="47" fillId="7" borderId="0" xfId="0" applyNumberFormat="1" applyFont="1" applyFill="1" applyAlignment="1">
      <alignment horizontal="center"/>
    </xf>
    <xf numFmtId="4" fontId="18" fillId="0" borderId="21" xfId="0" applyNumberFormat="1" applyFont="1" applyBorder="1" applyAlignment="1">
      <alignment horizontal="right" vertical="center" wrapText="1"/>
    </xf>
    <xf numFmtId="0" fontId="2" fillId="0" borderId="0" xfId="0" applyFont="1"/>
    <xf numFmtId="0" fontId="18" fillId="6" borderId="0" xfId="5" applyFont="1" applyFill="1" applyAlignment="1">
      <alignment horizontal="center"/>
    </xf>
    <xf numFmtId="3" fontId="19" fillId="6" borderId="5" xfId="5" applyNumberFormat="1" applyFont="1" applyFill="1" applyBorder="1" applyAlignment="1">
      <alignment horizontal="center" vertical="center"/>
    </xf>
    <xf numFmtId="3" fontId="19" fillId="0" borderId="5" xfId="5" applyNumberFormat="1" applyFont="1" applyBorder="1" applyAlignment="1">
      <alignment horizontal="center" vertical="center"/>
    </xf>
    <xf numFmtId="3" fontId="18" fillId="0" borderId="5" xfId="5" applyNumberFormat="1" applyFont="1" applyBorder="1" applyAlignment="1">
      <alignment horizontal="center" vertical="center"/>
    </xf>
    <xf numFmtId="3" fontId="18" fillId="6" borderId="0" xfId="4" applyNumberFormat="1" applyFont="1" applyFill="1"/>
    <xf numFmtId="3" fontId="18" fillId="6" borderId="0" xfId="5" applyNumberFormat="1" applyFont="1" applyFill="1" applyAlignment="1">
      <alignment horizontal="center" vertical="center"/>
    </xf>
    <xf numFmtId="0" fontId="18" fillId="5" borderId="5" xfId="4" applyFont="1" applyFill="1" applyBorder="1" applyAlignment="1">
      <alignment horizontal="center" vertical="center" wrapText="1"/>
    </xf>
    <xf numFmtId="0" fontId="19" fillId="0" borderId="5" xfId="4" applyFont="1" applyBorder="1" applyAlignment="1">
      <alignment horizontal="center"/>
    </xf>
    <xf numFmtId="9" fontId="19" fillId="6" borderId="5" xfId="1" applyFont="1" applyFill="1" applyBorder="1" applyAlignment="1">
      <alignment horizontal="center"/>
    </xf>
    <xf numFmtId="1" fontId="18" fillId="5" borderId="5" xfId="1" applyNumberFormat="1" applyFont="1" applyFill="1" applyBorder="1" applyAlignment="1">
      <alignment horizontal="center"/>
    </xf>
    <xf numFmtId="9" fontId="18" fillId="5" borderId="5" xfId="1" applyFont="1" applyFill="1" applyBorder="1" applyAlignment="1">
      <alignment horizontal="center"/>
    </xf>
    <xf numFmtId="0" fontId="19" fillId="6" borderId="5" xfId="3" applyFont="1" applyFill="1" applyBorder="1" applyAlignment="1">
      <alignment horizontal="center"/>
    </xf>
    <xf numFmtId="0" fontId="18" fillId="6" borderId="5" xfId="3" applyFont="1" applyFill="1" applyBorder="1" applyAlignment="1">
      <alignment horizontal="center"/>
    </xf>
    <xf numFmtId="9" fontId="18" fillId="0" borderId="5" xfId="1" applyFont="1" applyFill="1" applyBorder="1" applyAlignment="1">
      <alignment horizontal="center"/>
    </xf>
    <xf numFmtId="0" fontId="19" fillId="5" borderId="5" xfId="5" applyFont="1" applyFill="1" applyBorder="1" applyAlignment="1">
      <alignment horizontal="center" vertical="top" wrapText="1"/>
    </xf>
    <xf numFmtId="0" fontId="19" fillId="6" borderId="5" xfId="5" applyFont="1" applyFill="1" applyBorder="1" applyAlignment="1">
      <alignment horizontal="center" vertical="center"/>
    </xf>
    <xf numFmtId="0" fontId="18" fillId="6" borderId="5" xfId="5" applyFont="1" applyFill="1" applyBorder="1" applyAlignment="1">
      <alignment horizontal="center" vertical="center"/>
    </xf>
    <xf numFmtId="0" fontId="18" fillId="2" borderId="5" xfId="12" applyFont="1" applyFill="1" applyBorder="1" applyAlignment="1">
      <alignment horizontal="right" vertical="center"/>
    </xf>
    <xf numFmtId="0" fontId="4" fillId="0" borderId="33" xfId="0" applyFont="1" applyBorder="1"/>
    <xf numFmtId="0" fontId="4" fillId="0" borderId="2" xfId="0" applyFont="1" applyBorder="1"/>
    <xf numFmtId="0" fontId="4" fillId="0" borderId="35" xfId="0" applyFont="1" applyBorder="1"/>
    <xf numFmtId="0" fontId="4" fillId="0" borderId="39" xfId="0" applyFont="1" applyBorder="1"/>
    <xf numFmtId="0" fontId="4" fillId="0" borderId="40" xfId="0" applyFont="1" applyBorder="1"/>
    <xf numFmtId="164" fontId="4" fillId="0" borderId="42" xfId="0" applyNumberFormat="1" applyFont="1" applyBorder="1"/>
    <xf numFmtId="164" fontId="4" fillId="0" borderId="43" xfId="0" applyNumberFormat="1" applyFont="1" applyBorder="1"/>
    <xf numFmtId="164" fontId="4" fillId="0" borderId="44" xfId="0" applyNumberFormat="1" applyFont="1" applyBorder="1"/>
    <xf numFmtId="0" fontId="4" fillId="0" borderId="36" xfId="0" applyFont="1" applyBorder="1" applyAlignment="1">
      <alignment horizontal="left"/>
    </xf>
    <xf numFmtId="0" fontId="4" fillId="0" borderId="41" xfId="0" applyFont="1" applyBorder="1"/>
    <xf numFmtId="0" fontId="4" fillId="0" borderId="42" xfId="0" applyFont="1" applyBorder="1" applyAlignment="1">
      <alignment horizontal="left"/>
    </xf>
    <xf numFmtId="0" fontId="4" fillId="0" borderId="44" xfId="0" applyFont="1" applyBorder="1"/>
    <xf numFmtId="0" fontId="4" fillId="0" borderId="34" xfId="0" applyFont="1" applyBorder="1"/>
    <xf numFmtId="0" fontId="4" fillId="0" borderId="37" xfId="0" applyFont="1" applyBorder="1"/>
    <xf numFmtId="0" fontId="4" fillId="0" borderId="38" xfId="0" applyFont="1" applyBorder="1"/>
    <xf numFmtId="0" fontId="4" fillId="0" borderId="1" xfId="0" applyFont="1" applyBorder="1" applyAlignment="1">
      <alignment horizontal="left"/>
    </xf>
    <xf numFmtId="0" fontId="4" fillId="0" borderId="1" xfId="0" applyFont="1" applyBorder="1"/>
    <xf numFmtId="0" fontId="4" fillId="0" borderId="43" xfId="0" applyFont="1" applyBorder="1"/>
    <xf numFmtId="1" fontId="4" fillId="0" borderId="41" xfId="0" applyNumberFormat="1" applyFont="1" applyBorder="1"/>
    <xf numFmtId="1" fontId="4" fillId="0" borderId="43" xfId="0" applyNumberFormat="1" applyFont="1" applyBorder="1"/>
    <xf numFmtId="1" fontId="4" fillId="0" borderId="44" xfId="0" applyNumberFormat="1" applyFont="1" applyBorder="1"/>
    <xf numFmtId="1" fontId="4" fillId="0" borderId="38" xfId="0" applyNumberFormat="1" applyFont="1" applyBorder="1"/>
    <xf numFmtId="0" fontId="4" fillId="0" borderId="42" xfId="0" applyFont="1" applyBorder="1"/>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5" xfId="0" applyFont="1" applyBorder="1" applyAlignment="1">
      <alignment vertical="top" wrapText="1"/>
    </xf>
    <xf numFmtId="164" fontId="1" fillId="0" borderId="0" xfId="0" applyNumberFormat="1" applyFont="1" applyAlignment="1">
      <alignment vertical="top" wrapText="1"/>
    </xf>
    <xf numFmtId="0" fontId="1" fillId="0" borderId="15" xfId="0" applyFont="1" applyBorder="1" applyAlignment="1">
      <alignment vertical="top" wrapText="1"/>
    </xf>
    <xf numFmtId="0" fontId="1" fillId="0" borderId="7" xfId="0"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right"/>
    </xf>
    <xf numFmtId="0" fontId="1" fillId="0" borderId="0" xfId="0" applyFont="1" applyAlignment="1">
      <alignment horizontal="center"/>
    </xf>
    <xf numFmtId="0" fontId="1" fillId="0" borderId="7" xfId="0" applyFont="1" applyBorder="1"/>
    <xf numFmtId="0" fontId="1" fillId="0" borderId="15" xfId="0" applyFont="1" applyBorder="1"/>
    <xf numFmtId="0" fontId="1" fillId="0" borderId="7" xfId="0" applyFont="1" applyBorder="1" applyAlignment="1">
      <alignment horizontal="right"/>
    </xf>
    <xf numFmtId="0" fontId="1" fillId="0" borderId="7" xfId="0" applyFont="1" applyBorder="1" applyAlignment="1">
      <alignment horizontal="right" vertical="center"/>
    </xf>
    <xf numFmtId="0" fontId="1" fillId="0" borderId="0" xfId="0" applyFont="1" applyAlignment="1">
      <alignment wrapText="1"/>
    </xf>
    <xf numFmtId="14" fontId="1" fillId="0" borderId="0" xfId="0" applyNumberFormat="1" applyFont="1" applyAlignment="1">
      <alignment horizontal="right" vertical="top"/>
    </xf>
    <xf numFmtId="0" fontId="1" fillId="0" borderId="0" xfId="0" applyFont="1" applyAlignment="1">
      <alignment horizontal="left" vertical="center" wrapText="1"/>
    </xf>
    <xf numFmtId="0" fontId="1" fillId="0" borderId="8" xfId="0" applyFont="1" applyBorder="1"/>
    <xf numFmtId="164" fontId="1" fillId="0" borderId="0" xfId="0" applyNumberFormat="1" applyFont="1"/>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7" xfId="0" applyFont="1" applyBorder="1" applyAlignment="1">
      <alignment horizontal="center" vertical="center"/>
    </xf>
    <xf numFmtId="0" fontId="1" fillId="0" borderId="15" xfId="0" applyFont="1" applyBorder="1" applyAlignment="1">
      <alignment horizontal="right" vertical="center"/>
    </xf>
    <xf numFmtId="14" fontId="1" fillId="0" borderId="0" xfId="0" applyNumberFormat="1" applyFont="1" applyAlignment="1">
      <alignment horizontal="left" vertical="top"/>
    </xf>
    <xf numFmtId="0" fontId="48" fillId="4" borderId="5" xfId="0" applyFont="1" applyFill="1" applyBorder="1" applyAlignment="1">
      <alignment horizontal="left" vertical="top" wrapText="1"/>
    </xf>
    <xf numFmtId="0" fontId="48" fillId="4" borderId="5" xfId="0" applyFont="1" applyFill="1" applyBorder="1" applyAlignment="1">
      <alignment vertical="top" wrapText="1"/>
    </xf>
    <xf numFmtId="0" fontId="48" fillId="4" borderId="0" xfId="0" applyFont="1" applyFill="1" applyAlignment="1">
      <alignment horizontal="left" vertical="top" wrapText="1"/>
    </xf>
    <xf numFmtId="0" fontId="4" fillId="0" borderId="5" xfId="0" applyFont="1" applyBorder="1"/>
    <xf numFmtId="14" fontId="4" fillId="0" borderId="5" xfId="0" applyNumberFormat="1" applyFont="1" applyBorder="1" applyAlignment="1">
      <alignment vertical="center"/>
    </xf>
    <xf numFmtId="14" fontId="4" fillId="0" borderId="5" xfId="0" applyNumberFormat="1" applyFont="1" applyBorder="1"/>
    <xf numFmtId="0" fontId="4" fillId="0" borderId="5" xfId="0" applyFont="1" applyBorder="1" applyAlignment="1">
      <alignment horizontal="left" vertical="top"/>
    </xf>
    <xf numFmtId="0" fontId="4" fillId="0" borderId="5" xfId="0" applyFont="1" applyBorder="1" applyAlignment="1">
      <alignment horizontal="right"/>
    </xf>
    <xf numFmtId="1" fontId="4" fillId="0" borderId="5" xfId="0" applyNumberFormat="1" applyFont="1" applyBorder="1" applyAlignment="1">
      <alignment horizontal="right"/>
    </xf>
    <xf numFmtId="0" fontId="4" fillId="0" borderId="5" xfId="0" applyFont="1" applyBorder="1" applyAlignment="1">
      <alignment horizontal="left"/>
    </xf>
    <xf numFmtId="0" fontId="48" fillId="0" borderId="5" xfId="0" applyFont="1" applyBorder="1"/>
    <xf numFmtId="14" fontId="48" fillId="0" borderId="5" xfId="0" applyNumberFormat="1" applyFont="1" applyBorder="1"/>
    <xf numFmtId="2" fontId="4" fillId="0" borderId="5" xfId="0" applyNumberFormat="1" applyFont="1" applyBorder="1"/>
    <xf numFmtId="164" fontId="4" fillId="0" borderId="5" xfId="0" applyNumberFormat="1" applyFont="1" applyBorder="1"/>
    <xf numFmtId="1" fontId="4" fillId="0" borderId="5" xfId="0" applyNumberFormat="1" applyFont="1" applyBorder="1"/>
    <xf numFmtId="14" fontId="4" fillId="0" borderId="0" xfId="0" applyNumberFormat="1" applyFont="1" applyAlignment="1">
      <alignment vertical="center"/>
    </xf>
    <xf numFmtId="3" fontId="18" fillId="9" borderId="3" xfId="13" applyNumberFormat="1" applyFont="1" applyFill="1" applyBorder="1" applyAlignment="1">
      <alignment horizontal="center" vertical="center"/>
    </xf>
    <xf numFmtId="3" fontId="18" fillId="9" borderId="5" xfId="13" applyNumberFormat="1" applyFont="1" applyFill="1" applyBorder="1" applyAlignment="1">
      <alignment horizontal="center" vertical="center"/>
    </xf>
    <xf numFmtId="3" fontId="18" fillId="2" borderId="5" xfId="13" applyNumberFormat="1" applyFont="1" applyFill="1" applyBorder="1" applyAlignment="1">
      <alignment horizontal="center" vertical="center"/>
    </xf>
    <xf numFmtId="0" fontId="9" fillId="6" borderId="11" xfId="4" applyFont="1" applyFill="1" applyBorder="1" applyAlignment="1">
      <alignment horizontal="center" vertical="center" wrapText="1"/>
    </xf>
    <xf numFmtId="0" fontId="9" fillId="6" borderId="9" xfId="4" applyFont="1" applyFill="1" applyBorder="1" applyAlignment="1">
      <alignment horizontal="center" vertical="center" wrapText="1"/>
    </xf>
    <xf numFmtId="0" fontId="9" fillId="6" borderId="12"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4" xfId="4" applyFont="1" applyFill="1" applyBorder="1" applyAlignment="1">
      <alignment horizontal="center" vertical="center" wrapText="1"/>
    </xf>
    <xf numFmtId="0" fontId="9" fillId="6" borderId="4" xfId="4" applyFont="1" applyFill="1" applyBorder="1" applyAlignment="1">
      <alignment horizontal="center" vertical="center" wrapText="1"/>
    </xf>
    <xf numFmtId="0" fontId="18" fillId="5" borderId="3" xfId="4" applyFont="1" applyFill="1" applyBorder="1" applyAlignment="1">
      <alignment horizontal="center" vertical="top" wrapText="1"/>
    </xf>
    <xf numFmtId="0" fontId="18" fillId="5" borderId="5" xfId="4" applyFont="1" applyFill="1" applyBorder="1" applyAlignment="1">
      <alignment horizontal="center" vertical="top" wrapText="1"/>
    </xf>
    <xf numFmtId="0" fontId="18" fillId="5" borderId="16" xfId="4" applyFont="1" applyFill="1" applyBorder="1" applyAlignment="1">
      <alignment horizontal="center" vertical="center" wrapText="1"/>
    </xf>
    <xf numFmtId="0" fontId="18" fillId="5" borderId="6" xfId="4" applyFont="1" applyFill="1" applyBorder="1" applyAlignment="1">
      <alignment horizontal="center" vertical="center" wrapText="1"/>
    </xf>
    <xf numFmtId="0" fontId="19" fillId="7" borderId="20"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9" xfId="0" applyFont="1" applyFill="1" applyBorder="1" applyAlignment="1">
      <alignment horizontal="left" vertical="center" wrapText="1"/>
    </xf>
    <xf numFmtId="0" fontId="19" fillId="7" borderId="20"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8" fillId="5" borderId="11" xfId="4" applyFont="1" applyFill="1" applyBorder="1" applyAlignment="1">
      <alignment horizontal="center" vertical="center" wrapText="1"/>
    </xf>
    <xf numFmtId="0" fontId="18" fillId="5" borderId="9" xfId="4" applyFont="1" applyFill="1" applyBorder="1" applyAlignment="1">
      <alignment horizontal="center" vertical="center" wrapText="1"/>
    </xf>
    <xf numFmtId="0" fontId="18" fillId="5" borderId="12" xfId="4" applyFont="1" applyFill="1" applyBorder="1" applyAlignment="1">
      <alignment horizontal="center" vertical="center" wrapText="1"/>
    </xf>
    <xf numFmtId="0" fontId="18" fillId="5" borderId="13" xfId="4" applyFont="1" applyFill="1" applyBorder="1" applyAlignment="1">
      <alignment horizontal="center" vertical="center" wrapText="1"/>
    </xf>
    <xf numFmtId="0" fontId="18" fillId="5" borderId="14" xfId="4" applyFont="1" applyFill="1" applyBorder="1" applyAlignment="1">
      <alignment horizontal="center" vertical="center" wrapText="1"/>
    </xf>
    <xf numFmtId="0" fontId="18" fillId="5" borderId="4" xfId="4" applyFont="1" applyFill="1" applyBorder="1" applyAlignment="1">
      <alignment horizontal="center" vertical="center" wrapText="1"/>
    </xf>
    <xf numFmtId="0" fontId="19" fillId="0" borderId="16" xfId="4" applyFont="1" applyBorder="1" applyAlignment="1">
      <alignment horizontal="left"/>
    </xf>
    <xf numFmtId="0" fontId="19" fillId="0" borderId="10" xfId="4" applyFont="1" applyBorder="1" applyAlignment="1">
      <alignment horizontal="left"/>
    </xf>
    <xf numFmtId="0" fontId="19" fillId="0" borderId="6" xfId="4" applyFont="1" applyBorder="1" applyAlignment="1">
      <alignment horizontal="left"/>
    </xf>
    <xf numFmtId="0" fontId="16" fillId="8" borderId="17" xfId="0" applyFont="1" applyFill="1" applyBorder="1" applyAlignment="1">
      <alignment horizontal="center"/>
    </xf>
    <xf numFmtId="0" fontId="16" fillId="8" borderId="18" xfId="0" applyFont="1" applyFill="1" applyBorder="1" applyAlignment="1">
      <alignment horizontal="center"/>
    </xf>
    <xf numFmtId="0" fontId="16" fillId="8" borderId="19" xfId="0" applyFont="1" applyFill="1" applyBorder="1" applyAlignment="1">
      <alignment horizontal="center"/>
    </xf>
    <xf numFmtId="0" fontId="19" fillId="0" borderId="22" xfId="3" applyFont="1" applyBorder="1" applyAlignment="1">
      <alignment horizontal="left" vertical="center" wrapText="1"/>
    </xf>
    <xf numFmtId="0" fontId="19" fillId="0" borderId="23" xfId="3" applyFont="1" applyBorder="1" applyAlignment="1">
      <alignment horizontal="left" vertical="center" wrapText="1"/>
    </xf>
    <xf numFmtId="0" fontId="19" fillId="0" borderId="24" xfId="3" applyFont="1" applyBorder="1" applyAlignment="1">
      <alignment horizontal="left" vertical="center" wrapText="1"/>
    </xf>
    <xf numFmtId="0" fontId="19" fillId="6" borderId="22" xfId="3" applyFont="1" applyFill="1" applyBorder="1" applyAlignment="1">
      <alignment horizontal="left" vertical="center" wrapText="1"/>
    </xf>
    <xf numFmtId="0" fontId="19" fillId="6" borderId="23" xfId="3" applyFont="1" applyFill="1" applyBorder="1" applyAlignment="1">
      <alignment horizontal="left" vertical="center" wrapText="1"/>
    </xf>
    <xf numFmtId="0" fontId="19" fillId="6" borderId="24" xfId="3" applyFont="1" applyFill="1" applyBorder="1" applyAlignment="1">
      <alignment horizontal="left" vertical="center" wrapText="1"/>
    </xf>
    <xf numFmtId="0" fontId="19" fillId="6" borderId="22" xfId="3" applyFont="1" applyFill="1" applyBorder="1" applyAlignment="1">
      <alignment horizontal="center" vertical="center" wrapText="1"/>
    </xf>
    <xf numFmtId="0" fontId="19" fillId="6" borderId="24" xfId="3" applyFont="1" applyFill="1" applyBorder="1" applyAlignment="1">
      <alignment horizontal="center" vertical="center" wrapText="1"/>
    </xf>
    <xf numFmtId="0" fontId="18" fillId="5" borderId="52" xfId="0" applyFont="1" applyFill="1" applyBorder="1" applyAlignment="1">
      <alignment horizontal="center" vertical="center" wrapText="1"/>
    </xf>
    <xf numFmtId="0" fontId="18" fillId="5" borderId="53" xfId="0" applyFont="1" applyFill="1" applyBorder="1" applyAlignment="1">
      <alignment horizontal="center" vertical="center" wrapText="1"/>
    </xf>
    <xf numFmtId="0" fontId="18" fillId="5" borderId="54" xfId="0" applyFont="1" applyFill="1" applyBorder="1" applyAlignment="1">
      <alignment horizontal="center" vertical="center" wrapText="1"/>
    </xf>
    <xf numFmtId="3" fontId="19" fillId="0" borderId="22" xfId="0" applyNumberFormat="1" applyFont="1" applyBorder="1" applyAlignment="1">
      <alignment horizontal="center" vertical="center" wrapText="1"/>
    </xf>
    <xf numFmtId="3" fontId="19" fillId="0" borderId="57" xfId="0" applyNumberFormat="1" applyFont="1" applyBorder="1" applyAlignment="1">
      <alignment horizontal="center" vertical="center" wrapText="1"/>
    </xf>
    <xf numFmtId="0" fontId="18" fillId="5" borderId="55"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26" xfId="0" applyFont="1" applyFill="1" applyBorder="1" applyAlignment="1">
      <alignment horizontal="left" vertical="center" wrapText="1"/>
    </xf>
    <xf numFmtId="0" fontId="19" fillId="6" borderId="27"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3" fontId="18" fillId="5" borderId="61" xfId="0" applyNumberFormat="1" applyFont="1" applyFill="1" applyBorder="1" applyAlignment="1">
      <alignment horizontal="center" vertical="center" wrapText="1"/>
    </xf>
    <xf numFmtId="3" fontId="18" fillId="5" borderId="62" xfId="0" applyNumberFormat="1" applyFont="1" applyFill="1" applyBorder="1" applyAlignment="1">
      <alignment horizontal="center" vertical="center" wrapText="1"/>
    </xf>
    <xf numFmtId="0" fontId="18" fillId="5" borderId="58" xfId="0" applyFont="1" applyFill="1" applyBorder="1" applyAlignment="1">
      <alignment horizontal="left" vertical="center" wrapText="1"/>
    </xf>
    <xf numFmtId="0" fontId="18" fillId="5" borderId="59" xfId="0" applyFont="1" applyFill="1" applyBorder="1" applyAlignment="1">
      <alignment horizontal="left" vertical="center" wrapText="1"/>
    </xf>
    <xf numFmtId="0" fontId="18" fillId="5" borderId="60" xfId="0" applyFont="1" applyFill="1" applyBorder="1" applyAlignment="1">
      <alignment horizontal="left" vertical="center" wrapText="1"/>
    </xf>
    <xf numFmtId="0" fontId="19" fillId="0" borderId="27"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6" borderId="5" xfId="4" applyFont="1" applyFill="1" applyBorder="1" applyAlignment="1">
      <alignment horizontal="center"/>
    </xf>
    <xf numFmtId="0" fontId="19" fillId="0" borderId="5" xfId="4" applyFont="1" applyBorder="1" applyAlignment="1">
      <alignment horizontal="center"/>
    </xf>
    <xf numFmtId="0" fontId="14" fillId="6" borderId="0" xfId="4" applyFont="1" applyFill="1" applyAlignment="1">
      <alignment horizontal="center"/>
    </xf>
    <xf numFmtId="0" fontId="18" fillId="5" borderId="29" xfId="4" applyFont="1" applyFill="1" applyBorder="1" applyAlignment="1">
      <alignment horizontal="center" vertical="center" wrapText="1"/>
    </xf>
    <xf numFmtId="0" fontId="18" fillId="5" borderId="30" xfId="4" applyFont="1" applyFill="1" applyBorder="1" applyAlignment="1">
      <alignment horizontal="center"/>
    </xf>
    <xf numFmtId="0" fontId="18" fillId="5" borderId="29" xfId="4" applyFont="1" applyFill="1" applyBorder="1" applyAlignment="1">
      <alignment horizontal="center"/>
    </xf>
    <xf numFmtId="0" fontId="18" fillId="5" borderId="31" xfId="4" applyFont="1" applyFill="1" applyBorder="1" applyAlignment="1">
      <alignment horizontal="center" wrapText="1"/>
    </xf>
    <xf numFmtId="0" fontId="18" fillId="5" borderId="32" xfId="4" applyFont="1" applyFill="1" applyBorder="1" applyAlignment="1">
      <alignment horizontal="center"/>
    </xf>
    <xf numFmtId="0" fontId="14" fillId="6" borderId="0" xfId="4" applyFont="1" applyFill="1" applyAlignment="1">
      <alignment horizontal="center" vertical="center" wrapText="1"/>
    </xf>
    <xf numFmtId="0" fontId="18" fillId="5" borderId="5" xfId="4" applyFont="1" applyFill="1" applyBorder="1" applyAlignment="1">
      <alignment horizontal="center" vertical="center" wrapText="1"/>
    </xf>
    <xf numFmtId="166" fontId="19" fillId="6" borderId="5" xfId="2" applyNumberFormat="1" applyFont="1" applyFill="1" applyBorder="1" applyAlignment="1">
      <alignment horizontal="center" vertical="center"/>
    </xf>
    <xf numFmtId="9" fontId="19" fillId="6" borderId="5" xfId="1" applyFont="1" applyFill="1" applyBorder="1" applyAlignment="1">
      <alignment horizontal="center"/>
    </xf>
    <xf numFmtId="9" fontId="18" fillId="5" borderId="5" xfId="1" applyFont="1" applyFill="1" applyBorder="1" applyAlignment="1">
      <alignment horizontal="center"/>
    </xf>
    <xf numFmtId="0" fontId="18" fillId="5" borderId="5" xfId="4" applyFont="1" applyFill="1" applyBorder="1" applyAlignment="1">
      <alignment horizontal="center"/>
    </xf>
    <xf numFmtId="1" fontId="18" fillId="5" borderId="5" xfId="1" applyNumberFormat="1" applyFont="1" applyFill="1" applyBorder="1" applyAlignment="1">
      <alignment horizontal="center"/>
    </xf>
    <xf numFmtId="0" fontId="18" fillId="6" borderId="5" xfId="4" applyFont="1" applyFill="1" applyBorder="1" applyAlignment="1">
      <alignment horizontal="center"/>
    </xf>
    <xf numFmtId="166" fontId="18" fillId="0" borderId="5" xfId="2" applyNumberFormat="1" applyFont="1" applyFill="1" applyBorder="1" applyAlignment="1">
      <alignment horizontal="center" vertical="center"/>
    </xf>
    <xf numFmtId="166" fontId="18" fillId="5" borderId="5" xfId="2" applyNumberFormat="1" applyFont="1" applyFill="1" applyBorder="1" applyAlignment="1">
      <alignment horizontal="center" vertical="center"/>
    </xf>
    <xf numFmtId="3" fontId="19" fillId="6" borderId="24" xfId="5" applyNumberFormat="1" applyFont="1" applyFill="1" applyBorder="1" applyAlignment="1">
      <alignment horizontal="left"/>
    </xf>
    <xf numFmtId="3" fontId="19" fillId="6" borderId="25" xfId="5" applyNumberFormat="1" applyFont="1" applyFill="1" applyBorder="1" applyAlignment="1">
      <alignment horizontal="left"/>
    </xf>
    <xf numFmtId="3" fontId="19" fillId="6" borderId="22" xfId="5" applyNumberFormat="1" applyFont="1" applyFill="1" applyBorder="1" applyAlignment="1">
      <alignment horizontal="left"/>
    </xf>
    <xf numFmtId="0" fontId="18" fillId="5" borderId="24" xfId="4" applyFont="1" applyFill="1" applyBorder="1"/>
    <xf numFmtId="0" fontId="18" fillId="5" borderId="25" xfId="4" applyFont="1" applyFill="1" applyBorder="1"/>
    <xf numFmtId="0" fontId="19" fillId="6" borderId="27" xfId="0" applyFont="1" applyFill="1" applyBorder="1" applyAlignment="1">
      <alignment horizontal="left"/>
    </xf>
    <xf numFmtId="0" fontId="19" fillId="6" borderId="23" xfId="0" applyFont="1" applyFill="1" applyBorder="1" applyAlignment="1">
      <alignment horizontal="left"/>
    </xf>
    <xf numFmtId="0" fontId="19" fillId="6" borderId="24" xfId="0" applyFont="1" applyFill="1" applyBorder="1" applyAlignment="1">
      <alignment horizontal="left"/>
    </xf>
    <xf numFmtId="0" fontId="37" fillId="6" borderId="27" xfId="0" applyFont="1" applyFill="1" applyBorder="1" applyAlignment="1">
      <alignment horizontal="left"/>
    </xf>
    <xf numFmtId="0" fontId="37" fillId="6" borderId="23" xfId="0" applyFont="1" applyFill="1" applyBorder="1" applyAlignment="1">
      <alignment horizontal="left"/>
    </xf>
    <xf numFmtId="0" fontId="37" fillId="6" borderId="24" xfId="0" applyFont="1" applyFill="1" applyBorder="1" applyAlignment="1">
      <alignment horizontal="left"/>
    </xf>
    <xf numFmtId="0" fontId="18" fillId="5" borderId="24" xfId="4" applyFont="1" applyFill="1" applyBorder="1" applyAlignment="1">
      <alignment vertical="center"/>
    </xf>
    <xf numFmtId="0" fontId="18" fillId="5" borderId="25" xfId="4" applyFont="1" applyFill="1" applyBorder="1" applyAlignment="1">
      <alignment vertical="center"/>
    </xf>
    <xf numFmtId="0" fontId="18" fillId="5" borderId="24" xfId="4" applyFont="1" applyFill="1" applyBorder="1" applyAlignment="1">
      <alignment horizontal="left"/>
    </xf>
    <xf numFmtId="0" fontId="18" fillId="5" borderId="25" xfId="4" applyFont="1" applyFill="1" applyBorder="1" applyAlignment="1">
      <alignment horizontal="left"/>
    </xf>
    <xf numFmtId="0" fontId="19" fillId="6" borderId="25" xfId="0" applyFont="1" applyFill="1" applyBorder="1" applyAlignment="1">
      <alignment horizontal="left"/>
    </xf>
    <xf numFmtId="0" fontId="19" fillId="5" borderId="24" xfId="4" applyFont="1" applyFill="1" applyBorder="1" applyAlignment="1">
      <alignment horizontal="center"/>
    </xf>
    <xf numFmtId="0" fontId="19" fillId="5" borderId="25" xfId="4" applyFont="1" applyFill="1" applyBorder="1" applyAlignment="1">
      <alignment horizontal="center"/>
    </xf>
    <xf numFmtId="0" fontId="19" fillId="6" borderId="24" xfId="4" applyFont="1" applyFill="1" applyBorder="1" applyAlignment="1">
      <alignment horizontal="left" vertical="center"/>
    </xf>
    <xf numFmtId="0" fontId="19" fillId="6" borderId="25" xfId="4" applyFont="1" applyFill="1" applyBorder="1" applyAlignment="1">
      <alignment horizontal="left" vertical="center"/>
    </xf>
    <xf numFmtId="0" fontId="18" fillId="5" borderId="24" xfId="4" applyFont="1" applyFill="1" applyBorder="1" applyAlignment="1">
      <alignment horizontal="left" vertical="center"/>
    </xf>
    <xf numFmtId="0" fontId="18" fillId="5" borderId="25" xfId="4" applyFont="1" applyFill="1" applyBorder="1" applyAlignment="1">
      <alignment horizontal="left" vertical="center"/>
    </xf>
    <xf numFmtId="0" fontId="19" fillId="6" borderId="24" xfId="0" applyFont="1" applyFill="1" applyBorder="1" applyAlignment="1">
      <alignment vertical="center"/>
    </xf>
    <xf numFmtId="0" fontId="19" fillId="6" borderId="25" xfId="0" applyFont="1" applyFill="1" applyBorder="1" applyAlignment="1">
      <alignment vertical="center"/>
    </xf>
    <xf numFmtId="0" fontId="18" fillId="5" borderId="5" xfId="0" applyFont="1" applyFill="1" applyBorder="1" applyAlignment="1">
      <alignment horizontal="center" vertical="center" wrapText="1"/>
    </xf>
    <xf numFmtId="9" fontId="8" fillId="5" borderId="6" xfId="4" applyNumberFormat="1" applyFont="1" applyFill="1" applyBorder="1" applyAlignment="1">
      <alignment horizontal="left"/>
    </xf>
    <xf numFmtId="9" fontId="8" fillId="5" borderId="5" xfId="4" applyNumberFormat="1" applyFont="1" applyFill="1" applyBorder="1" applyAlignment="1">
      <alignment horizontal="left"/>
    </xf>
    <xf numFmtId="0" fontId="37" fillId="6" borderId="23" xfId="0" applyFont="1" applyFill="1" applyBorder="1" applyAlignment="1">
      <alignment vertical="center"/>
    </xf>
    <xf numFmtId="0" fontId="37" fillId="6" borderId="24" xfId="0" applyFont="1" applyFill="1" applyBorder="1" applyAlignment="1">
      <alignment vertical="center"/>
    </xf>
    <xf numFmtId="0" fontId="37" fillId="6" borderId="6" xfId="0" applyFont="1" applyFill="1" applyBorder="1" applyAlignment="1">
      <alignment vertical="center" wrapText="1"/>
    </xf>
    <xf numFmtId="0" fontId="37" fillId="6" borderId="5" xfId="0" applyFont="1" applyFill="1" applyBorder="1" applyAlignment="1">
      <alignment vertical="center" wrapText="1"/>
    </xf>
    <xf numFmtId="0" fontId="29" fillId="5" borderId="6" xfId="0" applyFont="1" applyFill="1" applyBorder="1" applyAlignment="1">
      <alignment horizontal="left" vertical="center" wrapText="1"/>
    </xf>
    <xf numFmtId="0" fontId="29" fillId="5" borderId="5" xfId="0" applyFont="1" applyFill="1" applyBorder="1" applyAlignment="1">
      <alignment horizontal="left" vertical="center" wrapText="1"/>
    </xf>
    <xf numFmtId="0" fontId="18" fillId="3" borderId="8" xfId="11" applyFont="1" applyFill="1" applyBorder="1" applyAlignment="1">
      <alignment horizontal="right" vertical="center" indent="3"/>
    </xf>
    <xf numFmtId="0" fontId="18" fillId="3" borderId="0" xfId="11" applyFont="1" applyFill="1" applyAlignment="1">
      <alignment horizontal="right" vertical="center" indent="3"/>
    </xf>
    <xf numFmtId="0" fontId="18" fillId="3" borderId="48" xfId="11" applyFont="1" applyFill="1" applyBorder="1" applyAlignment="1">
      <alignment horizontal="left" vertical="center" wrapText="1"/>
    </xf>
    <xf numFmtId="0" fontId="18" fillId="3" borderId="8" xfId="11" applyFont="1" applyFill="1" applyBorder="1" applyAlignment="1">
      <alignment horizontal="left" vertical="center" wrapText="1"/>
    </xf>
    <xf numFmtId="0" fontId="18" fillId="3" borderId="50" xfId="11" applyFont="1" applyFill="1" applyBorder="1" applyAlignment="1">
      <alignment horizontal="left" vertical="center" wrapText="1"/>
    </xf>
    <xf numFmtId="3" fontId="18" fillId="3" borderId="16" xfId="13" applyNumberFormat="1" applyFont="1" applyFill="1" applyBorder="1" applyAlignment="1">
      <alignment horizontal="center" vertical="center"/>
    </xf>
    <xf numFmtId="3" fontId="18" fillId="3" borderId="10" xfId="13" applyNumberFormat="1" applyFont="1" applyFill="1" applyBorder="1" applyAlignment="1">
      <alignment horizontal="center" vertical="center"/>
    </xf>
    <xf numFmtId="3" fontId="18" fillId="3" borderId="6" xfId="13" applyNumberFormat="1" applyFont="1" applyFill="1" applyBorder="1" applyAlignment="1">
      <alignment horizontal="center" vertical="center"/>
    </xf>
    <xf numFmtId="0" fontId="9" fillId="6" borderId="16" xfId="4" applyFont="1" applyFill="1" applyBorder="1" applyAlignment="1">
      <alignment horizontal="center" vertical="center" wrapText="1"/>
    </xf>
    <xf numFmtId="0" fontId="9" fillId="6" borderId="10" xfId="4" applyFont="1" applyFill="1" applyBorder="1" applyAlignment="1">
      <alignment horizontal="center" vertical="center" wrapText="1"/>
    </xf>
    <xf numFmtId="0" fontId="9" fillId="6" borderId="6" xfId="4" applyFont="1" applyFill="1" applyBorder="1" applyAlignment="1">
      <alignment horizontal="center" vertical="center" wrapText="1"/>
    </xf>
    <xf numFmtId="0" fontId="18" fillId="3" borderId="50" xfId="12" applyFont="1" applyFill="1" applyBorder="1" applyAlignment="1">
      <alignment horizontal="right" vertical="center" indent="3"/>
    </xf>
    <xf numFmtId="0" fontId="18" fillId="3" borderId="46" xfId="12" applyFont="1" applyFill="1" applyBorder="1" applyAlignment="1">
      <alignment horizontal="right" vertical="center" indent="3"/>
    </xf>
    <xf numFmtId="3" fontId="18" fillId="3" borderId="63" xfId="13" applyNumberFormat="1" applyFont="1" applyFill="1" applyBorder="1" applyAlignment="1">
      <alignment horizontal="center" vertical="center"/>
    </xf>
    <xf numFmtId="3" fontId="18" fillId="3" borderId="46" xfId="13" applyNumberFormat="1" applyFont="1" applyFill="1" applyBorder="1" applyAlignment="1">
      <alignment horizontal="center" vertical="center"/>
    </xf>
    <xf numFmtId="3" fontId="18" fillId="3" borderId="13" xfId="13" applyNumberFormat="1" applyFont="1" applyFill="1" applyBorder="1" applyAlignment="1">
      <alignment horizontal="center" vertical="center"/>
    </xf>
    <xf numFmtId="3" fontId="18" fillId="3" borderId="14" xfId="13" applyNumberFormat="1" applyFont="1" applyFill="1" applyBorder="1" applyAlignment="1">
      <alignment horizontal="center" vertical="center"/>
    </xf>
    <xf numFmtId="3" fontId="18" fillId="3" borderId="4" xfId="13" applyNumberFormat="1" applyFont="1" applyFill="1" applyBorder="1" applyAlignment="1">
      <alignment horizontal="center" vertical="center"/>
    </xf>
    <xf numFmtId="0" fontId="18" fillId="3" borderId="16" xfId="12" applyFont="1" applyFill="1" applyBorder="1" applyAlignment="1">
      <alignment horizontal="right" vertical="center" wrapText="1" indent="3"/>
    </xf>
    <xf numFmtId="0" fontId="18" fillId="3" borderId="6" xfId="12" applyFont="1" applyFill="1" applyBorder="1" applyAlignment="1">
      <alignment horizontal="right" vertical="center" wrapText="1" indent="3"/>
    </xf>
    <xf numFmtId="0" fontId="42" fillId="3" borderId="16" xfId="12" applyFont="1" applyFill="1" applyBorder="1" applyAlignment="1">
      <alignment horizontal="center" vertical="center"/>
    </xf>
    <xf numFmtId="0" fontId="42" fillId="3" borderId="10" xfId="12" applyFont="1" applyFill="1" applyBorder="1" applyAlignment="1">
      <alignment horizontal="center" vertical="center"/>
    </xf>
    <xf numFmtId="0" fontId="42" fillId="3" borderId="6" xfId="12" applyFont="1" applyFill="1" applyBorder="1" applyAlignment="1">
      <alignment horizontal="center" vertical="center"/>
    </xf>
  </cellXfs>
  <cellStyles count="15">
    <cellStyle name="Comma" xfId="2" builtinId="3"/>
    <cellStyle name="Heading 1 2" xfId="8" xr:uid="{0246B22D-4A90-45FB-8816-4CAA327A0C57}"/>
    <cellStyle name="Heading 2 2" xfId="10" xr:uid="{1B9E7924-1057-4CAD-96FF-6DE93F1A70D3}"/>
    <cellStyle name="Normal" xfId="0" builtinId="0"/>
    <cellStyle name="Normal 16" xfId="14" xr:uid="{160A8573-8181-42A3-A011-C3AC4D91F4D7}"/>
    <cellStyle name="Normal 2" xfId="9" xr:uid="{8AA5B8AD-9CB0-405A-8FDC-861BC1EA5373}"/>
    <cellStyle name="Normal 28" xfId="3" xr:uid="{8C57564D-93F6-4A2D-8BDF-7FE1B235BF8D}"/>
    <cellStyle name="Normal 29" xfId="6" xr:uid="{AFEF7C79-B36B-484D-A31A-193C79A4230F}"/>
    <cellStyle name="Normal 30" xfId="7" xr:uid="{918D2785-F52F-4305-9989-0F77B432E145}"/>
    <cellStyle name="Normal 33" xfId="11" xr:uid="{2132FE3F-7979-4487-BB85-B703ADADF1AC}"/>
    <cellStyle name="Normal_Sheet1_3" xfId="12" xr:uid="{21603666-060F-4F2B-968C-3CCF9804B178}"/>
    <cellStyle name="Normal_Sheet2_1" xfId="4" xr:uid="{93815463-0817-4540-9C52-BBE3CADB6D5B}"/>
    <cellStyle name="Normal_Summary Tables" xfId="5" xr:uid="{FD17729B-708E-4633-BC26-A2A1643B2CBA}"/>
    <cellStyle name="Normal_Trajectory" xfId="13" xr:uid="{D702D740-9431-4275-A888-34A06F35A2AB}"/>
    <cellStyle name="Percent" xfId="1" builtinId="5"/>
  </cellStyles>
  <dxfs count="3726">
    <dxf>
      <font>
        <color rgb="FF9C0006"/>
      </font>
      <fill>
        <patternFill>
          <bgColor rgb="FFFFC7CE"/>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color auto="1"/>
      </font>
    </dxf>
    <dxf>
      <font>
        <color auto="1"/>
      </font>
    </dxf>
    <dxf>
      <font>
        <color auto="1"/>
      </font>
    </dxf>
    <dxf>
      <font>
        <color auto="1"/>
      </font>
    </dxf>
    <dxf>
      <font>
        <color auto="1"/>
      </font>
    </dxf>
    <dxf>
      <font>
        <color auto="1"/>
      </font>
    </dxf>
    <dxf>
      <fill>
        <patternFill patternType="none">
          <fgColor indexed="64"/>
          <bgColor indexed="65"/>
        </patternFill>
      </fill>
    </dxf>
    <dxf>
      <alignment horizontal="general" vertical="bottom" textRotation="0" wrapText="0" indent="0" justifyLastLine="0" shrinkToFit="0" readingOrder="0"/>
    </dxf>
    <dxf>
      <fill>
        <patternFill patternType="none">
          <bgColor auto="1"/>
        </patternFill>
      </fill>
    </dxf>
    <dxf>
      <fill>
        <patternFill patternType="solid">
          <bgColor rgb="FFFFC000"/>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color auto="1"/>
      </font>
    </dxf>
    <dxf>
      <font>
        <color auto="1"/>
      </font>
    </dxf>
    <dxf>
      <font>
        <color auto="1"/>
      </font>
    </dxf>
    <dxf>
      <font>
        <color auto="1"/>
      </font>
    </dxf>
    <dxf>
      <font>
        <color auto="1"/>
      </font>
    </dxf>
    <dxf>
      <font>
        <color auto="1"/>
      </font>
    </dxf>
    <dxf>
      <fill>
        <patternFill patternType="none">
          <fgColor indexed="64"/>
          <bgColor indexed="65"/>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dxf>
    <dxf>
      <fill>
        <patternFill patternType="solid">
          <bgColor rgb="FFFFC000"/>
        </patternFill>
      </fill>
    </dxf>
    <dxf>
      <fill>
        <patternFill patternType="solid">
          <bgColor rgb="FFFFC000"/>
        </patternFill>
      </fill>
    </dxf>
    <dxf>
      <font>
        <sz val="10"/>
      </font>
    </dxf>
    <dxf>
      <font>
        <sz val="10"/>
      </font>
    </dxf>
    <dxf>
      <font>
        <sz val="10"/>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color auto="1"/>
      </font>
    </dxf>
    <dxf>
      <font>
        <color auto="1"/>
      </font>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solid">
          <bgColor rgb="FFFFC000"/>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numFmt numFmtId="1" formatCode="0"/>
    </dxf>
    <dxf>
      <fill>
        <patternFill patternType="solid">
          <bgColor rgb="FFFFC000"/>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border>
        <top style="medium">
          <color indexed="64"/>
        </top>
      </border>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numFmt numFmtId="1" formatCode="0"/>
    </dxf>
    <dxf>
      <fill>
        <patternFill patternType="none">
          <bgColor auto="1"/>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ont>
        <sz val="10"/>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solid">
          <bgColor rgb="FFFFFF00"/>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color auto="1"/>
      </font>
    </dxf>
    <dxf>
      <font>
        <color auto="1"/>
      </font>
    </dxf>
    <dxf>
      <font>
        <color auto="1"/>
      </font>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clustered"/>
        <c:varyColors val="0"/>
        <c:ser>
          <c:idx val="0"/>
          <c:order val="0"/>
          <c:tx>
            <c:strRef>
              <c:f>'Summary Tables'!$D$42</c:f>
              <c:strCache>
                <c:ptCount val="1"/>
                <c:pt idx="0">
                  <c:v>Completions</c:v>
                </c:pt>
              </c:strCache>
            </c:strRef>
          </c:tx>
          <c:spPr>
            <a:solidFill>
              <a:srgbClr val="0070C0"/>
            </a:solidFill>
            <a:ln w="12700">
              <a:solidFill>
                <a:srgbClr val="002060"/>
              </a:solidFill>
              <a:prstDash val="solid"/>
              <a:miter lim="800000"/>
            </a:ln>
          </c:spPr>
          <c:invertIfNegative val="0"/>
          <c:cat>
            <c:strRef>
              <c:f>'Summary Tables'!$C$43:$C$63</c:f>
              <c:strCache>
                <c:ptCount val="21"/>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pt idx="20">
                  <c:v>2022/23</c:v>
                </c:pt>
              </c:strCache>
            </c:strRef>
          </c:cat>
          <c:val>
            <c:numRef>
              <c:f>'Summary Tables'!$D$43:$D$63</c:f>
              <c:numCache>
                <c:formatCode>#,##0</c:formatCode>
                <c:ptCount val="21"/>
                <c:pt idx="0">
                  <c:v>319</c:v>
                </c:pt>
                <c:pt idx="1">
                  <c:v>246</c:v>
                </c:pt>
                <c:pt idx="2">
                  <c:v>582</c:v>
                </c:pt>
                <c:pt idx="3">
                  <c:v>842</c:v>
                </c:pt>
                <c:pt idx="4">
                  <c:v>230</c:v>
                </c:pt>
                <c:pt idx="5">
                  <c:v>260</c:v>
                </c:pt>
                <c:pt idx="6">
                  <c:v>436</c:v>
                </c:pt>
                <c:pt idx="7">
                  <c:v>145</c:v>
                </c:pt>
                <c:pt idx="8">
                  <c:v>399</c:v>
                </c:pt>
                <c:pt idx="9">
                  <c:v>208</c:v>
                </c:pt>
                <c:pt idx="10">
                  <c:v>695</c:v>
                </c:pt>
                <c:pt idx="11">
                  <c:v>235</c:v>
                </c:pt>
                <c:pt idx="12">
                  <c:v>304</c:v>
                </c:pt>
                <c:pt idx="13">
                  <c:v>491</c:v>
                </c:pt>
                <c:pt idx="14">
                  <c:v>460</c:v>
                </c:pt>
                <c:pt idx="15">
                  <c:v>382</c:v>
                </c:pt>
                <c:pt idx="16">
                  <c:v>419</c:v>
                </c:pt>
                <c:pt idx="17">
                  <c:v>331</c:v>
                </c:pt>
                <c:pt idx="18">
                  <c:v>206</c:v>
                </c:pt>
                <c:pt idx="19">
                  <c:v>164</c:v>
                </c:pt>
                <c:pt idx="20">
                  <c:v>141</c:v>
                </c:pt>
              </c:numCache>
            </c:numRef>
          </c:val>
          <c:extLst>
            <c:ext xmlns:c16="http://schemas.microsoft.com/office/drawing/2014/chart" uri="{C3380CC4-5D6E-409C-BE32-E72D297353CC}">
              <c16:uniqueId val="{00000000-2A27-4939-B097-6D6B8CD2ED88}"/>
            </c:ext>
          </c:extLst>
        </c:ser>
        <c:dLbls>
          <c:showLegendKey val="0"/>
          <c:showVal val="0"/>
          <c:showCatName val="0"/>
          <c:showSerName val="0"/>
          <c:showPercent val="0"/>
          <c:showBubbleSize val="0"/>
        </c:dLbls>
        <c:gapWidth val="78"/>
        <c:axId val="261322240"/>
        <c:axId val="261323776"/>
      </c:barChart>
      <c:lineChart>
        <c:grouping val="standard"/>
        <c:varyColors val="0"/>
        <c:ser>
          <c:idx val="1"/>
          <c:order val="1"/>
          <c:tx>
            <c:strRef>
              <c:f>'Summary Tables'!$E$42</c:f>
              <c:strCache>
                <c:ptCount val="1"/>
                <c:pt idx="0">
                  <c:v>5 Year Average</c:v>
                </c:pt>
              </c:strCache>
            </c:strRef>
          </c:tx>
          <c:marker>
            <c:symbol val="none"/>
          </c:marker>
          <c:cat>
            <c:strRef>
              <c:f>'Summary Tables'!$C$43:$C$64</c:f>
              <c:strCache>
                <c:ptCount val="21"/>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pt idx="20">
                  <c:v>2022/23</c:v>
                </c:pt>
              </c:strCache>
            </c:strRef>
          </c:cat>
          <c:val>
            <c:numRef>
              <c:f>'Summary Tables'!$E$43:$E$63</c:f>
              <c:numCache>
                <c:formatCode>#,##0</c:formatCode>
                <c:ptCount val="21"/>
                <c:pt idx="4">
                  <c:v>443.8</c:v>
                </c:pt>
                <c:pt idx="5">
                  <c:v>432</c:v>
                </c:pt>
                <c:pt idx="6">
                  <c:v>470</c:v>
                </c:pt>
                <c:pt idx="7">
                  <c:v>382.6</c:v>
                </c:pt>
                <c:pt idx="8">
                  <c:v>294</c:v>
                </c:pt>
                <c:pt idx="9">
                  <c:v>289.60000000000002</c:v>
                </c:pt>
                <c:pt idx="10">
                  <c:v>376.6</c:v>
                </c:pt>
                <c:pt idx="11">
                  <c:v>336.4</c:v>
                </c:pt>
                <c:pt idx="12">
                  <c:v>368.2</c:v>
                </c:pt>
                <c:pt idx="13">
                  <c:v>386.6</c:v>
                </c:pt>
                <c:pt idx="14">
                  <c:v>437</c:v>
                </c:pt>
                <c:pt idx="15">
                  <c:v>374.4</c:v>
                </c:pt>
                <c:pt idx="16">
                  <c:v>411.2</c:v>
                </c:pt>
                <c:pt idx="17">
                  <c:v>416.6</c:v>
                </c:pt>
                <c:pt idx="18">
                  <c:v>359.6</c:v>
                </c:pt>
                <c:pt idx="19">
                  <c:v>300.39999999999998</c:v>
                </c:pt>
                <c:pt idx="20">
                  <c:v>252.2</c:v>
                </c:pt>
              </c:numCache>
            </c:numRef>
          </c:val>
          <c:smooth val="0"/>
          <c:extLst>
            <c:ext xmlns:c16="http://schemas.microsoft.com/office/drawing/2014/chart" uri="{C3380CC4-5D6E-409C-BE32-E72D297353CC}">
              <c16:uniqueId val="{00000001-2A27-4939-B097-6D6B8CD2ED88}"/>
            </c:ext>
          </c:extLst>
        </c:ser>
        <c:dLbls>
          <c:showLegendKey val="0"/>
          <c:showVal val="0"/>
          <c:showCatName val="0"/>
          <c:showSerName val="0"/>
          <c:showPercent val="0"/>
          <c:showBubbleSize val="0"/>
        </c:dLbls>
        <c:marker val="1"/>
        <c:smooth val="0"/>
        <c:axId val="261322240"/>
        <c:axId val="261323776"/>
      </c:line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0.84117815192914558"/>
          <c:y val="1.4894730770653904E-2"/>
          <c:w val="0.15672466708532598"/>
          <c:h val="0.1233509852189943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GB" sz="1100">
                <a:latin typeface="Arial" panose="020B0604020202020204" pitchFamily="34" charset="0"/>
                <a:cs typeface="Arial" panose="020B0604020202020204" pitchFamily="34" charset="0"/>
              </a:rPr>
              <a:t>Housing Delivery</a:t>
            </a:r>
            <a:r>
              <a:rPr lang="en-GB" sz="1100" baseline="0">
                <a:latin typeface="Arial" panose="020B0604020202020204" pitchFamily="34" charset="0"/>
                <a:cs typeface="Arial" panose="020B0604020202020204" pitchFamily="34" charset="0"/>
              </a:rPr>
              <a:t> Trajectory and Managed Target</a:t>
            </a:r>
            <a:endParaRPr lang="en-GB" sz="11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Trajectory!$C$12</c:f>
              <c:strCache>
                <c:ptCount val="1"/>
                <c:pt idx="0">
                  <c:v>Past Completions</c:v>
                </c:pt>
              </c:strCache>
            </c:strRef>
          </c:tx>
          <c:spPr>
            <a:solidFill>
              <a:schemeClr val="tx2"/>
            </a:solidFill>
          </c:spPr>
          <c:invertIfNegative val="0"/>
          <c:dPt>
            <c:idx val="7"/>
            <c:invertIfNegative val="0"/>
            <c:bubble3D val="0"/>
            <c:extLst>
              <c:ext xmlns:c16="http://schemas.microsoft.com/office/drawing/2014/chart" uri="{C3380CC4-5D6E-409C-BE32-E72D297353CC}">
                <c16:uniqueId val="{00000000-58FE-4D72-8996-1859CD5AC805}"/>
              </c:ext>
            </c:extLst>
          </c:dPt>
          <c:dPt>
            <c:idx val="8"/>
            <c:invertIfNegative val="0"/>
            <c:bubble3D val="0"/>
            <c:extLst>
              <c:ext xmlns:c16="http://schemas.microsoft.com/office/drawing/2014/chart" uri="{C3380CC4-5D6E-409C-BE32-E72D297353CC}">
                <c16:uniqueId val="{00000001-58FE-4D72-8996-1859CD5AC805}"/>
              </c:ext>
            </c:extLst>
          </c:dPt>
          <c:dPt>
            <c:idx val="9"/>
            <c:invertIfNegative val="0"/>
            <c:bubble3D val="0"/>
            <c:extLst>
              <c:ext xmlns:c16="http://schemas.microsoft.com/office/drawing/2014/chart" uri="{C3380CC4-5D6E-409C-BE32-E72D297353CC}">
                <c16:uniqueId val="{00000002-58FE-4D72-8996-1859CD5AC805}"/>
              </c:ext>
            </c:extLst>
          </c:dPt>
          <c:dPt>
            <c:idx val="10"/>
            <c:invertIfNegative val="0"/>
            <c:bubble3D val="0"/>
            <c:spPr>
              <a:solidFill>
                <a:schemeClr val="accent5"/>
              </a:solidFill>
            </c:spPr>
            <c:extLst>
              <c:ext xmlns:c16="http://schemas.microsoft.com/office/drawing/2014/chart" uri="{C3380CC4-5D6E-409C-BE32-E72D297353CC}">
                <c16:uniqueId val="{00000004-58FE-4D72-8996-1859CD5AC805}"/>
              </c:ext>
            </c:extLst>
          </c:dPt>
          <c:dLbls>
            <c:dLbl>
              <c:idx val="9"/>
              <c:spPr>
                <a:solidFill>
                  <a:schemeClr val="bg1"/>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58FE-4D72-8996-1859CD5AC805}"/>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Trajectory!$D$11:$Z$11</c:f>
              <c:strCache>
                <c:ptCount val="23"/>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strCache>
            </c:strRef>
          </c:cat>
          <c:val>
            <c:numRef>
              <c:f>Trajectory!$D$12:$R$12</c:f>
              <c:numCache>
                <c:formatCode>General</c:formatCode>
                <c:ptCount val="15"/>
                <c:pt idx="0">
                  <c:v>460</c:v>
                </c:pt>
                <c:pt idx="1">
                  <c:v>382</c:v>
                </c:pt>
                <c:pt idx="2">
                  <c:v>419</c:v>
                </c:pt>
                <c:pt idx="3">
                  <c:v>331</c:v>
                </c:pt>
                <c:pt idx="4" formatCode="#,##0">
                  <c:v>206</c:v>
                </c:pt>
                <c:pt idx="5" formatCode="#,##0">
                  <c:v>164</c:v>
                </c:pt>
                <c:pt idx="6" formatCode="#,##0">
                  <c:v>141</c:v>
                </c:pt>
              </c:numCache>
            </c:numRef>
          </c:val>
          <c:extLst>
            <c:ext xmlns:c16="http://schemas.microsoft.com/office/drawing/2014/chart" uri="{C3380CC4-5D6E-409C-BE32-E72D297353CC}">
              <c16:uniqueId val="{00000005-58FE-4D72-8996-1859CD5AC805}"/>
            </c:ext>
          </c:extLst>
        </c:ser>
        <c:ser>
          <c:idx val="1"/>
          <c:order val="1"/>
          <c:tx>
            <c:strRef>
              <c:f>Trajectory!$C$13</c:f>
              <c:strCache>
                <c:ptCount val="1"/>
                <c:pt idx="0">
                  <c:v>Projected Completions</c:v>
                </c:pt>
              </c:strCache>
            </c:strRef>
          </c:tx>
          <c:spPr>
            <a:solidFill>
              <a:schemeClr val="accent1"/>
            </a:solidFill>
          </c:spPr>
          <c:invertIfNegative val="0"/>
          <c:dLbls>
            <c:numFmt formatCode="#,##0" sourceLinked="0"/>
            <c:spPr>
              <a:noFill/>
              <a:effectLst/>
            </c:spPr>
            <c:txPr>
              <a:bodyPr wrap="square" lIns="38100" tIns="19050" rIns="38100" bIns="19050" anchor="ctr">
                <a:spAutoFit/>
              </a:bodyPr>
              <a:lstStyle/>
              <a:p>
                <a:pPr>
                  <a:defRPr>
                    <a:solidFill>
                      <a:schemeClr val="tx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Trajectory!$D$11:$Z$11</c:f>
              <c:strCache>
                <c:ptCount val="23"/>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strCache>
            </c:strRef>
          </c:cat>
          <c:val>
            <c:numRef>
              <c:f>Trajectory!$D$13:$Z$13</c:f>
              <c:numCache>
                <c:formatCode>#,##0</c:formatCode>
                <c:ptCount val="23"/>
                <c:pt idx="7" formatCode="0">
                  <c:v>219.75</c:v>
                </c:pt>
                <c:pt idx="8" formatCode="0">
                  <c:v>308.47222222222223</c:v>
                </c:pt>
                <c:pt idx="9" formatCode="0">
                  <c:v>704.65</c:v>
                </c:pt>
                <c:pt idx="10" formatCode="0">
                  <c:v>446.15</c:v>
                </c:pt>
                <c:pt idx="11" formatCode="0">
                  <c:v>850.15</c:v>
                </c:pt>
                <c:pt idx="12" formatCode="0">
                  <c:v>369.75</c:v>
                </c:pt>
                <c:pt idx="13" formatCode="0">
                  <c:v>465.25</c:v>
                </c:pt>
                <c:pt idx="14" formatCode="0">
                  <c:v>687.25</c:v>
                </c:pt>
                <c:pt idx="15" formatCode="0">
                  <c:v>441</c:v>
                </c:pt>
                <c:pt idx="16" formatCode="0">
                  <c:v>441</c:v>
                </c:pt>
                <c:pt idx="17">
                  <c:v>306</c:v>
                </c:pt>
                <c:pt idx="18">
                  <c:v>306</c:v>
                </c:pt>
                <c:pt idx="19" formatCode="General">
                  <c:v>306</c:v>
                </c:pt>
                <c:pt idx="20" formatCode="General">
                  <c:v>306</c:v>
                </c:pt>
                <c:pt idx="21" formatCode="General">
                  <c:v>306</c:v>
                </c:pt>
                <c:pt idx="22" formatCode="General">
                  <c:v>306</c:v>
                </c:pt>
              </c:numCache>
            </c:numRef>
          </c:val>
          <c:extLst>
            <c:ext xmlns:c16="http://schemas.microsoft.com/office/drawing/2014/chart" uri="{C3380CC4-5D6E-409C-BE32-E72D297353CC}">
              <c16:uniqueId val="{00000006-58FE-4D72-8996-1859CD5AC805}"/>
            </c:ext>
          </c:extLst>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Trajectory!$C$15</c:f>
              <c:strCache>
                <c:ptCount val="1"/>
                <c:pt idx="0">
                  <c:v>Annual Target</c:v>
                </c:pt>
              </c:strCache>
            </c:strRef>
          </c:tx>
          <c:spPr>
            <a:ln>
              <a:solidFill>
                <a:schemeClr val="accent6">
                  <a:lumMod val="50000"/>
                </a:schemeClr>
              </a:solidFill>
            </a:ln>
          </c:spPr>
          <c:marker>
            <c:symbol val="none"/>
          </c:marker>
          <c:cat>
            <c:strRef>
              <c:f>Trajectory!$D$11:$Z$11</c:f>
              <c:strCache>
                <c:ptCount val="23"/>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strCache>
            </c:strRef>
          </c:cat>
          <c:val>
            <c:numRef>
              <c:f>Trajectory!$D$15:$Z$15</c:f>
              <c:numCache>
                <c:formatCode>#,##0</c:formatCode>
                <c:ptCount val="23"/>
                <c:pt idx="0">
                  <c:v>315</c:v>
                </c:pt>
                <c:pt idx="1">
                  <c:v>315</c:v>
                </c:pt>
                <c:pt idx="2">
                  <c:v>315</c:v>
                </c:pt>
                <c:pt idx="3">
                  <c:v>315</c:v>
                </c:pt>
                <c:pt idx="4">
                  <c:v>315</c:v>
                </c:pt>
                <c:pt idx="5">
                  <c:v>411</c:v>
                </c:pt>
                <c:pt idx="6">
                  <c:v>411</c:v>
                </c:pt>
                <c:pt idx="7">
                  <c:v>411</c:v>
                </c:pt>
                <c:pt idx="8">
                  <c:v>411</c:v>
                </c:pt>
                <c:pt idx="9">
                  <c:v>411</c:v>
                </c:pt>
                <c:pt idx="10">
                  <c:v>411</c:v>
                </c:pt>
                <c:pt idx="11">
                  <c:v>411</c:v>
                </c:pt>
                <c:pt idx="12">
                  <c:v>411</c:v>
                </c:pt>
                <c:pt idx="13">
                  <c:v>411</c:v>
                </c:pt>
                <c:pt idx="14">
                  <c:v>411</c:v>
                </c:pt>
                <c:pt idx="15">
                  <c:v>306</c:v>
                </c:pt>
                <c:pt idx="16">
                  <c:v>306</c:v>
                </c:pt>
                <c:pt idx="17">
                  <c:v>306</c:v>
                </c:pt>
                <c:pt idx="18">
                  <c:v>306</c:v>
                </c:pt>
                <c:pt idx="19">
                  <c:v>306</c:v>
                </c:pt>
                <c:pt idx="20">
                  <c:v>306</c:v>
                </c:pt>
                <c:pt idx="21">
                  <c:v>306</c:v>
                </c:pt>
                <c:pt idx="22">
                  <c:v>306</c:v>
                </c:pt>
              </c:numCache>
            </c:numRef>
          </c:val>
          <c:smooth val="0"/>
          <c:extLst>
            <c:ext xmlns:c16="http://schemas.microsoft.com/office/drawing/2014/chart" uri="{C3380CC4-5D6E-409C-BE32-E72D297353CC}">
              <c16:uniqueId val="{00000007-58FE-4D72-8996-1859CD5AC805}"/>
            </c:ext>
          </c:extLst>
        </c:ser>
        <c:ser>
          <c:idx val="4"/>
          <c:order val="3"/>
          <c:tx>
            <c:strRef>
              <c:f>Trajectory!$C$18</c:f>
              <c:strCache>
                <c:ptCount val="1"/>
                <c:pt idx="0">
                  <c:v>Stepped Trajectory</c:v>
                </c:pt>
              </c:strCache>
            </c:strRef>
          </c:tx>
          <c:spPr>
            <a:ln w="22225">
              <a:solidFill>
                <a:schemeClr val="accent6">
                  <a:lumMod val="50000"/>
                </a:schemeClr>
              </a:solidFill>
              <a:prstDash val="dash"/>
            </a:ln>
          </c:spPr>
          <c:marker>
            <c:symbol val="none"/>
          </c:marker>
          <c:cat>
            <c:strRef>
              <c:f>Trajectory!$D$11:$Z$11</c:f>
              <c:strCache>
                <c:ptCount val="23"/>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strCache>
            </c:strRef>
          </c:cat>
          <c:val>
            <c:numRef>
              <c:f>Trajectory!$D$18:$R$18</c:f>
              <c:numCache>
                <c:formatCode>General</c:formatCode>
                <c:ptCount val="15"/>
                <c:pt idx="5">
                  <c:v>200</c:v>
                </c:pt>
                <c:pt idx="6">
                  <c:v>250</c:v>
                </c:pt>
                <c:pt idx="7">
                  <c:v>300</c:v>
                </c:pt>
                <c:pt idx="8">
                  <c:v>350</c:v>
                </c:pt>
                <c:pt idx="9">
                  <c:v>400</c:v>
                </c:pt>
                <c:pt idx="10">
                  <c:v>450</c:v>
                </c:pt>
                <c:pt idx="11">
                  <c:v>500</c:v>
                </c:pt>
                <c:pt idx="12">
                  <c:v>550</c:v>
                </c:pt>
                <c:pt idx="13">
                  <c:v>600</c:v>
                </c:pt>
                <c:pt idx="14">
                  <c:v>650</c:v>
                </c:pt>
              </c:numCache>
            </c:numRef>
          </c:val>
          <c:smooth val="0"/>
          <c:extLst>
            <c:ext xmlns:c16="http://schemas.microsoft.com/office/drawing/2014/chart" uri="{C3380CC4-5D6E-409C-BE32-E72D297353CC}">
              <c16:uniqueId val="{00000009-58FE-4D72-8996-1859CD5AC805}"/>
            </c:ext>
          </c:extLst>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0852352"/>
        <c:crosses val="autoZero"/>
        <c:auto val="1"/>
        <c:lblAlgn val="ctr"/>
        <c:lblOffset val="100"/>
        <c:noMultiLvlLbl val="0"/>
      </c:catAx>
      <c:valAx>
        <c:axId val="320852352"/>
        <c:scaling>
          <c:orientation val="minMax"/>
        </c:scaling>
        <c:delete val="0"/>
        <c:axPos val="l"/>
        <c:majorGridlines>
          <c:spPr>
            <a:ln>
              <a:noFill/>
            </a:ln>
          </c:spPr>
        </c:majorGridlines>
        <c:title>
          <c:tx>
            <c:rich>
              <a:bodyPr rot="-5400000" vert="horz"/>
              <a:lstStyle/>
              <a:p>
                <a:pPr>
                  <a:defRPr/>
                </a:pPr>
                <a:r>
                  <a:rPr lang="en-GB"/>
                  <a:t>Dwellings</a:t>
                </a:r>
              </a:p>
            </c:rich>
          </c:tx>
          <c:overlay val="0"/>
        </c:title>
        <c:numFmt formatCode="General" sourceLinked="1"/>
        <c:majorTickMark val="out"/>
        <c:minorTickMark val="none"/>
        <c:tickLblPos val="nextTo"/>
        <c:crossAx val="32084198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i="0" u="none" strike="noStrike" kern="1200" baseline="0">
                <a:solidFill>
                  <a:sysClr val="windowText" lastClr="000000"/>
                </a:solidFill>
              </a:rPr>
              <a:t>Housing Delivery above or below the Target over Time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8"/>
          <c:order val="0"/>
          <c:tx>
            <c:strRef>
              <c:f>Trajectory!$C$17</c:f>
              <c:strCache>
                <c:ptCount val="1"/>
                <c:pt idx="0">
                  <c:v>Cumulative Completions against Cumulative Target</c:v>
                </c:pt>
              </c:strCache>
            </c:strRef>
          </c:tx>
          <c:spPr>
            <a:ln w="28575" cap="rnd">
              <a:solidFill>
                <a:schemeClr val="accent1"/>
              </a:solidFill>
              <a:round/>
            </a:ln>
            <a:effectLst/>
          </c:spPr>
          <c:marker>
            <c:symbol val="none"/>
          </c:marker>
          <c:cat>
            <c:strRef>
              <c:f>Trajectory!$D$11:$Z$11</c:f>
              <c:strCache>
                <c:ptCount val="23"/>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strCache>
            </c:strRef>
          </c:cat>
          <c:val>
            <c:numRef>
              <c:f>Trajectory!$D$17:$Z$17</c:f>
              <c:numCache>
                <c:formatCode>#,##0</c:formatCode>
                <c:ptCount val="23"/>
                <c:pt idx="0">
                  <c:v>145</c:v>
                </c:pt>
                <c:pt idx="1">
                  <c:v>212</c:v>
                </c:pt>
                <c:pt idx="2">
                  <c:v>316</c:v>
                </c:pt>
                <c:pt idx="3">
                  <c:v>332</c:v>
                </c:pt>
                <c:pt idx="4">
                  <c:v>223</c:v>
                </c:pt>
                <c:pt idx="5">
                  <c:v>-247</c:v>
                </c:pt>
                <c:pt idx="6">
                  <c:v>-517</c:v>
                </c:pt>
                <c:pt idx="7">
                  <c:v>-708.25</c:v>
                </c:pt>
                <c:pt idx="8">
                  <c:v>-810.77777777777783</c:v>
                </c:pt>
                <c:pt idx="9">
                  <c:v>-517.12777777777774</c:v>
                </c:pt>
                <c:pt idx="10">
                  <c:v>-481.97777777777765</c:v>
                </c:pt>
                <c:pt idx="11">
                  <c:v>-42.827777777777555</c:v>
                </c:pt>
                <c:pt idx="12">
                  <c:v>-84.077777777777555</c:v>
                </c:pt>
                <c:pt idx="13">
                  <c:v>-29.827777777777555</c:v>
                </c:pt>
                <c:pt idx="14">
                  <c:v>246.42222222222244</c:v>
                </c:pt>
                <c:pt idx="15">
                  <c:v>381.42222222222244</c:v>
                </c:pt>
                <c:pt idx="16">
                  <c:v>516.42222222222244</c:v>
                </c:pt>
                <c:pt idx="17">
                  <c:v>516.42222222222244</c:v>
                </c:pt>
                <c:pt idx="18">
                  <c:v>516.42222222222244</c:v>
                </c:pt>
                <c:pt idx="19">
                  <c:v>516.42222222222244</c:v>
                </c:pt>
                <c:pt idx="20">
                  <c:v>516.42222222222244</c:v>
                </c:pt>
                <c:pt idx="21">
                  <c:v>516.42222222222244</c:v>
                </c:pt>
                <c:pt idx="22">
                  <c:v>516.42222222222244</c:v>
                </c:pt>
              </c:numCache>
            </c:numRef>
          </c:val>
          <c:smooth val="0"/>
          <c:extLst>
            <c:ext xmlns:c16="http://schemas.microsoft.com/office/drawing/2014/chart" uri="{C3380CC4-5D6E-409C-BE32-E72D297353CC}">
              <c16:uniqueId val="{00000000-E0D6-4CD0-ADF6-9BDB9F83AA0A}"/>
            </c:ext>
          </c:extLst>
        </c:ser>
        <c:dLbls>
          <c:showLegendKey val="0"/>
          <c:showVal val="0"/>
          <c:showCatName val="0"/>
          <c:showSerName val="0"/>
          <c:showPercent val="0"/>
          <c:showBubbleSize val="0"/>
        </c:dLbls>
        <c:smooth val="0"/>
        <c:axId val="1396368408"/>
        <c:axId val="1396372368"/>
      </c:lineChart>
      <c:catAx>
        <c:axId val="1396368408"/>
        <c:scaling>
          <c:orientation val="minMax"/>
        </c:scaling>
        <c:delete val="0"/>
        <c:axPos val="b"/>
        <c:numFmt formatCode="General" sourceLinked="1"/>
        <c:majorTickMark val="none"/>
        <c:minorTickMark val="none"/>
        <c:tickLblPos val="low"/>
        <c:spPr>
          <a:noFill/>
          <a:ln w="19050" cap="flat" cmpd="sng" algn="ctr">
            <a:solidFill>
              <a:schemeClr val="accent6">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6372368"/>
        <c:crosses val="autoZero"/>
        <c:auto val="0"/>
        <c:lblAlgn val="ctr"/>
        <c:lblOffset val="100"/>
        <c:noMultiLvlLbl val="0"/>
      </c:catAx>
      <c:valAx>
        <c:axId val="1396372368"/>
        <c:scaling>
          <c:orientation val="minMax"/>
          <c:min val="-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636840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8034954054069E-2"/>
          <c:y val="5.905511811023622E-2"/>
          <c:w val="0.93777804232354312"/>
          <c:h val="0.83639682697237672"/>
        </c:manualLayout>
      </c:layout>
      <c:barChart>
        <c:barDir val="col"/>
        <c:grouping val="stacked"/>
        <c:varyColors val="0"/>
        <c:ser>
          <c:idx val="0"/>
          <c:order val="0"/>
          <c:tx>
            <c:strRef>
              <c:f>'Summary Tables'!$D$71</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dLbls>
            <c:delete val="1"/>
          </c:dLbls>
          <c:cat>
            <c:strRef>
              <c:f>'Summary Tables'!$C$73:$C$90</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 Tables'!$D$73:$D$90</c:f>
              <c:numCache>
                <c:formatCode>#,##0</c:formatCode>
                <c:ptCount val="18"/>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pt idx="14">
                  <c:v>297</c:v>
                </c:pt>
                <c:pt idx="15">
                  <c:v>189</c:v>
                </c:pt>
                <c:pt idx="16">
                  <c:v>142</c:v>
                </c:pt>
                <c:pt idx="17">
                  <c:v>127</c:v>
                </c:pt>
              </c:numCache>
            </c:numRef>
          </c:val>
          <c:extLst>
            <c:ext xmlns:c16="http://schemas.microsoft.com/office/drawing/2014/chart" uri="{C3380CC4-5D6E-409C-BE32-E72D297353CC}">
              <c16:uniqueId val="{00000000-57EF-467E-8F0F-F1DB8DA0E6E9}"/>
            </c:ext>
          </c:extLst>
        </c:ser>
        <c:ser>
          <c:idx val="4"/>
          <c:order val="1"/>
          <c:tx>
            <c:strRef>
              <c:f>'Summary Tables'!$F$71</c:f>
              <c:strCache>
                <c:ptCount val="1"/>
                <c:pt idx="0">
                  <c:v> Affordable</c:v>
                </c:pt>
              </c:strCache>
            </c:strRef>
          </c:tx>
          <c:spPr>
            <a:solidFill>
              <a:schemeClr val="accent3"/>
            </a:solidFill>
            <a:ln w="25400">
              <a:solidFill>
                <a:schemeClr val="accent3"/>
              </a:solidFill>
              <a:prstDash val="solid"/>
              <a:miter lim="800000"/>
            </a:ln>
          </c:spPr>
          <c:invertIfNegative val="0"/>
          <c:dLbls>
            <c:delete val="1"/>
          </c:dLbls>
          <c:cat>
            <c:strRef>
              <c:f>'Summary Tables'!$C$73:$C$90</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'Summary Tables'!$F$73:$F$90</c:f>
              <c:numCache>
                <c:formatCode>#,##0</c:formatCode>
                <c:ptCount val="18"/>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pt idx="14">
                  <c:v>34</c:v>
                </c:pt>
                <c:pt idx="15">
                  <c:v>17</c:v>
                </c:pt>
                <c:pt idx="16">
                  <c:v>22</c:v>
                </c:pt>
                <c:pt idx="17">
                  <c:v>14</c:v>
                </c:pt>
              </c:numCache>
            </c:numRef>
          </c:val>
          <c:extLst>
            <c:ext xmlns:c16="http://schemas.microsoft.com/office/drawing/2014/chart" uri="{C3380CC4-5D6E-409C-BE32-E72D297353CC}">
              <c16:uniqueId val="{00000001-57EF-467E-8F0F-F1DB8DA0E6E9}"/>
            </c:ext>
          </c:extLst>
        </c:ser>
        <c:dLbls>
          <c:dLblPos val="ctr"/>
          <c:showLegendKey val="0"/>
          <c:showVal val="1"/>
          <c:showCatName val="0"/>
          <c:showSerName val="0"/>
          <c:showPercent val="0"/>
          <c:showBubbleSize val="0"/>
        </c:dLbls>
        <c:gapWidth val="56"/>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chemeClr val="bg1">
              <a:lumMod val="50000"/>
            </a:schemeClr>
          </a:solidFill>
          <a:prstDash val="solid"/>
        </a:ln>
      </c:spPr>
    </c:plotArea>
    <c:legend>
      <c:legendPos val="r"/>
      <c:layout>
        <c:manualLayout>
          <c:xMode val="edge"/>
          <c:yMode val="edge"/>
          <c:x val="0.76499620700426352"/>
          <c:y val="7.3397590007131461E-2"/>
          <c:w val="0.19393234269209397"/>
          <c:h val="0.123862752450061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Tables'!$D$126</c:f>
              <c:strCache>
                <c:ptCount val="1"/>
                <c:pt idx="0">
                  <c:v>%</c:v>
                </c:pt>
              </c:strCache>
            </c:strRef>
          </c:tx>
          <c:spPr>
            <a:solidFill>
              <a:srgbClr val="0070C0"/>
            </a:solidFill>
            <a:ln w="12700">
              <a:solidFill>
                <a:srgbClr val="002060"/>
              </a:solidFill>
            </a:ln>
          </c:spPr>
          <c:invertIfNegative val="0"/>
          <c:dLbls>
            <c:spPr>
              <a:solidFill>
                <a:schemeClr val="bg1"/>
              </a:solid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Tables'!$C$127:$C$146</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'Summary Tables'!$D$127:$D$146</c:f>
              <c:numCache>
                <c:formatCode>0%</c:formatCode>
                <c:ptCount val="20"/>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c:v>
                </c:pt>
                <c:pt idx="14">
                  <c:v>0.56999999999999995</c:v>
                </c:pt>
                <c:pt idx="15">
                  <c:v>0.70167064439140814</c:v>
                </c:pt>
                <c:pt idx="16">
                  <c:v>0.70392749244712993</c:v>
                </c:pt>
                <c:pt idx="17">
                  <c:v>0.48058252427184467</c:v>
                </c:pt>
                <c:pt idx="18">
                  <c:v>0.61585365853658536</c:v>
                </c:pt>
                <c:pt idx="19">
                  <c:v>0.14184397163120568</c:v>
                </c:pt>
              </c:numCache>
            </c:numRef>
          </c:val>
          <c:extLst>
            <c:ext xmlns:c16="http://schemas.microsoft.com/office/drawing/2014/chart" uri="{C3380CC4-5D6E-409C-BE32-E72D297353CC}">
              <c16:uniqueId val="{00000000-2B01-4B01-8D2B-019B12A91200}"/>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rot="1800000" vert="horz"/>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Net units completed by Ward 2022/23</a:t>
            </a:r>
            <a:endParaRPr lang="en-GB">
              <a:solidFill>
                <a:sysClr val="windowText" lastClr="000000"/>
              </a:solidFill>
            </a:endParaRP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7868124718705576"/>
          <c:y val="0.1076958468426741"/>
          <c:w val="0.5882621463488541"/>
          <c:h val="0.80917153002933462"/>
        </c:manualLayout>
      </c:layout>
      <c:barChart>
        <c:barDir val="bar"/>
        <c:grouping val="clustered"/>
        <c:varyColors val="0"/>
        <c:ser>
          <c:idx val="1"/>
          <c:order val="0"/>
          <c:tx>
            <c:strRef>
              <c:f>'Summary Tables'!$H$207</c:f>
              <c:strCache>
                <c:ptCount val="1"/>
                <c:pt idx="0">
                  <c:v>Net Gain</c:v>
                </c:pt>
              </c:strCache>
            </c:strRef>
          </c:tx>
          <c:spPr>
            <a:solidFill>
              <a:srgbClr val="0070C0"/>
            </a:solidFill>
            <a:ln w="12700">
              <a:solidFill>
                <a:srgbClr val="002060"/>
              </a:solidFill>
            </a:ln>
          </c:spPr>
          <c:invertIfNegative val="0"/>
          <c:dLbls>
            <c:delete val="1"/>
          </c:dLbls>
          <c:cat>
            <c:strRef>
              <c:f>'Summary Tables'!$C$208:$C$225</c:f>
              <c:strCache>
                <c:ptCount val="18"/>
                <c:pt idx="0">
                  <c:v>Barnes</c:v>
                </c:pt>
                <c:pt idx="1">
                  <c:v>East Sheen</c:v>
                </c:pt>
                <c:pt idx="2">
                  <c:v>Fulwell &amp; Hampton Hill</c:v>
                </c:pt>
                <c:pt idx="3">
                  <c:v>Ham, Petersham &amp; Richmond Riverside</c:v>
                </c:pt>
                <c:pt idx="4">
                  <c:v>Hampton</c:v>
                </c:pt>
                <c:pt idx="5">
                  <c:v>Hampton North</c:v>
                </c:pt>
                <c:pt idx="6">
                  <c:v>Hampton Wick &amp; South Teddington</c:v>
                </c:pt>
                <c:pt idx="7">
                  <c:v>Heathfield</c:v>
                </c:pt>
                <c:pt idx="8">
                  <c:v>Kew</c:v>
                </c:pt>
                <c:pt idx="9">
                  <c:v>Mortlake &amp; Barnes Common</c:v>
                </c:pt>
                <c:pt idx="10">
                  <c:v>North Richmond</c:v>
                </c:pt>
                <c:pt idx="11">
                  <c:v>South Richmond</c:v>
                </c:pt>
                <c:pt idx="12">
                  <c:v>South Twickenham</c:v>
                </c:pt>
                <c:pt idx="13">
                  <c:v>St. Margarets &amp; North Twickenham</c:v>
                </c:pt>
                <c:pt idx="14">
                  <c:v>Teddington</c:v>
                </c:pt>
                <c:pt idx="15">
                  <c:v>Twickenham Riverside</c:v>
                </c:pt>
                <c:pt idx="16">
                  <c:v>West Twickenham</c:v>
                </c:pt>
                <c:pt idx="17">
                  <c:v>Whitton</c:v>
                </c:pt>
              </c:strCache>
            </c:strRef>
          </c:cat>
          <c:val>
            <c:numRef>
              <c:f>'Summary Tables'!$H$208:$H$225</c:f>
              <c:numCache>
                <c:formatCode>#,##0</c:formatCode>
                <c:ptCount val="18"/>
                <c:pt idx="0">
                  <c:v>2</c:v>
                </c:pt>
                <c:pt idx="1">
                  <c:v>5</c:v>
                </c:pt>
                <c:pt idx="2">
                  <c:v>7</c:v>
                </c:pt>
                <c:pt idx="3">
                  <c:v>-3</c:v>
                </c:pt>
                <c:pt idx="4">
                  <c:v>19</c:v>
                </c:pt>
                <c:pt idx="5">
                  <c:v>1</c:v>
                </c:pt>
                <c:pt idx="6">
                  <c:v>11</c:v>
                </c:pt>
                <c:pt idx="7">
                  <c:v>10</c:v>
                </c:pt>
                <c:pt idx="8">
                  <c:v>37</c:v>
                </c:pt>
                <c:pt idx="9">
                  <c:v>5</c:v>
                </c:pt>
                <c:pt idx="10">
                  <c:v>-1</c:v>
                </c:pt>
                <c:pt idx="11">
                  <c:v>11</c:v>
                </c:pt>
                <c:pt idx="12">
                  <c:v>5</c:v>
                </c:pt>
                <c:pt idx="13">
                  <c:v>7</c:v>
                </c:pt>
                <c:pt idx="14">
                  <c:v>12</c:v>
                </c:pt>
                <c:pt idx="15">
                  <c:v>5</c:v>
                </c:pt>
                <c:pt idx="16">
                  <c:v>6</c:v>
                </c:pt>
                <c:pt idx="17">
                  <c:v>2</c:v>
                </c:pt>
              </c:numCache>
            </c:numRef>
          </c:val>
          <c:extLst>
            <c:ext xmlns:c16="http://schemas.microsoft.com/office/drawing/2014/chart" uri="{C3380CC4-5D6E-409C-BE32-E72D297353CC}">
              <c16:uniqueId val="{00000000-792D-4FFC-89D4-C06F5F226DAB}"/>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min val="0"/>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25"/>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Tables'!$C$236:$D$236</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97A6-4B85-8091-CDDECB24106C}"/>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97A6-4B85-8091-CDDECB24106C}"/>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97A6-4B85-8091-CDDECB24106C}"/>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97A6-4B85-8091-CDDECB24106C}"/>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97A6-4B85-8091-CDDECB24106C}"/>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97A6-4B85-8091-CDDECB24106C}"/>
              </c:ext>
            </c:extLst>
          </c:dPt>
          <c:cat>
            <c:strRef>
              <c:f>'Summary Tables'!$E$235:$H$235</c:f>
              <c:strCache>
                <c:ptCount val="4"/>
                <c:pt idx="0">
                  <c:v>1 bed</c:v>
                </c:pt>
                <c:pt idx="1">
                  <c:v>2 bed</c:v>
                </c:pt>
                <c:pt idx="2">
                  <c:v>3 bed</c:v>
                </c:pt>
                <c:pt idx="3">
                  <c:v>4 + bed</c:v>
                </c:pt>
              </c:strCache>
            </c:strRef>
          </c:cat>
          <c:val>
            <c:numRef>
              <c:f>'Summary Tables'!$E$242:$H$242</c:f>
              <c:numCache>
                <c:formatCode>#,##0</c:formatCode>
                <c:ptCount val="4"/>
                <c:pt idx="0">
                  <c:v>27</c:v>
                </c:pt>
                <c:pt idx="1">
                  <c:v>24</c:v>
                </c:pt>
                <c:pt idx="2">
                  <c:v>12</c:v>
                </c:pt>
                <c:pt idx="3">
                  <c:v>11</c:v>
                </c:pt>
              </c:numCache>
            </c:numRef>
          </c:val>
          <c:extLst>
            <c:ext xmlns:c16="http://schemas.microsoft.com/office/drawing/2014/chart" uri="{C3380CC4-5D6E-409C-BE32-E72D297353CC}">
              <c16:uniqueId val="{0000000C-97A6-4B85-8091-CDDECB24106C}"/>
            </c:ext>
          </c:extLst>
        </c:ser>
        <c:ser>
          <c:idx val="1"/>
          <c:order val="1"/>
          <c:tx>
            <c:strRef>
              <c:f>'Summary Tables'!$C$237:$D$237</c:f>
              <c:strCache>
                <c:ptCount val="2"/>
                <c:pt idx="0">
                  <c:v>Market</c:v>
                </c:pt>
              </c:strCache>
            </c:strRef>
          </c:tx>
          <c:cat>
            <c:strRef>
              <c:f>'Summary Tables'!$E$235:$H$235</c:f>
              <c:strCache>
                <c:ptCount val="4"/>
                <c:pt idx="0">
                  <c:v>1 bed</c:v>
                </c:pt>
                <c:pt idx="1">
                  <c:v>2 bed</c:v>
                </c:pt>
                <c:pt idx="2">
                  <c:v>3 bed</c:v>
                </c:pt>
                <c:pt idx="3">
                  <c:v>4 + bed</c:v>
                </c:pt>
              </c:strCache>
            </c:strRef>
          </c:cat>
          <c:val>
            <c:numRef>
              <c:f>'Summary Tables'!$E$237:$H$237</c:f>
              <c:numCache>
                <c:formatCode>0%</c:formatCode>
                <c:ptCount val="4"/>
                <c:pt idx="0">
                  <c:v>0.36486486486486486</c:v>
                </c:pt>
                <c:pt idx="1">
                  <c:v>0.25675675675675674</c:v>
                </c:pt>
                <c:pt idx="2">
                  <c:v>6.7567567567567571E-2</c:v>
                </c:pt>
                <c:pt idx="3">
                  <c:v>0.12162162162162163</c:v>
                </c:pt>
              </c:numCache>
            </c:numRef>
          </c:val>
          <c:extLst>
            <c:ext xmlns:c16="http://schemas.microsoft.com/office/drawing/2014/chart" uri="{C3380CC4-5D6E-409C-BE32-E72D297353CC}">
              <c16:uniqueId val="{0000000D-97A6-4B85-8091-CDDECB24106C}"/>
            </c:ext>
          </c:extLst>
        </c:ser>
        <c:ser>
          <c:idx val="2"/>
          <c:order val="2"/>
          <c:tx>
            <c:strRef>
              <c:f>'Summary Tables'!$C$238:$D$238</c:f>
              <c:strCache>
                <c:ptCount val="2"/>
                <c:pt idx="0">
                  <c:v>Intermediate</c:v>
                </c:pt>
              </c:strCache>
            </c:strRef>
          </c:tx>
          <c:cat>
            <c:strRef>
              <c:f>'Summary Tables'!$E$235:$H$235</c:f>
              <c:strCache>
                <c:ptCount val="4"/>
                <c:pt idx="0">
                  <c:v>1 bed</c:v>
                </c:pt>
                <c:pt idx="1">
                  <c:v>2 bed</c:v>
                </c:pt>
                <c:pt idx="2">
                  <c:v>3 bed</c:v>
                </c:pt>
                <c:pt idx="3">
                  <c:v>4 + bed</c:v>
                </c:pt>
              </c:strCache>
            </c:strRef>
          </c:cat>
          <c:val>
            <c:numRef>
              <c:f>'Summary Tables'!$E$238:$H$238</c:f>
              <c:numCache>
                <c:formatCode>#,##0</c:formatCode>
                <c:ptCount val="4"/>
                <c:pt idx="0">
                  <c:v>0</c:v>
                </c:pt>
                <c:pt idx="1">
                  <c:v>0</c:v>
                </c:pt>
                <c:pt idx="2">
                  <c:v>0</c:v>
                </c:pt>
                <c:pt idx="3">
                  <c:v>0</c:v>
                </c:pt>
              </c:numCache>
            </c:numRef>
          </c:val>
          <c:extLst>
            <c:ext xmlns:c16="http://schemas.microsoft.com/office/drawing/2014/chart" uri="{C3380CC4-5D6E-409C-BE32-E72D297353CC}">
              <c16:uniqueId val="{0000000E-97A6-4B85-8091-CDDECB24106C}"/>
            </c:ext>
          </c:extLst>
        </c:ser>
        <c:ser>
          <c:idx val="3"/>
          <c:order val="3"/>
          <c:tx>
            <c:strRef>
              <c:f>'Summary Tables'!$C$239:$D$239</c:f>
              <c:strCache>
                <c:ptCount val="2"/>
                <c:pt idx="0">
                  <c:v>Intermediate</c:v>
                </c:pt>
              </c:strCache>
            </c:strRef>
          </c:tx>
          <c:cat>
            <c:strRef>
              <c:f>'Summary Tables'!$E$235:$H$235</c:f>
              <c:strCache>
                <c:ptCount val="4"/>
                <c:pt idx="0">
                  <c:v>1 bed</c:v>
                </c:pt>
                <c:pt idx="1">
                  <c:v>2 bed</c:v>
                </c:pt>
                <c:pt idx="2">
                  <c:v>3 bed</c:v>
                </c:pt>
                <c:pt idx="3">
                  <c:v>4 + bed</c:v>
                </c:pt>
              </c:strCache>
            </c:strRef>
          </c:cat>
          <c:val>
            <c:numRef>
              <c:f>'Summary Tables'!$E$239:$H$239</c:f>
              <c:numCache>
                <c:formatCode>0%</c:formatCode>
                <c:ptCount val="4"/>
                <c:pt idx="0">
                  <c:v>0</c:v>
                </c:pt>
                <c:pt idx="1">
                  <c:v>0</c:v>
                </c:pt>
                <c:pt idx="2">
                  <c:v>0</c:v>
                </c:pt>
                <c:pt idx="3">
                  <c:v>0</c:v>
                </c:pt>
              </c:numCache>
            </c:numRef>
          </c:val>
          <c:extLst>
            <c:ext xmlns:c16="http://schemas.microsoft.com/office/drawing/2014/chart" uri="{C3380CC4-5D6E-409C-BE32-E72D297353CC}">
              <c16:uniqueId val="{0000000F-97A6-4B85-8091-CDDECB24106C}"/>
            </c:ext>
          </c:extLst>
        </c:ser>
        <c:ser>
          <c:idx val="4"/>
          <c:order val="4"/>
          <c:tx>
            <c:strRef>
              <c:f>'Summary Tables'!$C$240:$D$240</c:f>
              <c:strCache>
                <c:ptCount val="2"/>
                <c:pt idx="0">
                  <c:v>Affordable Rented</c:v>
                </c:pt>
              </c:strCache>
            </c:strRef>
          </c:tx>
          <c:cat>
            <c:strRef>
              <c:f>'Summary Tables'!$E$235:$H$235</c:f>
              <c:strCache>
                <c:ptCount val="4"/>
                <c:pt idx="0">
                  <c:v>1 bed</c:v>
                </c:pt>
                <c:pt idx="1">
                  <c:v>2 bed</c:v>
                </c:pt>
                <c:pt idx="2">
                  <c:v>3 bed</c:v>
                </c:pt>
                <c:pt idx="3">
                  <c:v>4 + bed</c:v>
                </c:pt>
              </c:strCache>
            </c:strRef>
          </c:cat>
          <c:val>
            <c:numRef>
              <c:f>'Summary Tables'!$E$240:$H$240</c:f>
              <c:numCache>
                <c:formatCode>#,##0</c:formatCode>
                <c:ptCount val="4"/>
                <c:pt idx="0">
                  <c:v>0</c:v>
                </c:pt>
                <c:pt idx="1">
                  <c:v>5</c:v>
                </c:pt>
                <c:pt idx="2">
                  <c:v>7</c:v>
                </c:pt>
                <c:pt idx="3">
                  <c:v>2</c:v>
                </c:pt>
              </c:numCache>
            </c:numRef>
          </c:val>
          <c:extLst>
            <c:ext xmlns:c16="http://schemas.microsoft.com/office/drawing/2014/chart" uri="{C3380CC4-5D6E-409C-BE32-E72D297353CC}">
              <c16:uniqueId val="{00000010-97A6-4B85-8091-CDDECB24106C}"/>
            </c:ext>
          </c:extLst>
        </c:ser>
        <c:ser>
          <c:idx val="5"/>
          <c:order val="5"/>
          <c:tx>
            <c:strRef>
              <c:f>'Summary Tables'!$C$241:$D$241</c:f>
              <c:strCache>
                <c:ptCount val="2"/>
                <c:pt idx="0">
                  <c:v>Affordable Rented</c:v>
                </c:pt>
              </c:strCache>
            </c:strRef>
          </c:tx>
          <c:cat>
            <c:strRef>
              <c:f>'Summary Tables'!$E$235:$H$235</c:f>
              <c:strCache>
                <c:ptCount val="4"/>
                <c:pt idx="0">
                  <c:v>1 bed</c:v>
                </c:pt>
                <c:pt idx="1">
                  <c:v>2 bed</c:v>
                </c:pt>
                <c:pt idx="2">
                  <c:v>3 bed</c:v>
                </c:pt>
                <c:pt idx="3">
                  <c:v>4 + bed</c:v>
                </c:pt>
              </c:strCache>
            </c:strRef>
          </c:cat>
          <c:val>
            <c:numRef>
              <c:f>'Summary Tables'!$E$241:$H$241</c:f>
              <c:numCache>
                <c:formatCode>0%</c:formatCode>
                <c:ptCount val="4"/>
                <c:pt idx="0">
                  <c:v>0</c:v>
                </c:pt>
                <c:pt idx="1">
                  <c:v>6.7567567567567571E-2</c:v>
                </c:pt>
                <c:pt idx="2">
                  <c:v>9.45945945945946E-2</c:v>
                </c:pt>
                <c:pt idx="3">
                  <c:v>2.7027027027027029E-2</c:v>
                </c:pt>
              </c:numCache>
            </c:numRef>
          </c:val>
          <c:extLst>
            <c:ext xmlns:c16="http://schemas.microsoft.com/office/drawing/2014/chart" uri="{C3380CC4-5D6E-409C-BE32-E72D297353CC}">
              <c16:uniqueId val="{00000011-97A6-4B85-8091-CDDECB2410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23790150246967159"/>
          <c:h val="0.5559748168733810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chemeClr val="bg1">
          <a:lumMod val="50000"/>
        </a:schemeClr>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3.7866913694611704E-2"/>
          <c:w val="0.62285474081364833"/>
          <c:h val="0.93794596263702334"/>
        </c:manualLayout>
      </c:layout>
      <c:pieChart>
        <c:varyColors val="1"/>
        <c:ser>
          <c:idx val="0"/>
          <c:order val="0"/>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BF69-4E5B-9E83-0DD08FE0D574}"/>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BF69-4E5B-9E83-0DD08FE0D574}"/>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BF69-4E5B-9E83-0DD08FE0D574}"/>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BF69-4E5B-9E83-0DD08FE0D574}"/>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BF69-4E5B-9E83-0DD08FE0D574}"/>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BF69-4E5B-9E83-0DD08FE0D574}"/>
              </c:ext>
            </c:extLst>
          </c:dPt>
          <c:cat>
            <c:strRef>
              <c:f>'Summary Tables'!$E$247:$H$247</c:f>
              <c:strCache>
                <c:ptCount val="4"/>
                <c:pt idx="0">
                  <c:v>1 bed</c:v>
                </c:pt>
                <c:pt idx="1">
                  <c:v>2 bed</c:v>
                </c:pt>
                <c:pt idx="2">
                  <c:v>3 bed</c:v>
                </c:pt>
                <c:pt idx="3">
                  <c:v>4 + bed</c:v>
                </c:pt>
              </c:strCache>
            </c:strRef>
          </c:cat>
          <c:val>
            <c:numRef>
              <c:f>'Summary Tables'!$E$256:$H$256</c:f>
              <c:numCache>
                <c:formatCode>#,##0</c:formatCode>
                <c:ptCount val="4"/>
                <c:pt idx="0">
                  <c:v>35</c:v>
                </c:pt>
                <c:pt idx="1">
                  <c:v>86</c:v>
                </c:pt>
                <c:pt idx="2">
                  <c:v>21</c:v>
                </c:pt>
                <c:pt idx="3">
                  <c:v>26</c:v>
                </c:pt>
              </c:numCache>
            </c:numRef>
          </c:val>
          <c:extLst>
            <c:ext xmlns:c16="http://schemas.microsoft.com/office/drawing/2014/chart" uri="{C3380CC4-5D6E-409C-BE32-E72D297353CC}">
              <c16:uniqueId val="{0000000C-BF69-4E5B-9E83-0DD08FE0D574}"/>
            </c:ext>
          </c:extLst>
        </c:ser>
        <c:ser>
          <c:idx val="1"/>
          <c:order val="1"/>
          <c:cat>
            <c:strRef>
              <c:f>'Summary Tables'!$E$247:$H$247</c:f>
              <c:strCache>
                <c:ptCount val="4"/>
                <c:pt idx="0">
                  <c:v>1 bed</c:v>
                </c:pt>
                <c:pt idx="1">
                  <c:v>2 bed</c:v>
                </c:pt>
                <c:pt idx="2">
                  <c:v>3 bed</c:v>
                </c:pt>
                <c:pt idx="3">
                  <c:v>4 + bed</c:v>
                </c:pt>
              </c:strCache>
            </c:strRef>
          </c:cat>
          <c:val>
            <c:numRef>
              <c:f>'Summary Tables'!$E$249:$H$249</c:f>
              <c:numCache>
                <c:formatCode>0%</c:formatCode>
                <c:ptCount val="4"/>
                <c:pt idx="0">
                  <c:v>0.11904761904761904</c:v>
                </c:pt>
                <c:pt idx="1">
                  <c:v>0.38095238095238093</c:v>
                </c:pt>
                <c:pt idx="2">
                  <c:v>8.3333333333333329E-2</c:v>
                </c:pt>
                <c:pt idx="3">
                  <c:v>0.14285714285714285</c:v>
                </c:pt>
              </c:numCache>
            </c:numRef>
          </c:val>
          <c:extLst>
            <c:ext xmlns:c16="http://schemas.microsoft.com/office/drawing/2014/chart" uri="{C3380CC4-5D6E-409C-BE32-E72D297353CC}">
              <c16:uniqueId val="{0000000D-BF69-4E5B-9E83-0DD08FE0D574}"/>
            </c:ext>
          </c:extLst>
        </c:ser>
        <c:ser>
          <c:idx val="2"/>
          <c:order val="2"/>
          <c:cat>
            <c:strRef>
              <c:f>'Summary Tables'!$E$247:$H$247</c:f>
              <c:strCache>
                <c:ptCount val="4"/>
                <c:pt idx="0">
                  <c:v>1 bed</c:v>
                </c:pt>
                <c:pt idx="1">
                  <c:v>2 bed</c:v>
                </c:pt>
                <c:pt idx="2">
                  <c:v>3 bed</c:v>
                </c:pt>
                <c:pt idx="3">
                  <c:v>4 + bed</c:v>
                </c:pt>
              </c:strCache>
            </c:strRef>
          </c:cat>
          <c:val>
            <c:numRef>
              <c:f>'Summary Tables'!$E$250:$H$250</c:f>
              <c:numCache>
                <c:formatCode>#,##0</c:formatCode>
                <c:ptCount val="4"/>
                <c:pt idx="0">
                  <c:v>12</c:v>
                </c:pt>
                <c:pt idx="1">
                  <c:v>7</c:v>
                </c:pt>
                <c:pt idx="2">
                  <c:v>0</c:v>
                </c:pt>
                <c:pt idx="3">
                  <c:v>0</c:v>
                </c:pt>
              </c:numCache>
            </c:numRef>
          </c:val>
          <c:extLst>
            <c:ext xmlns:c16="http://schemas.microsoft.com/office/drawing/2014/chart" uri="{C3380CC4-5D6E-409C-BE32-E72D297353CC}">
              <c16:uniqueId val="{0000000E-BF69-4E5B-9E83-0DD08FE0D574}"/>
            </c:ext>
          </c:extLst>
        </c:ser>
        <c:ser>
          <c:idx val="3"/>
          <c:order val="3"/>
          <c:cat>
            <c:strRef>
              <c:f>'Summary Tables'!$E$247:$H$247</c:f>
              <c:strCache>
                <c:ptCount val="4"/>
                <c:pt idx="0">
                  <c:v>1 bed</c:v>
                </c:pt>
                <c:pt idx="1">
                  <c:v>2 bed</c:v>
                </c:pt>
                <c:pt idx="2">
                  <c:v>3 bed</c:v>
                </c:pt>
                <c:pt idx="3">
                  <c:v>4 + bed</c:v>
                </c:pt>
              </c:strCache>
            </c:strRef>
          </c:cat>
          <c:val>
            <c:numRef>
              <c:f>'Summary Tables'!$E$251:$H$251</c:f>
              <c:numCache>
                <c:formatCode>0%</c:formatCode>
                <c:ptCount val="4"/>
                <c:pt idx="0">
                  <c:v>7.1428571428571425E-2</c:v>
                </c:pt>
                <c:pt idx="1">
                  <c:v>4.1666666666666664E-2</c:v>
                </c:pt>
                <c:pt idx="2">
                  <c:v>0</c:v>
                </c:pt>
                <c:pt idx="3">
                  <c:v>0</c:v>
                </c:pt>
              </c:numCache>
            </c:numRef>
          </c:val>
          <c:extLst>
            <c:ext xmlns:c16="http://schemas.microsoft.com/office/drawing/2014/chart" uri="{C3380CC4-5D6E-409C-BE32-E72D297353CC}">
              <c16:uniqueId val="{0000000F-BF69-4E5B-9E83-0DD08FE0D574}"/>
            </c:ext>
          </c:extLst>
        </c:ser>
        <c:ser>
          <c:idx val="4"/>
          <c:order val="4"/>
          <c:cat>
            <c:strRef>
              <c:f>'Summary Tables'!$E$247:$H$247</c:f>
              <c:strCache>
                <c:ptCount val="4"/>
                <c:pt idx="0">
                  <c:v>1 bed</c:v>
                </c:pt>
                <c:pt idx="1">
                  <c:v>2 bed</c:v>
                </c:pt>
                <c:pt idx="2">
                  <c:v>3 bed</c:v>
                </c:pt>
                <c:pt idx="3">
                  <c:v>4 + bed</c:v>
                </c:pt>
              </c:strCache>
            </c:strRef>
          </c:cat>
          <c:val>
            <c:numRef>
              <c:f>'Summary Tables'!$E$252:$H$252</c:f>
              <c:numCache>
                <c:formatCode>#,##0</c:formatCode>
                <c:ptCount val="4"/>
                <c:pt idx="0">
                  <c:v>32</c:v>
                </c:pt>
                <c:pt idx="1">
                  <c:v>16</c:v>
                </c:pt>
                <c:pt idx="2">
                  <c:v>7</c:v>
                </c:pt>
                <c:pt idx="3">
                  <c:v>2</c:v>
                </c:pt>
              </c:numCache>
            </c:numRef>
          </c:val>
          <c:extLst>
            <c:ext xmlns:c16="http://schemas.microsoft.com/office/drawing/2014/chart" uri="{C3380CC4-5D6E-409C-BE32-E72D297353CC}">
              <c16:uniqueId val="{00000010-BF69-4E5B-9E83-0DD08FE0D574}"/>
            </c:ext>
          </c:extLst>
        </c:ser>
        <c:ser>
          <c:idx val="5"/>
          <c:order val="5"/>
          <c:cat>
            <c:strRef>
              <c:f>'Summary Tables'!$E$247:$H$247</c:f>
              <c:strCache>
                <c:ptCount val="4"/>
                <c:pt idx="0">
                  <c:v>1 bed</c:v>
                </c:pt>
                <c:pt idx="1">
                  <c:v>2 bed</c:v>
                </c:pt>
                <c:pt idx="2">
                  <c:v>3 bed</c:v>
                </c:pt>
                <c:pt idx="3">
                  <c:v>4 + bed</c:v>
                </c:pt>
              </c:strCache>
            </c:strRef>
          </c:cat>
          <c:val>
            <c:numRef>
              <c:f>'Summary Tables'!$E$253:$H$253</c:f>
              <c:numCache>
                <c:formatCode>0%</c:formatCode>
                <c:ptCount val="4"/>
                <c:pt idx="0">
                  <c:v>0.19047619047619047</c:v>
                </c:pt>
                <c:pt idx="1">
                  <c:v>9.5238095238095233E-2</c:v>
                </c:pt>
                <c:pt idx="2">
                  <c:v>4.1666666666666664E-2</c:v>
                </c:pt>
                <c:pt idx="3">
                  <c:v>1.1904761904761904E-2</c:v>
                </c:pt>
              </c:numCache>
            </c:numRef>
          </c:val>
          <c:extLst>
            <c:ext xmlns:c16="http://schemas.microsoft.com/office/drawing/2014/chart" uri="{C3380CC4-5D6E-409C-BE32-E72D297353CC}">
              <c16:uniqueId val="{00000011-BF69-4E5B-9E83-0DD08FE0D574}"/>
            </c:ext>
          </c:extLst>
        </c:ser>
        <c:ser>
          <c:idx val="6"/>
          <c:order val="6"/>
          <c:cat>
            <c:strRef>
              <c:f>'Summary Tables'!$E$247:$H$247</c:f>
              <c:strCache>
                <c:ptCount val="4"/>
                <c:pt idx="0">
                  <c:v>1 bed</c:v>
                </c:pt>
                <c:pt idx="1">
                  <c:v>2 bed</c:v>
                </c:pt>
                <c:pt idx="2">
                  <c:v>3 bed</c:v>
                </c:pt>
                <c:pt idx="3">
                  <c:v>4 + bed</c:v>
                </c:pt>
              </c:strCache>
            </c:strRef>
          </c:cat>
          <c:val>
            <c:numRef>
              <c:f>'Summary Tables'!$E$254:$H$254</c:f>
              <c:numCache>
                <c:formatCode>#,##0</c:formatCode>
                <c:ptCount val="4"/>
                <c:pt idx="0">
                  <c:v>-29</c:v>
                </c:pt>
                <c:pt idx="1">
                  <c:v>-1</c:v>
                </c:pt>
                <c:pt idx="2">
                  <c:v>0</c:v>
                </c:pt>
                <c:pt idx="3">
                  <c:v>0</c:v>
                </c:pt>
              </c:numCache>
            </c:numRef>
          </c:val>
          <c:extLst>
            <c:ext xmlns:c16="http://schemas.microsoft.com/office/drawing/2014/chart" uri="{C3380CC4-5D6E-409C-BE32-E72D297353CC}">
              <c16:uniqueId val="{00000012-BF69-4E5B-9E83-0DD08FE0D574}"/>
            </c:ext>
          </c:extLst>
        </c:ser>
        <c:ser>
          <c:idx val="7"/>
          <c:order val="7"/>
          <c:cat>
            <c:strRef>
              <c:f>'Summary Tables'!$E$247:$H$247</c:f>
              <c:strCache>
                <c:ptCount val="4"/>
                <c:pt idx="0">
                  <c:v>1 bed</c:v>
                </c:pt>
                <c:pt idx="1">
                  <c:v>2 bed</c:v>
                </c:pt>
                <c:pt idx="2">
                  <c:v>3 bed</c:v>
                </c:pt>
                <c:pt idx="3">
                  <c:v>4 + bed</c:v>
                </c:pt>
              </c:strCache>
            </c:strRef>
          </c:cat>
          <c:val>
            <c:numRef>
              <c:f>'Summary Tables'!$E$255:$H$255</c:f>
              <c:numCache>
                <c:formatCode>0%</c:formatCode>
                <c:ptCount val="4"/>
                <c:pt idx="0">
                  <c:v>-0.17261904761904762</c:v>
                </c:pt>
                <c:pt idx="1">
                  <c:v>-5.9523809523809521E-3</c:v>
                </c:pt>
                <c:pt idx="2">
                  <c:v>0</c:v>
                </c:pt>
                <c:pt idx="3">
                  <c:v>0</c:v>
                </c:pt>
              </c:numCache>
            </c:numRef>
          </c:val>
          <c:extLst>
            <c:ext xmlns:c16="http://schemas.microsoft.com/office/drawing/2014/chart" uri="{C3380CC4-5D6E-409C-BE32-E72D297353CC}">
              <c16:uniqueId val="{00000013-BF69-4E5B-9E83-0DD08FE0D57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4524688669235494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Net units with planning permission by Ward 2022/23</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40203382947539906"/>
          <c:y val="7.2401732915915631E-2"/>
          <c:w val="0.56490969759946374"/>
          <c:h val="0.84446573696360239"/>
        </c:manualLayout>
      </c:layout>
      <c:barChart>
        <c:barDir val="bar"/>
        <c:grouping val="clustered"/>
        <c:varyColors val="0"/>
        <c:ser>
          <c:idx val="1"/>
          <c:order val="0"/>
          <c:tx>
            <c:strRef>
              <c:f>'Summary Tables'!$F$181</c:f>
              <c:strCache>
                <c:ptCount val="1"/>
                <c:pt idx="0">
                  <c:v>Not Started</c:v>
                </c:pt>
              </c:strCache>
            </c:strRef>
          </c:tx>
          <c:spPr>
            <a:solidFill>
              <a:srgbClr val="0070C0"/>
            </a:solidFill>
            <a:ln w="12700">
              <a:solidFill>
                <a:srgbClr val="002060"/>
              </a:solidFill>
            </a:ln>
          </c:spPr>
          <c:invertIfNegative val="0"/>
          <c:dLbls>
            <c:delete val="1"/>
          </c:dLbls>
          <c:cat>
            <c:strRef>
              <c:f>'Summary Tables'!$C$182:$C$199</c:f>
              <c:strCache>
                <c:ptCount val="18"/>
                <c:pt idx="0">
                  <c:v>Barnes</c:v>
                </c:pt>
                <c:pt idx="1">
                  <c:v>East Sheen</c:v>
                </c:pt>
                <c:pt idx="2">
                  <c:v>Fulwell &amp; Hampton Hill</c:v>
                </c:pt>
                <c:pt idx="3">
                  <c:v>Ham, Petersham &amp; Richmond Riverside</c:v>
                </c:pt>
                <c:pt idx="4">
                  <c:v>Hampton</c:v>
                </c:pt>
                <c:pt idx="5">
                  <c:v>Hampton North</c:v>
                </c:pt>
                <c:pt idx="6">
                  <c:v>Hampton Wick &amp; South Teddington</c:v>
                </c:pt>
                <c:pt idx="7">
                  <c:v>Heathfield</c:v>
                </c:pt>
                <c:pt idx="8">
                  <c:v>Kew</c:v>
                </c:pt>
                <c:pt idx="9">
                  <c:v>Mortlake &amp; Barnes Common</c:v>
                </c:pt>
                <c:pt idx="10">
                  <c:v>North Richmond</c:v>
                </c:pt>
                <c:pt idx="11">
                  <c:v>South Richmond</c:v>
                </c:pt>
                <c:pt idx="12">
                  <c:v>South Twickenham</c:v>
                </c:pt>
                <c:pt idx="13">
                  <c:v>St. Margarets &amp; North Twickenham</c:v>
                </c:pt>
                <c:pt idx="14">
                  <c:v>Teddington</c:v>
                </c:pt>
                <c:pt idx="15">
                  <c:v>Twickenham Riverside</c:v>
                </c:pt>
                <c:pt idx="16">
                  <c:v>West Twickenham</c:v>
                </c:pt>
                <c:pt idx="17">
                  <c:v>Whitton</c:v>
                </c:pt>
              </c:strCache>
            </c:strRef>
          </c:cat>
          <c:val>
            <c:numRef>
              <c:f>'Summary Tables'!$F$182:$F$199</c:f>
              <c:numCache>
                <c:formatCode>#,##0</c:formatCode>
                <c:ptCount val="18"/>
                <c:pt idx="0">
                  <c:v>1</c:v>
                </c:pt>
                <c:pt idx="1">
                  <c:v>9</c:v>
                </c:pt>
                <c:pt idx="2">
                  <c:v>35</c:v>
                </c:pt>
                <c:pt idx="3">
                  <c:v>264</c:v>
                </c:pt>
                <c:pt idx="4">
                  <c:v>13</c:v>
                </c:pt>
                <c:pt idx="5">
                  <c:v>4</c:v>
                </c:pt>
                <c:pt idx="6">
                  <c:v>13</c:v>
                </c:pt>
                <c:pt idx="7">
                  <c:v>4</c:v>
                </c:pt>
                <c:pt idx="8">
                  <c:v>123</c:v>
                </c:pt>
                <c:pt idx="9">
                  <c:v>96</c:v>
                </c:pt>
                <c:pt idx="10">
                  <c:v>24</c:v>
                </c:pt>
                <c:pt idx="11">
                  <c:v>25</c:v>
                </c:pt>
                <c:pt idx="12">
                  <c:v>30</c:v>
                </c:pt>
                <c:pt idx="13">
                  <c:v>223</c:v>
                </c:pt>
                <c:pt idx="14">
                  <c:v>41</c:v>
                </c:pt>
                <c:pt idx="15">
                  <c:v>112</c:v>
                </c:pt>
                <c:pt idx="16">
                  <c:v>-1</c:v>
                </c:pt>
                <c:pt idx="17">
                  <c:v>12</c:v>
                </c:pt>
              </c:numCache>
            </c:numRef>
          </c:val>
          <c:extLst>
            <c:ext xmlns:c16="http://schemas.microsoft.com/office/drawing/2014/chart" uri="{C3380CC4-5D6E-409C-BE32-E72D297353CC}">
              <c16:uniqueId val="{00000000-1F6D-46CD-B53B-5B44104EE5EE}"/>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
        <c:tickLblSkip val="1"/>
        <c:noMultiLvlLbl val="0"/>
      </c:catAx>
      <c:valAx>
        <c:axId val="325049728"/>
        <c:scaling>
          <c:orientation val="minMax"/>
          <c:max val="30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50"/>
        <c:minorUnit val="50"/>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2.4980700941794044E-2"/>
          <c:w val="0.61764640748031496"/>
          <c:h val="0.9301028253821213"/>
        </c:manualLayout>
      </c:layout>
      <c:pieChart>
        <c:varyColors val="1"/>
        <c:ser>
          <c:idx val="0"/>
          <c:order val="0"/>
          <c:tx>
            <c:strRef>
              <c:f>'Summary Tables'!$C$263:$D$263</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4A10-4335-9160-8873CB119136}"/>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4A10-4335-9160-8873CB119136}"/>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4A10-4335-9160-8873CB119136}"/>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4A10-4335-9160-8873CB119136}"/>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4A10-4335-9160-8873CB119136}"/>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4A10-4335-9160-8873CB119136}"/>
              </c:ext>
            </c:extLst>
          </c:dPt>
          <c:cat>
            <c:strRef>
              <c:f>'Summary Tables'!$E$262:$H$262</c:f>
              <c:strCache>
                <c:ptCount val="4"/>
                <c:pt idx="0">
                  <c:v>1 bed</c:v>
                </c:pt>
                <c:pt idx="1">
                  <c:v>2 bed</c:v>
                </c:pt>
                <c:pt idx="2">
                  <c:v>3 bed</c:v>
                </c:pt>
                <c:pt idx="3">
                  <c:v>4 + bed</c:v>
                </c:pt>
              </c:strCache>
            </c:strRef>
          </c:cat>
          <c:val>
            <c:numRef>
              <c:f>'Summary Tables'!$E$271:$H$271</c:f>
              <c:numCache>
                <c:formatCode>#,##0</c:formatCode>
                <c:ptCount val="4"/>
                <c:pt idx="0">
                  <c:v>347</c:v>
                </c:pt>
                <c:pt idx="1">
                  <c:v>374</c:v>
                </c:pt>
                <c:pt idx="2">
                  <c:v>85</c:v>
                </c:pt>
                <c:pt idx="3">
                  <c:v>55</c:v>
                </c:pt>
              </c:numCache>
            </c:numRef>
          </c:val>
          <c:extLst>
            <c:ext xmlns:c16="http://schemas.microsoft.com/office/drawing/2014/chart" uri="{C3380CC4-5D6E-409C-BE32-E72D297353CC}">
              <c16:uniqueId val="{0000000C-4A10-4335-9160-8873CB119136}"/>
            </c:ext>
          </c:extLst>
        </c:ser>
        <c:ser>
          <c:idx val="1"/>
          <c:order val="1"/>
          <c:tx>
            <c:strRef>
              <c:f>'Summary Tables'!$C$264:$D$264</c:f>
              <c:strCache>
                <c:ptCount val="2"/>
                <c:pt idx="0">
                  <c:v>Market</c:v>
                </c:pt>
              </c:strCache>
            </c:strRef>
          </c:tx>
          <c:cat>
            <c:strRef>
              <c:f>'Summary Tables'!$E$262:$H$262</c:f>
              <c:strCache>
                <c:ptCount val="4"/>
                <c:pt idx="0">
                  <c:v>1 bed</c:v>
                </c:pt>
                <c:pt idx="1">
                  <c:v>2 bed</c:v>
                </c:pt>
                <c:pt idx="2">
                  <c:v>3 bed</c:v>
                </c:pt>
                <c:pt idx="3">
                  <c:v>4 + bed</c:v>
                </c:pt>
              </c:strCache>
            </c:strRef>
          </c:cat>
          <c:val>
            <c:numRef>
              <c:f>'Summary Tables'!$E$264:$H$264</c:f>
              <c:numCache>
                <c:formatCode>0%</c:formatCode>
                <c:ptCount val="4"/>
                <c:pt idx="0">
                  <c:v>0.24274099883855982</c:v>
                </c:pt>
                <c:pt idx="1">
                  <c:v>0.28687572590011612</c:v>
                </c:pt>
                <c:pt idx="2">
                  <c:v>6.968641114982578E-2</c:v>
                </c:pt>
                <c:pt idx="3">
                  <c:v>6.3879210220673638E-2</c:v>
                </c:pt>
              </c:numCache>
            </c:numRef>
          </c:val>
          <c:extLst>
            <c:ext xmlns:c16="http://schemas.microsoft.com/office/drawing/2014/chart" uri="{C3380CC4-5D6E-409C-BE32-E72D297353CC}">
              <c16:uniqueId val="{0000000D-4A10-4335-9160-8873CB119136}"/>
            </c:ext>
          </c:extLst>
        </c:ser>
        <c:ser>
          <c:idx val="2"/>
          <c:order val="2"/>
          <c:tx>
            <c:strRef>
              <c:f>'Summary Tables'!$C$265:$D$265</c:f>
              <c:strCache>
                <c:ptCount val="2"/>
                <c:pt idx="0">
                  <c:v>Intermediate (&amp;SO)</c:v>
                </c:pt>
              </c:strCache>
            </c:strRef>
          </c:tx>
          <c:cat>
            <c:strRef>
              <c:f>'Summary Tables'!$E$262:$H$262</c:f>
              <c:strCache>
                <c:ptCount val="4"/>
                <c:pt idx="0">
                  <c:v>1 bed</c:v>
                </c:pt>
                <c:pt idx="1">
                  <c:v>2 bed</c:v>
                </c:pt>
                <c:pt idx="2">
                  <c:v>3 bed</c:v>
                </c:pt>
                <c:pt idx="3">
                  <c:v>4 + bed</c:v>
                </c:pt>
              </c:strCache>
            </c:strRef>
          </c:cat>
          <c:val>
            <c:numRef>
              <c:f>'Summary Tables'!$E$265:$H$265</c:f>
              <c:numCache>
                <c:formatCode>#,##0</c:formatCode>
                <c:ptCount val="4"/>
                <c:pt idx="0">
                  <c:v>65</c:v>
                </c:pt>
                <c:pt idx="1">
                  <c:v>82</c:v>
                </c:pt>
                <c:pt idx="2">
                  <c:v>16</c:v>
                </c:pt>
                <c:pt idx="3">
                  <c:v>0</c:v>
                </c:pt>
              </c:numCache>
            </c:numRef>
          </c:val>
          <c:extLst>
            <c:ext xmlns:c16="http://schemas.microsoft.com/office/drawing/2014/chart" uri="{C3380CC4-5D6E-409C-BE32-E72D297353CC}">
              <c16:uniqueId val="{0000000E-4A10-4335-9160-8873CB119136}"/>
            </c:ext>
          </c:extLst>
        </c:ser>
        <c:ser>
          <c:idx val="3"/>
          <c:order val="3"/>
          <c:tx>
            <c:strRef>
              <c:f>'Summary Tables'!$C$266:$D$266</c:f>
              <c:strCache>
                <c:ptCount val="2"/>
                <c:pt idx="0">
                  <c:v>Intermediate (&amp;SO)</c:v>
                </c:pt>
              </c:strCache>
            </c:strRef>
          </c:tx>
          <c:cat>
            <c:strRef>
              <c:f>'Summary Tables'!$E$262:$H$262</c:f>
              <c:strCache>
                <c:ptCount val="4"/>
                <c:pt idx="0">
                  <c:v>1 bed</c:v>
                </c:pt>
                <c:pt idx="1">
                  <c:v>2 bed</c:v>
                </c:pt>
                <c:pt idx="2">
                  <c:v>3 bed</c:v>
                </c:pt>
                <c:pt idx="3">
                  <c:v>4 + bed</c:v>
                </c:pt>
              </c:strCache>
            </c:strRef>
          </c:cat>
          <c:val>
            <c:numRef>
              <c:f>'Summary Tables'!$E$266:$H$266</c:f>
              <c:numCache>
                <c:formatCode>0%</c:formatCode>
                <c:ptCount val="4"/>
                <c:pt idx="0">
                  <c:v>7.5493612078977937E-2</c:v>
                </c:pt>
                <c:pt idx="1">
                  <c:v>9.5238095238095233E-2</c:v>
                </c:pt>
                <c:pt idx="2">
                  <c:v>1.8583042973286876E-2</c:v>
                </c:pt>
                <c:pt idx="3">
                  <c:v>0</c:v>
                </c:pt>
              </c:numCache>
            </c:numRef>
          </c:val>
          <c:extLst>
            <c:ext xmlns:c16="http://schemas.microsoft.com/office/drawing/2014/chart" uri="{C3380CC4-5D6E-409C-BE32-E72D297353CC}">
              <c16:uniqueId val="{0000000F-4A10-4335-9160-8873CB119136}"/>
            </c:ext>
          </c:extLst>
        </c:ser>
        <c:ser>
          <c:idx val="4"/>
          <c:order val="4"/>
          <c:tx>
            <c:strRef>
              <c:f>'Summary Tables'!$C$267:$D$267</c:f>
              <c:strCache>
                <c:ptCount val="2"/>
                <c:pt idx="0">
                  <c:v>Affordable Rented</c:v>
                </c:pt>
              </c:strCache>
            </c:strRef>
          </c:tx>
          <c:cat>
            <c:strRef>
              <c:f>'Summary Tables'!$E$262:$H$262</c:f>
              <c:strCache>
                <c:ptCount val="4"/>
                <c:pt idx="0">
                  <c:v>1 bed</c:v>
                </c:pt>
                <c:pt idx="1">
                  <c:v>2 bed</c:v>
                </c:pt>
                <c:pt idx="2">
                  <c:v>3 bed</c:v>
                </c:pt>
                <c:pt idx="3">
                  <c:v>4 + bed</c:v>
                </c:pt>
              </c:strCache>
            </c:strRef>
          </c:cat>
          <c:val>
            <c:numRef>
              <c:f>'Summary Tables'!$E$267:$H$267</c:f>
              <c:numCache>
                <c:formatCode>#,##0</c:formatCode>
                <c:ptCount val="4"/>
                <c:pt idx="0">
                  <c:v>-25</c:v>
                </c:pt>
                <c:pt idx="1">
                  <c:v>-4</c:v>
                </c:pt>
                <c:pt idx="2">
                  <c:v>-3</c:v>
                </c:pt>
                <c:pt idx="3">
                  <c:v>0</c:v>
                </c:pt>
              </c:numCache>
            </c:numRef>
          </c:val>
          <c:extLst>
            <c:ext xmlns:c16="http://schemas.microsoft.com/office/drawing/2014/chart" uri="{C3380CC4-5D6E-409C-BE32-E72D297353CC}">
              <c16:uniqueId val="{00000010-4A10-4335-9160-8873CB119136}"/>
            </c:ext>
          </c:extLst>
        </c:ser>
        <c:ser>
          <c:idx val="5"/>
          <c:order val="5"/>
          <c:tx>
            <c:strRef>
              <c:f>'Summary Tables'!$C$268:$D$268</c:f>
              <c:strCache>
                <c:ptCount val="2"/>
                <c:pt idx="0">
                  <c:v>Affordable Rented</c:v>
                </c:pt>
              </c:strCache>
            </c:strRef>
          </c:tx>
          <c:cat>
            <c:strRef>
              <c:f>'Summary Tables'!$E$262:$H$262</c:f>
              <c:strCache>
                <c:ptCount val="4"/>
                <c:pt idx="0">
                  <c:v>1 bed</c:v>
                </c:pt>
                <c:pt idx="1">
                  <c:v>2 bed</c:v>
                </c:pt>
                <c:pt idx="2">
                  <c:v>3 bed</c:v>
                </c:pt>
                <c:pt idx="3">
                  <c:v>4 + bed</c:v>
                </c:pt>
              </c:strCache>
            </c:strRef>
          </c:cat>
          <c:val>
            <c:numRef>
              <c:f>'Summary Tables'!$E$268:$H$268</c:f>
              <c:numCache>
                <c:formatCode>0%</c:formatCode>
                <c:ptCount val="4"/>
                <c:pt idx="0">
                  <c:v>-2.9036004645760744E-2</c:v>
                </c:pt>
                <c:pt idx="1">
                  <c:v>-4.6457607433217189E-3</c:v>
                </c:pt>
                <c:pt idx="2">
                  <c:v>-3.4843205574912892E-3</c:v>
                </c:pt>
                <c:pt idx="3">
                  <c:v>0</c:v>
                </c:pt>
              </c:numCache>
            </c:numRef>
          </c:val>
          <c:extLst>
            <c:ext xmlns:c16="http://schemas.microsoft.com/office/drawing/2014/chart" uri="{C3380CC4-5D6E-409C-BE32-E72D297353CC}">
              <c16:uniqueId val="{00000011-4A10-4335-9160-8873CB11913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5523645907897876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Dwelling </a:t>
            </a:r>
            <a:r>
              <a:rPr lang="en-GB" sz="900" b="1" baseline="0"/>
              <a:t>Size of Net Completions in 2022/23 (All tenures)</a:t>
            </a:r>
            <a:endParaRPr lang="en-GB" sz="900" b="1"/>
          </a:p>
        </c:rich>
      </c:tx>
      <c:layout>
        <c:manualLayout>
          <c:xMode val="edge"/>
          <c:yMode val="edge"/>
          <c:x val="0.2433176980664325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stacked"/>
        <c:varyColors val="0"/>
        <c:ser>
          <c:idx val="1"/>
          <c:order val="0"/>
          <c:tx>
            <c:strRef>
              <c:f>'Summary Tables'!$G$96</c:f>
              <c:strCache>
                <c:ptCount val="1"/>
                <c:pt idx="0">
                  <c:v>Prior Approvals</c:v>
                </c:pt>
              </c:strCache>
            </c:strRef>
          </c:tx>
          <c:invertIfNegative val="0"/>
          <c:cat>
            <c:strRef>
              <c:f>'Summary Tables'!$C$97:$D$100</c:f>
              <c:strCache>
                <c:ptCount val="4"/>
                <c:pt idx="0">
                  <c:v>1 bed </c:v>
                </c:pt>
                <c:pt idx="1">
                  <c:v>2 bed </c:v>
                </c:pt>
                <c:pt idx="2">
                  <c:v>3 bed </c:v>
                </c:pt>
                <c:pt idx="3">
                  <c:v>4+ bed </c:v>
                </c:pt>
              </c:strCache>
            </c:strRef>
          </c:cat>
          <c:val>
            <c:numRef>
              <c:f>'Summary Tables'!$G$97:$G$100</c:f>
              <c:numCache>
                <c:formatCode>General</c:formatCode>
                <c:ptCount val="4"/>
                <c:pt idx="0">
                  <c:v>26</c:v>
                </c:pt>
                <c:pt idx="1">
                  <c:v>10</c:v>
                </c:pt>
                <c:pt idx="2">
                  <c:v>0</c:v>
                </c:pt>
                <c:pt idx="3">
                  <c:v>2</c:v>
                </c:pt>
              </c:numCache>
            </c:numRef>
          </c:val>
          <c:extLst>
            <c:ext xmlns:c16="http://schemas.microsoft.com/office/drawing/2014/chart" uri="{C3380CC4-5D6E-409C-BE32-E72D297353CC}">
              <c16:uniqueId val="{00000000-F152-4C80-9D4D-564739FCEBE8}"/>
            </c:ext>
          </c:extLst>
        </c:ser>
        <c:ser>
          <c:idx val="0"/>
          <c:order val="1"/>
          <c:tx>
            <c:strRef>
              <c:f>'Summary Tables'!$E$96</c:f>
              <c:strCache>
                <c:ptCount val="1"/>
                <c:pt idx="0">
                  <c:v>Permissions</c:v>
                </c:pt>
              </c:strCache>
            </c:strRef>
          </c:tx>
          <c:invertIfNegative val="0"/>
          <c:cat>
            <c:strRef>
              <c:f>'Summary Tables'!$C$97:$D$100</c:f>
              <c:strCache>
                <c:ptCount val="4"/>
                <c:pt idx="0">
                  <c:v>1 bed </c:v>
                </c:pt>
                <c:pt idx="1">
                  <c:v>2 bed </c:v>
                </c:pt>
                <c:pt idx="2">
                  <c:v>3 bed </c:v>
                </c:pt>
                <c:pt idx="3">
                  <c:v>4+ bed </c:v>
                </c:pt>
              </c:strCache>
            </c:strRef>
          </c:cat>
          <c:val>
            <c:numRef>
              <c:f>'Summary Tables'!$E$97:$E$100</c:f>
              <c:numCache>
                <c:formatCode>General</c:formatCode>
                <c:ptCount val="4"/>
                <c:pt idx="0">
                  <c:v>39</c:v>
                </c:pt>
                <c:pt idx="1">
                  <c:v>35</c:v>
                </c:pt>
                <c:pt idx="2">
                  <c:v>15</c:v>
                </c:pt>
                <c:pt idx="3">
                  <c:v>14</c:v>
                </c:pt>
              </c:numCache>
            </c:numRef>
          </c:val>
          <c:extLst>
            <c:ext xmlns:c16="http://schemas.microsoft.com/office/drawing/2014/chart" uri="{C3380CC4-5D6E-409C-BE32-E72D297353CC}">
              <c16:uniqueId val="{00000001-F152-4C80-9D4D-564739FCEBE8}"/>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noMultiLvlLbl val="0"/>
      </c:catAx>
      <c:valAx>
        <c:axId val="324679936"/>
        <c:scaling>
          <c:orientation val="minMax"/>
          <c:min val="0"/>
        </c:scaling>
        <c:delete val="0"/>
        <c:axPos val="l"/>
        <c:majorGridlines>
          <c:spPr>
            <a:ln w="3175">
              <a:solidFill>
                <a:srgbClr val="969696"/>
              </a:solidFill>
              <a:prstDash val="solid"/>
            </a:ln>
          </c:spPr>
        </c:majorGridlines>
        <c:title>
          <c:tx>
            <c:rich>
              <a:bodyPr rot="-5400000" vert="horz"/>
              <a:lstStyle/>
              <a:p>
                <a:pPr>
                  <a:defRPr/>
                </a:pPr>
                <a:r>
                  <a:rPr lang="en-GB" b="1"/>
                  <a:t>Numberr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majorUnit val="20"/>
      </c:valAx>
      <c:spPr>
        <a:noFill/>
        <a:ln w="12700">
          <a:solidFill>
            <a:srgbClr val="969696"/>
          </a:solidFill>
          <a:prstDash val="solid"/>
        </a:ln>
      </c:spPr>
    </c:plotArea>
    <c:legend>
      <c:legendPos val="t"/>
      <c:layout>
        <c:manualLayout>
          <c:xMode val="edge"/>
          <c:yMode val="edge"/>
          <c:x val="0.76772064616433"/>
          <c:y val="0.12919556422574219"/>
          <c:w val="0.19927232559796706"/>
          <c:h val="0.16059247481859873"/>
        </c:manualLayout>
      </c:layout>
      <c:overlay val="0"/>
      <c:spPr>
        <a:solidFill>
          <a:schemeClr val="bg1"/>
        </a:solidFill>
      </c:spPr>
    </c:legend>
    <c:plotVisOnly val="1"/>
    <c:dispBlanksAs val="gap"/>
    <c:showDLblsOverMax val="0"/>
  </c:chart>
  <c:spPr>
    <a:solidFill>
      <a:srgbClr val="FFFFFF"/>
    </a:solidFill>
    <a:ln w="3175">
      <a:solidFill>
        <a:schemeClr val="bg1">
          <a:lumMod val="50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image" Target="../media/image1.pn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184785</xdr:colOff>
      <xdr:row>41</xdr:row>
      <xdr:rowOff>1</xdr:rowOff>
    </xdr:from>
    <xdr:to>
      <xdr:col>18</xdr:col>
      <xdr:colOff>0</xdr:colOff>
      <xdr:row>63</xdr:row>
      <xdr:rowOff>0</xdr:rowOff>
    </xdr:to>
    <xdr:graphicFrame macro="">
      <xdr:nvGraphicFramePr>
        <xdr:cNvPr id="3" name="Chart 12">
          <a:extLst>
            <a:ext uri="{FF2B5EF4-FFF2-40B4-BE49-F238E27FC236}">
              <a16:creationId xmlns:a16="http://schemas.microsoft.com/office/drawing/2014/main" id="{13FC5F98-2726-4200-A0A4-A4C2CC896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257175</xdr:colOff>
      <xdr:row>69</xdr:row>
      <xdr:rowOff>161924</xdr:rowOff>
    </xdr:from>
    <xdr:to>
      <xdr:col>18</xdr:col>
      <xdr:colOff>323850</xdr:colOff>
      <xdr:row>90</xdr:row>
      <xdr:rowOff>161924</xdr:rowOff>
    </xdr:to>
    <xdr:graphicFrame macro="">
      <xdr:nvGraphicFramePr>
        <xdr:cNvPr id="16" name="Chart 62">
          <a:extLst>
            <a:ext uri="{FF2B5EF4-FFF2-40B4-BE49-F238E27FC236}">
              <a16:creationId xmlns:a16="http://schemas.microsoft.com/office/drawing/2014/main" id="{04C9B054-EB98-4D88-B33B-520BEC1B03E2}"/>
            </a:ext>
            <a:ext uri="{147F2762-F138-4A5C-976F-8EAC2B608ADB}">
              <a16:predDERef xmlns:a16="http://schemas.microsoft.com/office/drawing/2014/main" pred="{13FC5F98-2726-4200-A0A4-A4C2CC896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118109</xdr:colOff>
      <xdr:row>1</xdr:row>
      <xdr:rowOff>265845</xdr:rowOff>
    </xdr:from>
    <xdr:to>
      <xdr:col>4</xdr:col>
      <xdr:colOff>0</xdr:colOff>
      <xdr:row>2</xdr:row>
      <xdr:rowOff>34290</xdr:rowOff>
    </xdr:to>
    <xdr:pic>
      <xdr:nvPicPr>
        <xdr:cNvPr id="6" name="Picture 5">
          <a:extLst>
            <a:ext uri="{FF2B5EF4-FFF2-40B4-BE49-F238E27FC236}">
              <a16:creationId xmlns:a16="http://schemas.microsoft.com/office/drawing/2014/main" id="{8E7943DA-14D5-4E7A-B840-2FA1002029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7709" y="561120"/>
          <a:ext cx="1786891" cy="366615"/>
        </a:xfrm>
        <a:prstGeom prst="rect">
          <a:avLst/>
        </a:prstGeom>
      </xdr:spPr>
    </xdr:pic>
    <xdr:clientData/>
  </xdr:twoCellAnchor>
  <xdr:twoCellAnchor>
    <xdr:from>
      <xdr:col>5</xdr:col>
      <xdr:colOff>495300</xdr:colOff>
      <xdr:row>141</xdr:row>
      <xdr:rowOff>0</xdr:rowOff>
    </xdr:from>
    <xdr:to>
      <xdr:col>18</xdr:col>
      <xdr:colOff>0</xdr:colOff>
      <xdr:row>159</xdr:row>
      <xdr:rowOff>0</xdr:rowOff>
    </xdr:to>
    <xdr:graphicFrame macro="">
      <xdr:nvGraphicFramePr>
        <xdr:cNvPr id="8" name="Chart 7">
          <a:extLst>
            <a:ext uri="{FF2B5EF4-FFF2-40B4-BE49-F238E27FC236}">
              <a16:creationId xmlns:a16="http://schemas.microsoft.com/office/drawing/2014/main" id="{1DC94591-F682-4865-973A-037935231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xdr:colOff>
      <xdr:row>206</xdr:row>
      <xdr:rowOff>0</xdr:rowOff>
    </xdr:from>
    <xdr:to>
      <xdr:col>18</xdr:col>
      <xdr:colOff>1</xdr:colOff>
      <xdr:row>226</xdr:row>
      <xdr:rowOff>0</xdr:rowOff>
    </xdr:to>
    <xdr:graphicFrame macro="">
      <xdr:nvGraphicFramePr>
        <xdr:cNvPr id="9" name="Chart 55">
          <a:extLst>
            <a:ext uri="{FF2B5EF4-FFF2-40B4-BE49-F238E27FC236}">
              <a16:creationId xmlns:a16="http://schemas.microsoft.com/office/drawing/2014/main" id="{B28C66B3-F562-4E84-97CC-AA1B9CB00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234</xdr:row>
      <xdr:rowOff>1</xdr:rowOff>
    </xdr:from>
    <xdr:to>
      <xdr:col>16</xdr:col>
      <xdr:colOff>1</xdr:colOff>
      <xdr:row>243</xdr:row>
      <xdr:rowOff>0</xdr:rowOff>
    </xdr:to>
    <xdr:graphicFrame macro="">
      <xdr:nvGraphicFramePr>
        <xdr:cNvPr id="10" name="Chart 56">
          <a:extLst>
            <a:ext uri="{FF2B5EF4-FFF2-40B4-BE49-F238E27FC236}">
              <a16:creationId xmlns:a16="http://schemas.microsoft.com/office/drawing/2014/main" id="{3FC76B5D-A0B0-46A1-AB8C-A12BC4474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246</xdr:row>
      <xdr:rowOff>0</xdr:rowOff>
    </xdr:from>
    <xdr:to>
      <xdr:col>16</xdr:col>
      <xdr:colOff>0</xdr:colOff>
      <xdr:row>256</xdr:row>
      <xdr:rowOff>0</xdr:rowOff>
    </xdr:to>
    <xdr:graphicFrame macro="">
      <xdr:nvGraphicFramePr>
        <xdr:cNvPr id="11" name="Chart 57">
          <a:extLst>
            <a:ext uri="{FF2B5EF4-FFF2-40B4-BE49-F238E27FC236}">
              <a16:creationId xmlns:a16="http://schemas.microsoft.com/office/drawing/2014/main" id="{CC8D58A4-D703-431D-84F4-D5F781AEC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xdr:colOff>
      <xdr:row>180</xdr:row>
      <xdr:rowOff>0</xdr:rowOff>
    </xdr:from>
    <xdr:to>
      <xdr:col>18</xdr:col>
      <xdr:colOff>0</xdr:colOff>
      <xdr:row>199</xdr:row>
      <xdr:rowOff>161924</xdr:rowOff>
    </xdr:to>
    <xdr:graphicFrame macro="">
      <xdr:nvGraphicFramePr>
        <xdr:cNvPr id="12" name="Chart 55">
          <a:extLst>
            <a:ext uri="{FF2B5EF4-FFF2-40B4-BE49-F238E27FC236}">
              <a16:creationId xmlns:a16="http://schemas.microsoft.com/office/drawing/2014/main" id="{8B6F5B92-0CFB-4B2D-BC17-FA8A6992C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261</xdr:row>
      <xdr:rowOff>0</xdr:rowOff>
    </xdr:from>
    <xdr:to>
      <xdr:col>16</xdr:col>
      <xdr:colOff>0</xdr:colOff>
      <xdr:row>271</xdr:row>
      <xdr:rowOff>750</xdr:rowOff>
    </xdr:to>
    <xdr:graphicFrame macro="">
      <xdr:nvGraphicFramePr>
        <xdr:cNvPr id="13" name="Chart 57">
          <a:extLst>
            <a:ext uri="{FF2B5EF4-FFF2-40B4-BE49-F238E27FC236}">
              <a16:creationId xmlns:a16="http://schemas.microsoft.com/office/drawing/2014/main" id="{F82FBE43-5982-415F-8FD8-F7D05C9F1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314325</xdr:colOff>
      <xdr:row>94</xdr:row>
      <xdr:rowOff>161924</xdr:rowOff>
    </xdr:from>
    <xdr:to>
      <xdr:col>18</xdr:col>
      <xdr:colOff>440531</xdr:colOff>
      <xdr:row>107</xdr:row>
      <xdr:rowOff>161924</xdr:rowOff>
    </xdr:to>
    <xdr:graphicFrame macro="">
      <xdr:nvGraphicFramePr>
        <xdr:cNvPr id="14" name="Chart 26">
          <a:extLst>
            <a:ext uri="{FF2B5EF4-FFF2-40B4-BE49-F238E27FC236}">
              <a16:creationId xmlns:a16="http://schemas.microsoft.com/office/drawing/2014/main" id="{3084FB0A-C0E5-4307-A0F1-EE33A2A19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26</xdr:col>
      <xdr:colOff>0</xdr:colOff>
      <xdr:row>40</xdr:row>
      <xdr:rowOff>0</xdr:rowOff>
    </xdr:to>
    <xdr:graphicFrame macro="">
      <xdr:nvGraphicFramePr>
        <xdr:cNvPr id="2" name="Chart 1">
          <a:extLst>
            <a:ext uri="{FF2B5EF4-FFF2-40B4-BE49-F238E27FC236}">
              <a16:creationId xmlns:a16="http://schemas.microsoft.com/office/drawing/2014/main" id="{EC8CBBC5-BCC9-4844-8424-FC4A40E87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56030</xdr:colOff>
      <xdr:row>1</xdr:row>
      <xdr:rowOff>119527</xdr:rowOff>
    </xdr:from>
    <xdr:ext cx="1800499" cy="360084"/>
    <xdr:pic>
      <xdr:nvPicPr>
        <xdr:cNvPr id="3" name="Picture 2">
          <a:extLst>
            <a:ext uri="{FF2B5EF4-FFF2-40B4-BE49-F238E27FC236}">
              <a16:creationId xmlns:a16="http://schemas.microsoft.com/office/drawing/2014/main" id="{D8AFBE5D-9052-425F-B711-7CA48E67EB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815" y="264307"/>
          <a:ext cx="1800499" cy="360084"/>
        </a:xfrm>
        <a:prstGeom prst="rect">
          <a:avLst/>
        </a:prstGeom>
      </xdr:spPr>
    </xdr:pic>
    <xdr:clientData/>
  </xdr:oneCellAnchor>
  <xdr:twoCellAnchor>
    <xdr:from>
      <xdr:col>1</xdr:col>
      <xdr:colOff>0</xdr:colOff>
      <xdr:row>40</xdr:row>
      <xdr:rowOff>0</xdr:rowOff>
    </xdr:from>
    <xdr:to>
      <xdr:col>26</xdr:col>
      <xdr:colOff>0</xdr:colOff>
      <xdr:row>58</xdr:row>
      <xdr:rowOff>0</xdr:rowOff>
    </xdr:to>
    <xdr:graphicFrame macro="">
      <xdr:nvGraphicFramePr>
        <xdr:cNvPr id="4" name="Chart 3">
          <a:extLst>
            <a:ext uri="{FF2B5EF4-FFF2-40B4-BE49-F238E27FC236}">
              <a16:creationId xmlns:a16="http://schemas.microsoft.com/office/drawing/2014/main" id="{5F804AC8-F06A-41F1-8326-DB938BF6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246.591518634261" createdVersion="8" refreshedVersion="8" minRefreshableVersion="3" recordCount="8" xr:uid="{43D06814-DC64-4ED9-8608-53574B4E0FB2}">
  <cacheSource type="worksheet">
    <worksheetSource ref="A1:AR9" sheet="Non-Self-Contained"/>
  </cacheSource>
  <cacheFields count="44">
    <cacheField name="Planning Ref" numFmtId="0">
      <sharedItems containsBlank="1"/>
    </cacheField>
    <cacheField name="Development Category" numFmtId="0">
      <sharedItems containsBlank="1"/>
    </cacheField>
    <cacheField name="Application Type" numFmtId="0">
      <sharedItems containsBlank="1"/>
    </cacheField>
    <cacheField name="Decision Date" numFmtId="0">
      <sharedItems containsNonDate="0" containsDate="1" containsString="0" containsBlank="1" minDate="2019-12-12T00:00:00" maxDate="2023-05-13T00:00:00"/>
    </cacheField>
    <cacheField name="Expiry Date" numFmtId="0">
      <sharedItems containsNonDate="0" containsDate="1" containsString="0" containsBlank="1" minDate="2022-12-12T00:00:00" maxDate="2026-05-13T00:00:00"/>
    </cacheField>
    <cacheField name="Start Date" numFmtId="0">
      <sharedItems containsNonDate="0" containsDate="1" containsString="0" containsBlank="1" minDate="2020-03-30T00:00:00" maxDate="2023-07-29T00:00:00"/>
    </cacheField>
    <cacheField name="Completion Date" numFmtId="0">
      <sharedItems containsNonDate="0" containsDate="1" containsString="0" containsBlank="1" minDate="2022-08-04T00:00:00" maxDate="2022-11-15T00:00:00"/>
    </cacheField>
    <cacheField name="Site Status" numFmtId="0">
      <sharedItems containsBlank="1" count="5">
        <s v="01. Completion"/>
        <s v="02. Under Construction"/>
        <s v="03. Not Started"/>
        <s v="05. Deliverable Sites"/>
        <m/>
      </sharedItems>
    </cacheField>
    <cacheField name="Tenure" numFmtId="0">
      <sharedItems containsBlank="1"/>
    </cacheField>
    <cacheField name="Proposal" numFmtId="0">
      <sharedItems containsBlank="1" longText="1"/>
    </cacheField>
    <cacheField name="Address_x000a_" numFmtId="0">
      <sharedItems containsBlank="1"/>
    </cacheField>
    <cacheField name="PostCode" numFmtId="0">
      <sharedItems containsBlank="1"/>
    </cacheField>
    <cacheField name="Existing C3 Dwelling" numFmtId="0">
      <sharedItems containsNonDate="0" containsString="0" containsBlank="1"/>
    </cacheField>
    <cacheField name="Existing Home Rooms" numFmtId="0">
      <sharedItems containsString="0" containsBlank="1" containsNumber="1" containsInteger="1" minValue="38" maxValue="38"/>
    </cacheField>
    <cacheField name="Proposed Home Rooms" numFmtId="0">
      <sharedItems containsString="0" containsBlank="1" containsNumber="1" containsInteger="1" minValue="7" maxValue="88"/>
    </cacheField>
    <cacheField name="Net Home Rooms" numFmtId="0">
      <sharedItems containsString="0" containsBlank="1" containsNumber="1" containsInteger="1" minValue="-8" maxValue="88"/>
    </cacheField>
    <cacheField name="Existing House in Multiple Occupation Rooms" numFmtId="0">
      <sharedItems containsString="0" containsBlank="1" containsNumber="1" containsInteger="1" minValue="14" maxValue="14"/>
    </cacheField>
    <cacheField name="Proposed House in Multiple Occupation Rooms" numFmtId="0">
      <sharedItems containsString="0" containsBlank="1" containsNumber="1" containsInteger="1" minValue="0" maxValue="0"/>
    </cacheField>
    <cacheField name="Net House in Multiple Occupation Rooms" numFmtId="0">
      <sharedItems containsString="0" containsBlank="1" containsNumber="1" containsInteger="1" minValue="-14" maxValue="-14"/>
    </cacheField>
    <cacheField name="Existing Student Bedrooms" numFmtId="0">
      <sharedItems containsString="0" containsBlank="1" containsNumber="1" containsInteger="1" minValue="0" maxValue="86"/>
    </cacheField>
    <cacheField name="Proposed Student Bedrooms" numFmtId="0">
      <sharedItems containsString="0" containsBlank="1" containsNumber="1" containsInteger="1" minValue="10" maxValue="124"/>
    </cacheField>
    <cacheField name="Net Student Bedrooms" numFmtId="0">
      <sharedItems containsString="0" containsBlank="1" containsNumber="1" containsInteger="1" minValue="10" maxValue="38"/>
    </cacheField>
    <cacheField name="Existing Staff Accomodation" numFmtId="0">
      <sharedItems containsNonDate="0" containsString="0" containsBlank="1"/>
    </cacheField>
    <cacheField name="Proposed Staff Accomodation" numFmtId="0">
      <sharedItems containsNonDate="0" containsString="0" containsBlank="1"/>
    </cacheField>
    <cacheField name="Net Staff Accomodation" numFmtId="0">
      <sharedItems containsNonDate="0" containsString="0" containsBlank="1"/>
    </cacheField>
    <cacheField name="1.8 : 1" numFmtId="0">
      <sharedItems containsString="0" containsBlank="1" containsNumber="1" minValue="-7.7777777777777777" maxValue="3.8888888888888888"/>
    </cacheField>
    <cacheField name="2.5:1" numFmtId="0">
      <sharedItems containsString="0" containsBlank="1" containsNumber="1" minValue="4" maxValue="15.2"/>
    </cacheField>
    <cacheField name="C1" numFmtId="0">
      <sharedItems containsNonDate="0" containsString="0" containsBlank="1"/>
    </cacheField>
    <cacheField name="D1" numFmtId="0">
      <sharedItems containsNonDate="0" containsString="0" containsBlank="1"/>
    </cacheField>
    <cacheField name="Area Name" numFmtId="0">
      <sharedItems containsBlank="1"/>
    </cacheField>
    <cacheField name="Net Residential Units" numFmtId="0">
      <sharedItems containsString="0" containsBlank="1" containsNumber="1" minValue="-8" maxValue="88"/>
    </cacheField>
    <cacheField name="2022/23 (R)" numFmtId="0">
      <sharedItems containsString="0" containsBlank="1" containsNumber="1" minValue="3.8888888888888888" maxValue="3.8888888888888888"/>
    </cacheField>
    <cacheField name="2023/24 (1)" numFmtId="0">
      <sharedItems containsNonDate="0" containsString="0" containsBlank="1"/>
    </cacheField>
    <cacheField name="2024/25 (2)" numFmtId="0">
      <sharedItems containsString="0" containsBlank="1" containsNumber="1" minValue="-7.7777777777777777" maxValue="28.5"/>
    </cacheField>
    <cacheField name="2025/26 (3)" numFmtId="0">
      <sharedItems containsString="0" containsBlank="1" containsNumber="1" minValue="5.0666666666666664" maxValue="29.333333333333332"/>
    </cacheField>
    <cacheField name="2026/27 (4)" numFmtId="0">
      <sharedItems containsString="0" containsBlank="1" containsNumber="1" minValue="5.0666666666666664" maxValue="29.333333333333332"/>
    </cacheField>
    <cacheField name="2027/28 (5)" numFmtId="0">
      <sharedItems containsString="0" containsBlank="1" containsNumber="1" minValue="5.0666666666666664" maxValue="29.333333333333332"/>
    </cacheField>
    <cacheField name="2028/29 (6)" numFmtId="0">
      <sharedItems containsNonDate="0" containsString="0" containsBlank="1"/>
    </cacheField>
    <cacheField name="2029/30 (7)" numFmtId="0">
      <sharedItems containsNonDate="0" containsString="0" containsBlank="1"/>
    </cacheField>
    <cacheField name="2030/31 (8)" numFmtId="0">
      <sharedItems containsNonDate="0" containsString="0" containsBlank="1"/>
    </cacheField>
    <cacheField name="2031/32 (9)" numFmtId="0">
      <sharedItems containsNonDate="0" containsString="0" containsBlank="1"/>
    </cacheField>
    <cacheField name="2032/33 (10)" numFmtId="0">
      <sharedItems containsNonDate="0" containsString="0" containsBlank="1"/>
    </cacheField>
    <cacheField name="2023/2027 Total" numFmtId="0">
      <sharedItems containsString="0" containsBlank="1" containsNumber="1" minValue="-7.7777777777777777" maxValue="88"/>
    </cacheField>
    <cacheField name="2023-2033 Total" numFmtId="0">
      <sharedItems containsString="0" containsBlank="1" containsNumber="1" minValue="-7.7777777777777777" maxValue="8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246.591519212961" createdVersion="8" refreshedVersion="8" minRefreshableVersion="3" recordCount="355" xr:uid="{1C527C80-9F33-494B-8A13-97D5D942B6C1}">
  <cacheSource type="worksheet">
    <worksheetSource ref="A1:BX356" sheet="Data"/>
  </cacheSource>
  <cacheFields count="77">
    <cacheField name="Planning Ref" numFmtId="0">
      <sharedItems/>
    </cacheField>
    <cacheField name="ID" numFmtId="0">
      <sharedItems containsSemiMixedTypes="0" containsString="0" containsNumber="1" containsInteger="1" minValue="1" maxValue="355"/>
    </cacheField>
    <cacheField name="Development Category" numFmtId="0">
      <sharedItems/>
    </cacheField>
    <cacheField name="Application Type" numFmtId="0">
      <sharedItems containsBlank="1"/>
    </cacheField>
    <cacheField name="Decision Date" numFmtId="0">
      <sharedItems containsNonDate="0" containsDate="1" containsString="0" containsBlank="1" minDate="2004-07-26T00:00:00" maxDate="2023-03-31T00:00:00"/>
    </cacheField>
    <cacheField name="Expiry Date" numFmtId="0">
      <sharedItems containsNonDate="0" containsDate="1" containsString="0" containsBlank="1" minDate="2009-07-23T00:00:00" maxDate="2026-03-23T00:00:00"/>
    </cacheField>
    <cacheField name="Start Date" numFmtId="0">
      <sharedItems containsNonDate="0" containsDate="1" containsString="0" containsBlank="1" minDate="2009-07-01T00:00:00" maxDate="2023-10-24T00:00:00"/>
    </cacheField>
    <cacheField name="Completion Date" numFmtId="0">
      <sharedItems containsNonDate="0" containsDate="1" containsString="0" containsBlank="1" minDate="2022-04-01T00:00:00" maxDate="2023-09-26T00:00:00"/>
    </cacheField>
    <cacheField name="Site Status" numFmtId="0">
      <sharedItems count="7">
        <s v="01. Completion"/>
        <s v="02. Under Construction"/>
        <s v="03. Not Started"/>
        <s v="04. Site Allocation"/>
        <s v="05. Deliverable Site (Application under consideration)"/>
        <s v="05. Deliverable Site (Site Allocation)"/>
        <s v="05. Deliverable Sites" u="1"/>
      </sharedItems>
    </cacheField>
    <cacheField name="Tenure" numFmtId="0">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PlotDescription" numFmtId="0">
      <sharedItems containsBlank="1"/>
    </cacheField>
    <cacheField name="1 BED EXISTING" numFmtId="0">
      <sharedItems containsString="0" containsBlank="1" containsNumber="1" containsInteger="1" minValue="0" maxValue="70"/>
    </cacheField>
    <cacheField name="2 BED EXISTING" numFmtId="0">
      <sharedItems containsString="0" containsBlank="1" containsNumber="1" containsInteger="1" minValue="1" maxValue="20"/>
    </cacheField>
    <cacheField name="3 BED EXISTING" numFmtId="0">
      <sharedItems containsString="0" containsBlank="1" containsNumber="1" containsInteger="1" minValue="1" maxValue="6"/>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Units Existing" numFmtId="0">
      <sharedItems containsString="0" containsBlank="1" containsNumber="1" containsInteger="1" minValue="0" maxValue="95"/>
    </cacheField>
    <cacheField name="1 BED PROPOSED" numFmtId="0">
      <sharedItems containsString="0" containsBlank="1" containsNumber="1" containsInteger="1" minValue="1" maxValue="58"/>
    </cacheField>
    <cacheField name="2 BED PROPOSED" numFmtId="0">
      <sharedItems containsString="0" containsBlank="1" containsNumber="1" containsInteger="1" minValue="1" maxValue="75"/>
    </cacheField>
    <cacheField name="3 BED PROPOSED" numFmtId="0">
      <sharedItems containsString="0" containsBlank="1" containsNumber="1" containsInteger="1" minValue="1" maxValue="26"/>
    </cacheField>
    <cacheField name="4 BED PROPOSED" numFmtId="0">
      <sharedItems containsString="0" containsBlank="1" containsNumber="1" containsInteger="1" minValue="1" maxValue="34"/>
    </cacheField>
    <cacheField name="5 BED PROPOSED" numFmtId="0">
      <sharedItems containsString="0" containsBlank="1" containsNumber="1" containsInteger="1" minValue="1" maxValue="8"/>
    </cacheField>
    <cacheField name="6 BED PROPOSED" numFmtId="0">
      <sharedItems containsString="0" containsBlank="1" containsNumber="1" containsInteger="1" minValue="1" maxValue="1"/>
    </cacheField>
    <cacheField name="7 BED PROPOSED" numFmtId="0">
      <sharedItems containsNonDate="0" containsString="0" containsBlank="1"/>
    </cacheField>
    <cacheField name="8 BED PROPOSED" numFmtId="0">
      <sharedItems containsString="0" containsBlank="1" containsNumber="1" containsInteger="1" minValue="1" maxValue="1"/>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70" maxValue="58"/>
    </cacheField>
    <cacheField name="2 bed net" numFmtId="0">
      <sharedItems containsString="0" containsBlank="1" containsNumber="1" containsInteger="1" minValue="-20" maxValue="75"/>
    </cacheField>
    <cacheField name="3 bed net" numFmtId="0">
      <sharedItems containsString="0" containsBlank="1" containsNumber="1" containsInteger="1" minValue="-6" maxValue="26"/>
    </cacheField>
    <cacheField name="4 bed net" numFmtId="0">
      <sharedItems containsString="0" containsBlank="1" containsNumber="1" containsInteger="1" minValue="-2" maxValue="34"/>
    </cacheField>
    <cacheField name="5 bed net" numFmtId="0">
      <sharedItems containsString="0" containsBlank="1" containsNumber="1" containsInteger="1" minValue="-1" maxValue="8"/>
    </cacheField>
    <cacheField name="6 bed net" numFmtId="0">
      <sharedItems containsString="0" containsBlank="1" containsNumber="1" containsInteger="1" minValue="-1" maxValue="1"/>
    </cacheField>
    <cacheField name="7 bed net" numFmtId="0">
      <sharedItems containsString="0" containsBlank="1" containsNumber="1" containsInteger="1" minValue="-1" maxValue="0"/>
    </cacheField>
    <cacheField name="8 bed net" numFmtId="0">
      <sharedItems containsString="0" containsBlank="1" containsNumber="1" containsInteger="1" minValue="0" maxValue="1"/>
    </cacheField>
    <cacheField name="Net Dwellings" numFmtId="0">
      <sharedItems containsString="0" containsBlank="1" containsNumber="1" containsInteger="1" minValue="-95" maxValue="550"/>
    </cacheField>
    <cacheField name="Large Site" numFmtId="0">
      <sharedItems containsBlank="1"/>
    </cacheField>
    <cacheField name="2022/23 (R)" numFmtId="0">
      <sharedItems containsString="0" containsBlank="1" containsNumber="1" containsInteger="1" minValue="-3" maxValue="20"/>
    </cacheField>
    <cacheField name="2023/24 (1)" numFmtId="0">
      <sharedItems containsString="0" containsBlank="1" containsNumber="1" minValue="-30" maxValue="19"/>
    </cacheField>
    <cacheField name="2024/25 (2)" numFmtId="0">
      <sharedItems containsString="0" containsBlank="1" containsNumber="1" minValue="-1.25" maxValue="56"/>
    </cacheField>
    <cacheField name="2025/26 (3)" numFmtId="0">
      <sharedItems containsString="0" containsBlank="1" containsNumber="1" minValue="-11" maxValue="104"/>
    </cacheField>
    <cacheField name="2026/27 (4)" numFmtId="0">
      <sharedItems containsString="0" containsBlank="1" containsNumber="1" minValue="-37" maxValue="50"/>
    </cacheField>
    <cacheField name="2027/28 (5)" numFmtId="0">
      <sharedItems containsString="0" containsBlank="1" containsNumber="1" minValue="0" maxValue="150"/>
    </cacheField>
    <cacheField name="2028/29 (6)" numFmtId="0">
      <sharedItems containsString="0" containsBlank="1" containsNumber="1" minValue="-95" maxValue="96.25"/>
    </cacheField>
    <cacheField name="2029/30 (7)" numFmtId="0">
      <sharedItems containsString="0" containsBlank="1" containsNumber="1" minValue="0" maxValue="96.25"/>
    </cacheField>
    <cacheField name="2030/31 (8)" numFmtId="0">
      <sharedItems containsString="0" containsBlank="1" containsNumber="1" minValue="0" maxValue="146"/>
    </cacheField>
    <cacheField name="2031/32 (9)" numFmtId="0">
      <sharedItems containsString="0" containsBlank="1" containsNumber="1" containsInteger="1" minValue="0" maxValue="80"/>
    </cacheField>
    <cacheField name="2032/33 (10)" numFmtId="0">
      <sharedItems containsString="0" containsBlank="1" containsNumber="1" containsInteger="1" minValue="0" maxValue="80"/>
    </cacheField>
    <cacheField name="2033/34" numFmtId="0">
      <sharedItems containsString="0" containsBlank="1" containsNumber="1" containsInteger="1" minValue="87" maxValue="87"/>
    </cacheField>
    <cacheField name="2034/35" numFmtId="0">
      <sharedItems containsString="0" containsBlank="1" containsNumber="1" containsInteger="1" minValue="87" maxValue="87"/>
    </cacheField>
    <cacheField name="2035/36" numFmtId="0">
      <sharedItems containsString="0" containsBlank="1" containsNumber="1" containsInteger="1" minValue="87" maxValue="87"/>
    </cacheField>
    <cacheField name="2036/37" numFmtId="0">
      <sharedItems containsString="0" containsBlank="1" containsNumber="1" containsInteger="1" minValue="87" maxValue="87"/>
    </cacheField>
    <cacheField name="2037/38" numFmtId="0">
      <sharedItems containsString="0" containsBlank="1" containsNumber="1" containsInteger="1" minValue="87" maxValue="87"/>
    </cacheField>
    <cacheField name="2038/39" numFmtId="0">
      <sharedItems containsString="0" containsBlank="1" containsNumber="1" containsInteger="1" minValue="87" maxValue="87"/>
    </cacheField>
    <cacheField name="2023/2027 Total" numFmtId="0">
      <sharedItems containsSemiMixedTypes="0" containsString="0" containsNumber="1" minValue="-37" maxValue="150"/>
    </cacheField>
    <cacheField name="2023-2033 Total" numFmtId="0">
      <sharedItems containsSemiMixedTypes="0" containsString="0" containsNumber="1" containsInteger="1" minValue="-95" maxValue="550"/>
    </cacheField>
    <cacheField name="2023-2040 Total" numFmtId="0">
      <sharedItems containsSemiMixedTypes="0" containsString="0" containsNumber="1" containsInteger="1" minValue="-95" maxValue="1072"/>
    </cacheField>
    <cacheField name="OlderPeople" numFmtId="0">
      <sharedItems containsBlank="1"/>
    </cacheField>
    <cacheField name="Sheltered Accom" numFmtId="0">
      <sharedItems containsBlank="1"/>
    </cacheField>
    <cacheField name="Easting" numFmtId="0">
      <sharedItems containsSemiMixedTypes="0" containsString="0" containsNumber="1" containsInteger="1" minValue="512568" maxValue="522822"/>
    </cacheField>
    <cacheField name="Northing" numFmtId="0">
      <sharedItems containsSemiMixedTypes="0" containsString="0" containsNumber="1" containsInteger="1" minValue="168844" maxValue="178000"/>
    </cacheField>
    <cacheField name="Area Name" numFmtId="0">
      <sharedItems/>
    </cacheField>
    <cacheField name="Ward_Name" numFmtId="0">
      <sharedItems/>
    </cacheField>
    <cacheField name="Town_Centre" numFmtId="0">
      <sharedItems containsBlank="1" count="6">
        <s v="Teddington"/>
        <m/>
        <s v="Twickenham"/>
        <s v="East Sheen"/>
        <s v="Richmond"/>
        <s v="Whitton"/>
      </sharedItems>
    </cacheField>
    <cacheField name="Thames_Policy_Area" numFmtId="0">
      <sharedItems containsBlank="1" count="2">
        <m/>
        <s v="Thames Policy Area"/>
      </sharedItems>
    </cacheField>
    <cacheField name="Mixed Use Area Name" numFmtId="0">
      <sharedItems containsBlank="1"/>
    </cacheField>
    <cacheField name="Mixed Use Area" numFmtId="0">
      <sharedItems containsBlank="1" count="2">
        <m/>
        <s v="Y"/>
      </sharedItems>
    </cacheField>
    <cacheField name="Met_Open_Land" numFmtId="0">
      <sharedItems containsBlank="1"/>
    </cacheField>
    <cacheField name="Conservation Area Name" numFmtId="0">
      <sharedItems containsBlank="1"/>
    </cacheField>
    <cacheField name="Conservation_Area" numFmtId="0">
      <sharedItems containsBlank="1"/>
    </cacheField>
    <cacheField name="Areas for Intensification" numFmtId="0">
      <sharedItems containsBlank="1"/>
    </cacheField>
    <cacheField name="Garden Land" numFmtId="0">
      <sharedItems containsBlank="1" count="2">
        <m/>
        <s v="Y"/>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246.591520601854" missingItemsLimit="0" createdVersion="8" refreshedVersion="8" minRefreshableVersion="3" recordCount="357" xr:uid="{EC5FD0AD-6D78-492C-AF37-CFBF431CB208}">
  <cacheSource type="worksheet">
    <worksheetSource name="Data"/>
  </cacheSource>
  <cacheFields count="77">
    <cacheField name="Planning Ref" numFmtId="0">
      <sharedItems/>
    </cacheField>
    <cacheField name="ID" numFmtId="0">
      <sharedItems containsString="0" containsBlank="1" containsNumber="1" containsInteger="1" minValue="1" maxValue="356"/>
    </cacheField>
    <cacheField name="Development Category" numFmtId="0">
      <sharedItems count="5">
        <s v="MIX"/>
        <s v="CHU"/>
        <s v="CON"/>
        <s v="NEW"/>
        <s v="EXT"/>
      </sharedItems>
    </cacheField>
    <cacheField name="Application Type" numFmtId="0">
      <sharedItems containsBlank="1" count="2">
        <m/>
        <s v="PA"/>
      </sharedItems>
    </cacheField>
    <cacheField name="Decision Date" numFmtId="0">
      <sharedItems containsNonDate="0" containsDate="1" containsString="0" containsBlank="1" minDate="2004-07-26T00:00:00" maxDate="2023-03-31T00:00:00"/>
    </cacheField>
    <cacheField name="Expiry Date" numFmtId="0">
      <sharedItems containsNonDate="0" containsDate="1" containsString="0" containsBlank="1" minDate="2009-07-23T00:00:00" maxDate="2026-03-23T00:00:00"/>
    </cacheField>
    <cacheField name="Start Date" numFmtId="0">
      <sharedItems containsNonDate="0" containsDate="1" containsString="0" containsBlank="1" minDate="2009-07-01T00:00:00" maxDate="2023-10-24T00:00:00"/>
    </cacheField>
    <cacheField name="Completion Date" numFmtId="0">
      <sharedItems containsNonDate="0" containsDate="1" containsString="0" containsBlank="1" minDate="2022-04-01T00:00:00" maxDate="2023-09-26T00:00:00"/>
    </cacheField>
    <cacheField name="Site Status" numFmtId="0">
      <sharedItems count="7">
        <s v="01. Completion"/>
        <s v="02. Under Construction"/>
        <s v="03. Not Started"/>
        <s v="04. Site Allocation"/>
        <s v="05. Deliverable Site (Application under consideration)"/>
        <s v="05. Deliverable Site (Site Allocation)"/>
        <s v="05. Deliverable Sites"/>
      </sharedItems>
    </cacheField>
    <cacheField name="Tenure" numFmtId="0">
      <sharedItems count="10">
        <s v="Open Market"/>
        <s v="London Affordable Rent"/>
        <s v="Affordable rent"/>
        <s v="Shared Ownership"/>
        <s v="Social Rent"/>
        <s v="Intermediate"/>
        <s v="London Living rent"/>
        <s v="Co-living"/>
        <s v="Open Market / Affordable"/>
        <s v="Affordable"/>
      </sharedItems>
    </cacheField>
    <cacheField name="5YHLS" numFmtId="0">
      <sharedItems containsBlank="1" count="14">
        <m/>
        <s v="Ham Close"/>
        <s v="Sainsbury’s, Manor Road"/>
        <s v="Teddington Telephone Exchange"/>
        <s v="St Clares Business Park "/>
        <s v="Mereway Centre"/>
        <s v="Homebase, Manor Road"/>
        <s v="Meadows Hall"/>
        <s v="Stag Brewery"/>
        <s v="Teddington Police Station"/>
        <s v="Twickenham Telephone Exchange"/>
        <s v="Whitton Telephone Exchange"/>
        <s v="Large Sites Trend"/>
        <s v="Small Sites Trend"/>
      </sharedItems>
    </cacheField>
    <cacheField name="PROPOSAL" numFmtId="0">
      <sharedItems containsBlank="1" longText="1"/>
    </cacheField>
    <cacheField name="ADDRESS" numFmtId="0">
      <sharedItems containsBlank="1"/>
    </cacheField>
    <cacheField name="PostCode" numFmtId="0">
      <sharedItems containsBlank="1"/>
    </cacheField>
    <cacheField name="PlotDescription" numFmtId="0">
      <sharedItems containsBlank="1"/>
    </cacheField>
    <cacheField name="1 BED EXISTING" numFmtId="0">
      <sharedItems containsString="0" containsBlank="1" containsNumber="1" containsInteger="1" minValue="0" maxValue="70"/>
    </cacheField>
    <cacheField name="2 BED EXISTING" numFmtId="0">
      <sharedItems containsString="0" containsBlank="1" containsNumber="1" containsInteger="1" minValue="1" maxValue="20"/>
    </cacheField>
    <cacheField name="3 BED EXISTING" numFmtId="0">
      <sharedItems containsString="0" containsBlank="1" containsNumber="1" containsInteger="1" minValue="1" maxValue="6"/>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Units Existing" numFmtId="0">
      <sharedItems containsString="0" containsBlank="1" containsNumber="1" containsInteger="1" minValue="0" maxValue="95"/>
    </cacheField>
    <cacheField name="1 BED PROPOSED" numFmtId="0">
      <sharedItems containsString="0" containsBlank="1" containsNumber="1" containsInteger="1" minValue="1" maxValue="58"/>
    </cacheField>
    <cacheField name="2 BED PROPOSED" numFmtId="0">
      <sharedItems containsString="0" containsBlank="1" containsNumber="1" containsInteger="1" minValue="1" maxValue="75"/>
    </cacheField>
    <cacheField name="3 BED PROPOSED" numFmtId="0">
      <sharedItems containsString="0" containsBlank="1" containsNumber="1" containsInteger="1" minValue="1" maxValue="26"/>
    </cacheField>
    <cacheField name="4 BED PROPOSED" numFmtId="0">
      <sharedItems containsString="0" containsBlank="1" containsNumber="1" containsInteger="1" minValue="1" maxValue="34"/>
    </cacheField>
    <cacheField name="5 BED PROPOSED" numFmtId="0">
      <sharedItems containsString="0" containsBlank="1" containsNumber="1" containsInteger="1" minValue="1" maxValue="8"/>
    </cacheField>
    <cacheField name="6 BED PROPOSED" numFmtId="0">
      <sharedItems containsString="0" containsBlank="1" containsNumber="1" containsInteger="1" minValue="1" maxValue="1"/>
    </cacheField>
    <cacheField name="7 BED PROPOSED" numFmtId="0">
      <sharedItems containsNonDate="0" containsString="0" containsBlank="1"/>
    </cacheField>
    <cacheField name="8 BED PROPOSED" numFmtId="0">
      <sharedItems containsString="0" containsBlank="1" containsNumber="1" containsInteger="1" minValue="1" maxValue="1"/>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70" maxValue="58"/>
    </cacheField>
    <cacheField name="2 bed net" numFmtId="0">
      <sharedItems containsString="0" containsBlank="1" containsNumber="1" containsInteger="1" minValue="-20" maxValue="75"/>
    </cacheField>
    <cacheField name="3 bed net" numFmtId="0">
      <sharedItems containsString="0" containsBlank="1" containsNumber="1" containsInteger="1" minValue="-6" maxValue="26"/>
    </cacheField>
    <cacheField name="4 bed net" numFmtId="0">
      <sharedItems containsString="0" containsBlank="1" containsNumber="1" containsInteger="1" minValue="-2" maxValue="34"/>
    </cacheField>
    <cacheField name="5 bed net" numFmtId="0">
      <sharedItems containsString="0" containsBlank="1" containsNumber="1" containsInteger="1" minValue="-1" maxValue="8"/>
    </cacheField>
    <cacheField name="6 bed net" numFmtId="0">
      <sharedItems containsString="0" containsBlank="1" containsNumber="1" containsInteger="1" minValue="-1" maxValue="1"/>
    </cacheField>
    <cacheField name="7 bed net" numFmtId="0">
      <sharedItems containsString="0" containsBlank="1" containsNumber="1" containsInteger="1" minValue="-1" maxValue="0"/>
    </cacheField>
    <cacheField name="8 bed net" numFmtId="0">
      <sharedItems containsString="0" containsBlank="1" containsNumber="1" containsInteger="1" minValue="0" maxValue="1"/>
    </cacheField>
    <cacheField name="Net Dwellings" numFmtId="0">
      <sharedItems containsString="0" containsBlank="1" containsNumber="1" containsInteger="1" minValue="-95" maxValue="742"/>
    </cacheField>
    <cacheField name="Large Site" numFmtId="0">
      <sharedItems containsBlank="1" count="2">
        <m/>
        <s v="Y"/>
      </sharedItems>
    </cacheField>
    <cacheField name="2022/23 (R)" numFmtId="0">
      <sharedItems containsString="0" containsBlank="1" containsNumber="1" containsInteger="1" minValue="-3" maxValue="20"/>
    </cacheField>
    <cacheField name="2023/24 (1)" numFmtId="0">
      <sharedItems containsString="0" containsBlank="1" containsNumber="1" minValue="-30" maxValue="20"/>
    </cacheField>
    <cacheField name="2024/25 (2)" numFmtId="0">
      <sharedItems containsString="0" containsBlank="1" containsNumber="1" minValue="-1.25" maxValue="56"/>
    </cacheField>
    <cacheField name="2025/26 (3)" numFmtId="0">
      <sharedItems containsString="0" containsBlank="1" containsNumber="1" minValue="-11" maxValue="234"/>
    </cacheField>
    <cacheField name="2026/27 (4)" numFmtId="0">
      <sharedItems containsString="0" containsBlank="1" containsNumber="1" minValue="-37" maxValue="234"/>
    </cacheField>
    <cacheField name="2027/28 (5)" numFmtId="0">
      <sharedItems containsString="0" containsBlank="1" containsNumber="1" minValue="0" maxValue="234"/>
    </cacheField>
    <cacheField name="2028/29 (6)" numFmtId="0">
      <sharedItems containsString="0" containsBlank="1" containsNumber="1" minValue="-95" maxValue="234"/>
    </cacheField>
    <cacheField name="2029/30 (7)" numFmtId="0">
      <sharedItems containsString="0" containsBlank="1" containsNumber="1" minValue="0" maxValue="234"/>
    </cacheField>
    <cacheField name="2030/31 (8)" numFmtId="0">
      <sharedItems containsString="0" containsBlank="1" containsNumber="1" minValue="0" maxValue="234"/>
    </cacheField>
    <cacheField name="2031/32 (9)" numFmtId="0">
      <sharedItems containsString="0" containsBlank="1" containsNumber="1" containsInteger="1" minValue="0" maxValue="234"/>
    </cacheField>
    <cacheField name="2032/33 (10)" numFmtId="0">
      <sharedItems containsString="0" containsBlank="1" containsNumber="1" containsInteger="1" minValue="0" maxValue="234"/>
    </cacheField>
    <cacheField name="2033/34" numFmtId="0">
      <sharedItems containsString="0" containsBlank="1" containsNumber="1" containsInteger="1" minValue="72" maxValue="234"/>
    </cacheField>
    <cacheField name="2034/35" numFmtId="0">
      <sharedItems containsString="0" containsBlank="1" containsNumber="1" containsInteger="1" minValue="72" maxValue="234"/>
    </cacheField>
    <cacheField name="2035/36" numFmtId="0">
      <sharedItems containsString="0" containsBlank="1" containsNumber="1" containsInteger="1" minValue="72" maxValue="234"/>
    </cacheField>
    <cacheField name="2036/37" numFmtId="0">
      <sharedItems containsString="0" containsBlank="1" containsNumber="1" containsInteger="1" minValue="72" maxValue="234"/>
    </cacheField>
    <cacheField name="2037/38" numFmtId="0">
      <sharedItems containsString="0" containsBlank="1" containsNumber="1" containsInteger="1" minValue="72" maxValue="234"/>
    </cacheField>
    <cacheField name="2038/39" numFmtId="0">
      <sharedItems containsString="0" containsBlank="1" containsNumber="1" containsInteger="1" minValue="72" maxValue="234"/>
    </cacheField>
    <cacheField name="2023/2027 Total" numFmtId="0">
      <sharedItems containsSemiMixedTypes="0" containsString="0" containsNumber="1" minValue="-37" maxValue="742"/>
    </cacheField>
    <cacheField name="2023-2033 Total" numFmtId="0">
      <sharedItems containsSemiMixedTypes="0" containsString="0" containsNumber="1" containsInteger="1" minValue="-95" maxValue="1912"/>
    </cacheField>
    <cacheField name="2023-2040 Total" numFmtId="0">
      <sharedItems containsSemiMixedTypes="0" containsString="0" containsNumber="1" containsInteger="1" minValue="-95" maxValue="3316"/>
    </cacheField>
    <cacheField name="OlderPeople" numFmtId="0">
      <sharedItems containsBlank="1"/>
    </cacheField>
    <cacheField name="Sheltered Accom" numFmtId="0">
      <sharedItems containsBlank="1"/>
    </cacheField>
    <cacheField name="Easting" numFmtId="0">
      <sharedItems containsString="0" containsBlank="1" containsNumber="1" containsInteger="1" minValue="512568" maxValue="522822"/>
    </cacheField>
    <cacheField name="Northing" numFmtId="0">
      <sharedItems containsString="0" containsBlank="1" containsNumber="1" containsInteger="1" minValue="168844" maxValue="178000"/>
    </cacheField>
    <cacheField name="Area Name" numFmtId="0">
      <sharedItems containsBlank="1"/>
    </cacheField>
    <cacheField name="Ward_Name" numFmtId="0">
      <sharedItems count="19">
        <s v="Teddington"/>
        <s v="Hampton North"/>
        <s v="Ham, Petersham &amp; Richmond Riverside"/>
        <s v="Kew"/>
        <s v="North Richmond"/>
        <s v="South Twickenham"/>
        <s v="South Richmond"/>
        <s v="Barnes"/>
        <s v="Mortlake &amp; Barnes Common"/>
        <s v="Twickenham Riverside"/>
        <s v="Hampton Wick &amp; South Teddington"/>
        <s v="West Twickenham"/>
        <s v="Whitton"/>
        <s v="East Sheen"/>
        <s v="Fulwell &amp; Hampton Hill"/>
        <s v="Hampton"/>
        <s v="Heathfield"/>
        <s v="St. Margarets &amp; North Twickenham"/>
        <s v="N/A"/>
      </sharedItems>
    </cacheField>
    <cacheField name="Town_Centre" numFmtId="0">
      <sharedItems containsBlank="1"/>
    </cacheField>
    <cacheField name="Thames_Policy_Area" numFmtId="0">
      <sharedItems containsBlank="1"/>
    </cacheField>
    <cacheField name="Mixed Use Area Name" numFmtId="0">
      <sharedItems containsBlank="1"/>
    </cacheField>
    <cacheField name="Mixed Use Area" numFmtId="0">
      <sharedItems containsBlank="1"/>
    </cacheField>
    <cacheField name="Met_Open_Land" numFmtId="0">
      <sharedItems containsBlank="1"/>
    </cacheField>
    <cacheField name="Conservation Area Name" numFmtId="0">
      <sharedItems containsBlank="1"/>
    </cacheField>
    <cacheField name="Conservation_Area" numFmtId="0">
      <sharedItems containsBlank="1" count="2">
        <s v="Y"/>
        <m/>
      </sharedItems>
    </cacheField>
    <cacheField name="Areas for Intensification" numFmtId="0">
      <sharedItems containsBlank="1"/>
    </cacheField>
    <cacheField name="Garden Lan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s v="19/3295/FUL"/>
    <s v="EXT"/>
    <s v="Care Home Beds"/>
    <d v="2020-07-10T00:00:00"/>
    <d v="2023-07-10T00:00:00"/>
    <d v="2021-11-01T00:00:00"/>
    <d v="2022-11-14T00:00:00"/>
    <x v="0"/>
    <s v="Open Market"/>
    <s v="Addition of two two-storey en suite extensions on northern elevation of rear wing. Addition of new wheelchair lift on eastern elevation of rear wing. Ground floor extension to Nurses' Station at rear of Leslie Grade Wing and renewal of metal balcony over."/>
    <s v="Brinsworth House , 72 Staines Road, Twickenham, TW2 5AL"/>
    <s v="TW2 5AL"/>
    <m/>
    <n v="38"/>
    <n v="30"/>
    <n v="-8"/>
    <m/>
    <m/>
    <m/>
    <m/>
    <m/>
    <m/>
    <m/>
    <m/>
    <m/>
    <m/>
    <m/>
    <m/>
    <m/>
    <s v="Twickenham"/>
    <n v="-8"/>
    <m/>
    <m/>
    <m/>
    <m/>
    <m/>
    <m/>
    <m/>
    <m/>
    <m/>
    <m/>
    <m/>
    <n v="0"/>
    <n v="0"/>
  </r>
  <r>
    <s v="22/1721/FUL"/>
    <s v="CHU"/>
    <s v="Hostel Room"/>
    <d v="2022-08-04T00:00:00"/>
    <d v="2025-08-04T00:00:00"/>
    <d v="2022-08-04T00:00:00"/>
    <d v="2022-08-04T00:00:00"/>
    <x v="0"/>
    <s v="Open Market"/>
    <s v="Change of use of a 6-bedroom house in mulitple occupation (C4 class) to a 7-bedroom house in multiple occupation (Sui Generis)."/>
    <s v="145 Constance Road, Twickenham TW2 7HX"/>
    <s v="TW2 7HX"/>
    <m/>
    <m/>
    <n v="7"/>
    <n v="7"/>
    <m/>
    <m/>
    <m/>
    <m/>
    <m/>
    <m/>
    <m/>
    <m/>
    <m/>
    <n v="3.8888888888888888"/>
    <m/>
    <m/>
    <m/>
    <s v="Whitton"/>
    <n v="3.8888888888888888"/>
    <n v="3.8888888888888888"/>
    <m/>
    <m/>
    <m/>
    <m/>
    <m/>
    <m/>
    <m/>
    <m/>
    <m/>
    <m/>
    <m/>
    <m/>
  </r>
  <r>
    <s v="19/0111/FUL"/>
    <s v="MIX"/>
    <s v="HMO"/>
    <d v="2019-12-12T00:00:00"/>
    <d v="2022-12-12T00:00:00"/>
    <d v="2020-03-30T00:00:00"/>
    <m/>
    <x v="1"/>
    <s v="Open Market"/>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27-29 Lower Teddington Road"/>
    <s v="KT1"/>
    <m/>
    <m/>
    <m/>
    <m/>
    <n v="14"/>
    <n v="0"/>
    <n v="-14"/>
    <m/>
    <m/>
    <m/>
    <m/>
    <m/>
    <m/>
    <n v="-7.7777777777777777"/>
    <m/>
    <m/>
    <m/>
    <s v="Teddington and the Hamptons"/>
    <n v="-7.7777777777777777"/>
    <m/>
    <m/>
    <n v="-7.7777777777777777"/>
    <m/>
    <m/>
    <m/>
    <m/>
    <m/>
    <m/>
    <m/>
    <m/>
    <n v="-7.7777777777777777"/>
    <n v="-7.7777777777777777"/>
  </r>
  <r>
    <s v="19/0111/FUL"/>
    <s v="MIX"/>
    <s v="Student Bedrooms"/>
    <d v="2019-12-12T00:00:00"/>
    <d v="2022-12-12T00:00:00"/>
    <d v="2020-03-30T00:00:00"/>
    <m/>
    <x v="1"/>
    <s v="Open Market"/>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23-27 Lower Teddington Road"/>
    <s v="KT1"/>
    <m/>
    <m/>
    <m/>
    <m/>
    <m/>
    <m/>
    <m/>
    <n v="0"/>
    <n v="10"/>
    <n v="10"/>
    <m/>
    <m/>
    <m/>
    <m/>
    <n v="4"/>
    <m/>
    <m/>
    <s v="Teddington and the Hamptons"/>
    <n v="4"/>
    <m/>
    <m/>
    <n v="4"/>
    <m/>
    <m/>
    <m/>
    <m/>
    <m/>
    <m/>
    <m/>
    <m/>
    <n v="4"/>
    <n v="4"/>
  </r>
  <r>
    <s v="21/2661/FUL"/>
    <s v="EXT"/>
    <s v="Student Bedrooms"/>
    <d v="2021-12-24T00:00:00"/>
    <d v="2024-12-24T00:00:00"/>
    <m/>
    <m/>
    <x v="2"/>
    <s v="Open Market"/>
    <s v="Conversion and extension of roof space above modern boarding blocks (C2 use) to provide additional boarding accommodation and rooflights. Raising of parapet walls.  Plant at ground level; 4No electric vehicle charging points in Entrance Forecourt; tempora"/>
    <s v="The Royal Ballet School, White Lodge, Richmond Park, Richmond, TW10 5HR, "/>
    <s v="TW10 5HR"/>
    <m/>
    <m/>
    <m/>
    <m/>
    <m/>
    <m/>
    <m/>
    <n v="86"/>
    <n v="124"/>
    <n v="38"/>
    <m/>
    <m/>
    <m/>
    <m/>
    <n v="15.2"/>
    <m/>
    <m/>
    <s v="Richmond"/>
    <n v="15.2"/>
    <m/>
    <m/>
    <m/>
    <n v="5.0666666666666664"/>
    <n v="5.0666666666666664"/>
    <n v="5.0666666666666664"/>
    <m/>
    <m/>
    <m/>
    <m/>
    <m/>
    <n v="15.2"/>
    <n v="15.2"/>
  </r>
  <r>
    <s v="22/1496/FUL"/>
    <s v="MIX"/>
    <s v="Care Home Beds"/>
    <d v="2023-03-23T00:00:00"/>
    <d v="2026-03-23T00:00:00"/>
    <d v="2023-07-28T00:00:00"/>
    <m/>
    <x v="2"/>
    <s v="Open Market"/>
    <s v="Change of use from hotel (Class C1) to care and physiotherapy-led rehabilitation centre (Class C2) to include partial demolition and extension of the existing building along with the provision of associated car parking, cycle parking, refuse storage, landscaping, boundary treatments, servicing, access and necessary highways works."/>
    <s v="Richmond Inn Hotel, 50 - 56 Sheen Road, Richmond, TW9 1UG"/>
    <s v="TW9 1UG"/>
    <m/>
    <m/>
    <n v="57"/>
    <n v="57"/>
    <m/>
    <m/>
    <m/>
    <m/>
    <m/>
    <m/>
    <m/>
    <m/>
    <m/>
    <m/>
    <m/>
    <m/>
    <m/>
    <s v="Richmond"/>
    <n v="57"/>
    <m/>
    <m/>
    <n v="28.5"/>
    <n v="28.5"/>
    <m/>
    <m/>
    <m/>
    <m/>
    <m/>
    <m/>
    <m/>
    <n v="57"/>
    <n v="57"/>
  </r>
  <r>
    <s v="19/2822/FUL "/>
    <s v="MIX"/>
    <s v="Care Home Beds"/>
    <d v="2023-05-12T00:00:00"/>
    <d v="2026-05-12T00:00:00"/>
    <m/>
    <m/>
    <x v="3"/>
    <s v="Open Market"/>
    <s v="Retention and refurbishment of the former police station building with part demolition of rear wings and ancillary buildings, and the construction of a three storey side and rear extension and basement to form a registered care home comprising 22 care suites and 66 care bed units, with shared facilities, car and cycle parking, landscaping and ancillary works."/>
    <s v="Hampton Police Station, Station Road, Hampton TW12 2AX"/>
    <s v="TW12 2AX"/>
    <m/>
    <m/>
    <n v="88"/>
    <n v="88"/>
    <m/>
    <m/>
    <m/>
    <m/>
    <m/>
    <m/>
    <m/>
    <m/>
    <m/>
    <m/>
    <m/>
    <m/>
    <m/>
    <s v="Teddington and the Hamptons"/>
    <n v="88"/>
    <m/>
    <m/>
    <m/>
    <n v="29.333333333333332"/>
    <n v="29.333333333333332"/>
    <n v="29.333333333333332"/>
    <m/>
    <m/>
    <m/>
    <m/>
    <m/>
    <n v="88"/>
    <n v="88"/>
  </r>
  <r>
    <m/>
    <m/>
    <m/>
    <m/>
    <m/>
    <m/>
    <m/>
    <x v="4"/>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s v="09/0382/FUL"/>
    <n v="1"/>
    <s v="MIX"/>
    <m/>
    <d v="2012-06-19T00:00:00"/>
    <d v="2015-08-03T00:00:00"/>
    <d v="2013-01-01T00:00:00"/>
    <d v="2022-05-31T00:00:00"/>
    <x v="0"/>
    <s v="Open Market"/>
    <m/>
    <s v="Loft conversion with dormer, two storey rear extension and conversion into 6 studios and 1no. two bedroom flat with bicycle parking"/>
    <s v="30 Broad Street_x000d_Teddington_x000d_Middlesex_x000d_TW11 8RF"/>
    <s v="_x000a_TW11 8RF"/>
    <m/>
    <m/>
    <m/>
    <m/>
    <n v="1"/>
    <m/>
    <m/>
    <m/>
    <n v="1"/>
    <n v="6"/>
    <n v="1"/>
    <m/>
    <m/>
    <m/>
    <m/>
    <m/>
    <m/>
    <n v="7"/>
    <n v="6"/>
    <n v="1"/>
    <n v="0"/>
    <n v="-1"/>
    <n v="0"/>
    <n v="0"/>
    <n v="0"/>
    <n v="0"/>
    <n v="6"/>
    <m/>
    <n v="6"/>
    <m/>
    <m/>
    <m/>
    <m/>
    <m/>
    <m/>
    <m/>
    <m/>
    <m/>
    <m/>
    <m/>
    <m/>
    <m/>
    <m/>
    <m/>
    <m/>
    <n v="0"/>
    <n v="0"/>
    <n v="0"/>
    <m/>
    <m/>
    <n v="515626"/>
    <n v="170961"/>
    <s v="Teddington and the Hamptons"/>
    <s v="Teddington"/>
    <x v="0"/>
    <x v="0"/>
    <m/>
    <x v="0"/>
    <m/>
    <s v="CA84 Broad Street"/>
    <s v="Y"/>
    <s v="Y"/>
    <x v="0"/>
  </r>
  <r>
    <s v="14/0599/P3JPA"/>
    <n v="2"/>
    <s v="CHU"/>
    <m/>
    <d v="2014-04-08T00:00:00"/>
    <d v="2019-04-08T00:00:00"/>
    <d v="2014-09-01T00:00:00"/>
    <d v="2023-03-31T00:00:00"/>
    <x v="0"/>
    <s v="Open Market"/>
    <m/>
    <s v="Change of use of ground floor offices (B1) to residential (C3)"/>
    <s v="9 Hanworth Road, Hampton TW12 3DH"/>
    <s v="TW12 3DH"/>
    <m/>
    <m/>
    <m/>
    <m/>
    <m/>
    <m/>
    <m/>
    <m/>
    <n v="0"/>
    <n v="1"/>
    <m/>
    <m/>
    <m/>
    <m/>
    <m/>
    <m/>
    <m/>
    <n v="1"/>
    <n v="1"/>
    <n v="0"/>
    <n v="0"/>
    <n v="0"/>
    <n v="0"/>
    <n v="0"/>
    <n v="0"/>
    <n v="0"/>
    <n v="1"/>
    <m/>
    <n v="1"/>
    <m/>
    <m/>
    <m/>
    <m/>
    <m/>
    <m/>
    <m/>
    <m/>
    <m/>
    <m/>
    <m/>
    <m/>
    <m/>
    <m/>
    <m/>
    <m/>
    <n v="0"/>
    <n v="0"/>
    <n v="0"/>
    <m/>
    <m/>
    <n v="513841"/>
    <n v="170798"/>
    <s v="Teddington and the Hamptons"/>
    <s v="Hampton North"/>
    <x v="1"/>
    <x v="0"/>
    <m/>
    <x v="0"/>
    <m/>
    <m/>
    <m/>
    <m/>
    <x v="0"/>
  </r>
  <r>
    <s v="15/3072/FUL"/>
    <n v="3"/>
    <s v="CHU"/>
    <m/>
    <d v="2016-10-07T00:00:00"/>
    <d v="2019-10-07T00:00:00"/>
    <d v="2018-03-01T00:00:00"/>
    <d v="2022-05-10T00:00:00"/>
    <x v="0"/>
    <s v="Open Market"/>
    <m/>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_x000a__x000a_"/>
    <s v="TW11"/>
    <m/>
    <m/>
    <m/>
    <m/>
    <m/>
    <m/>
    <m/>
    <m/>
    <n v="0"/>
    <m/>
    <n v="6"/>
    <m/>
    <m/>
    <m/>
    <m/>
    <m/>
    <m/>
    <n v="6"/>
    <n v="0"/>
    <n v="6"/>
    <n v="0"/>
    <n v="0"/>
    <n v="0"/>
    <n v="0"/>
    <n v="0"/>
    <n v="0"/>
    <n v="6"/>
    <m/>
    <n v="6"/>
    <m/>
    <m/>
    <m/>
    <m/>
    <m/>
    <m/>
    <m/>
    <m/>
    <m/>
    <m/>
    <m/>
    <m/>
    <m/>
    <m/>
    <m/>
    <m/>
    <n v="0"/>
    <n v="0"/>
    <n v="0"/>
    <m/>
    <m/>
    <n v="516013"/>
    <n v="171023"/>
    <s v="Teddington and the Hamptons"/>
    <s v="Teddington"/>
    <x v="1"/>
    <x v="0"/>
    <m/>
    <x v="0"/>
    <m/>
    <s v="CA37 High Street Teddington"/>
    <s v="Y"/>
    <s v="Y"/>
    <x v="0"/>
  </r>
  <r>
    <s v="16/2306/FUL"/>
    <n v="4"/>
    <s v="CON"/>
    <m/>
    <d v="2016-08-17T00:00:00"/>
    <d v="2019-08-17T00:00:00"/>
    <d v="2019-01-14T00:00:00"/>
    <d v="2022-06-01T00:00:00"/>
    <x v="0"/>
    <s v="Open Market"/>
    <m/>
    <s v="Conversion of the building into one family house, plus an additional apartment at basement level to the front."/>
    <s v="112 Richmond Hill, Richmond_x000a__x000a_"/>
    <m/>
    <m/>
    <n v="2"/>
    <n v="2"/>
    <n v="1"/>
    <m/>
    <m/>
    <m/>
    <m/>
    <n v="5"/>
    <n v="1"/>
    <m/>
    <m/>
    <n v="1"/>
    <m/>
    <m/>
    <m/>
    <m/>
    <n v="2"/>
    <n v="-1"/>
    <n v="-2"/>
    <n v="-1"/>
    <n v="1"/>
    <n v="0"/>
    <n v="0"/>
    <n v="0"/>
    <n v="0"/>
    <n v="-3"/>
    <m/>
    <n v="-3"/>
    <m/>
    <m/>
    <m/>
    <m/>
    <m/>
    <m/>
    <m/>
    <m/>
    <m/>
    <m/>
    <m/>
    <m/>
    <m/>
    <m/>
    <m/>
    <m/>
    <n v="0"/>
    <n v="0"/>
    <n v="0"/>
    <m/>
    <m/>
    <n v="518294"/>
    <n v="174078"/>
    <s v="Ham &amp; Petersham"/>
    <s v="Ham, Petersham &amp; Richmond Riverside"/>
    <x v="1"/>
    <x v="1"/>
    <m/>
    <x v="0"/>
    <m/>
    <s v="CA5 Richmond Hill"/>
    <s v="Y"/>
    <s v="Y"/>
    <x v="0"/>
  </r>
  <r>
    <s v="16/4890/FUL"/>
    <n v="5"/>
    <s v="NEW"/>
    <m/>
    <d v="2017-09-08T00:00:00"/>
    <d v="2020-09-08T00:00:00"/>
    <d v="2019-03-30T00:00:00"/>
    <d v="2022-10-19T00:00:00"/>
    <x v="0"/>
    <s v="Open Market"/>
    <m/>
    <s v="Redevelopment of site to provide for a mixed use development of 535m2 of commercial space (B1 (a), (b) and (c) and B8 use) and 20 residential units, together with car parking and landscaping"/>
    <s v="1 - 9 Sandycombe Road, Richmond_x000a__x000a_"/>
    <s v="TW9 2EP"/>
    <m/>
    <m/>
    <m/>
    <m/>
    <m/>
    <m/>
    <m/>
    <m/>
    <n v="0"/>
    <n v="9"/>
    <n v="7"/>
    <n v="4"/>
    <m/>
    <m/>
    <m/>
    <m/>
    <m/>
    <n v="20"/>
    <n v="9"/>
    <n v="7"/>
    <n v="4"/>
    <n v="0"/>
    <n v="0"/>
    <n v="0"/>
    <n v="0"/>
    <n v="0"/>
    <n v="20"/>
    <s v="Y"/>
    <n v="20"/>
    <m/>
    <m/>
    <m/>
    <m/>
    <m/>
    <m/>
    <m/>
    <m/>
    <m/>
    <m/>
    <m/>
    <m/>
    <m/>
    <m/>
    <m/>
    <m/>
    <n v="0"/>
    <n v="0"/>
    <n v="0"/>
    <m/>
    <m/>
    <n v="519012"/>
    <n v="175761"/>
    <s v="Richmond"/>
    <s v="Kew"/>
    <x v="1"/>
    <x v="0"/>
    <m/>
    <x v="0"/>
    <m/>
    <m/>
    <m/>
    <s v="Y"/>
    <x v="0"/>
  </r>
  <r>
    <s v="19/0551/FUL"/>
    <n v="6"/>
    <s v="CON"/>
    <m/>
    <d v="2019-08-21T00:00:00"/>
    <d v="2022-08-21T00:00:00"/>
    <d v="2019-11-04T00:00:00"/>
    <d v="2022-06-01T00:00:00"/>
    <x v="0"/>
    <s v="Open Market"/>
    <m/>
    <s v="Convert 2 flats back to one family house. Proposed pitched side infill extension adjacent neighbouring infill extension with glazed rooflight. Proposed loft conversion with full width rear dormer, partial dormer to outrigger and rooflights."/>
    <s v="32 Selwyn Avenue, Richmond TW9 2HA_x000a_"/>
    <s v="TW9 2HA"/>
    <m/>
    <n v="1"/>
    <n v="1"/>
    <m/>
    <m/>
    <m/>
    <m/>
    <m/>
    <n v="2"/>
    <m/>
    <m/>
    <m/>
    <m/>
    <n v="1"/>
    <m/>
    <m/>
    <m/>
    <n v="1"/>
    <n v="-1"/>
    <n v="-1"/>
    <n v="0"/>
    <n v="0"/>
    <n v="1"/>
    <n v="0"/>
    <n v="0"/>
    <n v="0"/>
    <n v="-1"/>
    <m/>
    <n v="-1"/>
    <m/>
    <m/>
    <m/>
    <m/>
    <m/>
    <m/>
    <m/>
    <m/>
    <m/>
    <m/>
    <m/>
    <m/>
    <m/>
    <m/>
    <m/>
    <m/>
    <n v="0"/>
    <n v="0"/>
    <n v="0"/>
    <m/>
    <m/>
    <n v="518458"/>
    <n v="175501"/>
    <s v="Richmond"/>
    <s v="North Richmond"/>
    <x v="1"/>
    <x v="0"/>
    <m/>
    <x v="0"/>
    <m/>
    <m/>
    <m/>
    <s v="Y"/>
    <x v="0"/>
  </r>
  <r>
    <s v="17/4014/FUL"/>
    <n v="7"/>
    <s v="CHU"/>
    <m/>
    <d v="2019-03-19T00:00:00"/>
    <d v="2022-03-19T00:00:00"/>
    <d v="2020-04-01T00:00:00"/>
    <d v="2022-04-01T00:00:00"/>
    <x v="0"/>
    <s v="Open Market"/>
    <m/>
    <s v="Change of use of part front ground floor A5(hot food takeaways) use to C3(residential) use to facilitate the conversion of existing 3 bed maisonette above shop into 2 x 2 bed (2B3P) flats. _x000d_Change of use of part rear ground floor rear from A5(retail) to C"/>
    <s v="126 Heath Road, Twickenham, TW1 4BN"/>
    <s v="TW1 4BN"/>
    <m/>
    <m/>
    <m/>
    <n v="1"/>
    <m/>
    <m/>
    <m/>
    <m/>
    <n v="1"/>
    <n v="1"/>
    <n v="2"/>
    <m/>
    <m/>
    <m/>
    <m/>
    <m/>
    <m/>
    <n v="3"/>
    <n v="1"/>
    <n v="2"/>
    <n v="-1"/>
    <n v="0"/>
    <n v="0"/>
    <n v="0"/>
    <n v="0"/>
    <n v="0"/>
    <n v="2"/>
    <m/>
    <n v="2"/>
    <m/>
    <m/>
    <m/>
    <m/>
    <m/>
    <m/>
    <m/>
    <m/>
    <m/>
    <m/>
    <m/>
    <m/>
    <m/>
    <m/>
    <m/>
    <m/>
    <n v="0"/>
    <n v="0"/>
    <n v="0"/>
    <m/>
    <m/>
    <n v="515746"/>
    <n v="173156"/>
    <s v="Twickenham"/>
    <s v="South Twickenham"/>
    <x v="2"/>
    <x v="0"/>
    <m/>
    <x v="0"/>
    <m/>
    <m/>
    <m/>
    <s v="Y"/>
    <x v="0"/>
  </r>
  <r>
    <s v="18/0723/FUL"/>
    <n v="8"/>
    <s v="NEW"/>
    <m/>
    <d v="2018-10-04T00:00:00"/>
    <d v="2021-10-04T00:00:00"/>
    <d v="2020-06-23T00:00:00"/>
    <d v="2022-04-26T00:00:00"/>
    <x v="0"/>
    <s v="Open Market"/>
    <m/>
    <s v="Demolition of existing dwelling and the erection of a replacement two storey, 4 bedroom dwelling"/>
    <s v="3 Queens Rise, Richmond TW10 6HL"/>
    <s v="TW10 6HL"/>
    <m/>
    <m/>
    <m/>
    <m/>
    <n v="1"/>
    <m/>
    <m/>
    <m/>
    <n v="1"/>
    <m/>
    <m/>
    <m/>
    <n v="1"/>
    <m/>
    <m/>
    <m/>
    <m/>
    <n v="1"/>
    <n v="0"/>
    <n v="0"/>
    <n v="0"/>
    <n v="0"/>
    <n v="0"/>
    <n v="0"/>
    <n v="0"/>
    <n v="0"/>
    <n v="0"/>
    <m/>
    <n v="0"/>
    <m/>
    <m/>
    <m/>
    <m/>
    <m/>
    <m/>
    <m/>
    <m/>
    <m/>
    <m/>
    <m/>
    <m/>
    <m/>
    <m/>
    <m/>
    <m/>
    <n v="0"/>
    <n v="0"/>
    <n v="0"/>
    <m/>
    <m/>
    <n v="518695"/>
    <n v="174476"/>
    <s v="Richmond"/>
    <s v="South Richmond"/>
    <x v="1"/>
    <x v="0"/>
    <m/>
    <x v="0"/>
    <m/>
    <m/>
    <m/>
    <s v="Y"/>
    <x v="0"/>
  </r>
  <r>
    <s v="19/0171/GPD15"/>
    <n v="9"/>
    <s v="CHU"/>
    <s v="PA"/>
    <d v="2019-03-19T00:00:00"/>
    <d v="2022-03-19T00:00:00"/>
    <d v="2020-07-01T00:00:00"/>
    <d v="2022-07-04T00:00:00"/>
    <x v="0"/>
    <s v="Open Market"/>
    <m/>
    <s v="Change of use from B1 (Offices) to C3(a) (Dwellings) (2 x 2 bed)."/>
    <s v="62 Glentham Road, Barnes, London SW13 9JJ_x000a_"/>
    <s v="SW13 9JJ"/>
    <m/>
    <m/>
    <m/>
    <m/>
    <m/>
    <m/>
    <m/>
    <m/>
    <n v="0"/>
    <m/>
    <n v="2"/>
    <m/>
    <m/>
    <m/>
    <m/>
    <m/>
    <m/>
    <n v="2"/>
    <n v="0"/>
    <n v="2"/>
    <n v="0"/>
    <n v="0"/>
    <n v="0"/>
    <n v="0"/>
    <n v="0"/>
    <n v="0"/>
    <n v="2"/>
    <m/>
    <n v="2"/>
    <m/>
    <m/>
    <m/>
    <m/>
    <m/>
    <m/>
    <m/>
    <m/>
    <m/>
    <m/>
    <m/>
    <m/>
    <m/>
    <m/>
    <m/>
    <m/>
    <n v="0"/>
    <n v="0"/>
    <n v="0"/>
    <m/>
    <m/>
    <n v="522531"/>
    <n v="177884"/>
    <s v="Barnes and East Sheen"/>
    <s v="Barnes"/>
    <x v="1"/>
    <x v="0"/>
    <m/>
    <x v="0"/>
    <m/>
    <s v="CA25 Castelnau"/>
    <s v="Y"/>
    <s v="Y"/>
    <x v="0"/>
  </r>
  <r>
    <s v="20/0384/GPD15"/>
    <n v="10"/>
    <s v="CHU"/>
    <s v="PA"/>
    <d v="2020-04-01T00:00:00"/>
    <d v="2023-04-01T00:00:00"/>
    <d v="2020-09-01T00:00:00"/>
    <d v="2023-03-31T00:00:00"/>
    <x v="0"/>
    <s v="Open Market"/>
    <m/>
    <s v="Change of use of part of first floor level from B1(a) office unit C3 (dwelling house) to form one x 4 bed self-contained apartment."/>
    <s v="21 Station Road, Barnes, London, SW13 0LF_x000a_"/>
    <s v="SW13 0LF"/>
    <m/>
    <m/>
    <m/>
    <m/>
    <m/>
    <m/>
    <m/>
    <m/>
    <n v="0"/>
    <m/>
    <m/>
    <m/>
    <n v="1"/>
    <m/>
    <m/>
    <m/>
    <m/>
    <n v="1"/>
    <n v="0"/>
    <n v="0"/>
    <n v="0"/>
    <n v="1"/>
    <n v="0"/>
    <n v="0"/>
    <n v="0"/>
    <n v="0"/>
    <n v="1"/>
    <m/>
    <n v="1"/>
    <m/>
    <m/>
    <m/>
    <m/>
    <m/>
    <m/>
    <m/>
    <m/>
    <m/>
    <m/>
    <m/>
    <m/>
    <m/>
    <m/>
    <m/>
    <m/>
    <n v="0"/>
    <n v="0"/>
    <n v="0"/>
    <m/>
    <m/>
    <n v="521854"/>
    <n v="176284"/>
    <s v="Barnes and East Sheen"/>
    <s v="Mortlake &amp; Barnes Common"/>
    <x v="1"/>
    <x v="0"/>
    <m/>
    <x v="0"/>
    <m/>
    <s v="CA1 Barnes Green"/>
    <s v="Y"/>
    <s v="Y"/>
    <x v="0"/>
  </r>
  <r>
    <s v="20/2757/VRC"/>
    <n v="11"/>
    <s v="NEW"/>
    <m/>
    <d v="2020-12-21T00:00:00"/>
    <d v="2023-12-21T00:00:00"/>
    <d v="2020-09-21T00:00:00"/>
    <d v="2023-03-31T00:00:00"/>
    <x v="0"/>
    <s v="Open Market"/>
    <m/>
    <s v="Variation of Condition 2 (Approved Drawings) of application 19/2753/FUL to allow for 1) the alterations to Unit 6 comprising the enlargement of balcony and change from a 1 bed flat to a 2 bed flat; 2) removal of lifts in the North Block and redesigned sta"/>
    <s v="63 Sandycombe Road, Richmond, TW9 2EP"/>
    <s v="TW9 2EP"/>
    <m/>
    <m/>
    <m/>
    <m/>
    <m/>
    <m/>
    <m/>
    <m/>
    <n v="0"/>
    <n v="5"/>
    <n v="3"/>
    <m/>
    <m/>
    <m/>
    <m/>
    <m/>
    <m/>
    <n v="8"/>
    <n v="5"/>
    <n v="3"/>
    <n v="0"/>
    <n v="0"/>
    <n v="0"/>
    <n v="0"/>
    <n v="0"/>
    <n v="0"/>
    <n v="8"/>
    <m/>
    <n v="8"/>
    <m/>
    <m/>
    <m/>
    <m/>
    <m/>
    <m/>
    <m/>
    <m/>
    <m/>
    <m/>
    <m/>
    <m/>
    <m/>
    <m/>
    <m/>
    <m/>
    <n v="0"/>
    <n v="0"/>
    <n v="0"/>
    <m/>
    <m/>
    <n v="519026"/>
    <n v="175926"/>
    <s v="Richmond"/>
    <s v="Kew"/>
    <x v="1"/>
    <x v="0"/>
    <m/>
    <x v="0"/>
    <m/>
    <m/>
    <m/>
    <s v="Y"/>
    <x v="0"/>
  </r>
  <r>
    <s v="20/0361/FUL"/>
    <n v="12"/>
    <s v="CHU"/>
    <m/>
    <d v="2020-07-31T00:00:00"/>
    <d v="2023-07-31T00:00:00"/>
    <d v="2020-10-01T00:00:00"/>
    <d v="2023-03-31T00:00:00"/>
    <x v="0"/>
    <s v="Open Market"/>
    <m/>
    <s v="Enlargement of existing dormer on rear roof, replacement shopfront, replacement windows to front and rear, removel of exisitng lean to at rear first floor level to facilitate change of use of part ground floor, first, second and third floors from A4 to C3"/>
    <s v="26 - 28 York Street, Twickenham TW1 3LJ_x000a_"/>
    <s v="TW1 3LJ"/>
    <m/>
    <m/>
    <n v="1"/>
    <m/>
    <m/>
    <m/>
    <m/>
    <m/>
    <n v="1"/>
    <n v="2"/>
    <n v="1"/>
    <m/>
    <m/>
    <m/>
    <m/>
    <m/>
    <m/>
    <n v="3"/>
    <n v="2"/>
    <n v="0"/>
    <n v="0"/>
    <n v="0"/>
    <n v="0"/>
    <n v="0"/>
    <n v="0"/>
    <n v="0"/>
    <n v="2"/>
    <m/>
    <n v="2"/>
    <m/>
    <m/>
    <m/>
    <m/>
    <m/>
    <m/>
    <m/>
    <m/>
    <m/>
    <m/>
    <m/>
    <m/>
    <m/>
    <m/>
    <m/>
    <m/>
    <n v="0"/>
    <n v="0"/>
    <n v="0"/>
    <m/>
    <m/>
    <n v="516334"/>
    <n v="173358"/>
    <s v="Twickenham"/>
    <s v="Twickenham Riverside"/>
    <x v="2"/>
    <x v="0"/>
    <m/>
    <x v="0"/>
    <m/>
    <s v="CA8 Twickenham Riverside"/>
    <s v="Y"/>
    <s v="Y"/>
    <x v="0"/>
  </r>
  <r>
    <s v="16/4384/FUL"/>
    <n v="13"/>
    <s v="NEW"/>
    <m/>
    <d v="2017-10-27T00:00:00"/>
    <d v="2020-10-27T00:00:00"/>
    <d v="2020-10-26T00:00:00"/>
    <d v="2022-11-15T00:00:00"/>
    <x v="0"/>
    <s v="Open Market"/>
    <m/>
    <s v="Demolition of the existing garage and erection of a new partially sunken one-bedroom, single-storey dwelling, and provision of a new boundary wall and entrance gate."/>
    <s v="Land Junction Of North Worple Way And Wrights Walk Rear Of 31 Alder Road, Mortlake, London_x000a__x000a_"/>
    <s v="SW14"/>
    <m/>
    <m/>
    <m/>
    <m/>
    <m/>
    <m/>
    <m/>
    <m/>
    <n v="0"/>
    <n v="1"/>
    <m/>
    <m/>
    <m/>
    <m/>
    <m/>
    <m/>
    <m/>
    <n v="1"/>
    <n v="1"/>
    <n v="0"/>
    <n v="0"/>
    <n v="0"/>
    <n v="0"/>
    <n v="0"/>
    <n v="0"/>
    <n v="0"/>
    <n v="1"/>
    <m/>
    <n v="1"/>
    <m/>
    <m/>
    <m/>
    <m/>
    <m/>
    <m/>
    <m/>
    <m/>
    <m/>
    <m/>
    <m/>
    <m/>
    <m/>
    <m/>
    <m/>
    <m/>
    <n v="0"/>
    <n v="0"/>
    <n v="0"/>
    <m/>
    <m/>
    <n v="520624"/>
    <n v="175780"/>
    <s v="Barnes and East Sheen"/>
    <s v="Mortlake &amp; Barnes Common"/>
    <x v="1"/>
    <x v="0"/>
    <m/>
    <x v="0"/>
    <m/>
    <s v="CA33 Mortlake"/>
    <s v="Y"/>
    <s v="Y"/>
    <x v="0"/>
  </r>
  <r>
    <s v="19/2725/GPD15"/>
    <n v="14"/>
    <s v="CHU"/>
    <s v="PA"/>
    <d v="2019-11-11T00:00:00"/>
    <d v="2022-11-11T00:00:00"/>
    <d v="2021-01-04T00:00:00"/>
    <d v="2022-09-06T00:00:00"/>
    <x v="0"/>
    <s v="Open Market"/>
    <m/>
    <s v="Change of use of first, second and third floor from B1(a) offices to C3 residential to provide 3 x flats (2 x 1 bed and 1 x studio)."/>
    <s v="7A York Street, Twickenham_x000a__x000a_"/>
    <s v="TW1"/>
    <m/>
    <m/>
    <m/>
    <m/>
    <m/>
    <m/>
    <m/>
    <m/>
    <n v="0"/>
    <n v="3"/>
    <m/>
    <m/>
    <m/>
    <m/>
    <m/>
    <m/>
    <m/>
    <n v="3"/>
    <n v="3"/>
    <n v="0"/>
    <n v="0"/>
    <n v="0"/>
    <n v="0"/>
    <n v="0"/>
    <n v="0"/>
    <n v="0"/>
    <n v="3"/>
    <m/>
    <n v="3"/>
    <m/>
    <m/>
    <m/>
    <m/>
    <m/>
    <m/>
    <m/>
    <m/>
    <m/>
    <m/>
    <m/>
    <m/>
    <m/>
    <m/>
    <m/>
    <m/>
    <n v="0"/>
    <n v="0"/>
    <n v="0"/>
    <m/>
    <m/>
    <n v="516291"/>
    <n v="173345"/>
    <s v="Twickenham"/>
    <s v="Twickenham Riverside"/>
    <x v="2"/>
    <x v="0"/>
    <m/>
    <x v="0"/>
    <m/>
    <s v="CA8 Twickenham Riverside"/>
    <s v="Y"/>
    <s v="Y"/>
    <x v="0"/>
  </r>
  <r>
    <s v="20/2490/FUL"/>
    <n v="15"/>
    <s v="CHU"/>
    <m/>
    <d v="2020-11-09T00:00:00"/>
    <d v="2023-11-09T00:00:00"/>
    <d v="2021-01-05T00:00:00"/>
    <d v="2022-11-22T00:00:00"/>
    <x v="0"/>
    <s v="Open Market"/>
    <m/>
    <s v="Conversion of the first and second floor c3 single dwelling  (ex-HMO) into 2no. Self contained flats. Consisting of two 2 bedroom 3 person flats. Provision for external bin &amp; cycle storage to the rear."/>
    <s v="112A Heath Road, Twickenham TW1 4BW"/>
    <s v="TW1 4BW"/>
    <m/>
    <m/>
    <m/>
    <m/>
    <n v="1"/>
    <m/>
    <m/>
    <m/>
    <n v="1"/>
    <m/>
    <n v="2"/>
    <m/>
    <m/>
    <m/>
    <m/>
    <m/>
    <m/>
    <n v="2"/>
    <n v="0"/>
    <n v="2"/>
    <n v="0"/>
    <n v="-1"/>
    <n v="0"/>
    <n v="0"/>
    <n v="0"/>
    <n v="0"/>
    <n v="1"/>
    <m/>
    <n v="1"/>
    <m/>
    <m/>
    <m/>
    <m/>
    <m/>
    <m/>
    <m/>
    <m/>
    <m/>
    <m/>
    <m/>
    <m/>
    <m/>
    <m/>
    <m/>
    <m/>
    <n v="0"/>
    <n v="0"/>
    <n v="0"/>
    <m/>
    <m/>
    <n v="515798"/>
    <n v="173148"/>
    <s v="Twickenham"/>
    <s v="South Twickenham"/>
    <x v="2"/>
    <x v="0"/>
    <m/>
    <x v="0"/>
    <m/>
    <m/>
    <m/>
    <s v="Y"/>
    <x v="0"/>
  </r>
  <r>
    <s v="18/4183/FUL"/>
    <n v="16"/>
    <s v="NEW"/>
    <m/>
    <d v="2019-07-25T00:00:00"/>
    <d v="2022-07-25T00:00:00"/>
    <d v="2021-01-28T00:00:00"/>
    <d v="2022-06-14T00:00:00"/>
    <x v="0"/>
    <s v="Open Market"/>
    <m/>
    <s v="Demolition of existing garage compound and erection of one detached dwelling with 2 parking spaces, turning area, landscaping and tree planting."/>
    <s v="Garage Site, Rosslyn Avenue/Treen Avenue, Barnes, London SW13 0JT"/>
    <s v="SW13 0JT"/>
    <m/>
    <m/>
    <m/>
    <m/>
    <m/>
    <m/>
    <m/>
    <m/>
    <n v="0"/>
    <m/>
    <m/>
    <n v="1"/>
    <m/>
    <m/>
    <m/>
    <m/>
    <m/>
    <n v="1"/>
    <n v="0"/>
    <n v="0"/>
    <n v="1"/>
    <n v="0"/>
    <n v="0"/>
    <n v="0"/>
    <n v="0"/>
    <n v="0"/>
    <n v="1"/>
    <m/>
    <n v="1"/>
    <m/>
    <m/>
    <m/>
    <m/>
    <m/>
    <m/>
    <m/>
    <m/>
    <m/>
    <m/>
    <m/>
    <m/>
    <m/>
    <m/>
    <m/>
    <m/>
    <n v="0"/>
    <n v="0"/>
    <n v="0"/>
    <m/>
    <m/>
    <n v="521611"/>
    <n v="175705"/>
    <s v="Barnes and East Sheen"/>
    <s v="Mortlake &amp; Barnes Common"/>
    <x v="1"/>
    <x v="0"/>
    <m/>
    <x v="0"/>
    <m/>
    <m/>
    <m/>
    <s v="Y"/>
    <x v="0"/>
  </r>
  <r>
    <s v="17/1550/NMA1"/>
    <n v="17"/>
    <s v="NEW"/>
    <m/>
    <d v="2023-02-13T00:00:00"/>
    <d v="2026-02-13T00:00:00"/>
    <d v="2021-02-01T00:00:00"/>
    <d v="2022-05-25T00:00:00"/>
    <x v="0"/>
    <s v="Open Market"/>
    <m/>
    <s v="Non material amendment to planning approval 17/1550/FUL to allow for revision to the description of development to remove the words new basement level to facilitate provision of underground parking as previously approved and a revision to remove reference"/>
    <s v="The Firs, Church Grove, Hampton Wick, Kingston Upon Thames KT1 4AL_x000a_"/>
    <s v="KT1 4AL"/>
    <m/>
    <m/>
    <m/>
    <n v="1"/>
    <m/>
    <m/>
    <m/>
    <m/>
    <n v="1"/>
    <n v="3"/>
    <n v="4"/>
    <n v="1"/>
    <m/>
    <m/>
    <m/>
    <m/>
    <m/>
    <n v="8"/>
    <n v="3"/>
    <n v="4"/>
    <n v="0"/>
    <n v="0"/>
    <n v="0"/>
    <n v="0"/>
    <n v="0"/>
    <n v="0"/>
    <n v="7"/>
    <m/>
    <n v="7"/>
    <m/>
    <m/>
    <m/>
    <m/>
    <m/>
    <m/>
    <m/>
    <m/>
    <m/>
    <m/>
    <m/>
    <m/>
    <m/>
    <m/>
    <m/>
    <m/>
    <n v="0"/>
    <n v="0"/>
    <n v="0"/>
    <m/>
    <m/>
    <n v="517393"/>
    <n v="169491"/>
    <s v="Teddington and the Hamptons"/>
    <s v="Hampton Wick &amp; South Teddington"/>
    <x v="1"/>
    <x v="0"/>
    <m/>
    <x v="0"/>
    <m/>
    <s v="CA18 Hampton Wick"/>
    <s v="Y"/>
    <s v="Y"/>
    <x v="0"/>
  </r>
  <r>
    <s v="19/3672/FUL"/>
    <n v="18"/>
    <s v="EXT"/>
    <m/>
    <d v="2020-05-06T00:00:00"/>
    <d v="2023-05-06T00:00:00"/>
    <d v="2021-03-01T00:00:00"/>
    <d v="2022-09-13T00:00:00"/>
    <x v="0"/>
    <s v="Open Market"/>
    <m/>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m/>
    <n v="1"/>
    <m/>
    <m/>
    <n v="1"/>
    <m/>
    <m/>
    <n v="2"/>
    <m/>
    <m/>
    <m/>
    <m/>
    <n v="1"/>
    <m/>
    <m/>
    <m/>
    <n v="1"/>
    <n v="0"/>
    <n v="-1"/>
    <n v="0"/>
    <n v="0"/>
    <n v="0"/>
    <n v="0"/>
    <n v="0"/>
    <n v="0"/>
    <n v="-1"/>
    <m/>
    <n v="-1"/>
    <m/>
    <m/>
    <m/>
    <m/>
    <m/>
    <m/>
    <m/>
    <m/>
    <m/>
    <m/>
    <m/>
    <m/>
    <m/>
    <m/>
    <m/>
    <m/>
    <n v="0"/>
    <n v="0"/>
    <n v="0"/>
    <m/>
    <m/>
    <n v="518373"/>
    <n v="174608"/>
    <s v="Richmond"/>
    <s v="South Richmond"/>
    <x v="1"/>
    <x v="0"/>
    <m/>
    <x v="0"/>
    <m/>
    <s v="CA30 St Matthias Richmond"/>
    <s v="Y"/>
    <s v="Y"/>
    <x v="0"/>
  </r>
  <r>
    <s v="20/0136/FUL"/>
    <n v="19"/>
    <s v="NEW"/>
    <m/>
    <d v="2020-03-26T00:00:00"/>
    <d v="2023-03-26T00:00:00"/>
    <d v="2021-03-01T00:00:00"/>
    <d v="2023-01-06T00:00:00"/>
    <x v="0"/>
    <s v="Open Market"/>
    <m/>
    <s v="Demolition of the existing house and reconstruction of replacement 2 storey with basement and accommodation in the roof single family home and associated parking, hard and soft landscaping."/>
    <s v="2 Belgrave Road, Barnes, London SW13 9NS"/>
    <s v="SW13 9NS"/>
    <m/>
    <m/>
    <m/>
    <n v="1"/>
    <m/>
    <m/>
    <m/>
    <m/>
    <n v="1"/>
    <m/>
    <m/>
    <m/>
    <n v="1"/>
    <m/>
    <m/>
    <m/>
    <m/>
    <n v="1"/>
    <n v="0"/>
    <n v="0"/>
    <n v="-1"/>
    <n v="1"/>
    <n v="0"/>
    <n v="0"/>
    <n v="0"/>
    <n v="0"/>
    <n v="0"/>
    <m/>
    <n v="0"/>
    <m/>
    <m/>
    <m/>
    <m/>
    <m/>
    <m/>
    <m/>
    <m/>
    <m/>
    <m/>
    <m/>
    <m/>
    <m/>
    <m/>
    <m/>
    <m/>
    <n v="0"/>
    <n v="0"/>
    <n v="0"/>
    <m/>
    <m/>
    <n v="521893"/>
    <n v="177129"/>
    <s v="Barnes and East Sheen"/>
    <s v="Barnes"/>
    <x v="1"/>
    <x v="0"/>
    <m/>
    <x v="0"/>
    <m/>
    <m/>
    <m/>
    <m/>
    <x v="0"/>
  </r>
  <r>
    <s v="19/2860/FUL"/>
    <n v="20"/>
    <s v="CHU"/>
    <m/>
    <d v="2020-05-07T00:00:00"/>
    <d v="2023-05-07T00:00:00"/>
    <d v="2021-03-31T00:00:00"/>
    <d v="2022-07-22T00:00:00"/>
    <x v="0"/>
    <s v="Open Market"/>
    <m/>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n v="0"/>
    <m/>
    <m/>
    <n v="5"/>
    <m/>
    <m/>
    <m/>
    <m/>
    <m/>
    <n v="5"/>
    <n v="0"/>
    <n v="0"/>
    <n v="5"/>
    <n v="0"/>
    <n v="0"/>
    <n v="0"/>
    <n v="0"/>
    <n v="0"/>
    <n v="5"/>
    <m/>
    <n v="5"/>
    <m/>
    <m/>
    <m/>
    <m/>
    <m/>
    <m/>
    <m/>
    <m/>
    <m/>
    <m/>
    <m/>
    <m/>
    <m/>
    <m/>
    <m/>
    <m/>
    <n v="0"/>
    <n v="0"/>
    <n v="0"/>
    <m/>
    <m/>
    <n v="515028"/>
    <n v="172768"/>
    <s v="Twickenham"/>
    <s v="West Twickenham"/>
    <x v="1"/>
    <x v="0"/>
    <m/>
    <x v="0"/>
    <m/>
    <m/>
    <m/>
    <s v="Y"/>
    <x v="0"/>
  </r>
  <r>
    <s v="19/3419/FUL"/>
    <n v="21"/>
    <s v="NEW"/>
    <m/>
    <d v="2020-03-11T00:00:00"/>
    <d v="2023-03-11T00:00:00"/>
    <d v="2021-03-31T00:00:00"/>
    <d v="2023-01-15T00:00:00"/>
    <x v="0"/>
    <s v="Open Market"/>
    <m/>
    <s v="Demolition of existing dwellinghouse and erection of detached two storey dwellinghouse, associated hard and soft landscaping"/>
    <s v="8 Sandy Lane, Petersham, Richmond TW10 7EN_x000a_"/>
    <s v="TW10 7EN"/>
    <m/>
    <m/>
    <m/>
    <m/>
    <n v="1"/>
    <m/>
    <m/>
    <m/>
    <n v="1"/>
    <m/>
    <m/>
    <m/>
    <m/>
    <n v="1"/>
    <m/>
    <m/>
    <m/>
    <n v="1"/>
    <n v="0"/>
    <n v="0"/>
    <n v="0"/>
    <n v="-1"/>
    <n v="1"/>
    <n v="0"/>
    <n v="0"/>
    <n v="0"/>
    <n v="0"/>
    <m/>
    <n v="0"/>
    <m/>
    <m/>
    <m/>
    <m/>
    <m/>
    <m/>
    <m/>
    <m/>
    <m/>
    <m/>
    <m/>
    <m/>
    <m/>
    <m/>
    <m/>
    <m/>
    <n v="0"/>
    <n v="0"/>
    <n v="0"/>
    <m/>
    <m/>
    <n v="517948"/>
    <n v="172696"/>
    <s v="Ham &amp; Petersham"/>
    <s v="Ham, Petersham &amp; Richmond Riverside"/>
    <x v="1"/>
    <x v="0"/>
    <m/>
    <x v="0"/>
    <m/>
    <m/>
    <m/>
    <m/>
    <x v="0"/>
  </r>
  <r>
    <s v="20/1484/FUL"/>
    <n v="22"/>
    <s v="NEW"/>
    <m/>
    <d v="2020-08-10T00:00:00"/>
    <d v="2023-08-10T00:00:00"/>
    <d v="2021-03-31T00:00:00"/>
    <d v="2023-01-20T00:00:00"/>
    <x v="0"/>
    <s v="Open Market"/>
    <m/>
    <s v="Demolition of garage and erection of Coach House style dwelling."/>
    <s v="Land To The Rear Of 178A - 184 Kingston Lane, Teddington TW11 9HD"/>
    <s v="TW11 9HD"/>
    <m/>
    <m/>
    <m/>
    <m/>
    <m/>
    <m/>
    <m/>
    <m/>
    <n v="0"/>
    <n v="1"/>
    <m/>
    <m/>
    <m/>
    <m/>
    <m/>
    <m/>
    <m/>
    <n v="1"/>
    <n v="1"/>
    <n v="0"/>
    <n v="0"/>
    <n v="0"/>
    <n v="0"/>
    <n v="0"/>
    <n v="0"/>
    <n v="0"/>
    <n v="1"/>
    <m/>
    <n v="1"/>
    <m/>
    <m/>
    <m/>
    <m/>
    <m/>
    <m/>
    <m/>
    <m/>
    <m/>
    <m/>
    <m/>
    <m/>
    <m/>
    <m/>
    <m/>
    <m/>
    <n v="0"/>
    <n v="0"/>
    <n v="0"/>
    <m/>
    <m/>
    <n v="516812"/>
    <n v="170692"/>
    <s v="Teddington and the Hamptons"/>
    <s v="Hampton Wick &amp; South Teddington"/>
    <x v="1"/>
    <x v="0"/>
    <m/>
    <x v="0"/>
    <m/>
    <m/>
    <m/>
    <s v="Y"/>
    <x v="0"/>
  </r>
  <r>
    <s v="20/2505/FUL"/>
    <n v="23"/>
    <s v="NEW"/>
    <m/>
    <d v="2021-02-24T00:00:00"/>
    <d v="2024-02-24T00:00:00"/>
    <d v="2021-03-31T00:00:00"/>
    <d v="2022-04-19T00:00:00"/>
    <x v="0"/>
    <s v="Open Market"/>
    <m/>
    <s v="Demolition of an existing garage and creation of a new 4-bedroom house with associated parking, refuse, recycling, cycle storage, landscaping and amenity space."/>
    <s v="1 Derwent Road, Twickenham TW2 7HQ"/>
    <s v="TW2 7HQ"/>
    <m/>
    <m/>
    <m/>
    <m/>
    <m/>
    <m/>
    <m/>
    <m/>
    <n v="0"/>
    <m/>
    <m/>
    <m/>
    <n v="1"/>
    <m/>
    <m/>
    <m/>
    <m/>
    <n v="1"/>
    <n v="0"/>
    <n v="0"/>
    <n v="0"/>
    <n v="1"/>
    <n v="0"/>
    <n v="0"/>
    <n v="0"/>
    <n v="0"/>
    <n v="1"/>
    <m/>
    <n v="1"/>
    <m/>
    <m/>
    <m/>
    <m/>
    <m/>
    <m/>
    <m/>
    <m/>
    <m/>
    <m/>
    <m/>
    <m/>
    <m/>
    <m/>
    <m/>
    <m/>
    <n v="0"/>
    <n v="0"/>
    <n v="0"/>
    <m/>
    <m/>
    <n v="513900"/>
    <n v="174312"/>
    <s v="Whitton"/>
    <s v="Whitton"/>
    <x v="1"/>
    <x v="0"/>
    <m/>
    <x v="0"/>
    <m/>
    <m/>
    <m/>
    <s v="Y"/>
    <x v="0"/>
  </r>
  <r>
    <s v="20/0373/PS192"/>
    <n v="24"/>
    <s v="CHU"/>
    <m/>
    <d v="2020-02-18T00:00:00"/>
    <d v="2023-02-18T00:00:00"/>
    <d v="2021-05-01T00:00:00"/>
    <d v="2022-06-30T00:00:00"/>
    <x v="0"/>
    <s v="Open Market"/>
    <m/>
    <s v="Change of use of part ground and upper floors from A2 (Financial Services) use class into C3 (Residential)."/>
    <s v="347 Upper Richmond Road West, East Sheen, London SW14 8RH"/>
    <s v="SW14 8RH"/>
    <m/>
    <m/>
    <m/>
    <m/>
    <m/>
    <m/>
    <m/>
    <m/>
    <n v="0"/>
    <m/>
    <n v="2"/>
    <m/>
    <m/>
    <m/>
    <m/>
    <m/>
    <m/>
    <n v="2"/>
    <n v="0"/>
    <n v="2"/>
    <n v="0"/>
    <n v="0"/>
    <n v="0"/>
    <n v="0"/>
    <n v="0"/>
    <n v="0"/>
    <n v="2"/>
    <m/>
    <n v="2"/>
    <m/>
    <m/>
    <m/>
    <m/>
    <m/>
    <m/>
    <m/>
    <m/>
    <m/>
    <m/>
    <m/>
    <m/>
    <m/>
    <m/>
    <m/>
    <m/>
    <n v="0"/>
    <n v="0"/>
    <n v="0"/>
    <m/>
    <m/>
    <n v="520577"/>
    <n v="175397"/>
    <s v="Barnes and East Sheen"/>
    <s v="East Sheen"/>
    <x v="3"/>
    <x v="0"/>
    <m/>
    <x v="0"/>
    <m/>
    <m/>
    <m/>
    <s v="Y"/>
    <x v="0"/>
  </r>
  <r>
    <s v="20/2987/FUL"/>
    <n v="25"/>
    <s v="NEW"/>
    <m/>
    <d v="2021-05-17T00:00:00"/>
    <d v="2024-05-17T00:00:00"/>
    <d v="2021-06-01T00:00:00"/>
    <d v="2022-08-12T00:00:00"/>
    <x v="0"/>
    <s v="Open Market"/>
    <m/>
    <s v="Demolition of existing bungalow and erection of 3no. new residential units comprising 3 x 3 bedroom terraced houses, together with associated landscaping and parking."/>
    <s v="27 Blandford Road, Teddington TW11 0LF"/>
    <s v="TW11 0LF"/>
    <m/>
    <m/>
    <m/>
    <n v="1"/>
    <m/>
    <m/>
    <m/>
    <m/>
    <n v="1"/>
    <m/>
    <m/>
    <n v="3"/>
    <m/>
    <m/>
    <m/>
    <m/>
    <m/>
    <n v="3"/>
    <n v="0"/>
    <n v="0"/>
    <n v="2"/>
    <n v="0"/>
    <n v="0"/>
    <n v="0"/>
    <n v="0"/>
    <n v="0"/>
    <n v="2"/>
    <m/>
    <n v="2"/>
    <m/>
    <m/>
    <m/>
    <m/>
    <m/>
    <m/>
    <m/>
    <m/>
    <m/>
    <m/>
    <m/>
    <m/>
    <m/>
    <m/>
    <m/>
    <m/>
    <n v="0"/>
    <n v="0"/>
    <n v="0"/>
    <m/>
    <m/>
    <n v="515086"/>
    <n v="171011"/>
    <s v="Teddington and the Hamptons"/>
    <s v="Fulwell &amp; Hampton Hill"/>
    <x v="1"/>
    <x v="0"/>
    <m/>
    <x v="0"/>
    <m/>
    <m/>
    <m/>
    <s v="Y"/>
    <x v="0"/>
  </r>
  <r>
    <s v="15/3296/FUL"/>
    <n v="26"/>
    <s v="NEW"/>
    <m/>
    <d v="2019-08-13T00:00:00"/>
    <d v="2022-08-13T00:00:00"/>
    <d v="2021-06-08T00:00:00"/>
    <d v="2022-08-17T00:00:00"/>
    <x v="0"/>
    <s v="London Affordable Rent"/>
    <m/>
    <s v="SITE A:-Removal of 40 garages Create a short terrace of high quality two storey houses consisting of three x  three-bedroom houses and two x  four-bedroom houses. Provision of 16 parking spaces in a shared surface courtyard"/>
    <s v="Garages Site A, Bucklands Road, Teddington_x000a__x000a_"/>
    <s v="TW11"/>
    <m/>
    <m/>
    <m/>
    <m/>
    <m/>
    <m/>
    <m/>
    <m/>
    <n v="0"/>
    <m/>
    <m/>
    <n v="3"/>
    <n v="2"/>
    <m/>
    <m/>
    <m/>
    <m/>
    <n v="5"/>
    <n v="0"/>
    <n v="0"/>
    <n v="3"/>
    <n v="2"/>
    <n v="0"/>
    <n v="0"/>
    <n v="0"/>
    <n v="0"/>
    <n v="5"/>
    <m/>
    <n v="5"/>
    <m/>
    <m/>
    <m/>
    <m/>
    <m/>
    <m/>
    <m/>
    <m/>
    <m/>
    <m/>
    <m/>
    <m/>
    <m/>
    <m/>
    <m/>
    <m/>
    <n v="0"/>
    <n v="0"/>
    <n v="0"/>
    <m/>
    <m/>
    <n v="517328"/>
    <n v="170954"/>
    <s v="Teddington and the Hamptons"/>
    <s v="Hampton Wick &amp; South Teddington"/>
    <x v="1"/>
    <x v="0"/>
    <m/>
    <x v="0"/>
    <m/>
    <m/>
    <m/>
    <s v="Y"/>
    <x v="0"/>
  </r>
  <r>
    <s v="18/3952/FUL"/>
    <n v="27"/>
    <s v="NEW"/>
    <m/>
    <d v="2019-04-01T00:00:00"/>
    <d v="2022-04-01T00:00:00"/>
    <d v="2021-07-01T00:00:00"/>
    <d v="2023-03-31T00:00:00"/>
    <x v="0"/>
    <s v="Open Market"/>
    <m/>
    <s v="Replacement of existing dwelling with 1 no. 2 storey with accommodation in the roof (5B10P) dwellinghouse and new pedestrian gate."/>
    <s v="45 Ormond Crescent, Hampton, TW12 2TJ"/>
    <s v="TW12 2TJ"/>
    <m/>
    <m/>
    <m/>
    <m/>
    <m/>
    <n v="1"/>
    <m/>
    <m/>
    <n v="1"/>
    <m/>
    <m/>
    <m/>
    <m/>
    <n v="1"/>
    <m/>
    <m/>
    <m/>
    <n v="1"/>
    <n v="0"/>
    <n v="0"/>
    <n v="0"/>
    <n v="0"/>
    <n v="0"/>
    <n v="0"/>
    <n v="0"/>
    <n v="0"/>
    <n v="0"/>
    <m/>
    <n v="0"/>
    <m/>
    <m/>
    <m/>
    <m/>
    <m/>
    <m/>
    <m/>
    <m/>
    <m/>
    <m/>
    <m/>
    <m/>
    <m/>
    <m/>
    <m/>
    <m/>
    <n v="0"/>
    <n v="0"/>
    <n v="0"/>
    <m/>
    <m/>
    <n v="513943"/>
    <n v="170016"/>
    <s v="Teddington and the Hamptons"/>
    <s v="Hampton"/>
    <x v="1"/>
    <x v="0"/>
    <m/>
    <x v="0"/>
    <m/>
    <m/>
    <m/>
    <s v="Y"/>
    <x v="0"/>
  </r>
  <r>
    <s v="15/2204/FUL"/>
    <n v="28"/>
    <s v="NEW"/>
    <m/>
    <d v="2018-07-03T00:00:00"/>
    <d v="2021-07-03T00:00:00"/>
    <d v="2021-07-03T00:00:00"/>
    <d v="2023-02-01T00:00:00"/>
    <x v="0"/>
    <s v="Open Market"/>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n v="1"/>
    <m/>
    <m/>
    <m/>
    <m/>
    <m/>
    <m/>
    <n v="1"/>
    <n v="0"/>
    <n v="1"/>
    <n v="0"/>
    <n v="0"/>
    <n v="0"/>
    <n v="0"/>
    <n v="0"/>
    <n v="0"/>
    <n v="1"/>
    <m/>
    <n v="1"/>
    <m/>
    <m/>
    <m/>
    <m/>
    <m/>
    <m/>
    <m/>
    <m/>
    <m/>
    <m/>
    <m/>
    <m/>
    <m/>
    <m/>
    <m/>
    <m/>
    <n v="0"/>
    <n v="0"/>
    <n v="0"/>
    <m/>
    <m/>
    <n v="514174"/>
    <n v="174381"/>
    <s v="Whitton"/>
    <s v="Whitton"/>
    <x v="1"/>
    <x v="0"/>
    <m/>
    <x v="0"/>
    <m/>
    <m/>
    <m/>
    <s v="Y"/>
    <x v="0"/>
  </r>
  <r>
    <s v="20/1025/FUL"/>
    <n v="29"/>
    <s v="NEW"/>
    <m/>
    <d v="2021-01-13T00:00:00"/>
    <d v="2024-01-13T00:00:00"/>
    <d v="2021-08-01T00:00:00"/>
    <d v="2023-02-01T00:00:00"/>
    <x v="0"/>
    <s v="Open Market"/>
    <m/>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Rosehill, Hampton TW12 2AA"/>
    <s v="TW12 2AA"/>
    <m/>
    <m/>
    <m/>
    <m/>
    <m/>
    <m/>
    <m/>
    <m/>
    <n v="0"/>
    <m/>
    <m/>
    <m/>
    <n v="6"/>
    <m/>
    <m/>
    <m/>
    <m/>
    <n v="6"/>
    <n v="0"/>
    <n v="0"/>
    <n v="0"/>
    <n v="6"/>
    <n v="0"/>
    <n v="0"/>
    <n v="0"/>
    <n v="0"/>
    <n v="6"/>
    <m/>
    <n v="6"/>
    <m/>
    <m/>
    <m/>
    <m/>
    <m/>
    <m/>
    <m/>
    <m/>
    <m/>
    <m/>
    <m/>
    <m/>
    <m/>
    <m/>
    <m/>
    <m/>
    <n v="0"/>
    <n v="0"/>
    <n v="0"/>
    <m/>
    <m/>
    <n v="513446"/>
    <n v="169655"/>
    <s v="Teddington and the Hamptons"/>
    <s v="Hampton"/>
    <x v="1"/>
    <x v="0"/>
    <m/>
    <x v="0"/>
    <m/>
    <s v="CA12 Hampton Village"/>
    <s v="Y"/>
    <s v="Y"/>
    <x v="0"/>
  </r>
  <r>
    <s v="20/2238/FUL"/>
    <n v="30"/>
    <s v="NEW"/>
    <m/>
    <d v="2021-02-05T00:00:00"/>
    <d v="2024-02-05T00:00:00"/>
    <d v="2021-08-01T00:00:00"/>
    <d v="2023-02-22T00:00:00"/>
    <x v="0"/>
    <s v="Open Market"/>
    <m/>
    <s v="One new, single storey, 3 bedroom house (C3a) with associated parking off Southfield Gardens and amenity space."/>
    <s v="11 - 12 Cusack Close, Twickenham_x000a__x000a_"/>
    <s v="TW1"/>
    <m/>
    <m/>
    <m/>
    <m/>
    <m/>
    <m/>
    <m/>
    <m/>
    <n v="0"/>
    <m/>
    <m/>
    <n v="1"/>
    <m/>
    <m/>
    <m/>
    <m/>
    <m/>
    <n v="1"/>
    <n v="0"/>
    <n v="0"/>
    <n v="1"/>
    <n v="0"/>
    <n v="0"/>
    <n v="0"/>
    <n v="0"/>
    <n v="0"/>
    <n v="1"/>
    <m/>
    <n v="1"/>
    <m/>
    <m/>
    <m/>
    <m/>
    <m/>
    <m/>
    <m/>
    <m/>
    <m/>
    <m/>
    <m/>
    <m/>
    <m/>
    <m/>
    <m/>
    <m/>
    <n v="0"/>
    <n v="0"/>
    <n v="0"/>
    <m/>
    <m/>
    <n v="515563"/>
    <n v="171846"/>
    <s v="Twickenham"/>
    <s v="South Twickenham"/>
    <x v="1"/>
    <x v="0"/>
    <m/>
    <x v="0"/>
    <m/>
    <m/>
    <m/>
    <s v="Y"/>
    <x v="0"/>
  </r>
  <r>
    <s v="19/1663/FUL"/>
    <n v="31"/>
    <s v="CHU"/>
    <m/>
    <d v="2021-03-01T00:00:00"/>
    <d v="2024-03-01T00:00:00"/>
    <d v="2021-08-02T00:00:00"/>
    <d v="2022-07-05T00:00:00"/>
    <x v="0"/>
    <s v="Open Market"/>
    <m/>
    <s v="Conversion and extension of workshop building Use Class E(g) - light industrial (formerly B1c and B1a lightl) to form a one-storey, 3 bedroom dwelling with accomodation in the roof Use Class C3 residential."/>
    <s v="Workshop Rear Of 8 High Street, Hampton TW12 2SJ"/>
    <s v="TW12 2SJ"/>
    <m/>
    <m/>
    <m/>
    <m/>
    <m/>
    <m/>
    <m/>
    <m/>
    <n v="0"/>
    <m/>
    <m/>
    <n v="1"/>
    <m/>
    <m/>
    <m/>
    <m/>
    <m/>
    <n v="1"/>
    <n v="0"/>
    <n v="0"/>
    <n v="1"/>
    <n v="0"/>
    <n v="0"/>
    <n v="0"/>
    <n v="0"/>
    <n v="0"/>
    <n v="1"/>
    <m/>
    <n v="1"/>
    <m/>
    <m/>
    <m/>
    <m/>
    <m/>
    <m/>
    <m/>
    <m/>
    <m/>
    <m/>
    <m/>
    <m/>
    <m/>
    <m/>
    <m/>
    <m/>
    <n v="0"/>
    <n v="0"/>
    <n v="0"/>
    <m/>
    <m/>
    <n v="513992"/>
    <n v="169525"/>
    <s v="Teddington and the Hamptons"/>
    <s v="Hampton"/>
    <x v="1"/>
    <x v="0"/>
    <s v="Thames Street, Hampton"/>
    <x v="1"/>
    <m/>
    <s v="CA12 Hampton Village"/>
    <s v="Y"/>
    <s v="Y"/>
    <x v="0"/>
  </r>
  <r>
    <s v="19/3652/FUL"/>
    <n v="32"/>
    <s v="CON"/>
    <m/>
    <d v="2021-02-26T00:00:00"/>
    <d v="2024-02-26T00:00:00"/>
    <d v="2021-08-02T00:00:00"/>
    <d v="2022-06-01T00:00:00"/>
    <x v="0"/>
    <s v="Open Market"/>
    <m/>
    <s v="Single-storey rear extension and replacement window arrangement in side dormer and conversion of a dwelling house into two flats."/>
    <s v="600 Hanworth Road, Whitton, Hounslow TW4 5LJ_x000a_"/>
    <s v="TW4 5LJ"/>
    <m/>
    <m/>
    <m/>
    <n v="1"/>
    <m/>
    <m/>
    <m/>
    <m/>
    <n v="1"/>
    <m/>
    <n v="1"/>
    <n v="1"/>
    <m/>
    <m/>
    <m/>
    <m/>
    <m/>
    <n v="2"/>
    <n v="0"/>
    <n v="1"/>
    <n v="0"/>
    <n v="0"/>
    <n v="0"/>
    <n v="0"/>
    <n v="0"/>
    <n v="0"/>
    <n v="1"/>
    <m/>
    <n v="1"/>
    <m/>
    <m/>
    <m/>
    <m/>
    <m/>
    <m/>
    <m/>
    <m/>
    <m/>
    <m/>
    <m/>
    <m/>
    <m/>
    <m/>
    <m/>
    <m/>
    <n v="0"/>
    <n v="0"/>
    <n v="0"/>
    <m/>
    <m/>
    <n v="512962"/>
    <n v="173989"/>
    <s v="Whitton"/>
    <s v="Heathfield"/>
    <x v="1"/>
    <x v="0"/>
    <m/>
    <x v="0"/>
    <m/>
    <m/>
    <m/>
    <m/>
    <x v="0"/>
  </r>
  <r>
    <s v="20/0899/GPD15"/>
    <n v="33"/>
    <s v="CHU"/>
    <s v="PA"/>
    <d v="2020-05-20T00:00:00"/>
    <d v="2023-05-20T00:00:00"/>
    <d v="2021-08-02T00:00:00"/>
    <d v="2023-03-31T00:00:00"/>
    <x v="0"/>
    <s v="Open Market"/>
    <m/>
    <s v="Change of use from office B1 (a) to residential (C3) in the form of 5 no. units"/>
    <s v="The Coach House, 273A Sandycombe Road, Richmond TW9 3LU_x000a_"/>
    <s v="TW9 3LU"/>
    <m/>
    <m/>
    <m/>
    <m/>
    <m/>
    <m/>
    <m/>
    <m/>
    <n v="0"/>
    <n v="5"/>
    <m/>
    <m/>
    <m/>
    <m/>
    <m/>
    <m/>
    <m/>
    <n v="5"/>
    <n v="5"/>
    <n v="0"/>
    <n v="0"/>
    <n v="0"/>
    <n v="0"/>
    <n v="0"/>
    <n v="0"/>
    <n v="0"/>
    <n v="5"/>
    <m/>
    <n v="5"/>
    <m/>
    <m/>
    <m/>
    <m/>
    <m/>
    <m/>
    <m/>
    <m/>
    <m/>
    <m/>
    <m/>
    <m/>
    <m/>
    <m/>
    <m/>
    <m/>
    <n v="0"/>
    <n v="0"/>
    <n v="0"/>
    <m/>
    <m/>
    <n v="519113"/>
    <n v="176411"/>
    <s v="Richmond"/>
    <s v="Kew"/>
    <x v="1"/>
    <x v="0"/>
    <m/>
    <x v="0"/>
    <m/>
    <s v="CA15 Kew Gardens Kew"/>
    <s v="Y"/>
    <s v="Y"/>
    <x v="0"/>
  </r>
  <r>
    <s v="19/1098/FUL"/>
    <n v="34"/>
    <s v="NEW"/>
    <m/>
    <d v="2019-08-27T00:00:00"/>
    <d v="2022-08-27T00:00:00"/>
    <d v="2021-08-16T00:00:00"/>
    <d v="2022-11-01T00:00:00"/>
    <x v="0"/>
    <s v="Open Market"/>
    <m/>
    <s v="Demolition of detached house, construction of four classrooms and a multi use hall complete with change of use from residential to education."/>
    <s v="190 Sheen Lane, East Sheen, London SW14 8LF_x000a_"/>
    <s v="SW14 8LF"/>
    <m/>
    <m/>
    <m/>
    <n v="1"/>
    <m/>
    <m/>
    <m/>
    <m/>
    <n v="1"/>
    <m/>
    <m/>
    <m/>
    <m/>
    <m/>
    <m/>
    <m/>
    <m/>
    <n v="0"/>
    <n v="0"/>
    <n v="0"/>
    <n v="-1"/>
    <n v="0"/>
    <n v="0"/>
    <n v="0"/>
    <n v="0"/>
    <n v="0"/>
    <n v="-1"/>
    <m/>
    <n v="-1"/>
    <m/>
    <m/>
    <m/>
    <m/>
    <m/>
    <m/>
    <m/>
    <m/>
    <m/>
    <m/>
    <m/>
    <m/>
    <m/>
    <m/>
    <m/>
    <m/>
    <n v="0"/>
    <n v="0"/>
    <n v="0"/>
    <m/>
    <m/>
    <n v="520394"/>
    <n v="175127"/>
    <s v="Barnes and East Sheen"/>
    <s v="East Sheen"/>
    <x v="1"/>
    <x v="0"/>
    <m/>
    <x v="0"/>
    <m/>
    <s v="CA64 Sheen Lane East Sheen"/>
    <s v="Y"/>
    <s v="Y"/>
    <x v="0"/>
  </r>
  <r>
    <s v="18/3285/FUL"/>
    <n v="35"/>
    <s v="NEW"/>
    <m/>
    <d v="2019-03-18T00:00:00"/>
    <d v="2022-03-18T00:00:00"/>
    <d v="2021-09-01T00:00:00"/>
    <d v="2023-03-31T00:00:00"/>
    <x v="0"/>
    <s v="Open Market"/>
    <m/>
    <s v="Demolition of existing house and construction of a new 5 bed house with basement"/>
    <s v="74 Lowther Road, Barnes, London SW13 9NU"/>
    <s v="SW13 9NU"/>
    <m/>
    <m/>
    <m/>
    <m/>
    <n v="1"/>
    <m/>
    <m/>
    <m/>
    <n v="1"/>
    <m/>
    <m/>
    <m/>
    <m/>
    <n v="1"/>
    <m/>
    <m/>
    <m/>
    <n v="1"/>
    <n v="0"/>
    <n v="0"/>
    <n v="0"/>
    <n v="-1"/>
    <n v="1"/>
    <n v="0"/>
    <n v="0"/>
    <n v="0"/>
    <n v="0"/>
    <m/>
    <n v="0"/>
    <m/>
    <m/>
    <m/>
    <m/>
    <m/>
    <m/>
    <m/>
    <m/>
    <m/>
    <m/>
    <m/>
    <m/>
    <m/>
    <m/>
    <m/>
    <m/>
    <n v="0"/>
    <n v="0"/>
    <n v="0"/>
    <m/>
    <m/>
    <n v="521978"/>
    <n v="177062"/>
    <s v="Barnes and East Sheen"/>
    <s v="Barnes"/>
    <x v="1"/>
    <x v="0"/>
    <m/>
    <x v="0"/>
    <m/>
    <m/>
    <m/>
    <m/>
    <x v="0"/>
  </r>
  <r>
    <s v="20/0256/FUL"/>
    <n v="36"/>
    <s v="MIX"/>
    <m/>
    <d v="2020-11-09T00:00:00"/>
    <d v="2023-11-09T00:00:00"/>
    <d v="2021-09-01T00:00:00"/>
    <d v="2022-06-30T00:00:00"/>
    <x v="0"/>
    <s v="Open Market"/>
    <m/>
    <s v="Alterations to existing shopfront to create new entrance door, part change of use of ground floor, 2 rooflights on front roof slope, rear dormer roof extension to rear roof slope and roof to outrigger to facilitate the conversion of upper floors into C3 ("/>
    <s v="195 Upper Richmond Road West, East Sheen, London SW14 8QT_x000a_"/>
    <s v="SW14 8QT"/>
    <m/>
    <m/>
    <n v="1"/>
    <m/>
    <m/>
    <m/>
    <m/>
    <m/>
    <n v="1"/>
    <n v="1"/>
    <n v="1"/>
    <m/>
    <m/>
    <m/>
    <m/>
    <m/>
    <m/>
    <n v="2"/>
    <n v="1"/>
    <n v="0"/>
    <n v="0"/>
    <n v="0"/>
    <n v="0"/>
    <n v="0"/>
    <n v="0"/>
    <n v="0"/>
    <n v="1"/>
    <m/>
    <n v="1"/>
    <m/>
    <m/>
    <m/>
    <m/>
    <m/>
    <m/>
    <m/>
    <m/>
    <m/>
    <m/>
    <m/>
    <m/>
    <m/>
    <m/>
    <m/>
    <m/>
    <n v="0"/>
    <n v="0"/>
    <n v="0"/>
    <m/>
    <m/>
    <n v="520903"/>
    <n v="175430"/>
    <s v="Barnes and East Sheen"/>
    <s v="East Sheen"/>
    <x v="3"/>
    <x v="0"/>
    <m/>
    <x v="0"/>
    <m/>
    <m/>
    <m/>
    <s v="Y"/>
    <x v="0"/>
  </r>
  <r>
    <s v="20/0857/GPD15"/>
    <n v="37"/>
    <s v="CHU"/>
    <s v="PA"/>
    <d v="2021-01-27T00:00:00"/>
    <d v="2024-01-27T00:00:00"/>
    <d v="2021-09-01T00:00:00"/>
    <d v="2022-09-28T00:00:00"/>
    <x v="0"/>
    <s v="Open Market"/>
    <m/>
    <s v="Change of Use of B1(a) (Office) accommodation to provide 3 no. self-contained flats (C3 Residential) and associated refuse, recycling and cycle parking."/>
    <s v="2B Claremont Road, Teddington TW11 8DG_x000a_"/>
    <s v="TW11 8DG"/>
    <m/>
    <m/>
    <m/>
    <m/>
    <m/>
    <m/>
    <m/>
    <m/>
    <n v="0"/>
    <n v="1"/>
    <n v="2"/>
    <m/>
    <m/>
    <m/>
    <m/>
    <m/>
    <m/>
    <n v="3"/>
    <n v="1"/>
    <n v="2"/>
    <n v="0"/>
    <n v="0"/>
    <n v="0"/>
    <n v="0"/>
    <n v="0"/>
    <n v="0"/>
    <n v="3"/>
    <m/>
    <n v="3"/>
    <m/>
    <m/>
    <m/>
    <m/>
    <m/>
    <m/>
    <m/>
    <m/>
    <m/>
    <m/>
    <m/>
    <m/>
    <m/>
    <m/>
    <m/>
    <m/>
    <n v="0"/>
    <n v="0"/>
    <n v="0"/>
    <m/>
    <m/>
    <n v="515781"/>
    <n v="171435"/>
    <s v="Teddington and the Hamptons"/>
    <s v="Teddington"/>
    <x v="1"/>
    <x v="0"/>
    <m/>
    <x v="0"/>
    <m/>
    <m/>
    <m/>
    <s v="Y"/>
    <x v="0"/>
  </r>
  <r>
    <s v="20/3144/FUL"/>
    <n v="38"/>
    <s v="NEW"/>
    <m/>
    <d v="2021-03-02T00:00:00"/>
    <d v="2024-03-02T00:00:00"/>
    <d v="2021-09-01T00:00:00"/>
    <d v="2022-10-07T00:00:00"/>
    <x v="0"/>
    <s v="Open Market"/>
    <m/>
    <s v="Demolition of existing dwelling and garage and erection of new detached dwelling and outbuilding following previous approval."/>
    <s v="8 St Albans Gardens, Teddington TW11 8AE"/>
    <s v="TW11 8AE"/>
    <m/>
    <m/>
    <n v="1"/>
    <m/>
    <m/>
    <m/>
    <m/>
    <m/>
    <n v="1"/>
    <m/>
    <m/>
    <m/>
    <n v="1"/>
    <m/>
    <m/>
    <m/>
    <m/>
    <n v="1"/>
    <n v="0"/>
    <n v="-1"/>
    <n v="0"/>
    <n v="1"/>
    <n v="0"/>
    <n v="0"/>
    <n v="0"/>
    <n v="0"/>
    <n v="0"/>
    <m/>
    <n v="0"/>
    <m/>
    <m/>
    <m/>
    <m/>
    <m/>
    <m/>
    <m/>
    <m/>
    <m/>
    <m/>
    <m/>
    <m/>
    <m/>
    <m/>
    <m/>
    <m/>
    <n v="0"/>
    <n v="0"/>
    <n v="0"/>
    <m/>
    <m/>
    <n v="516412"/>
    <n v="171302"/>
    <s v="Teddington and the Hamptons"/>
    <s v="Teddington"/>
    <x v="1"/>
    <x v="0"/>
    <m/>
    <x v="0"/>
    <m/>
    <m/>
    <m/>
    <s v="Y"/>
    <x v="0"/>
  </r>
  <r>
    <s v="20/2691/FUL"/>
    <n v="39"/>
    <s v="NEW"/>
    <m/>
    <d v="2020-12-21T00:00:00"/>
    <d v="2023-12-21T00:00:00"/>
    <d v="2021-10-01T00:00:00"/>
    <d v="2022-07-20T00:00:00"/>
    <x v="0"/>
    <s v="Open Market"/>
    <m/>
    <s v="Replacement two storey dwellinghouse with accommodation in the roof and associated cycle and refuse stores"/>
    <s v="51 Howsman Road, Barnes, London SW13 9AW"/>
    <s v="SW13 9AW"/>
    <m/>
    <m/>
    <m/>
    <n v="1"/>
    <m/>
    <m/>
    <m/>
    <m/>
    <n v="1"/>
    <m/>
    <m/>
    <m/>
    <n v="1"/>
    <m/>
    <m/>
    <m/>
    <m/>
    <n v="1"/>
    <n v="0"/>
    <n v="0"/>
    <n v="-1"/>
    <n v="1"/>
    <n v="0"/>
    <n v="0"/>
    <n v="0"/>
    <n v="0"/>
    <n v="0"/>
    <m/>
    <n v="0"/>
    <m/>
    <m/>
    <m/>
    <m/>
    <m/>
    <m/>
    <m/>
    <m/>
    <m/>
    <m/>
    <m/>
    <m/>
    <m/>
    <m/>
    <m/>
    <m/>
    <n v="0"/>
    <n v="0"/>
    <n v="0"/>
    <m/>
    <m/>
    <n v="522113"/>
    <n v="177588"/>
    <s v="Barnes and East Sheen"/>
    <s v="Barnes"/>
    <x v="1"/>
    <x v="0"/>
    <m/>
    <x v="0"/>
    <m/>
    <m/>
    <m/>
    <m/>
    <x v="0"/>
  </r>
  <r>
    <s v="20/3688/FUL"/>
    <n v="40"/>
    <s v="CHU"/>
    <m/>
    <d v="2021-08-02T00:00:00"/>
    <d v="2024-08-02T00:00:00"/>
    <d v="2021-10-01T00:00:00"/>
    <d v="2022-04-01T00:00:00"/>
    <x v="0"/>
    <s v="Open Market"/>
    <m/>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_x000a_"/>
    <s v="TW2 6EF"/>
    <m/>
    <m/>
    <m/>
    <m/>
    <n v="1"/>
    <m/>
    <m/>
    <m/>
    <n v="1"/>
    <m/>
    <m/>
    <m/>
    <m/>
    <m/>
    <m/>
    <m/>
    <m/>
    <n v="0"/>
    <n v="0"/>
    <n v="0"/>
    <n v="0"/>
    <n v="-1"/>
    <n v="0"/>
    <n v="0"/>
    <n v="0"/>
    <n v="0"/>
    <n v="-1"/>
    <m/>
    <n v="-1"/>
    <m/>
    <m/>
    <m/>
    <m/>
    <m/>
    <m/>
    <m/>
    <m/>
    <m/>
    <m/>
    <m/>
    <m/>
    <m/>
    <m/>
    <m/>
    <m/>
    <n v="0"/>
    <n v="0"/>
    <n v="0"/>
    <m/>
    <m/>
    <n v="513502"/>
    <n v="173048"/>
    <s v="Whitton"/>
    <s v="Heathfield"/>
    <x v="1"/>
    <x v="0"/>
    <m/>
    <x v="0"/>
    <m/>
    <m/>
    <m/>
    <m/>
    <x v="0"/>
  </r>
  <r>
    <s v="20/3754/FUL"/>
    <n v="41"/>
    <s v="EXT"/>
    <m/>
    <d v="2021-03-29T00:00:00"/>
    <d v="2024-03-29T00:00:00"/>
    <d v="2021-10-01T00:00:00"/>
    <d v="2022-07-29T00:00:00"/>
    <x v="0"/>
    <s v="Open Market"/>
    <m/>
    <s v="Roof extension to provide a self contained studio flat and replacement shopfront"/>
    <s v="241 Sandycombe Road, Richmond TW9 2EW"/>
    <s v="TW9 2EW"/>
    <m/>
    <m/>
    <m/>
    <m/>
    <m/>
    <m/>
    <m/>
    <m/>
    <n v="0"/>
    <n v="1"/>
    <m/>
    <m/>
    <m/>
    <m/>
    <m/>
    <m/>
    <m/>
    <n v="1"/>
    <n v="1"/>
    <n v="0"/>
    <n v="0"/>
    <n v="0"/>
    <n v="0"/>
    <n v="0"/>
    <n v="0"/>
    <n v="0"/>
    <n v="1"/>
    <m/>
    <n v="1"/>
    <m/>
    <m/>
    <m/>
    <m/>
    <m/>
    <m/>
    <m/>
    <m/>
    <m/>
    <m/>
    <m/>
    <m/>
    <m/>
    <m/>
    <m/>
    <m/>
    <n v="0"/>
    <n v="0"/>
    <n v="0"/>
    <m/>
    <m/>
    <n v="519103"/>
    <n v="176286"/>
    <s v="Richmond"/>
    <s v="Kew"/>
    <x v="1"/>
    <x v="0"/>
    <s v="Sandycombe Road South"/>
    <x v="1"/>
    <m/>
    <m/>
    <m/>
    <s v="Y"/>
    <x v="0"/>
  </r>
  <r>
    <s v="20/1080/FUL"/>
    <n v="42"/>
    <s v="NEW"/>
    <m/>
    <d v="2020-11-02T00:00:00"/>
    <d v="2023-11-02T00:00:00"/>
    <d v="2021-10-04T00:00:00"/>
    <d v="2022-09-13T00:00:00"/>
    <x v="0"/>
    <s v="Open Market"/>
    <m/>
    <s v="Subdivision of existing plot and erection of a 2 bedroom detached dwelling with associated landscaping and shared front parking"/>
    <s v="1 Butts Crescent, Hanworth, Feltham TW13 6HU_x000a_"/>
    <s v="TW13 6HU"/>
    <m/>
    <m/>
    <m/>
    <m/>
    <m/>
    <m/>
    <m/>
    <m/>
    <n v="0"/>
    <m/>
    <n v="1"/>
    <m/>
    <m/>
    <m/>
    <m/>
    <m/>
    <m/>
    <n v="1"/>
    <n v="0"/>
    <n v="1"/>
    <n v="0"/>
    <n v="0"/>
    <n v="0"/>
    <n v="0"/>
    <n v="0"/>
    <n v="0"/>
    <n v="1"/>
    <m/>
    <n v="1"/>
    <m/>
    <m/>
    <m/>
    <m/>
    <m/>
    <m/>
    <m/>
    <m/>
    <m/>
    <m/>
    <m/>
    <m/>
    <m/>
    <m/>
    <m/>
    <m/>
    <n v="0"/>
    <n v="0"/>
    <n v="0"/>
    <m/>
    <m/>
    <n v="513119"/>
    <n v="172196"/>
    <s v="Twickenham"/>
    <s v="West Twickenham"/>
    <x v="1"/>
    <x v="0"/>
    <m/>
    <x v="0"/>
    <m/>
    <m/>
    <m/>
    <m/>
    <x v="1"/>
  </r>
  <r>
    <s v="19/2729/FUL"/>
    <n v="43"/>
    <s v="MIX"/>
    <m/>
    <d v="2020-07-24T00:00:00"/>
    <d v="2023-07-24T00:00:00"/>
    <d v="2021-11-01T00:00:00"/>
    <d v="2023-03-31T00:00:00"/>
    <x v="0"/>
    <s v="Open Market"/>
    <m/>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n v="0"/>
    <m/>
    <n v="1"/>
    <m/>
    <m/>
    <m/>
    <m/>
    <m/>
    <m/>
    <n v="1"/>
    <n v="0"/>
    <n v="1"/>
    <n v="0"/>
    <n v="0"/>
    <n v="0"/>
    <n v="0"/>
    <n v="0"/>
    <n v="0"/>
    <n v="1"/>
    <m/>
    <n v="1"/>
    <m/>
    <m/>
    <m/>
    <m/>
    <m/>
    <m/>
    <m/>
    <m/>
    <m/>
    <m/>
    <m/>
    <m/>
    <m/>
    <m/>
    <m/>
    <m/>
    <n v="0"/>
    <n v="0"/>
    <n v="0"/>
    <m/>
    <m/>
    <n v="521330"/>
    <n v="175807"/>
    <s v="Barnes and East Sheen"/>
    <s v="Mortlake &amp; Barnes Common"/>
    <x v="1"/>
    <x v="0"/>
    <s v="White Hart lane, Barnes"/>
    <x v="1"/>
    <m/>
    <s v="CA33 Mortlake"/>
    <s v="Y"/>
    <s v="Y"/>
    <x v="0"/>
  </r>
  <r>
    <s v="20/1417/GPD15"/>
    <n v="44"/>
    <s v="CHU"/>
    <s v="PA"/>
    <d v="2020-08-19T00:00:00"/>
    <d v="2023-08-19T00:00:00"/>
    <d v="2021-11-01T00:00:00"/>
    <d v="2022-11-08T00:00:00"/>
    <x v="0"/>
    <s v="Open Market"/>
    <m/>
    <s v="Change of use of office (B1a) to dwelling (C3)"/>
    <s v="112 Shacklegate Lane, Teddington TW11 8SH_x000a_"/>
    <s v="TW11 8SH"/>
    <m/>
    <m/>
    <m/>
    <m/>
    <m/>
    <m/>
    <m/>
    <m/>
    <n v="0"/>
    <n v="1"/>
    <m/>
    <m/>
    <m/>
    <m/>
    <m/>
    <m/>
    <m/>
    <n v="1"/>
    <n v="1"/>
    <n v="0"/>
    <n v="0"/>
    <n v="0"/>
    <n v="0"/>
    <n v="0"/>
    <n v="0"/>
    <n v="0"/>
    <n v="1"/>
    <m/>
    <n v="1"/>
    <m/>
    <m/>
    <m/>
    <m/>
    <m/>
    <m/>
    <m/>
    <m/>
    <m/>
    <m/>
    <m/>
    <m/>
    <m/>
    <m/>
    <m/>
    <m/>
    <n v="0"/>
    <n v="0"/>
    <n v="0"/>
    <m/>
    <m/>
    <n v="515402"/>
    <n v="171660"/>
    <s v="Teddington and the Hamptons"/>
    <s v="Fulwell &amp; Hampton Hill"/>
    <x v="1"/>
    <x v="0"/>
    <m/>
    <x v="0"/>
    <m/>
    <m/>
    <m/>
    <s v="Y"/>
    <x v="0"/>
  </r>
  <r>
    <s v="19/2765/FUL"/>
    <n v="45"/>
    <s v="NEW"/>
    <m/>
    <d v="2020-08-20T00:00:00"/>
    <d v="2023-08-20T00:00:00"/>
    <d v="2021-12-07T00:00:00"/>
    <d v="2023-01-12T00:00:00"/>
    <x v="0"/>
    <s v="London Affordable Rent"/>
    <m/>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_x000a__x000a_"/>
    <s v="TW4 5QE"/>
    <m/>
    <m/>
    <m/>
    <m/>
    <m/>
    <m/>
    <m/>
    <m/>
    <n v="0"/>
    <m/>
    <n v="5"/>
    <n v="4"/>
    <m/>
    <m/>
    <m/>
    <m/>
    <m/>
    <n v="9"/>
    <n v="0"/>
    <n v="5"/>
    <n v="4"/>
    <n v="0"/>
    <n v="0"/>
    <n v="0"/>
    <n v="0"/>
    <n v="0"/>
    <n v="9"/>
    <m/>
    <n v="9"/>
    <m/>
    <m/>
    <m/>
    <m/>
    <m/>
    <m/>
    <m/>
    <m/>
    <m/>
    <m/>
    <m/>
    <m/>
    <m/>
    <m/>
    <m/>
    <m/>
    <n v="0"/>
    <n v="0"/>
    <n v="0"/>
    <m/>
    <m/>
    <n v="512878"/>
    <n v="174040"/>
    <s v="Whitton"/>
    <s v="Heathfield"/>
    <x v="1"/>
    <x v="0"/>
    <m/>
    <x v="0"/>
    <m/>
    <m/>
    <m/>
    <m/>
    <x v="0"/>
  </r>
  <r>
    <s v="20/3483/FUL"/>
    <n v="46"/>
    <s v="CHU"/>
    <m/>
    <d v="2021-07-14T00:00:00"/>
    <d v="2024-07-14T00:00:00"/>
    <d v="2021-12-13T00:00:00"/>
    <d v="2023-03-31T00:00:00"/>
    <x v="0"/>
    <s v="Open Market"/>
    <m/>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
    <s v="9-10 George Street, Richmond, TW9 1JY"/>
    <s v="TW9 1JY"/>
    <m/>
    <m/>
    <m/>
    <m/>
    <m/>
    <m/>
    <m/>
    <m/>
    <n v="0"/>
    <n v="5"/>
    <n v="1"/>
    <m/>
    <m/>
    <m/>
    <m/>
    <m/>
    <m/>
    <n v="6"/>
    <n v="5"/>
    <n v="1"/>
    <n v="0"/>
    <n v="0"/>
    <n v="0"/>
    <n v="0"/>
    <n v="0"/>
    <n v="0"/>
    <n v="6"/>
    <m/>
    <n v="6"/>
    <m/>
    <m/>
    <m/>
    <m/>
    <m/>
    <m/>
    <m/>
    <m/>
    <m/>
    <m/>
    <m/>
    <m/>
    <m/>
    <m/>
    <m/>
    <m/>
    <n v="0"/>
    <n v="0"/>
    <n v="0"/>
    <m/>
    <m/>
    <n v="517806"/>
    <n v="174802"/>
    <s v="Richmond"/>
    <s v="South Richmond"/>
    <x v="4"/>
    <x v="0"/>
    <m/>
    <x v="0"/>
    <m/>
    <s v="CA17 Central Richmond"/>
    <s v="Y"/>
    <s v="Y"/>
    <x v="0"/>
  </r>
  <r>
    <s v="20/2352/FUL"/>
    <n v="47"/>
    <s v="NEW"/>
    <m/>
    <d v="2021-06-01T00:00:00"/>
    <d v="2024-06-01T00:00:00"/>
    <d v="2022-01-24T00:00:00"/>
    <d v="2023-03-01T00:00:00"/>
    <x v="0"/>
    <s v="Open Market"/>
    <m/>
    <s v="New detached 2 storey house at northern end of property plot, new single storey detached garage, new driveway off Cardinal's Walk. Existing house retained to Manor Gardens, sub division of plot."/>
    <s v="2 Manor Gardens, Hampton, TW12 2TU"/>
    <s v="TW12 2TU"/>
    <m/>
    <m/>
    <m/>
    <m/>
    <m/>
    <m/>
    <m/>
    <m/>
    <n v="0"/>
    <m/>
    <m/>
    <n v="1"/>
    <m/>
    <m/>
    <m/>
    <m/>
    <m/>
    <n v="1"/>
    <n v="0"/>
    <n v="0"/>
    <n v="1"/>
    <n v="0"/>
    <n v="0"/>
    <n v="0"/>
    <n v="0"/>
    <n v="0"/>
    <n v="1"/>
    <m/>
    <n v="1"/>
    <m/>
    <m/>
    <m/>
    <m/>
    <m/>
    <m/>
    <m/>
    <m/>
    <m/>
    <m/>
    <m/>
    <m/>
    <m/>
    <m/>
    <m/>
    <m/>
    <n v="0"/>
    <n v="0"/>
    <n v="0"/>
    <m/>
    <m/>
    <n v="514133"/>
    <n v="170165"/>
    <s v="Teddington and the Hamptons"/>
    <s v="Hampton"/>
    <x v="1"/>
    <x v="0"/>
    <m/>
    <x v="0"/>
    <m/>
    <m/>
    <m/>
    <m/>
    <x v="0"/>
  </r>
  <r>
    <s v="21/2217/GPD15"/>
    <n v="48"/>
    <s v="CHU"/>
    <s v="PA"/>
    <d v="2021-08-12T00:00:00"/>
    <d v="2024-08-12T00:00:00"/>
    <d v="2022-02-01T00:00:00"/>
    <d v="2022-06-23T00:00:00"/>
    <x v="0"/>
    <s v="Open Market"/>
    <m/>
    <s v="Conversion of the first floor offices accommodation to a two bedroom flat"/>
    <s v="2 Tudor Road, Hampton TW12 2NQ_x000a_"/>
    <s v="TW12 2NQ"/>
    <m/>
    <m/>
    <m/>
    <m/>
    <m/>
    <m/>
    <m/>
    <m/>
    <n v="0"/>
    <m/>
    <n v="1"/>
    <m/>
    <m/>
    <m/>
    <m/>
    <m/>
    <m/>
    <n v="1"/>
    <n v="0"/>
    <n v="1"/>
    <n v="0"/>
    <n v="0"/>
    <n v="0"/>
    <n v="0"/>
    <n v="0"/>
    <n v="0"/>
    <n v="1"/>
    <m/>
    <n v="1"/>
    <m/>
    <m/>
    <m/>
    <m/>
    <m/>
    <m/>
    <m/>
    <m/>
    <m/>
    <m/>
    <m/>
    <m/>
    <m/>
    <m/>
    <m/>
    <m/>
    <n v="0"/>
    <n v="0"/>
    <n v="0"/>
    <m/>
    <m/>
    <n v="513441"/>
    <n v="169949"/>
    <s v="Teddington and the Hamptons"/>
    <s v="Hampton"/>
    <x v="1"/>
    <x v="0"/>
    <s v="Wensleydale Road, Hampton"/>
    <x v="1"/>
    <m/>
    <m/>
    <m/>
    <s v="Y"/>
    <x v="0"/>
  </r>
  <r>
    <s v="21/2400/GPD15"/>
    <n v="49"/>
    <s v="CHU"/>
    <s v="PA"/>
    <d v="2021-08-25T00:00:00"/>
    <d v="2024-08-25T00:00:00"/>
    <d v="2022-02-01T00:00:00"/>
    <d v="2022-08-01T00:00:00"/>
    <x v="0"/>
    <s v="Open Market"/>
    <m/>
    <s v="Change of use of first floor from B1(a)(Offices) to C3 (residential) use to provide 2 x 1 bed flats_x000d_"/>
    <s v="95 South Worple Way, East Sheen, London"/>
    <s v="SW14 8ND"/>
    <m/>
    <m/>
    <m/>
    <m/>
    <m/>
    <m/>
    <m/>
    <m/>
    <n v="0"/>
    <n v="2"/>
    <m/>
    <m/>
    <m/>
    <m/>
    <m/>
    <m/>
    <m/>
    <n v="2"/>
    <n v="2"/>
    <n v="0"/>
    <n v="0"/>
    <n v="0"/>
    <n v="0"/>
    <n v="0"/>
    <n v="0"/>
    <n v="0"/>
    <n v="2"/>
    <m/>
    <n v="2"/>
    <m/>
    <m/>
    <m/>
    <m/>
    <m/>
    <m/>
    <m/>
    <m/>
    <m/>
    <m/>
    <m/>
    <m/>
    <m/>
    <m/>
    <m/>
    <m/>
    <n v="0"/>
    <n v="0"/>
    <n v="0"/>
    <m/>
    <m/>
    <n v="520540"/>
    <n v="175748"/>
    <s v="Barnes and East Sheen"/>
    <s v="East Sheen"/>
    <x v="3"/>
    <x v="0"/>
    <m/>
    <x v="0"/>
    <m/>
    <m/>
    <m/>
    <s v="Y"/>
    <x v="0"/>
  </r>
  <r>
    <s v="21/1438/GPD15"/>
    <n v="50"/>
    <s v="CHU"/>
    <s v="PA"/>
    <d v="2021-05-26T00:00:00"/>
    <d v="2024-05-26T00:00:00"/>
    <d v="2022-03-01T00:00:00"/>
    <d v="2022-04-05T00:00:00"/>
    <x v="0"/>
    <s v="Open Market"/>
    <m/>
    <s v="Prior approval for the change of use from B1(a) (Office) to C3 (Residential) to provide a self contained flat."/>
    <s v="375 Upper Richmond Road West, East Sheen, London SW14 7NX_x000a_"/>
    <s v="SW14 7NX"/>
    <m/>
    <m/>
    <m/>
    <m/>
    <m/>
    <m/>
    <m/>
    <m/>
    <n v="0"/>
    <m/>
    <n v="1"/>
    <m/>
    <m/>
    <m/>
    <m/>
    <m/>
    <m/>
    <n v="1"/>
    <n v="0"/>
    <n v="1"/>
    <n v="0"/>
    <n v="0"/>
    <n v="0"/>
    <n v="0"/>
    <n v="0"/>
    <n v="0"/>
    <n v="1"/>
    <m/>
    <n v="1"/>
    <m/>
    <m/>
    <m/>
    <m/>
    <m/>
    <m/>
    <m/>
    <m/>
    <m/>
    <m/>
    <m/>
    <m/>
    <m/>
    <m/>
    <m/>
    <m/>
    <n v="0"/>
    <n v="0"/>
    <n v="0"/>
    <m/>
    <m/>
    <n v="520455"/>
    <n v="175362"/>
    <s v="Barnes and East Sheen"/>
    <s v="East Sheen"/>
    <x v="3"/>
    <x v="0"/>
    <m/>
    <x v="0"/>
    <m/>
    <m/>
    <m/>
    <s v="Y"/>
    <x v="0"/>
  </r>
  <r>
    <s v="21/1521/FUL"/>
    <n v="51"/>
    <s v="CHU"/>
    <m/>
    <d v="2021-11-09T00:00:00"/>
    <d v="2024-11-09T00:00:00"/>
    <d v="2022-03-01T00:00:00"/>
    <d v="2022-12-22T00:00:00"/>
    <x v="0"/>
    <s v="Open Market"/>
    <m/>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n v="0"/>
    <n v="7"/>
    <n v="1"/>
    <m/>
    <m/>
    <m/>
    <m/>
    <m/>
    <m/>
    <n v="8"/>
    <n v="7"/>
    <n v="1"/>
    <n v="0"/>
    <n v="0"/>
    <n v="0"/>
    <n v="0"/>
    <n v="0"/>
    <n v="0"/>
    <n v="8"/>
    <m/>
    <n v="8"/>
    <m/>
    <m/>
    <m/>
    <m/>
    <m/>
    <m/>
    <m/>
    <m/>
    <m/>
    <m/>
    <m/>
    <m/>
    <m/>
    <m/>
    <m/>
    <m/>
    <n v="0"/>
    <n v="0"/>
    <n v="0"/>
    <m/>
    <m/>
    <n v="517861"/>
    <n v="174904"/>
    <s v="Richmond"/>
    <s v="South Richmond"/>
    <x v="4"/>
    <x v="0"/>
    <m/>
    <x v="0"/>
    <m/>
    <s v="CA17 Central Richmond"/>
    <s v="Y"/>
    <s v="Y"/>
    <x v="0"/>
  </r>
  <r>
    <s v="21/2391/FUL"/>
    <n v="52"/>
    <s v="CON"/>
    <m/>
    <d v="2021-10-13T00:00:00"/>
    <d v="2024-10-13T00:00:00"/>
    <d v="2022-03-01T00:00:00"/>
    <d v="2023-03-31T00:00:00"/>
    <x v="0"/>
    <s v="Open Market"/>
    <m/>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_x000a__x000a_"/>
    <s v="TW10 6JQ"/>
    <m/>
    <m/>
    <n v="1"/>
    <n v="1"/>
    <m/>
    <m/>
    <m/>
    <m/>
    <n v="2"/>
    <m/>
    <m/>
    <m/>
    <m/>
    <m/>
    <n v="1"/>
    <m/>
    <m/>
    <n v="1"/>
    <n v="0"/>
    <n v="-1"/>
    <n v="-1"/>
    <n v="0"/>
    <n v="0"/>
    <n v="1"/>
    <n v="0"/>
    <n v="0"/>
    <n v="-1"/>
    <m/>
    <n v="-1"/>
    <m/>
    <m/>
    <m/>
    <m/>
    <m/>
    <m/>
    <m/>
    <m/>
    <m/>
    <m/>
    <m/>
    <m/>
    <m/>
    <m/>
    <m/>
    <m/>
    <n v="0"/>
    <n v="0"/>
    <n v="0"/>
    <m/>
    <m/>
    <n v="518740"/>
    <n v="174094"/>
    <s v="Richmond"/>
    <s v="South Richmond"/>
    <x v="1"/>
    <x v="0"/>
    <m/>
    <x v="0"/>
    <m/>
    <s v="CA5 Richmond Hill"/>
    <s v="Y"/>
    <m/>
    <x v="0"/>
  </r>
  <r>
    <s v="21/3971/GPD26"/>
    <n v="53"/>
    <s v="CHU"/>
    <s v="PA"/>
    <d v="2022-01-20T00:00:00"/>
    <d v="2025-01-25T00:00:00"/>
    <d v="2022-03-01T00:00:00"/>
    <d v="2022-12-14T00:00:00"/>
    <x v="0"/>
    <s v="Open Market"/>
    <m/>
    <s v="Conversion from restaurant use class E (B) (formerly A3) to 4 x self contained residential units"/>
    <s v="117 London Road, Twickenham TW1 1EE_x000a_"/>
    <s v="TW1 1EE"/>
    <m/>
    <m/>
    <m/>
    <m/>
    <m/>
    <m/>
    <m/>
    <m/>
    <n v="0"/>
    <n v="3"/>
    <n v="1"/>
    <m/>
    <m/>
    <m/>
    <m/>
    <m/>
    <m/>
    <n v="4"/>
    <n v="3"/>
    <n v="1"/>
    <n v="0"/>
    <n v="0"/>
    <n v="0"/>
    <n v="0"/>
    <n v="0"/>
    <n v="0"/>
    <n v="4"/>
    <m/>
    <n v="4"/>
    <m/>
    <m/>
    <m/>
    <m/>
    <m/>
    <m/>
    <m/>
    <m/>
    <m/>
    <m/>
    <m/>
    <m/>
    <m/>
    <m/>
    <m/>
    <m/>
    <n v="0"/>
    <n v="0"/>
    <n v="0"/>
    <m/>
    <m/>
    <n v="516015"/>
    <n v="173773"/>
    <s v="Twickenham"/>
    <s v="St. Margarets &amp; North Twickenham"/>
    <x v="1"/>
    <x v="0"/>
    <m/>
    <x v="0"/>
    <m/>
    <m/>
    <m/>
    <s v="Y"/>
    <x v="0"/>
  </r>
  <r>
    <s v="19/0823/GPD13"/>
    <n v="54"/>
    <s v="CHU"/>
    <s v="PA"/>
    <d v="2019-05-07T00:00:00"/>
    <d v="2022-05-07T00:00:00"/>
    <d v="2022-03-30T00:00:00"/>
    <d v="2022-11-28T00:00:00"/>
    <x v="0"/>
    <s v="Open Market"/>
    <m/>
    <s v="Conversion of commercial unit to self-contained 2no. bedroom unit"/>
    <s v="203 Sandycombe Road, Richmond TW9 2EW_x000a_"/>
    <s v="TW9 2EW"/>
    <m/>
    <m/>
    <m/>
    <m/>
    <m/>
    <m/>
    <m/>
    <m/>
    <n v="0"/>
    <m/>
    <n v="1"/>
    <m/>
    <m/>
    <m/>
    <m/>
    <m/>
    <m/>
    <n v="1"/>
    <n v="0"/>
    <n v="1"/>
    <n v="0"/>
    <n v="0"/>
    <n v="0"/>
    <n v="0"/>
    <n v="0"/>
    <n v="0"/>
    <n v="1"/>
    <m/>
    <n v="1"/>
    <m/>
    <m/>
    <m/>
    <m/>
    <m/>
    <m/>
    <m/>
    <m/>
    <m/>
    <m/>
    <m/>
    <m/>
    <m/>
    <m/>
    <m/>
    <m/>
    <n v="0"/>
    <n v="0"/>
    <n v="0"/>
    <m/>
    <m/>
    <n v="519091"/>
    <n v="176195"/>
    <s v="Richmond"/>
    <s v="Kew"/>
    <x v="1"/>
    <x v="0"/>
    <m/>
    <x v="0"/>
    <m/>
    <m/>
    <m/>
    <s v="Y"/>
    <x v="0"/>
  </r>
  <r>
    <s v="21/1600/GPD15"/>
    <n v="55"/>
    <s v="CHU"/>
    <s v="PA"/>
    <d v="2021-06-23T00:00:00"/>
    <d v="2024-06-23T00:00:00"/>
    <d v="2022-03-31T00:00:00"/>
    <d v="2022-12-23T00:00:00"/>
    <x v="0"/>
    <s v="Open Market"/>
    <m/>
    <s v="Change of use of the office building (Use Class E) to 1No. one-bed and 2No. two-bed residential units"/>
    <s v="Unit 5, The Mews, 53 High Street, Hampton Hill_x000a__x000a_"/>
    <s v="TW12 1NH"/>
    <m/>
    <m/>
    <m/>
    <m/>
    <m/>
    <m/>
    <m/>
    <m/>
    <n v="0"/>
    <n v="1"/>
    <n v="2"/>
    <m/>
    <m/>
    <m/>
    <m/>
    <m/>
    <m/>
    <n v="3"/>
    <n v="1"/>
    <n v="2"/>
    <n v="0"/>
    <n v="0"/>
    <n v="0"/>
    <n v="0"/>
    <n v="0"/>
    <n v="0"/>
    <n v="3"/>
    <m/>
    <n v="3"/>
    <m/>
    <m/>
    <m/>
    <m/>
    <m/>
    <m/>
    <m/>
    <m/>
    <m/>
    <m/>
    <m/>
    <m/>
    <m/>
    <m/>
    <m/>
    <m/>
    <n v="0"/>
    <n v="0"/>
    <n v="0"/>
    <m/>
    <m/>
    <n v="514225"/>
    <n v="170812"/>
    <s v="Teddington and the Hamptons"/>
    <s v="Fulwell &amp; Hampton Hill"/>
    <x v="1"/>
    <x v="0"/>
    <s v="High Street, Hampton Hill"/>
    <x v="1"/>
    <m/>
    <s v="CA38 High Street Hampton Hill"/>
    <s v="Y"/>
    <m/>
    <x v="0"/>
  </r>
  <r>
    <s v="22/0429/GPD26"/>
    <n v="56"/>
    <s v="CHU"/>
    <s v="PA"/>
    <d v="2022-03-21T00:00:00"/>
    <d v="2025-03-21T00:00:00"/>
    <d v="2022-03-31T00:00:00"/>
    <d v="2022-09-09T00:00:00"/>
    <x v="0"/>
    <s v="Open Market"/>
    <m/>
    <s v="Change of use of a commercial office building in to 5 no. 1 bedrooms flats"/>
    <s v="3 Mount Mews, Hampton TW12 2SH_x000a_"/>
    <s v="TW12 2SH"/>
    <m/>
    <m/>
    <m/>
    <m/>
    <m/>
    <m/>
    <m/>
    <m/>
    <n v="0"/>
    <n v="5"/>
    <m/>
    <m/>
    <m/>
    <m/>
    <m/>
    <m/>
    <m/>
    <n v="5"/>
    <n v="5"/>
    <n v="0"/>
    <n v="0"/>
    <n v="0"/>
    <n v="0"/>
    <n v="0"/>
    <n v="0"/>
    <n v="0"/>
    <n v="5"/>
    <m/>
    <n v="5"/>
    <m/>
    <m/>
    <m/>
    <m/>
    <m/>
    <m/>
    <m/>
    <m/>
    <m/>
    <m/>
    <m/>
    <m/>
    <m/>
    <m/>
    <m/>
    <m/>
    <n v="0"/>
    <n v="0"/>
    <n v="0"/>
    <m/>
    <m/>
    <n v="513957"/>
    <n v="169583"/>
    <s v="Teddington and the Hamptons"/>
    <s v="Hampton"/>
    <x v="1"/>
    <x v="0"/>
    <m/>
    <x v="0"/>
    <m/>
    <s v="CA12 Hampton Village"/>
    <s v="Y"/>
    <s v="Y"/>
    <x v="0"/>
  </r>
  <r>
    <s v="20/0915/GPD15"/>
    <n v="57"/>
    <s v="CHU"/>
    <s v="PA"/>
    <d v="2021-02-02T00:00:00"/>
    <d v="2024-02-02T00:00:00"/>
    <d v="2022-04-08T00:00:00"/>
    <d v="2023-03-01T00:00:00"/>
    <x v="0"/>
    <s v="Open Market"/>
    <m/>
    <s v="Conversion of existing ground and first floor office to 2no. residential units"/>
    <s v="2 Mount Mews, Hampton TW12 2SH_x000a_"/>
    <s v="TW12 2SH"/>
    <m/>
    <m/>
    <m/>
    <m/>
    <m/>
    <m/>
    <m/>
    <m/>
    <n v="0"/>
    <n v="2"/>
    <m/>
    <m/>
    <m/>
    <m/>
    <m/>
    <m/>
    <m/>
    <n v="2"/>
    <n v="2"/>
    <n v="0"/>
    <n v="0"/>
    <n v="0"/>
    <n v="0"/>
    <n v="0"/>
    <n v="0"/>
    <n v="0"/>
    <n v="2"/>
    <m/>
    <n v="2"/>
    <m/>
    <m/>
    <m/>
    <m/>
    <m/>
    <m/>
    <m/>
    <m/>
    <m/>
    <m/>
    <m/>
    <m/>
    <m/>
    <m/>
    <m/>
    <m/>
    <n v="0"/>
    <n v="0"/>
    <n v="0"/>
    <m/>
    <m/>
    <n v="513964"/>
    <n v="169580"/>
    <s v="Teddington and the Hamptons"/>
    <s v="Hampton"/>
    <x v="1"/>
    <x v="0"/>
    <m/>
    <x v="0"/>
    <m/>
    <s v="CA12 Hampton Village"/>
    <s v="Y"/>
    <s v="Y"/>
    <x v="0"/>
  </r>
  <r>
    <s v="22/1129/ES191"/>
    <n v="58"/>
    <s v="CON"/>
    <m/>
    <d v="2022-05-27T00:00:00"/>
    <d v="2025-05-27T00:00:00"/>
    <d v="2022-05-27T00:00:00"/>
    <d v="2022-05-27T00:00:00"/>
    <x v="0"/>
    <s v="Open Market"/>
    <m/>
    <s v="Use of property as 3No. self-contained flats"/>
    <s v="72 Gordon Avenue, Twickenham TW1 1NQ_x000a_"/>
    <s v="TW1 1NQ"/>
    <m/>
    <m/>
    <m/>
    <m/>
    <n v="1"/>
    <m/>
    <m/>
    <m/>
    <n v="1"/>
    <n v="3"/>
    <m/>
    <m/>
    <m/>
    <m/>
    <m/>
    <m/>
    <m/>
    <n v="3"/>
    <n v="3"/>
    <n v="0"/>
    <n v="0"/>
    <n v="-1"/>
    <n v="0"/>
    <n v="0"/>
    <n v="0"/>
    <n v="0"/>
    <n v="2"/>
    <m/>
    <n v="2"/>
    <m/>
    <m/>
    <m/>
    <m/>
    <m/>
    <m/>
    <m/>
    <m/>
    <m/>
    <m/>
    <m/>
    <m/>
    <m/>
    <m/>
    <m/>
    <m/>
    <n v="0"/>
    <n v="0"/>
    <n v="0"/>
    <m/>
    <m/>
    <n v="516399"/>
    <n v="174745"/>
    <s v="Twickenham"/>
    <s v="St. Margarets &amp; North Twickenham"/>
    <x v="1"/>
    <x v="0"/>
    <m/>
    <x v="0"/>
    <m/>
    <m/>
    <m/>
    <s v="Y"/>
    <x v="0"/>
  </r>
  <r>
    <s v="19/2665/FUL"/>
    <n v="59"/>
    <s v="CHU"/>
    <m/>
    <d v="2021-09-24T00:00:00"/>
    <d v="2024-09-24T00:00:00"/>
    <d v="2022-06-01T00:00:00"/>
    <d v="2022-09-30T00:00:00"/>
    <x v="0"/>
    <s v="Open Market"/>
    <m/>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East Molesey, KT8 9BZ"/>
    <s v="KT8 9BZ"/>
    <m/>
    <m/>
    <m/>
    <m/>
    <m/>
    <m/>
    <m/>
    <m/>
    <n v="0"/>
    <m/>
    <m/>
    <n v="1"/>
    <m/>
    <m/>
    <m/>
    <m/>
    <m/>
    <n v="1"/>
    <n v="0"/>
    <n v="0"/>
    <n v="1"/>
    <n v="0"/>
    <n v="0"/>
    <n v="0"/>
    <n v="0"/>
    <n v="0"/>
    <n v="1"/>
    <m/>
    <n v="1"/>
    <m/>
    <m/>
    <m/>
    <m/>
    <m/>
    <m/>
    <m/>
    <m/>
    <m/>
    <m/>
    <m/>
    <m/>
    <m/>
    <m/>
    <m/>
    <m/>
    <n v="0"/>
    <n v="0"/>
    <n v="0"/>
    <m/>
    <m/>
    <n v="515782"/>
    <n v="168844"/>
    <s v="Teddington and the Hamptons"/>
    <s v="Hampton"/>
    <x v="1"/>
    <x v="0"/>
    <m/>
    <x v="0"/>
    <s v="Bushy Park"/>
    <s v="CA11 Hampton Court Green"/>
    <s v="Y"/>
    <s v="Y"/>
    <x v="0"/>
  </r>
  <r>
    <s v="21/3443/FUL"/>
    <n v="60"/>
    <s v="CON"/>
    <m/>
    <d v="2022-06-29T00:00:00"/>
    <d v="2025-06-29T00:00:00"/>
    <d v="2022-06-29T00:00:00"/>
    <d v="2022-12-30T00:00:00"/>
    <x v="0"/>
    <s v="Open Market"/>
    <m/>
    <s v="Single storey side/rear extension to facilitate the reinstatement of 2 flats to a single dwellinghouse. Alterations to front boundary wall and associated cycle and refuse stores, hard and soft landscaping."/>
    <s v="36 Sydney Road, Richmond TW9 1UB_x000a_"/>
    <s v="TW9 1UB"/>
    <m/>
    <m/>
    <n v="2"/>
    <m/>
    <m/>
    <m/>
    <m/>
    <m/>
    <n v="2"/>
    <m/>
    <m/>
    <m/>
    <n v="1"/>
    <m/>
    <m/>
    <m/>
    <m/>
    <n v="1"/>
    <n v="0"/>
    <n v="-2"/>
    <n v="0"/>
    <n v="1"/>
    <n v="0"/>
    <n v="0"/>
    <n v="0"/>
    <n v="0"/>
    <n v="-1"/>
    <m/>
    <n v="-1"/>
    <m/>
    <m/>
    <m/>
    <m/>
    <m/>
    <m/>
    <m/>
    <m/>
    <m/>
    <m/>
    <m/>
    <m/>
    <m/>
    <m/>
    <m/>
    <m/>
    <n v="0"/>
    <n v="0"/>
    <n v="0"/>
    <m/>
    <m/>
    <n v="518347"/>
    <n v="175061"/>
    <s v="Richmond"/>
    <s v="South Richmond"/>
    <x v="1"/>
    <x v="0"/>
    <m/>
    <x v="0"/>
    <m/>
    <s v="CA31 Sheen Road Richmond"/>
    <s v="Y"/>
    <s v="Y"/>
    <x v="1"/>
  </r>
  <r>
    <s v="19/0495/FUL"/>
    <n v="61"/>
    <s v="NEW"/>
    <m/>
    <d v="2020-09-04T00:00:00"/>
    <d v="2023-09-04T00:00:00"/>
    <d v="2022-07-01T00:00:00"/>
    <d v="2023-03-31T00:00:00"/>
    <x v="0"/>
    <s v="Open Market"/>
    <m/>
    <s v="Demolition of the existing dwelling and the erection of a pair of semi-detached dwellings with associated hard and soft landscaping and refuse store."/>
    <s v="1 Curtis Road, Whitton, Hounslow TW4 5PU_x000a_"/>
    <s v="TW4 5PU"/>
    <m/>
    <m/>
    <m/>
    <n v="1"/>
    <m/>
    <m/>
    <m/>
    <m/>
    <n v="1"/>
    <m/>
    <n v="2"/>
    <m/>
    <m/>
    <m/>
    <m/>
    <m/>
    <m/>
    <n v="2"/>
    <n v="0"/>
    <n v="2"/>
    <n v="-1"/>
    <n v="0"/>
    <n v="0"/>
    <n v="0"/>
    <n v="0"/>
    <n v="0"/>
    <n v="1"/>
    <m/>
    <n v="1"/>
    <m/>
    <m/>
    <m/>
    <m/>
    <m/>
    <m/>
    <m/>
    <m/>
    <m/>
    <m/>
    <m/>
    <m/>
    <m/>
    <m/>
    <m/>
    <m/>
    <n v="0"/>
    <n v="0"/>
    <n v="0"/>
    <m/>
    <m/>
    <n v="512568"/>
    <n v="173521"/>
    <s v="Whitton"/>
    <s v="Heathfield"/>
    <x v="1"/>
    <x v="0"/>
    <m/>
    <x v="0"/>
    <m/>
    <m/>
    <m/>
    <m/>
    <x v="0"/>
  </r>
  <r>
    <s v="22/0190/ES191"/>
    <n v="62"/>
    <s v="CON"/>
    <m/>
    <d v="2022-07-12T00:00:00"/>
    <d v="2022-07-12T00:00:00"/>
    <d v="2022-07-12T00:00:00"/>
    <d v="2022-07-12T00:00:00"/>
    <x v="0"/>
    <s v="Open Market"/>
    <m/>
    <s v="An existing dwelling house that has been divided to form two separate dwelling houses."/>
    <s v="6 Gilpin Crescent, Twickenham TW2 7BP_x000a_"/>
    <s v="TW2 7BP"/>
    <m/>
    <m/>
    <m/>
    <m/>
    <m/>
    <m/>
    <n v="1"/>
    <m/>
    <n v="1"/>
    <m/>
    <n v="1"/>
    <m/>
    <n v="1"/>
    <m/>
    <m/>
    <m/>
    <m/>
    <n v="2"/>
    <n v="0"/>
    <n v="1"/>
    <n v="0"/>
    <n v="1"/>
    <n v="0"/>
    <n v="-1"/>
    <n v="0"/>
    <n v="0"/>
    <n v="1"/>
    <m/>
    <n v="1"/>
    <m/>
    <m/>
    <m/>
    <m/>
    <m/>
    <m/>
    <m/>
    <m/>
    <m/>
    <m/>
    <m/>
    <m/>
    <m/>
    <m/>
    <m/>
    <m/>
    <n v="0"/>
    <n v="0"/>
    <n v="0"/>
    <m/>
    <m/>
    <n v="513608"/>
    <n v="173951"/>
    <s v="Whitton"/>
    <s v="Whitton"/>
    <x v="1"/>
    <x v="0"/>
    <m/>
    <x v="0"/>
    <m/>
    <m/>
    <m/>
    <s v="Y"/>
    <x v="0"/>
  </r>
  <r>
    <s v="22/1721/FUL"/>
    <n v="63"/>
    <s v="CHU"/>
    <m/>
    <d v="2022-08-04T00:00:00"/>
    <d v="2025-08-04T00:00:00"/>
    <d v="2022-08-04T00:00:00"/>
    <d v="2022-08-04T00:00:00"/>
    <x v="0"/>
    <s v="Open Market"/>
    <m/>
    <s v="Change of use of a 6-bedroom house in multiple occupation (C4 class) to a 7-bedroom house in multiple occupation (Sui Generis)."/>
    <s v="145 Constance Road, Twickenham TW2 7HX"/>
    <s v="TW2 7HX"/>
    <m/>
    <m/>
    <m/>
    <m/>
    <m/>
    <m/>
    <n v="1"/>
    <m/>
    <n v="1"/>
    <m/>
    <m/>
    <m/>
    <m/>
    <m/>
    <m/>
    <m/>
    <m/>
    <n v="0"/>
    <n v="0"/>
    <n v="0"/>
    <n v="0"/>
    <n v="0"/>
    <n v="0"/>
    <n v="-1"/>
    <n v="0"/>
    <n v="0"/>
    <n v="-1"/>
    <m/>
    <n v="-1"/>
    <m/>
    <m/>
    <m/>
    <m/>
    <m/>
    <m/>
    <m/>
    <m/>
    <m/>
    <m/>
    <m/>
    <m/>
    <m/>
    <m/>
    <m/>
    <m/>
    <n v="0"/>
    <n v="0"/>
    <n v="0"/>
    <m/>
    <m/>
    <n v="513695"/>
    <n v="173838"/>
    <s v="Whitton"/>
    <s v="Whitton"/>
    <x v="1"/>
    <x v="0"/>
    <m/>
    <x v="0"/>
    <m/>
    <m/>
    <m/>
    <s v="Y"/>
    <x v="0"/>
  </r>
  <r>
    <s v="22/1706/ES191"/>
    <n v="64"/>
    <s v="CHU"/>
    <m/>
    <d v="2022-08-12T00:00:00"/>
    <d v="2025-08-12T00:00:00"/>
    <d v="2022-08-12T00:00:00"/>
    <d v="2022-08-12T00:00:00"/>
    <x v="0"/>
    <s v="Open Market"/>
    <m/>
    <s v="Use of existing outbuilding as an independent self-contained dwellinghouse."/>
    <s v="361 Sandycombe Road, Richmond TW9 3PR_x000a_"/>
    <s v="TW9 3PR"/>
    <m/>
    <m/>
    <m/>
    <m/>
    <m/>
    <m/>
    <m/>
    <m/>
    <n v="0"/>
    <n v="1"/>
    <m/>
    <m/>
    <m/>
    <m/>
    <m/>
    <m/>
    <m/>
    <n v="1"/>
    <n v="1"/>
    <n v="0"/>
    <n v="0"/>
    <n v="0"/>
    <n v="0"/>
    <n v="0"/>
    <n v="0"/>
    <n v="0"/>
    <n v="1"/>
    <m/>
    <n v="1"/>
    <m/>
    <m/>
    <m/>
    <m/>
    <m/>
    <m/>
    <m/>
    <m/>
    <m/>
    <m/>
    <m/>
    <m/>
    <m/>
    <m/>
    <m/>
    <m/>
    <n v="0"/>
    <n v="0"/>
    <n v="0"/>
    <m/>
    <m/>
    <n v="519098"/>
    <n v="176672"/>
    <s v="Richmond"/>
    <s v="Kew"/>
    <x v="1"/>
    <x v="0"/>
    <m/>
    <x v="0"/>
    <m/>
    <s v="CA15 Kew Gardens Kew"/>
    <s v="Y"/>
    <s v="Y"/>
    <x v="0"/>
  </r>
  <r>
    <s v="21/2864/FUL"/>
    <n v="65"/>
    <s v="CON"/>
    <m/>
    <d v="2021-12-22T00:00:00"/>
    <d v="2024-12-22T00:00:00"/>
    <d v="2022-08-17T00:00:00"/>
    <d v="2023-03-31T00:00:00"/>
    <x v="0"/>
    <s v="Open Market"/>
    <m/>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2"/>
    <m/>
    <m/>
    <m/>
    <m/>
    <n v="1"/>
    <m/>
    <n v="3"/>
    <m/>
    <m/>
    <m/>
    <m/>
    <m/>
    <n v="1"/>
    <m/>
    <m/>
    <n v="1"/>
    <n v="-2"/>
    <n v="0"/>
    <n v="0"/>
    <n v="0"/>
    <n v="0"/>
    <n v="0"/>
    <n v="0"/>
    <n v="0"/>
    <n v="-2"/>
    <m/>
    <n v="-2"/>
    <m/>
    <m/>
    <m/>
    <m/>
    <m/>
    <m/>
    <m/>
    <m/>
    <m/>
    <m/>
    <m/>
    <m/>
    <m/>
    <m/>
    <m/>
    <m/>
    <n v="0"/>
    <n v="0"/>
    <n v="0"/>
    <m/>
    <m/>
    <n v="522706"/>
    <n v="177845"/>
    <s v="Barnes and East Sheen"/>
    <s v="Barnes"/>
    <x v="1"/>
    <x v="0"/>
    <m/>
    <x v="0"/>
    <m/>
    <s v="CA25 Castelnau"/>
    <s v="Y"/>
    <s v="Y"/>
    <x v="0"/>
  </r>
  <r>
    <s v="22/1953/GPD26"/>
    <n v="66"/>
    <s v="CHU"/>
    <s v="PA"/>
    <d v="2022-08-22T00:00:00"/>
    <d v="2025-04-22T00:00:00"/>
    <d v="2022-08-22T00:00:00"/>
    <d v="2022-11-07T00:00:00"/>
    <x v="0"/>
    <s v="Open Market"/>
    <m/>
    <s v="Change of use from retail (Class E) to residential (Class C3) to provide one dwelling"/>
    <s v="123 Station Road, Hampton TW12 2AL_x000a_"/>
    <s v="TW12 2AL"/>
    <m/>
    <m/>
    <m/>
    <m/>
    <m/>
    <m/>
    <m/>
    <m/>
    <n v="0"/>
    <n v="1"/>
    <m/>
    <m/>
    <m/>
    <m/>
    <m/>
    <m/>
    <m/>
    <n v="1"/>
    <n v="1"/>
    <n v="0"/>
    <n v="0"/>
    <n v="0"/>
    <n v="0"/>
    <n v="0"/>
    <n v="0"/>
    <n v="0"/>
    <n v="1"/>
    <m/>
    <n v="1"/>
    <m/>
    <m/>
    <m/>
    <m/>
    <m/>
    <m/>
    <m/>
    <m/>
    <m/>
    <m/>
    <m/>
    <m/>
    <m/>
    <m/>
    <m/>
    <m/>
    <n v="0"/>
    <n v="0"/>
    <n v="0"/>
    <m/>
    <m/>
    <n v="513416"/>
    <n v="169771"/>
    <s v="Teddington and the Hamptons"/>
    <s v="Hampton"/>
    <x v="1"/>
    <x v="0"/>
    <s v="Oldfield Road, Hampton"/>
    <x v="1"/>
    <m/>
    <s v="CA12 Hampton Village"/>
    <s v="Y"/>
    <s v="Y"/>
    <x v="0"/>
  </r>
  <r>
    <s v="20/3707/FUL"/>
    <n v="67"/>
    <s v="NEW"/>
    <m/>
    <d v="2021-06-07T00:00:00"/>
    <d v="2024-06-07T00:00:00"/>
    <d v="2022-09-01T00:00:00"/>
    <d v="2023-03-31T00:00:00"/>
    <x v="0"/>
    <s v="Open Market"/>
    <m/>
    <s v="Erection of 1 x residential flat with associated access, cycle and bin store."/>
    <s v="63 Sandycombe Road, Richmond, TW9 2EP"/>
    <s v="TW9 2EP"/>
    <m/>
    <m/>
    <m/>
    <m/>
    <m/>
    <m/>
    <m/>
    <m/>
    <n v="0"/>
    <n v="1"/>
    <m/>
    <m/>
    <m/>
    <m/>
    <m/>
    <m/>
    <m/>
    <n v="1"/>
    <n v="1"/>
    <n v="0"/>
    <n v="0"/>
    <n v="0"/>
    <n v="0"/>
    <n v="0"/>
    <n v="0"/>
    <n v="0"/>
    <n v="1"/>
    <m/>
    <n v="1"/>
    <m/>
    <m/>
    <m/>
    <m/>
    <m/>
    <m/>
    <m/>
    <m/>
    <m/>
    <m/>
    <m/>
    <m/>
    <m/>
    <m/>
    <m/>
    <m/>
    <n v="0"/>
    <n v="0"/>
    <n v="0"/>
    <m/>
    <m/>
    <n v="519026"/>
    <n v="175926"/>
    <s v="Richmond"/>
    <s v="Kew"/>
    <x v="1"/>
    <x v="0"/>
    <m/>
    <x v="0"/>
    <m/>
    <m/>
    <m/>
    <s v="Y"/>
    <x v="0"/>
  </r>
  <r>
    <s v="20/0618/FUL"/>
    <n v="68"/>
    <s v="CHU"/>
    <m/>
    <d v="2020-06-09T00:00:00"/>
    <d v="2024-08-23T00:00:00"/>
    <d v="2022-09-15T00:00:00"/>
    <d v="2023-03-31T00:00:00"/>
    <x v="0"/>
    <s v="Open Market"/>
    <m/>
    <s v="Proposed conversion of existing office to 2 bedroom apartment."/>
    <s v="2 Heron Court, 3 - 5 High Street, Hampton, TW12 2SQ"/>
    <s v="TW12 2SQ"/>
    <m/>
    <m/>
    <m/>
    <m/>
    <m/>
    <m/>
    <m/>
    <m/>
    <n v="0"/>
    <m/>
    <n v="1"/>
    <m/>
    <m/>
    <m/>
    <m/>
    <m/>
    <m/>
    <n v="1"/>
    <n v="0"/>
    <n v="1"/>
    <n v="0"/>
    <n v="0"/>
    <n v="0"/>
    <n v="0"/>
    <n v="0"/>
    <n v="0"/>
    <n v="1"/>
    <m/>
    <n v="1"/>
    <m/>
    <m/>
    <m/>
    <m/>
    <m/>
    <m/>
    <m/>
    <m/>
    <m/>
    <m/>
    <m/>
    <m/>
    <m/>
    <m/>
    <m/>
    <m/>
    <n v="0"/>
    <n v="0"/>
    <n v="0"/>
    <m/>
    <m/>
    <n v="513948"/>
    <n v="169533"/>
    <s v="Teddington and the Hamptons"/>
    <s v="Hampton"/>
    <x v="1"/>
    <x v="0"/>
    <s v="Thames Street, Hampton"/>
    <x v="1"/>
    <m/>
    <s v="CA12 Hampton Village"/>
    <s v="Y"/>
    <s v="Y"/>
    <x v="0"/>
  </r>
  <r>
    <s v="21/3415/FUL"/>
    <n v="69"/>
    <s v="CON"/>
    <m/>
    <d v="2022-02-01T00:00:00"/>
    <d v="2025-09-27T00:00:00"/>
    <d v="2022-09-18T00:00:00"/>
    <d v="2022-10-01T00:00:00"/>
    <x v="0"/>
    <s v="Open Market"/>
    <m/>
    <s v="Reversion of existing building to 1No. single family dwelling from 3Nos. self-contained flats"/>
    <s v="18 Twickenham Road, Teddington TW11 8AG"/>
    <s v="TW11 8AG"/>
    <m/>
    <n v="3"/>
    <m/>
    <m/>
    <m/>
    <m/>
    <m/>
    <m/>
    <n v="3"/>
    <m/>
    <m/>
    <m/>
    <n v="1"/>
    <m/>
    <m/>
    <m/>
    <m/>
    <n v="1"/>
    <n v="-3"/>
    <n v="0"/>
    <n v="0"/>
    <n v="1"/>
    <n v="0"/>
    <n v="0"/>
    <n v="0"/>
    <n v="0"/>
    <n v="-2"/>
    <m/>
    <n v="-2"/>
    <m/>
    <m/>
    <m/>
    <m/>
    <m/>
    <m/>
    <m/>
    <m/>
    <m/>
    <m/>
    <m/>
    <m/>
    <m/>
    <m/>
    <m/>
    <m/>
    <n v="0"/>
    <n v="0"/>
    <n v="0"/>
    <m/>
    <m/>
    <n v="516473"/>
    <n v="171389"/>
    <s v="Teddington and the Hamptons"/>
    <s v="Teddington"/>
    <x v="1"/>
    <x v="0"/>
    <m/>
    <x v="0"/>
    <m/>
    <m/>
    <m/>
    <s v="Y"/>
    <x v="0"/>
  </r>
  <r>
    <s v="21/3975/GPD26"/>
    <n v="70"/>
    <s v="CHU"/>
    <s v="PA"/>
    <d v="2022-01-10T00:00:00"/>
    <d v="2025-01-10T00:00:00"/>
    <d v="2022-09-20T00:00:00"/>
    <d v="2023-03-14T00:00:00"/>
    <x v="0"/>
    <s v="Open Market"/>
    <m/>
    <s v="Change of use of part ground floor and all of first floor at 14 Eton Street from commercial, business and service (Class E) to residential (Class C3) to provide 1 no. studio flat_x000d_"/>
    <s v="14 Eton Street, Richmond TW9 1EE_x000a_"/>
    <s v="TW9 1EE"/>
    <m/>
    <m/>
    <m/>
    <m/>
    <m/>
    <m/>
    <m/>
    <m/>
    <n v="0"/>
    <n v="1"/>
    <m/>
    <m/>
    <m/>
    <m/>
    <m/>
    <m/>
    <m/>
    <n v="1"/>
    <n v="1"/>
    <n v="0"/>
    <n v="0"/>
    <n v="0"/>
    <n v="0"/>
    <n v="0"/>
    <n v="0"/>
    <n v="0"/>
    <n v="1"/>
    <m/>
    <n v="1"/>
    <m/>
    <m/>
    <m/>
    <m/>
    <m/>
    <m/>
    <m/>
    <m/>
    <m/>
    <m/>
    <m/>
    <m/>
    <m/>
    <m/>
    <m/>
    <m/>
    <n v="0"/>
    <n v="0"/>
    <n v="0"/>
    <m/>
    <m/>
    <n v="518039"/>
    <n v="174890"/>
    <s v="Richmond"/>
    <s v="South Richmond"/>
    <x v="4"/>
    <x v="0"/>
    <m/>
    <x v="0"/>
    <m/>
    <s v="CA17 Central Richmond"/>
    <s v="Y"/>
    <s v="Y"/>
    <x v="0"/>
  </r>
  <r>
    <s v="21/4328/FUL"/>
    <n v="71"/>
    <s v="CON"/>
    <m/>
    <d v="2022-09-12T00:00:00"/>
    <d v="2025-09-12T00:00:00"/>
    <d v="2022-09-30T00:00:00"/>
    <d v="2023-03-31T00:00:00"/>
    <x v="0"/>
    <s v="Open Market"/>
    <m/>
    <s v="The proposal is to revert the building from two flats back into a single residential dwellinghouse"/>
    <s v="17 Elmers Drive, Teddington"/>
    <s v="TW11 9JB"/>
    <m/>
    <m/>
    <n v="1"/>
    <n v="1"/>
    <m/>
    <m/>
    <m/>
    <m/>
    <n v="2"/>
    <m/>
    <m/>
    <m/>
    <n v="1"/>
    <m/>
    <m/>
    <m/>
    <m/>
    <n v="1"/>
    <n v="0"/>
    <n v="-1"/>
    <n v="-1"/>
    <n v="1"/>
    <n v="0"/>
    <n v="0"/>
    <n v="0"/>
    <n v="0"/>
    <n v="-1"/>
    <m/>
    <n v="-1"/>
    <m/>
    <m/>
    <m/>
    <m/>
    <m/>
    <m/>
    <m/>
    <m/>
    <m/>
    <m/>
    <m/>
    <m/>
    <m/>
    <m/>
    <m/>
    <m/>
    <n v="0"/>
    <n v="0"/>
    <n v="0"/>
    <m/>
    <m/>
    <n v="516882"/>
    <n v="170581"/>
    <s v="Teddington and the Hamptons"/>
    <s v="Hampton Wick &amp; South Teddington"/>
    <x v="1"/>
    <x v="0"/>
    <m/>
    <x v="0"/>
    <m/>
    <m/>
    <m/>
    <s v="Y"/>
    <x v="0"/>
  </r>
  <r>
    <s v="20/2000/FUL"/>
    <n v="72"/>
    <s v="CHU"/>
    <m/>
    <d v="2020-12-14T00:00:00"/>
    <d v="2023-12-14T00:00:00"/>
    <d v="2022-11-01T00:00:00"/>
    <d v="2023-03-31T00:00:00"/>
    <x v="0"/>
    <s v="Open Market"/>
    <m/>
    <s v="Change of use of existing financial and professional services to C3 (Residential) to create 1 two bed flat, rear extension, fenestration alterations and insertion of rooflight to single storey front projection."/>
    <s v="192 Heath Road, Twickenham, TW2 5TX"/>
    <s v="TW2 5TX"/>
    <m/>
    <m/>
    <m/>
    <m/>
    <m/>
    <m/>
    <m/>
    <m/>
    <n v="0"/>
    <m/>
    <n v="1"/>
    <m/>
    <m/>
    <m/>
    <m/>
    <m/>
    <m/>
    <n v="1"/>
    <n v="0"/>
    <n v="1"/>
    <n v="0"/>
    <n v="0"/>
    <n v="0"/>
    <n v="0"/>
    <n v="0"/>
    <n v="0"/>
    <n v="1"/>
    <m/>
    <n v="1"/>
    <m/>
    <m/>
    <m/>
    <m/>
    <m/>
    <m/>
    <m/>
    <m/>
    <m/>
    <m/>
    <m/>
    <m/>
    <m/>
    <m/>
    <m/>
    <m/>
    <n v="0"/>
    <n v="0"/>
    <n v="0"/>
    <m/>
    <m/>
    <n v="515502"/>
    <n v="173093"/>
    <s v="Twickenham"/>
    <s v="South Twickenham"/>
    <x v="1"/>
    <x v="0"/>
    <s v="Twickenham Green"/>
    <x v="1"/>
    <m/>
    <s v="CA9 Twickenham Green"/>
    <s v="Y"/>
    <s v="Y"/>
    <x v="0"/>
  </r>
  <r>
    <s v="22/1464/GPD26"/>
    <n v="73"/>
    <s v="CHU"/>
    <s v="PA"/>
    <d v="2022-07-04T00:00:00"/>
    <d v="2025-07-04T00:00:00"/>
    <d v="2022-11-01T00:00:00"/>
    <d v="2023-03-31T00:00:00"/>
    <x v="0"/>
    <s v="Open Market"/>
    <m/>
    <s v="Change of use to single dwelling house."/>
    <s v="Unit B, Causer Buildings, 16A Crown Road, Twickenham, TW1 3EE"/>
    <s v="TW1 3EE"/>
    <m/>
    <m/>
    <m/>
    <m/>
    <m/>
    <m/>
    <m/>
    <m/>
    <n v="0"/>
    <n v="1"/>
    <m/>
    <m/>
    <m/>
    <m/>
    <m/>
    <m/>
    <m/>
    <n v="1"/>
    <n v="1"/>
    <n v="0"/>
    <n v="0"/>
    <n v="0"/>
    <n v="0"/>
    <n v="0"/>
    <n v="0"/>
    <n v="0"/>
    <n v="1"/>
    <m/>
    <n v="1"/>
    <m/>
    <m/>
    <m/>
    <m/>
    <m/>
    <m/>
    <m/>
    <m/>
    <m/>
    <m/>
    <m/>
    <m/>
    <m/>
    <m/>
    <m/>
    <m/>
    <n v="0"/>
    <n v="0"/>
    <n v="0"/>
    <m/>
    <m/>
    <n v="516818"/>
    <n v="174159"/>
    <s v="Twickenham"/>
    <s v="St. Margarets &amp; North Twickenham"/>
    <x v="1"/>
    <x v="0"/>
    <s v="St Margarets"/>
    <x v="1"/>
    <m/>
    <m/>
    <m/>
    <s v="Y"/>
    <x v="0"/>
  </r>
  <r>
    <s v="22/2954/GPD26"/>
    <n v="74"/>
    <s v="CHU"/>
    <s v="PA"/>
    <d v="2022-11-07T00:00:00"/>
    <d v="2025-07-07T00:00:00"/>
    <d v="2022-11-07T00:00:00"/>
    <d v="2022-11-07T00:00:00"/>
    <x v="0"/>
    <s v="Open Market"/>
    <m/>
    <s v="CLASS MA Prior Approval Application for change of use to single dwelling"/>
    <s v="1 High Street, Hampton Hill, Hampton TW12 1NA"/>
    <s v="TW12 1NA"/>
    <m/>
    <m/>
    <m/>
    <m/>
    <m/>
    <m/>
    <m/>
    <m/>
    <n v="0"/>
    <m/>
    <m/>
    <m/>
    <n v="1"/>
    <m/>
    <m/>
    <m/>
    <m/>
    <n v="1"/>
    <n v="0"/>
    <n v="0"/>
    <n v="0"/>
    <n v="1"/>
    <n v="0"/>
    <n v="0"/>
    <n v="0"/>
    <n v="0"/>
    <n v="1"/>
    <m/>
    <n v="1"/>
    <m/>
    <m/>
    <m/>
    <m/>
    <m/>
    <m/>
    <m/>
    <m/>
    <m/>
    <m/>
    <m/>
    <m/>
    <m/>
    <m/>
    <m/>
    <m/>
    <n v="0"/>
    <n v="0"/>
    <n v="0"/>
    <m/>
    <m/>
    <n v="514191"/>
    <n v="170553"/>
    <s v="Teddington and the Hamptons"/>
    <s v="Fulwell &amp; Hampton Hill"/>
    <x v="1"/>
    <x v="0"/>
    <m/>
    <x v="0"/>
    <m/>
    <s v="CA38 High Street Hampton Hill"/>
    <s v="Y"/>
    <m/>
    <x v="0"/>
  </r>
  <r>
    <s v="22/2041/ES191"/>
    <n v="75"/>
    <s v="CON"/>
    <m/>
    <d v="2022-11-14T00:00:00"/>
    <d v="2025-11-14T00:00:00"/>
    <d v="2022-11-14T00:00:00"/>
    <d v="2022-11-14T00:00:00"/>
    <x v="0"/>
    <s v="Open Market"/>
    <m/>
    <s v="Established use of the property as one single family dwelling house."/>
    <s v="93 Waldegrave Road, Teddington TW11 8LA_x000a_"/>
    <s v="TW11 8LA"/>
    <m/>
    <m/>
    <n v="2"/>
    <m/>
    <m/>
    <m/>
    <m/>
    <m/>
    <n v="2"/>
    <m/>
    <m/>
    <m/>
    <n v="1"/>
    <m/>
    <m/>
    <m/>
    <m/>
    <n v="1"/>
    <n v="0"/>
    <n v="-2"/>
    <n v="0"/>
    <n v="1"/>
    <n v="0"/>
    <n v="0"/>
    <n v="0"/>
    <n v="0"/>
    <n v="-1"/>
    <m/>
    <n v="-1"/>
    <m/>
    <m/>
    <m/>
    <m/>
    <m/>
    <m/>
    <m/>
    <m/>
    <m/>
    <m/>
    <m/>
    <m/>
    <m/>
    <m/>
    <m/>
    <m/>
    <n v="0"/>
    <n v="0"/>
    <n v="0"/>
    <m/>
    <m/>
    <n v="515797"/>
    <n v="171286"/>
    <s v="Teddington and the Hamptons"/>
    <s v="Teddington"/>
    <x v="1"/>
    <x v="0"/>
    <m/>
    <x v="0"/>
    <m/>
    <m/>
    <m/>
    <s v="Y"/>
    <x v="0"/>
  </r>
  <r>
    <s v="22/2821/ES191"/>
    <n v="76"/>
    <s v="CON"/>
    <m/>
    <d v="2023-01-05T00:00:00"/>
    <d v="2026-01-05T00:00:00"/>
    <d v="2023-01-05T00:00:00"/>
    <d v="2023-01-05T00:00:00"/>
    <x v="0"/>
    <s v="Open Market"/>
    <m/>
    <s v="Use of coach house annexe as a self-contained dwelling unit."/>
    <s v="Coach House Annexe, 69 Lonsdale Road, Barnes, London SW13 9JR_x000a_"/>
    <s v="SW13 9BY"/>
    <m/>
    <m/>
    <m/>
    <m/>
    <m/>
    <m/>
    <m/>
    <m/>
    <n v="0"/>
    <m/>
    <n v="1"/>
    <m/>
    <m/>
    <m/>
    <m/>
    <m/>
    <m/>
    <n v="1"/>
    <n v="0"/>
    <n v="1"/>
    <n v="0"/>
    <n v="0"/>
    <n v="0"/>
    <n v="0"/>
    <n v="0"/>
    <n v="0"/>
    <n v="1"/>
    <m/>
    <n v="1"/>
    <m/>
    <m/>
    <m/>
    <m/>
    <m/>
    <m/>
    <m/>
    <m/>
    <m/>
    <m/>
    <m/>
    <m/>
    <m/>
    <m/>
    <m/>
    <m/>
    <n v="0"/>
    <n v="0"/>
    <n v="0"/>
    <m/>
    <m/>
    <n v="522238"/>
    <n v="177717"/>
    <s v="Barnes and East Sheen"/>
    <s v="Barnes"/>
    <x v="1"/>
    <x v="0"/>
    <m/>
    <x v="0"/>
    <m/>
    <m/>
    <m/>
    <m/>
    <x v="0"/>
  </r>
  <r>
    <s v="22/3714/ES191"/>
    <n v="77"/>
    <s v="CHU"/>
    <m/>
    <d v="2023-02-09T00:00:00"/>
    <d v="2023-02-09T00:00:00"/>
    <d v="2023-02-09T00:00:00"/>
    <d v="2023-02-09T00:00:00"/>
    <x v="0"/>
    <s v="Open Market"/>
    <m/>
    <s v="Existing use of the dwelling as a 6 bedroom House in Multiple Occupation (Use Class C4)"/>
    <s v="47 Hounslow Road, Twickenham TW2 7BZ_x000a_"/>
    <s v="TW2 7BZ"/>
    <m/>
    <m/>
    <m/>
    <m/>
    <n v="1"/>
    <m/>
    <m/>
    <m/>
    <n v="1"/>
    <m/>
    <m/>
    <m/>
    <m/>
    <m/>
    <n v="1"/>
    <m/>
    <m/>
    <n v="1"/>
    <n v="0"/>
    <n v="0"/>
    <n v="0"/>
    <n v="-1"/>
    <n v="0"/>
    <n v="1"/>
    <n v="0"/>
    <n v="0"/>
    <n v="0"/>
    <m/>
    <n v="0"/>
    <m/>
    <m/>
    <m/>
    <m/>
    <m/>
    <m/>
    <m/>
    <m/>
    <m/>
    <m/>
    <m/>
    <m/>
    <m/>
    <m/>
    <m/>
    <m/>
    <n v="0"/>
    <n v="0"/>
    <n v="0"/>
    <m/>
    <m/>
    <n v="514098"/>
    <n v="174152"/>
    <s v="Whitton"/>
    <s v="Whitton"/>
    <x v="1"/>
    <x v="0"/>
    <m/>
    <x v="0"/>
    <m/>
    <m/>
    <m/>
    <s v="Y"/>
    <x v="0"/>
  </r>
  <r>
    <s v="23/0180/ES191"/>
    <n v="78"/>
    <s v="CON"/>
    <m/>
    <d v="2023-03-06T00:00:00"/>
    <d v="2023-03-06T00:00:00"/>
    <d v="2023-03-06T00:00:00"/>
    <d v="2023-03-06T00:00:00"/>
    <x v="0"/>
    <s v="Open Market"/>
    <m/>
    <s v="house has been in use as a separate, self-contained dwelling for a continuous period of at least 4 years"/>
    <s v="5A Kentwode Green, Barnes, London SW13 9AD_x000a_"/>
    <s v="SW13 9AD"/>
    <m/>
    <m/>
    <m/>
    <m/>
    <m/>
    <m/>
    <m/>
    <m/>
    <n v="0"/>
    <m/>
    <n v="1"/>
    <m/>
    <m/>
    <m/>
    <m/>
    <m/>
    <m/>
    <n v="1"/>
    <n v="0"/>
    <n v="1"/>
    <n v="0"/>
    <n v="0"/>
    <n v="0"/>
    <n v="0"/>
    <n v="0"/>
    <n v="0"/>
    <n v="1"/>
    <m/>
    <n v="1"/>
    <m/>
    <m/>
    <m/>
    <m/>
    <m/>
    <m/>
    <m/>
    <m/>
    <m/>
    <m/>
    <m/>
    <m/>
    <m/>
    <m/>
    <m/>
    <m/>
    <n v="0"/>
    <n v="0"/>
    <n v="0"/>
    <m/>
    <m/>
    <n v="522218"/>
    <n v="177354"/>
    <s v="Barnes and East Sheen"/>
    <s v="Barnes"/>
    <x v="1"/>
    <x v="0"/>
    <m/>
    <x v="0"/>
    <m/>
    <m/>
    <m/>
    <m/>
    <x v="0"/>
  </r>
  <r>
    <s v="21/3223/FUL"/>
    <n v="79"/>
    <s v="CHU"/>
    <m/>
    <d v="2023-03-07T00:00:00"/>
    <d v="2026-03-07T00:00:00"/>
    <d v="2023-03-07T00:00:00"/>
    <d v="2023-03-07T00:00:00"/>
    <x v="0"/>
    <s v="Open Market"/>
    <m/>
    <s v="Conversion of two flats back to a single family dwelling-house."/>
    <s v="14 Warwick Road, Hampton Wick"/>
    <s v="KT1 4DW"/>
    <m/>
    <n v="2"/>
    <m/>
    <m/>
    <m/>
    <m/>
    <m/>
    <m/>
    <n v="2"/>
    <m/>
    <m/>
    <n v="1"/>
    <m/>
    <m/>
    <m/>
    <m/>
    <m/>
    <n v="1"/>
    <n v="-2"/>
    <n v="0"/>
    <n v="1"/>
    <n v="0"/>
    <n v="0"/>
    <n v="0"/>
    <n v="0"/>
    <n v="0"/>
    <n v="-1"/>
    <m/>
    <n v="-1"/>
    <m/>
    <m/>
    <m/>
    <m/>
    <m/>
    <m/>
    <m/>
    <m/>
    <m/>
    <m/>
    <m/>
    <m/>
    <m/>
    <m/>
    <m/>
    <m/>
    <n v="0"/>
    <n v="0"/>
    <n v="0"/>
    <m/>
    <m/>
    <n v="517317"/>
    <n v="169900"/>
    <s v="Teddington and the Hamptons"/>
    <s v="Hampton Wick &amp; South Teddington"/>
    <x v="1"/>
    <x v="0"/>
    <s v="Hampton Wick"/>
    <x v="1"/>
    <m/>
    <m/>
    <m/>
    <s v="Y"/>
    <x v="0"/>
  </r>
  <r>
    <s v="23/0392/ES191"/>
    <n v="80"/>
    <s v="CON"/>
    <m/>
    <d v="2023-03-29T00:00:00"/>
    <d v="2023-03-29T00:00:00"/>
    <d v="2023-03-29T00:00:00"/>
    <d v="2023-03-29T00:00:00"/>
    <x v="0"/>
    <s v="Open Market"/>
    <m/>
    <s v="Establish use of property as two bedroom flat (C3)"/>
    <s v="Ground Floor Flat, 18 Water Lane, Richmond TW9 1TJ_x000a_"/>
    <s v="TW9 1TJ"/>
    <m/>
    <n v="2"/>
    <m/>
    <m/>
    <m/>
    <m/>
    <m/>
    <m/>
    <n v="2"/>
    <m/>
    <n v="1"/>
    <m/>
    <m/>
    <m/>
    <m/>
    <m/>
    <m/>
    <n v="1"/>
    <n v="-2"/>
    <n v="1"/>
    <n v="0"/>
    <n v="0"/>
    <n v="0"/>
    <n v="0"/>
    <n v="0"/>
    <n v="0"/>
    <n v="-1"/>
    <m/>
    <n v="-1"/>
    <m/>
    <m/>
    <m/>
    <m/>
    <m/>
    <m/>
    <m/>
    <m/>
    <m/>
    <m/>
    <m/>
    <m/>
    <m/>
    <m/>
    <m/>
    <m/>
    <n v="0"/>
    <n v="0"/>
    <n v="0"/>
    <m/>
    <m/>
    <n v="517679"/>
    <n v="174711"/>
    <s v="Richmond"/>
    <s v="South Richmond"/>
    <x v="4"/>
    <x v="1"/>
    <m/>
    <x v="0"/>
    <m/>
    <s v="CA4 Richmond Riverside"/>
    <s v="Y"/>
    <s v="Y"/>
    <x v="0"/>
  </r>
  <r>
    <s v="23/0349/ES191"/>
    <n v="81"/>
    <s v="CON"/>
    <m/>
    <d v="2023-03-30T00:00:00"/>
    <d v="2023-03-30T00:00:00"/>
    <d v="2023-03-30T00:00:00"/>
    <d v="2023-03-30T00:00:00"/>
    <x v="0"/>
    <s v="Open Market"/>
    <m/>
    <s v="Certificate of lawfulness existing for use of first floor as 2 self-contained flats."/>
    <s v="70A White Hart Lane, Barnes, London SW13 0PZ_x000a_"/>
    <s v="SW13 0PZ"/>
    <m/>
    <m/>
    <m/>
    <n v="1"/>
    <m/>
    <m/>
    <m/>
    <m/>
    <n v="1"/>
    <n v="2"/>
    <m/>
    <m/>
    <m/>
    <m/>
    <m/>
    <m/>
    <m/>
    <n v="2"/>
    <n v="2"/>
    <n v="0"/>
    <n v="-1"/>
    <n v="0"/>
    <n v="0"/>
    <n v="0"/>
    <n v="0"/>
    <n v="0"/>
    <n v="1"/>
    <m/>
    <n v="1"/>
    <m/>
    <m/>
    <m/>
    <m/>
    <m/>
    <m/>
    <m/>
    <m/>
    <m/>
    <m/>
    <m/>
    <m/>
    <m/>
    <m/>
    <m/>
    <m/>
    <n v="0"/>
    <n v="0"/>
    <n v="0"/>
    <m/>
    <m/>
    <n v="521325"/>
    <n v="175815"/>
    <s v="Barnes and East Sheen"/>
    <s v="Mortlake &amp; Barnes Common"/>
    <x v="1"/>
    <x v="0"/>
    <s v="White Hart lane, Barnes"/>
    <x v="1"/>
    <m/>
    <s v="CA33 Mortlake"/>
    <s v="Y"/>
    <s v="Y"/>
    <x v="0"/>
  </r>
  <r>
    <s v="04/1020/FUL"/>
    <n v="82"/>
    <s v="CHU"/>
    <m/>
    <d v="2004-07-26T00:00:00"/>
    <d v="2009-07-23T00:00:00"/>
    <d v="2009-07-01T00:00:00"/>
    <m/>
    <x v="1"/>
    <s v="Open Market"/>
    <m/>
    <s v="Erection Of One And Half Storey Rear Extension To Create Self Contained Dwelling"/>
    <s v="83 High Street, Hampton Wick"/>
    <m/>
    <m/>
    <m/>
    <m/>
    <m/>
    <m/>
    <m/>
    <m/>
    <m/>
    <n v="0"/>
    <n v="1"/>
    <m/>
    <m/>
    <m/>
    <m/>
    <m/>
    <m/>
    <m/>
    <n v="1"/>
    <n v="1"/>
    <n v="0"/>
    <n v="0"/>
    <n v="0"/>
    <n v="0"/>
    <n v="0"/>
    <n v="0"/>
    <n v="0"/>
    <n v="1"/>
    <m/>
    <m/>
    <n v="0.5"/>
    <n v="0.5"/>
    <m/>
    <m/>
    <m/>
    <m/>
    <m/>
    <m/>
    <m/>
    <m/>
    <m/>
    <m/>
    <m/>
    <m/>
    <m/>
    <m/>
    <n v="1"/>
    <n v="1"/>
    <n v="1"/>
    <m/>
    <m/>
    <n v="517419"/>
    <n v="169715"/>
    <s v="Teddington and the Hamptons"/>
    <s v="Hampton Wick &amp; South Teddington"/>
    <x v="1"/>
    <x v="0"/>
    <s v="Hampton Wick"/>
    <x v="1"/>
    <m/>
    <s v="CA18 Hampton Wick"/>
    <s v="Y"/>
    <s v="Y"/>
    <x v="0"/>
  </r>
  <r>
    <s v="07/3512/FUL"/>
    <n v="83"/>
    <s v="NEW"/>
    <m/>
    <d v="2008-01-30T00:00:00"/>
    <d v="2011-01-30T00:00:00"/>
    <d v="2011-01-25T00:00:00"/>
    <m/>
    <x v="1"/>
    <s v="Open Market"/>
    <m/>
    <s v="Demolition of an existing bungalow and construction of two new residential units. Separate entrance will be provided to both dwellings. The developments two main levels: above lower ground and a built out roof area underneath a pitch roof."/>
    <s v="64 Ormond Avenue, Hampton TW12 2RX_x000a_"/>
    <m/>
    <m/>
    <m/>
    <m/>
    <n v="1"/>
    <m/>
    <m/>
    <m/>
    <m/>
    <n v="1"/>
    <n v="1"/>
    <m/>
    <m/>
    <n v="1"/>
    <m/>
    <m/>
    <m/>
    <m/>
    <n v="2"/>
    <n v="1"/>
    <n v="0"/>
    <n v="-1"/>
    <n v="1"/>
    <n v="0"/>
    <n v="0"/>
    <n v="0"/>
    <n v="0"/>
    <n v="1"/>
    <m/>
    <m/>
    <n v="0.5"/>
    <n v="0.5"/>
    <m/>
    <m/>
    <m/>
    <m/>
    <m/>
    <m/>
    <m/>
    <m/>
    <m/>
    <m/>
    <m/>
    <m/>
    <m/>
    <m/>
    <n v="1"/>
    <n v="1"/>
    <n v="1"/>
    <m/>
    <m/>
    <n v="513713"/>
    <n v="169858"/>
    <s v="Teddington and the Hamptons"/>
    <s v="Hampton"/>
    <x v="1"/>
    <x v="0"/>
    <m/>
    <x v="0"/>
    <m/>
    <m/>
    <m/>
    <s v="Y"/>
    <x v="0"/>
  </r>
  <r>
    <s v="11/0468/PS192"/>
    <n v="84"/>
    <s v="NEW"/>
    <m/>
    <d v="2011-03-07T00:00:00"/>
    <d v="2014-03-07T00:00:00"/>
    <d v="2011-03-07T00:00:00"/>
    <m/>
    <x v="1"/>
    <s v="Open Market"/>
    <m/>
    <s v="Continuing construction of block of 11 flats on site of Osbourne House under permission 07/2991/FUL after 28/02/2011 (when the permission would otherwise have expired) will be lawful."/>
    <s v="Becketts Wharf And Osbourne House, Becketts Place, Hampton Wick_x000a__x000a_"/>
    <m/>
    <m/>
    <m/>
    <m/>
    <m/>
    <m/>
    <m/>
    <m/>
    <m/>
    <n v="0"/>
    <n v="4"/>
    <n v="7"/>
    <m/>
    <m/>
    <m/>
    <m/>
    <m/>
    <m/>
    <n v="11"/>
    <n v="4"/>
    <n v="7"/>
    <n v="0"/>
    <n v="0"/>
    <n v="0"/>
    <n v="0"/>
    <n v="0"/>
    <n v="0"/>
    <n v="11"/>
    <m/>
    <m/>
    <n v="5.5"/>
    <n v="5.5"/>
    <m/>
    <m/>
    <m/>
    <m/>
    <m/>
    <m/>
    <m/>
    <m/>
    <m/>
    <m/>
    <m/>
    <m/>
    <m/>
    <m/>
    <n v="11"/>
    <n v="11"/>
    <n v="11"/>
    <m/>
    <m/>
    <n v="517650"/>
    <n v="169624"/>
    <s v="Teddington and the Hamptons"/>
    <s v="Hampton Wick &amp; South Teddington"/>
    <x v="1"/>
    <x v="1"/>
    <s v="Hampton Wick"/>
    <x v="1"/>
    <m/>
    <s v="CA18 Hampton Wick"/>
    <s v="Y"/>
    <s v="Y"/>
    <x v="0"/>
  </r>
  <r>
    <s v="16/0680/FUL"/>
    <n v="85"/>
    <s v="EXT"/>
    <m/>
    <d v="2016-04-19T00:00:00"/>
    <d v="2019-04-19T00:00:00"/>
    <d v="2016-07-01T00:00:00"/>
    <m/>
    <x v="1"/>
    <s v="Open Market"/>
    <m/>
    <s v="Part demolition of single dwelling house and formation of two semi-detached houses."/>
    <s v="2 Firs Avenue, East Sheen, London SW14 7NZ_x000a_"/>
    <m/>
    <m/>
    <m/>
    <m/>
    <m/>
    <n v="1"/>
    <m/>
    <m/>
    <m/>
    <n v="1"/>
    <m/>
    <m/>
    <m/>
    <n v="2"/>
    <m/>
    <m/>
    <m/>
    <m/>
    <n v="2"/>
    <n v="0"/>
    <n v="0"/>
    <n v="0"/>
    <n v="1"/>
    <n v="0"/>
    <n v="0"/>
    <n v="0"/>
    <n v="0"/>
    <n v="1"/>
    <m/>
    <m/>
    <n v="0.5"/>
    <n v="0.5"/>
    <m/>
    <m/>
    <m/>
    <m/>
    <m/>
    <m/>
    <m/>
    <m/>
    <m/>
    <m/>
    <m/>
    <m/>
    <m/>
    <m/>
    <n v="1"/>
    <n v="1"/>
    <n v="1"/>
    <m/>
    <m/>
    <n v="520343"/>
    <n v="175141"/>
    <s v="Barnes and East Sheen"/>
    <s v="East Sheen"/>
    <x v="1"/>
    <x v="0"/>
    <m/>
    <x v="0"/>
    <m/>
    <m/>
    <m/>
    <s v="Y"/>
    <x v="0"/>
  </r>
  <r>
    <s v="13/1327/FUL"/>
    <n v="86"/>
    <s v="CHU"/>
    <m/>
    <d v="2013-09-03T00:00:00"/>
    <d v="2016-09-03T00:00:00"/>
    <d v="2016-08-19T00:00:00"/>
    <m/>
    <x v="1"/>
    <s v="Open Market"/>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_x000a__x000a_"/>
    <m/>
    <m/>
    <m/>
    <m/>
    <m/>
    <n v="2"/>
    <m/>
    <m/>
    <m/>
    <n v="2"/>
    <m/>
    <m/>
    <m/>
    <n v="1"/>
    <m/>
    <m/>
    <m/>
    <m/>
    <n v="1"/>
    <n v="0"/>
    <n v="0"/>
    <n v="0"/>
    <n v="-1"/>
    <n v="0"/>
    <n v="0"/>
    <n v="0"/>
    <n v="0"/>
    <n v="-1"/>
    <m/>
    <m/>
    <n v="-0.5"/>
    <n v="-0.5"/>
    <m/>
    <m/>
    <m/>
    <m/>
    <m/>
    <m/>
    <m/>
    <m/>
    <m/>
    <m/>
    <m/>
    <m/>
    <m/>
    <m/>
    <n v="-1"/>
    <n v="-1"/>
    <n v="-1"/>
    <m/>
    <m/>
    <n v="518397"/>
    <n v="173968"/>
    <s v="Ham &amp; Petersham"/>
    <s v="Ham, Petersham &amp; Richmond Riverside"/>
    <x v="1"/>
    <x v="1"/>
    <m/>
    <x v="0"/>
    <m/>
    <s v="CA5 Richmond Hill"/>
    <s v="Y"/>
    <s v="Y"/>
    <x v="0"/>
  </r>
  <r>
    <s v="14/2797/P3JPA"/>
    <n v="87"/>
    <s v="CHU"/>
    <m/>
    <d v="2014-08-20T00:00:00"/>
    <d v="2017-11-27T00:00:00"/>
    <d v="2017-06-30T00:00:00"/>
    <m/>
    <x v="1"/>
    <s v="Open Market"/>
    <m/>
    <s v="Proposed change of use of part of an existing two storey office block (B1a Use Class) to Residential (C3 Use Class) creating 6 No.flats (comprising 1 x 1-bed unit and 5 x 2-bed units)."/>
    <s v="Crane Mews, 32 Gould Road, Twickenham_x000a__x000a_"/>
    <s v="TW2 6RS"/>
    <m/>
    <m/>
    <m/>
    <m/>
    <m/>
    <m/>
    <m/>
    <m/>
    <n v="0"/>
    <n v="1"/>
    <n v="5"/>
    <m/>
    <m/>
    <m/>
    <m/>
    <m/>
    <m/>
    <n v="6"/>
    <n v="1"/>
    <n v="5"/>
    <n v="0"/>
    <n v="0"/>
    <n v="0"/>
    <n v="0"/>
    <n v="0"/>
    <n v="0"/>
    <n v="6"/>
    <m/>
    <m/>
    <n v="3"/>
    <n v="3"/>
    <m/>
    <m/>
    <m/>
    <m/>
    <m/>
    <m/>
    <m/>
    <m/>
    <m/>
    <m/>
    <m/>
    <m/>
    <m/>
    <m/>
    <n v="6"/>
    <n v="6"/>
    <n v="6"/>
    <m/>
    <m/>
    <n v="515206"/>
    <n v="173341"/>
    <s v="Twickenham"/>
    <s v="South Twickenham"/>
    <x v="1"/>
    <x v="0"/>
    <m/>
    <x v="0"/>
    <m/>
    <m/>
    <m/>
    <s v="Y"/>
    <x v="0"/>
  </r>
  <r>
    <s v="14/5284/FUL"/>
    <n v="88"/>
    <s v="CON"/>
    <m/>
    <d v="2015-02-16T00:00:00"/>
    <d v="2018-02-16T00:00:00"/>
    <d v="2018-02-16T00:00:00"/>
    <m/>
    <x v="1"/>
    <s v="Open Market"/>
    <m/>
    <s v="The reversion of a Building of Townscape Merit from two self-contained flats (1x1 and 1x3 beds) to a single-family dwelling (Use Class C3: Dwelling Houses) including a rear side infill extension with associated works."/>
    <s v="46 Halford Road, Richmond_x000a__x000a_"/>
    <s v="TW10 6AP"/>
    <m/>
    <n v="1"/>
    <m/>
    <n v="1"/>
    <m/>
    <m/>
    <m/>
    <m/>
    <n v="2"/>
    <m/>
    <m/>
    <m/>
    <n v="1"/>
    <m/>
    <m/>
    <m/>
    <m/>
    <n v="1"/>
    <n v="-1"/>
    <n v="0"/>
    <n v="-1"/>
    <n v="1"/>
    <n v="0"/>
    <n v="0"/>
    <n v="0"/>
    <n v="0"/>
    <n v="-1"/>
    <m/>
    <m/>
    <n v="-0.5"/>
    <n v="-0.5"/>
    <m/>
    <m/>
    <m/>
    <m/>
    <m/>
    <m/>
    <m/>
    <m/>
    <m/>
    <m/>
    <m/>
    <m/>
    <m/>
    <m/>
    <n v="-1"/>
    <n v="-1"/>
    <n v="-1"/>
    <m/>
    <m/>
    <n v="518090"/>
    <n v="174701"/>
    <s v="Richmond"/>
    <s v="South Richmond"/>
    <x v="1"/>
    <x v="0"/>
    <m/>
    <x v="0"/>
    <m/>
    <s v="CA5 Richmond Hill"/>
    <s v="Y"/>
    <s v="Y"/>
    <x v="0"/>
  </r>
  <r>
    <s v="16/3625/FUL"/>
    <n v="89"/>
    <s v="NEW"/>
    <m/>
    <d v="2017-11-30T00:00:00"/>
    <d v="2020-11-30T00:00:00"/>
    <d v="2018-09-01T00:00:00"/>
    <m/>
    <x v="1"/>
    <s v="Open Market"/>
    <m/>
    <s v="Demolition of existing car repair workshop and replacement with 1 no. ground floor B1(a) commercial unit and 1 no. 2 bed residential unit with associated landscaping, car and cycle parking."/>
    <s v="65 Holly Road, Twickenham TW1 4HF_x000a_"/>
    <s v="TW1 4HF"/>
    <m/>
    <m/>
    <m/>
    <m/>
    <m/>
    <m/>
    <m/>
    <m/>
    <n v="0"/>
    <m/>
    <n v="1"/>
    <m/>
    <m/>
    <m/>
    <m/>
    <m/>
    <m/>
    <n v="1"/>
    <n v="0"/>
    <n v="1"/>
    <n v="0"/>
    <n v="0"/>
    <n v="0"/>
    <n v="0"/>
    <n v="0"/>
    <n v="0"/>
    <n v="1"/>
    <m/>
    <m/>
    <n v="0.5"/>
    <n v="0.5"/>
    <m/>
    <m/>
    <m/>
    <m/>
    <m/>
    <m/>
    <m/>
    <m/>
    <m/>
    <m/>
    <m/>
    <m/>
    <m/>
    <m/>
    <n v="1"/>
    <n v="1"/>
    <n v="1"/>
    <m/>
    <m/>
    <n v="516115"/>
    <n v="173199"/>
    <s v="Twickenham"/>
    <s v="Twickenham Riverside"/>
    <x v="2"/>
    <x v="0"/>
    <m/>
    <x v="0"/>
    <m/>
    <m/>
    <m/>
    <s v="Y"/>
    <x v="0"/>
  </r>
  <r>
    <s v="16/0058/FUL"/>
    <n v="90"/>
    <s v="CHU"/>
    <m/>
    <d v="2016-07-14T00:00:00"/>
    <d v="2019-07-14T00:00:00"/>
    <d v="2019-07-10T00:00:00"/>
    <m/>
    <x v="1"/>
    <s v="Open Market"/>
    <m/>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_x000a_"/>
    <m/>
    <m/>
    <m/>
    <m/>
    <m/>
    <m/>
    <m/>
    <m/>
    <m/>
    <n v="0"/>
    <n v="9"/>
    <m/>
    <m/>
    <m/>
    <m/>
    <m/>
    <m/>
    <m/>
    <n v="9"/>
    <n v="9"/>
    <n v="0"/>
    <n v="0"/>
    <n v="0"/>
    <n v="0"/>
    <n v="0"/>
    <n v="0"/>
    <n v="0"/>
    <n v="9"/>
    <m/>
    <m/>
    <n v="4.5"/>
    <n v="4.5"/>
    <m/>
    <m/>
    <m/>
    <m/>
    <m/>
    <m/>
    <m/>
    <m/>
    <m/>
    <m/>
    <m/>
    <m/>
    <m/>
    <m/>
    <n v="9"/>
    <n v="9"/>
    <n v="9"/>
    <m/>
    <m/>
    <n v="517924"/>
    <n v="174891"/>
    <s v="Richmond"/>
    <s v="South Richmond"/>
    <x v="4"/>
    <x v="0"/>
    <m/>
    <x v="0"/>
    <m/>
    <s v="CA17 Central Richmond"/>
    <s v="Y"/>
    <s v="Y"/>
    <x v="0"/>
  </r>
  <r>
    <s v="16/3506/FUL"/>
    <n v="91"/>
    <s v="NEW"/>
    <m/>
    <d v="2018-10-11T00:00:00"/>
    <d v="2021-10-11T00:00:00"/>
    <d v="2019-10-14T00:00:00"/>
    <m/>
    <x v="1"/>
    <s v="Affordable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m/>
    <m/>
    <m/>
    <m/>
    <m/>
    <m/>
    <m/>
    <n v="0"/>
    <n v="19"/>
    <m/>
    <m/>
    <m/>
    <m/>
    <m/>
    <m/>
    <m/>
    <n v="19"/>
    <n v="19"/>
    <n v="0"/>
    <n v="0"/>
    <n v="0"/>
    <n v="0"/>
    <n v="0"/>
    <n v="0"/>
    <n v="0"/>
    <n v="19"/>
    <s v="Y"/>
    <m/>
    <n v="19"/>
    <m/>
    <m/>
    <m/>
    <m/>
    <m/>
    <m/>
    <m/>
    <m/>
    <m/>
    <m/>
    <m/>
    <m/>
    <m/>
    <m/>
    <m/>
    <n v="19"/>
    <n v="19"/>
    <n v="19"/>
    <s v="Y"/>
    <s v="Y"/>
    <n v="513257"/>
    <n v="174057"/>
    <s v="Whitton"/>
    <s v="Whitton"/>
    <x v="1"/>
    <x v="0"/>
    <m/>
    <x v="0"/>
    <m/>
    <m/>
    <m/>
    <s v="Y"/>
    <x v="0"/>
  </r>
  <r>
    <s v="16/3506/FUL"/>
    <n v="92"/>
    <s v="NEW"/>
    <m/>
    <d v="2018-10-11T00:00:00"/>
    <d v="2021-10-11T00:00:00"/>
    <d v="2019-10-14T00:00:00"/>
    <m/>
    <x v="1"/>
    <s v="Shared Ownership"/>
    <m/>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m/>
    <m/>
    <m/>
    <m/>
    <m/>
    <m/>
    <m/>
    <n v="0"/>
    <n v="5"/>
    <m/>
    <m/>
    <m/>
    <m/>
    <m/>
    <m/>
    <m/>
    <n v="5"/>
    <n v="5"/>
    <n v="0"/>
    <n v="0"/>
    <n v="0"/>
    <n v="0"/>
    <n v="0"/>
    <n v="0"/>
    <n v="0"/>
    <n v="5"/>
    <s v="Y"/>
    <m/>
    <n v="5"/>
    <m/>
    <m/>
    <m/>
    <m/>
    <m/>
    <m/>
    <m/>
    <m/>
    <m/>
    <m/>
    <m/>
    <m/>
    <m/>
    <m/>
    <m/>
    <n v="5"/>
    <n v="5"/>
    <n v="5"/>
    <s v="Y"/>
    <s v="Y"/>
    <n v="513257"/>
    <n v="174057"/>
    <s v="Whitton"/>
    <s v="Whitton"/>
    <x v="1"/>
    <x v="0"/>
    <m/>
    <x v="0"/>
    <m/>
    <m/>
    <m/>
    <s v="Y"/>
    <x v="0"/>
  </r>
  <r>
    <s v="16/3506/FUL"/>
    <n v="93"/>
    <s v="NEW"/>
    <m/>
    <d v="2018-10-11T00:00:00"/>
    <d v="2021-10-11T00:00:00"/>
    <d v="2019-10-14T00:00:00"/>
    <m/>
    <x v="1"/>
    <s v="Social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n v="29"/>
    <n v="1"/>
    <m/>
    <m/>
    <m/>
    <m/>
    <m/>
    <n v="30"/>
    <m/>
    <m/>
    <m/>
    <m/>
    <m/>
    <m/>
    <m/>
    <m/>
    <n v="0"/>
    <n v="-29"/>
    <n v="-1"/>
    <n v="0"/>
    <n v="0"/>
    <n v="0"/>
    <n v="0"/>
    <n v="0"/>
    <n v="0"/>
    <n v="-30"/>
    <s v="Y"/>
    <m/>
    <n v="-30"/>
    <m/>
    <m/>
    <m/>
    <m/>
    <m/>
    <m/>
    <m/>
    <m/>
    <m/>
    <m/>
    <m/>
    <m/>
    <m/>
    <m/>
    <m/>
    <n v="-30"/>
    <n v="-30"/>
    <n v="-30"/>
    <s v="Y"/>
    <s v="Y"/>
    <n v="513257"/>
    <n v="174057"/>
    <s v="Whitton"/>
    <s v="Whitton"/>
    <x v="1"/>
    <x v="0"/>
    <m/>
    <x v="0"/>
    <m/>
    <m/>
    <m/>
    <s v="Y"/>
    <x v="0"/>
  </r>
  <r>
    <s v="18/0216/FUL"/>
    <n v="94"/>
    <s v="CON"/>
    <m/>
    <d v="2018-12-05T00:00:00"/>
    <d v="2021-12-05T00:00:00"/>
    <d v="2019-11-11T00:00:00"/>
    <m/>
    <x v="1"/>
    <s v="Open Market"/>
    <m/>
    <s v="The division of the existing single dwelling on the upper floors into two dwellings. Rear dormer and roof lights to the front roofslope."/>
    <s v="34 Colston Road, East Sheen, London SW14 7PG"/>
    <s v="SW14 7PG"/>
    <m/>
    <m/>
    <m/>
    <m/>
    <n v="1"/>
    <m/>
    <m/>
    <m/>
    <n v="1"/>
    <n v="1"/>
    <m/>
    <n v="1"/>
    <m/>
    <m/>
    <m/>
    <m/>
    <m/>
    <n v="2"/>
    <n v="1"/>
    <n v="0"/>
    <n v="1"/>
    <n v="-1"/>
    <n v="0"/>
    <n v="0"/>
    <n v="0"/>
    <n v="0"/>
    <n v="1"/>
    <m/>
    <m/>
    <n v="0.5"/>
    <n v="0.5"/>
    <m/>
    <m/>
    <m/>
    <m/>
    <m/>
    <m/>
    <m/>
    <m/>
    <m/>
    <m/>
    <m/>
    <m/>
    <m/>
    <m/>
    <n v="1"/>
    <n v="1"/>
    <n v="1"/>
    <m/>
    <m/>
    <n v="520283"/>
    <n v="175305"/>
    <s v="Barnes and East Sheen"/>
    <s v="East Sheen"/>
    <x v="3"/>
    <x v="0"/>
    <m/>
    <x v="0"/>
    <m/>
    <m/>
    <m/>
    <s v="Y"/>
    <x v="0"/>
  </r>
  <r>
    <s v="18/3768/FUL"/>
    <n v="95"/>
    <s v="CHU"/>
    <m/>
    <d v="2019-03-26T00:00:00"/>
    <d v="2022-03-26T00:00:00"/>
    <d v="2020-01-13T00:00:00"/>
    <m/>
    <x v="1"/>
    <s v="Open Market"/>
    <m/>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n v="0"/>
    <m/>
    <m/>
    <m/>
    <m/>
    <n v="2"/>
    <m/>
    <m/>
    <m/>
    <n v="2"/>
    <n v="0"/>
    <n v="0"/>
    <n v="0"/>
    <n v="0"/>
    <n v="2"/>
    <n v="0"/>
    <n v="0"/>
    <n v="0"/>
    <n v="2"/>
    <m/>
    <m/>
    <n v="1"/>
    <n v="1"/>
    <m/>
    <m/>
    <m/>
    <m/>
    <m/>
    <m/>
    <m/>
    <m/>
    <m/>
    <m/>
    <m/>
    <m/>
    <m/>
    <m/>
    <n v="2"/>
    <n v="2"/>
    <n v="2"/>
    <m/>
    <m/>
    <n v="513264"/>
    <n v="169738"/>
    <s v="Teddington and the Hamptons"/>
    <s v="Hampton"/>
    <x v="1"/>
    <x v="0"/>
    <m/>
    <x v="0"/>
    <m/>
    <m/>
    <m/>
    <s v="Y"/>
    <x v="0"/>
  </r>
  <r>
    <s v="19/2377/GPD15"/>
    <n v="96"/>
    <s v="CHU"/>
    <s v="PA"/>
    <d v="2019-09-30T00:00:00"/>
    <d v="2022-09-30T00:00:00"/>
    <d v="2020-02-17T00:00:00"/>
    <m/>
    <x v="1"/>
    <s v="Open Market"/>
    <m/>
    <s v="Partial change of use from office to residential (4 No flats)."/>
    <s v="122 - 124 St Margarets Road, Twickenham"/>
    <s v="TW1 2LH"/>
    <m/>
    <m/>
    <m/>
    <m/>
    <m/>
    <m/>
    <m/>
    <m/>
    <n v="0"/>
    <m/>
    <n v="4"/>
    <m/>
    <m/>
    <m/>
    <m/>
    <m/>
    <m/>
    <n v="4"/>
    <n v="0"/>
    <n v="4"/>
    <n v="0"/>
    <n v="0"/>
    <n v="0"/>
    <n v="0"/>
    <n v="0"/>
    <n v="0"/>
    <n v="4"/>
    <m/>
    <m/>
    <n v="2"/>
    <n v="2"/>
    <m/>
    <m/>
    <m/>
    <m/>
    <m/>
    <m/>
    <m/>
    <m/>
    <m/>
    <m/>
    <m/>
    <m/>
    <m/>
    <m/>
    <n v="4"/>
    <n v="4"/>
    <n v="4"/>
    <m/>
    <m/>
    <n v="516843"/>
    <n v="174266"/>
    <s v="Twickenham"/>
    <s v="St. Margarets &amp; North Twickenham"/>
    <x v="1"/>
    <x v="0"/>
    <s v="St Margarets"/>
    <x v="1"/>
    <m/>
    <s v="CA49 Crown Road St Margarets"/>
    <s v="Y"/>
    <s v="Y"/>
    <x v="0"/>
  </r>
  <r>
    <s v="16/0905/FUL"/>
    <n v="97"/>
    <s v="NEW"/>
    <m/>
    <d v="2017-02-23T00:00:00"/>
    <d v="2020-02-23T00:00:00"/>
    <d v="2020-02-19T00:00:00"/>
    <m/>
    <x v="1"/>
    <s v="Open Market"/>
    <m/>
    <s v="Demolition of the existing hall and the erection of a new community facility building and 6 flats"/>
    <s v="275 Sandycombe Road, Richmond TW9 3LU_x000a_"/>
    <m/>
    <m/>
    <m/>
    <m/>
    <m/>
    <m/>
    <m/>
    <m/>
    <m/>
    <n v="0"/>
    <n v="4"/>
    <n v="2"/>
    <m/>
    <m/>
    <m/>
    <m/>
    <m/>
    <m/>
    <n v="6"/>
    <n v="4"/>
    <n v="2"/>
    <n v="0"/>
    <n v="0"/>
    <n v="0"/>
    <n v="0"/>
    <n v="0"/>
    <n v="0"/>
    <n v="6"/>
    <m/>
    <m/>
    <n v="3"/>
    <n v="3"/>
    <m/>
    <m/>
    <m/>
    <m/>
    <m/>
    <m/>
    <m/>
    <m/>
    <m/>
    <m/>
    <m/>
    <m/>
    <m/>
    <m/>
    <n v="6"/>
    <n v="6"/>
    <n v="6"/>
    <m/>
    <m/>
    <n v="519126"/>
    <n v="176420"/>
    <s v="Richmond"/>
    <s v="Kew"/>
    <x v="1"/>
    <x v="0"/>
    <s v="Sandycombe Road North"/>
    <x v="1"/>
    <m/>
    <s v="CA15 Kew Gardens Kew"/>
    <s v="Y"/>
    <s v="Y"/>
    <x v="0"/>
  </r>
  <r>
    <s v="16/4635/FUL"/>
    <n v="98"/>
    <s v="NEW"/>
    <m/>
    <d v="2017-03-07T00:00:00"/>
    <d v="2020-03-07T00:00:00"/>
    <d v="2020-03-01T00:00:00"/>
    <m/>
    <x v="1"/>
    <s v="Open Market"/>
    <m/>
    <s v="Construction of a three bedroom single storey dwelling with associated hard and soft landscaping, parking and access road (bollard lit)"/>
    <s v="Land Rear Of 12 To 36 Vincam Close, Twickenham_x000a__x000a_"/>
    <m/>
    <m/>
    <m/>
    <m/>
    <m/>
    <m/>
    <m/>
    <m/>
    <m/>
    <n v="0"/>
    <m/>
    <m/>
    <n v="1"/>
    <m/>
    <m/>
    <m/>
    <m/>
    <m/>
    <n v="1"/>
    <n v="0"/>
    <n v="0"/>
    <n v="1"/>
    <n v="0"/>
    <n v="0"/>
    <n v="0"/>
    <n v="0"/>
    <n v="0"/>
    <n v="1"/>
    <m/>
    <m/>
    <n v="0.5"/>
    <n v="0.5"/>
    <m/>
    <m/>
    <m/>
    <m/>
    <m/>
    <m/>
    <m/>
    <m/>
    <m/>
    <m/>
    <m/>
    <m/>
    <m/>
    <m/>
    <n v="1"/>
    <n v="1"/>
    <n v="1"/>
    <m/>
    <m/>
    <n v="513432"/>
    <n v="173849"/>
    <s v="Whitton"/>
    <s v="Whitton"/>
    <x v="1"/>
    <x v="0"/>
    <m/>
    <x v="0"/>
    <m/>
    <m/>
    <m/>
    <s v="Y"/>
    <x v="0"/>
  </r>
  <r>
    <s v="19/0111/FUL"/>
    <n v="99"/>
    <s v="MIX"/>
    <m/>
    <d v="2019-12-12T00:00:00"/>
    <d v="2022-12-12T00:00:00"/>
    <d v="2020-03-30T00:00:00"/>
    <m/>
    <x v="1"/>
    <s v="London Affordable Ren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m/>
    <n v="0"/>
    <m/>
    <m/>
    <m/>
    <m/>
    <m/>
    <m/>
    <n v="0"/>
    <n v="3"/>
    <n v="3"/>
    <m/>
    <m/>
    <m/>
    <m/>
    <m/>
    <m/>
    <n v="6"/>
    <n v="3"/>
    <n v="3"/>
    <n v="0"/>
    <n v="0"/>
    <n v="0"/>
    <n v="0"/>
    <n v="0"/>
    <n v="0"/>
    <n v="6"/>
    <s v="Y"/>
    <m/>
    <n v="3"/>
    <n v="3"/>
    <m/>
    <m/>
    <m/>
    <m/>
    <m/>
    <m/>
    <m/>
    <m/>
    <m/>
    <m/>
    <m/>
    <m/>
    <m/>
    <m/>
    <n v="6"/>
    <n v="6"/>
    <n v="6"/>
    <m/>
    <m/>
    <n v="517598"/>
    <n v="169722"/>
    <s v="Teddington and the Hamptons"/>
    <s v="Hampton Wick &amp; South Teddington"/>
    <x v="1"/>
    <x v="0"/>
    <m/>
    <x v="0"/>
    <m/>
    <s v="CA18 Hampton Wick"/>
    <s v="Y"/>
    <s v="Y"/>
    <x v="0"/>
  </r>
  <r>
    <s v="19/0111/FUL"/>
    <n v="100"/>
    <s v="MIX"/>
    <m/>
    <d v="2019-12-12T00:00:00"/>
    <d v="2022-12-12T00:00:00"/>
    <d v="2020-03-30T00:00:00"/>
    <m/>
    <x v="1"/>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m/>
    <n v="7"/>
    <m/>
    <m/>
    <m/>
    <m/>
    <m/>
    <m/>
    <n v="7"/>
    <n v="2"/>
    <n v="4"/>
    <m/>
    <m/>
    <m/>
    <m/>
    <m/>
    <m/>
    <n v="6"/>
    <n v="-5"/>
    <n v="4"/>
    <n v="0"/>
    <n v="0"/>
    <n v="0"/>
    <n v="0"/>
    <n v="0"/>
    <n v="0"/>
    <n v="-1"/>
    <s v="Y"/>
    <m/>
    <n v="-0.5"/>
    <n v="-0.5"/>
    <m/>
    <m/>
    <m/>
    <m/>
    <m/>
    <m/>
    <m/>
    <m/>
    <m/>
    <m/>
    <m/>
    <m/>
    <m/>
    <m/>
    <n v="-1"/>
    <n v="-1"/>
    <n v="-1"/>
    <m/>
    <m/>
    <n v="517598"/>
    <n v="169722"/>
    <s v="Teddington and the Hamptons"/>
    <s v="Hampton Wick &amp; South Teddington"/>
    <x v="1"/>
    <x v="0"/>
    <m/>
    <x v="0"/>
    <m/>
    <s v="CA18 Hampton Wick"/>
    <s v="Y"/>
    <s v="Y"/>
    <x v="0"/>
  </r>
  <r>
    <s v="19/0111/FUL"/>
    <n v="101"/>
    <s v="MIX"/>
    <m/>
    <d v="2019-12-12T00:00:00"/>
    <d v="2022-12-12T00:00:00"/>
    <d v="2020-03-30T00:00:00"/>
    <m/>
    <x v="1"/>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s v="23-27 Lower Teddington Road"/>
    <n v="0"/>
    <m/>
    <m/>
    <m/>
    <m/>
    <m/>
    <m/>
    <n v="0"/>
    <m/>
    <m/>
    <m/>
    <m/>
    <m/>
    <m/>
    <m/>
    <m/>
    <n v="0"/>
    <n v="0"/>
    <n v="0"/>
    <n v="0"/>
    <n v="0"/>
    <n v="0"/>
    <n v="0"/>
    <n v="0"/>
    <n v="0"/>
    <n v="0"/>
    <s v="Y"/>
    <m/>
    <m/>
    <n v="0"/>
    <m/>
    <m/>
    <m/>
    <m/>
    <m/>
    <m/>
    <m/>
    <m/>
    <m/>
    <m/>
    <m/>
    <m/>
    <m/>
    <m/>
    <n v="0"/>
    <n v="0"/>
    <n v="0"/>
    <m/>
    <m/>
    <n v="517598"/>
    <n v="169722"/>
    <s v="Teddington and the Hamptons"/>
    <s v="Hampton Wick &amp; South Teddington"/>
    <x v="1"/>
    <x v="0"/>
    <m/>
    <x v="0"/>
    <m/>
    <s v="CA18 Hampton Wick"/>
    <s v="Y"/>
    <s v="Y"/>
    <x v="0"/>
  </r>
  <r>
    <s v="19/1065/VRC"/>
    <n v="102"/>
    <s v="NEW"/>
    <m/>
    <d v="2019-07-10T00:00:00"/>
    <d v="2022-07-10T00:00:00"/>
    <d v="2020-05-21T00:00:00"/>
    <m/>
    <x v="1"/>
    <s v="Open Market"/>
    <m/>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_x000a_"/>
    <s v="SW13 9JT"/>
    <m/>
    <n v="8"/>
    <n v="2"/>
    <n v="4"/>
    <n v="2"/>
    <m/>
    <m/>
    <m/>
    <n v="16"/>
    <n v="7"/>
    <n v="5"/>
    <n v="6"/>
    <m/>
    <m/>
    <m/>
    <m/>
    <m/>
    <n v="18"/>
    <n v="-1"/>
    <n v="3"/>
    <n v="2"/>
    <n v="-2"/>
    <n v="0"/>
    <n v="0"/>
    <n v="0"/>
    <n v="0"/>
    <n v="2"/>
    <m/>
    <m/>
    <n v="1"/>
    <n v="1"/>
    <m/>
    <m/>
    <m/>
    <m/>
    <m/>
    <m/>
    <m/>
    <m/>
    <m/>
    <m/>
    <m/>
    <m/>
    <m/>
    <m/>
    <n v="2"/>
    <n v="2"/>
    <n v="2"/>
    <m/>
    <m/>
    <n v="522473"/>
    <n v="178000"/>
    <s v="Barnes and East Sheen"/>
    <s v="Barnes"/>
    <x v="1"/>
    <x v="1"/>
    <m/>
    <x v="0"/>
    <m/>
    <m/>
    <m/>
    <s v="Y"/>
    <x v="0"/>
  </r>
  <r>
    <s v="18/1248/FUL"/>
    <n v="103"/>
    <s v="CHU"/>
    <m/>
    <d v="2018-12-21T00:00:00"/>
    <d v="2021-12-21T00:00:00"/>
    <d v="2020-09-01T00:00:00"/>
    <m/>
    <x v="1"/>
    <s v="Open Market"/>
    <m/>
    <s v="Conversion, refurbishment and extension of existing tyre shop with maisonette above (C3) into two self-contained one bedroom flats (C3)."/>
    <s v="1 Trinity Road, Richmond TW9 2LD"/>
    <s v="TW9 2LD"/>
    <m/>
    <n v="1"/>
    <m/>
    <m/>
    <m/>
    <m/>
    <m/>
    <m/>
    <n v="1"/>
    <n v="2"/>
    <m/>
    <m/>
    <m/>
    <m/>
    <m/>
    <m/>
    <m/>
    <n v="2"/>
    <n v="1"/>
    <n v="0"/>
    <n v="0"/>
    <n v="0"/>
    <n v="0"/>
    <n v="0"/>
    <n v="0"/>
    <n v="0"/>
    <n v="1"/>
    <m/>
    <m/>
    <n v="0.5"/>
    <n v="0.5"/>
    <m/>
    <m/>
    <m/>
    <m/>
    <m/>
    <m/>
    <m/>
    <m/>
    <m/>
    <m/>
    <m/>
    <m/>
    <m/>
    <m/>
    <n v="1"/>
    <n v="1"/>
    <n v="1"/>
    <m/>
    <m/>
    <n v="518862"/>
    <n v="175562"/>
    <s v="Richmond"/>
    <s v="North Richmond"/>
    <x v="1"/>
    <x v="0"/>
    <m/>
    <x v="0"/>
    <m/>
    <m/>
    <m/>
    <s v="Y"/>
    <x v="0"/>
  </r>
  <r>
    <s v="20/0773/FUL"/>
    <n v="104"/>
    <s v="NEW"/>
    <m/>
    <d v="2020-07-08T00:00:00"/>
    <d v="2023-07-08T00:00:00"/>
    <d v="2020-09-08T00:00:00"/>
    <m/>
    <x v="1"/>
    <s v="Open Market"/>
    <m/>
    <s v="Erection of 1no. single storey 2 bed dwellinghouse with associated cycle and refuse stores"/>
    <s v="Land At Railway Side, Barnes, London_x000a__x000a_"/>
    <s v="SW13 0AL"/>
    <m/>
    <m/>
    <m/>
    <m/>
    <m/>
    <m/>
    <m/>
    <m/>
    <n v="0"/>
    <m/>
    <n v="1"/>
    <m/>
    <m/>
    <m/>
    <m/>
    <m/>
    <m/>
    <n v="1"/>
    <n v="0"/>
    <n v="1"/>
    <n v="0"/>
    <n v="0"/>
    <n v="0"/>
    <n v="0"/>
    <n v="0"/>
    <n v="0"/>
    <n v="1"/>
    <m/>
    <m/>
    <n v="0.5"/>
    <n v="0.5"/>
    <m/>
    <m/>
    <m/>
    <m/>
    <m/>
    <m/>
    <m/>
    <m/>
    <m/>
    <m/>
    <m/>
    <m/>
    <m/>
    <m/>
    <n v="1"/>
    <n v="1"/>
    <n v="1"/>
    <m/>
    <m/>
    <n v="521729"/>
    <n v="176011"/>
    <s v="Barnes and East Sheen"/>
    <s v="Mortlake &amp; Barnes Common"/>
    <x v="1"/>
    <x v="0"/>
    <m/>
    <x v="0"/>
    <m/>
    <s v="CA16 Thorne Passage Mortlake"/>
    <s v="Y"/>
    <s v="Y"/>
    <x v="0"/>
  </r>
  <r>
    <s v="19/1162/FUL"/>
    <n v="105"/>
    <s v="MIX"/>
    <m/>
    <d v="2020-03-20T00:00:00"/>
    <d v="2023-03-20T00:00:00"/>
    <d v="2020-10-01T00:00:00"/>
    <m/>
    <x v="1"/>
    <s v="Open Market"/>
    <m/>
    <s v="Part change of use of ground floor and rear garden from A1 to C3 (residential use) and replacement window on ground floor rear elevation to facilitate the conversion of existing 1 x 3 bed flat into 2 x 2 bed flats and associated cycle and refuse stores (R"/>
    <s v="82 - 84 Hill Rise, Richmond_x000a__x000a_"/>
    <s v="TW10 6UB"/>
    <m/>
    <m/>
    <m/>
    <n v="1"/>
    <m/>
    <m/>
    <m/>
    <m/>
    <n v="1"/>
    <m/>
    <n v="2"/>
    <m/>
    <m/>
    <m/>
    <m/>
    <m/>
    <m/>
    <n v="2"/>
    <n v="0"/>
    <n v="2"/>
    <n v="-1"/>
    <n v="0"/>
    <n v="0"/>
    <n v="0"/>
    <n v="0"/>
    <n v="0"/>
    <n v="1"/>
    <m/>
    <m/>
    <n v="0.5"/>
    <n v="0.5"/>
    <m/>
    <m/>
    <m/>
    <m/>
    <m/>
    <m/>
    <m/>
    <m/>
    <m/>
    <m/>
    <m/>
    <m/>
    <m/>
    <m/>
    <n v="1"/>
    <n v="1"/>
    <n v="1"/>
    <m/>
    <m/>
    <n v="517949"/>
    <n v="174506"/>
    <s v="Richmond"/>
    <s v="South Richmond"/>
    <x v="4"/>
    <x v="0"/>
    <m/>
    <x v="0"/>
    <m/>
    <s v="CA5 Richmond Hill"/>
    <s v="Y"/>
    <s v="Y"/>
    <x v="0"/>
  </r>
  <r>
    <s v="19/0175/FUL"/>
    <n v="106"/>
    <s v="NEW"/>
    <m/>
    <d v="2019-05-09T00:00:00"/>
    <d v="2022-05-09T00:00:00"/>
    <d v="2020-11-20T00:00:00"/>
    <m/>
    <x v="1"/>
    <s v="Open Market"/>
    <m/>
    <s v="Demolition of existing one-bedroom, two-storey dwelling and construction of one-bedroom, one-person single-storey dwelling."/>
    <s v="The Haven, Eel Pie Island, Twickenham TW1 3DY"/>
    <s v="TW1 3DY"/>
    <m/>
    <n v="1"/>
    <m/>
    <m/>
    <m/>
    <m/>
    <m/>
    <m/>
    <n v="1"/>
    <n v="1"/>
    <m/>
    <m/>
    <m/>
    <m/>
    <m/>
    <m/>
    <m/>
    <n v="1"/>
    <n v="0"/>
    <n v="0"/>
    <n v="0"/>
    <n v="0"/>
    <n v="0"/>
    <n v="0"/>
    <n v="0"/>
    <n v="0"/>
    <n v="0"/>
    <m/>
    <m/>
    <n v="0"/>
    <n v="0"/>
    <m/>
    <m/>
    <m/>
    <m/>
    <m/>
    <m/>
    <m/>
    <m/>
    <m/>
    <m/>
    <m/>
    <m/>
    <m/>
    <m/>
    <n v="0"/>
    <n v="0"/>
    <n v="0"/>
    <m/>
    <m/>
    <n v="516414"/>
    <n v="173065"/>
    <s v="Twickenham"/>
    <s v="Twickenham Riverside"/>
    <x v="1"/>
    <x v="1"/>
    <m/>
    <x v="0"/>
    <m/>
    <s v="CA8 Twickenham Riverside"/>
    <s v="Y"/>
    <s v="Y"/>
    <x v="0"/>
  </r>
  <r>
    <s v="17/0323/FUL"/>
    <n v="107"/>
    <s v="NEW"/>
    <m/>
    <d v="2018-03-23T00:00:00"/>
    <d v="2021-03-23T00:00:00"/>
    <d v="2021-01-04T00:00:00"/>
    <m/>
    <x v="1"/>
    <s v="Open Market"/>
    <m/>
    <s v="Erection of a three-storey building to provide  4 two-bedroom residential units (Class C3) separate refuse facilities and altered parking layout."/>
    <s v="Courtyard Apartments, 70B Hampton Road, Teddington_x000a__x000a_"/>
    <s v="TW11 0JX"/>
    <m/>
    <m/>
    <m/>
    <m/>
    <m/>
    <m/>
    <m/>
    <m/>
    <n v="0"/>
    <m/>
    <n v="4"/>
    <m/>
    <m/>
    <m/>
    <m/>
    <m/>
    <m/>
    <n v="4"/>
    <n v="0"/>
    <n v="4"/>
    <n v="0"/>
    <n v="0"/>
    <n v="0"/>
    <n v="0"/>
    <n v="0"/>
    <n v="0"/>
    <n v="4"/>
    <m/>
    <m/>
    <n v="2"/>
    <n v="2"/>
    <m/>
    <m/>
    <m/>
    <m/>
    <m/>
    <m/>
    <m/>
    <m/>
    <m/>
    <m/>
    <m/>
    <m/>
    <m/>
    <m/>
    <n v="4"/>
    <n v="4"/>
    <n v="4"/>
    <m/>
    <m/>
    <n v="514687"/>
    <n v="171290"/>
    <s v="Teddington and the Hamptons"/>
    <s v="Fulwell &amp; Hampton Hill"/>
    <x v="1"/>
    <x v="0"/>
    <m/>
    <x v="0"/>
    <m/>
    <m/>
    <m/>
    <s v="Y"/>
    <x v="0"/>
  </r>
  <r>
    <s v="17/0788/FUL"/>
    <n v="108"/>
    <s v="NEW"/>
    <m/>
    <d v="2018-01-08T00:00:00"/>
    <d v="2021-01-08T00:00:00"/>
    <d v="2021-01-07T00:00:00"/>
    <m/>
    <x v="1"/>
    <s v="Open Market"/>
    <m/>
    <s v="Demolition of lock up garages to provide 1 no. detached 4 bedroom dwellinghouse with associated parking, cycle and refuse stores, new boundary fence and hard and soft landscaping."/>
    <s v="High Wigsell, 35 Twickenham Road, Teddington"/>
    <s v="TW11"/>
    <m/>
    <m/>
    <m/>
    <m/>
    <m/>
    <m/>
    <m/>
    <m/>
    <n v="0"/>
    <m/>
    <m/>
    <m/>
    <n v="1"/>
    <m/>
    <m/>
    <m/>
    <m/>
    <n v="1"/>
    <n v="0"/>
    <n v="0"/>
    <n v="0"/>
    <n v="1"/>
    <n v="0"/>
    <n v="0"/>
    <n v="0"/>
    <n v="0"/>
    <n v="1"/>
    <m/>
    <m/>
    <n v="0.5"/>
    <n v="0.5"/>
    <m/>
    <m/>
    <m/>
    <m/>
    <m/>
    <m/>
    <m/>
    <m/>
    <m/>
    <m/>
    <m/>
    <m/>
    <m/>
    <m/>
    <n v="1"/>
    <n v="1"/>
    <n v="1"/>
    <m/>
    <m/>
    <n v="516399"/>
    <n v="171470"/>
    <s v="Teddington and the Hamptons"/>
    <s v="Teddington"/>
    <x v="1"/>
    <x v="0"/>
    <m/>
    <x v="0"/>
    <m/>
    <m/>
    <m/>
    <s v="Y"/>
    <x v="0"/>
  </r>
  <r>
    <s v="17/4292/FUL"/>
    <n v="109"/>
    <s v="EXT"/>
    <m/>
    <d v="2018-01-25T00:00:00"/>
    <d v="2021-01-25T00:00:00"/>
    <d v="2021-01-20T00:00:00"/>
    <m/>
    <x v="1"/>
    <s v="Open Market"/>
    <m/>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s v="TW9 2JX"/>
    <m/>
    <m/>
    <m/>
    <m/>
    <m/>
    <m/>
    <m/>
    <m/>
    <n v="0"/>
    <n v="1"/>
    <n v="2"/>
    <m/>
    <m/>
    <m/>
    <m/>
    <m/>
    <m/>
    <n v="3"/>
    <n v="1"/>
    <n v="2"/>
    <n v="0"/>
    <n v="0"/>
    <n v="0"/>
    <n v="0"/>
    <n v="0"/>
    <n v="0"/>
    <n v="3"/>
    <m/>
    <m/>
    <n v="1.5"/>
    <n v="1.5"/>
    <m/>
    <m/>
    <m/>
    <m/>
    <m/>
    <m/>
    <m/>
    <m/>
    <m/>
    <m/>
    <m/>
    <m/>
    <m/>
    <m/>
    <n v="3"/>
    <n v="3"/>
    <n v="3"/>
    <m/>
    <m/>
    <n v="518831"/>
    <n v="175436"/>
    <s v="Richmond"/>
    <s v="North Richmond"/>
    <x v="1"/>
    <x v="0"/>
    <m/>
    <x v="0"/>
    <m/>
    <m/>
    <m/>
    <s v="Y"/>
    <x v="0"/>
  </r>
  <r>
    <s v="20/0714/FUL"/>
    <n v="110"/>
    <s v="NEW"/>
    <m/>
    <d v="2020-07-20T00:00:00"/>
    <d v="2023-07-20T00:00:00"/>
    <d v="2021-02-01T00:00:00"/>
    <m/>
    <x v="1"/>
    <s v="Open Market"/>
    <m/>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m/>
    <n v="1"/>
    <m/>
    <n v="1"/>
    <m/>
    <m/>
    <m/>
    <m/>
    <n v="1"/>
    <m/>
    <m/>
    <m/>
    <n v="1"/>
    <n v="0"/>
    <n v="0"/>
    <n v="0"/>
    <n v="0"/>
    <n v="1"/>
    <n v="-1"/>
    <n v="0"/>
    <n v="0"/>
    <n v="0"/>
    <m/>
    <m/>
    <n v="0"/>
    <m/>
    <m/>
    <m/>
    <m/>
    <m/>
    <m/>
    <m/>
    <m/>
    <m/>
    <m/>
    <m/>
    <m/>
    <m/>
    <m/>
    <m/>
    <n v="0"/>
    <n v="0"/>
    <n v="0"/>
    <m/>
    <m/>
    <n v="521978"/>
    <n v="176841"/>
    <s v="Barnes and East Sheen"/>
    <s v="Barnes"/>
    <x v="1"/>
    <x v="0"/>
    <m/>
    <x v="0"/>
    <m/>
    <m/>
    <m/>
    <m/>
    <x v="0"/>
  </r>
  <r>
    <s v="18/3950/FUL"/>
    <n v="111"/>
    <s v="CHU"/>
    <m/>
    <d v="2019-07-15T00:00:00"/>
    <d v="2022-07-15T00:00:00"/>
    <d v="2021-02-22T00:00:00"/>
    <m/>
    <x v="1"/>
    <s v="Affordable ren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s v="East Wing"/>
    <m/>
    <m/>
    <m/>
    <m/>
    <m/>
    <m/>
    <m/>
    <n v="0"/>
    <n v="7"/>
    <n v="3"/>
    <n v="1"/>
    <m/>
    <m/>
    <m/>
    <m/>
    <m/>
    <n v="11"/>
    <n v="7"/>
    <n v="3"/>
    <n v="1"/>
    <n v="0"/>
    <n v="0"/>
    <n v="0"/>
    <n v="0"/>
    <n v="0"/>
    <n v="11"/>
    <s v="Y"/>
    <m/>
    <m/>
    <n v="11"/>
    <m/>
    <m/>
    <m/>
    <m/>
    <m/>
    <m/>
    <m/>
    <m/>
    <m/>
    <m/>
    <m/>
    <m/>
    <m/>
    <m/>
    <n v="11"/>
    <n v="11"/>
    <n v="11"/>
    <m/>
    <m/>
    <n v="518144"/>
    <n v="175553"/>
    <s v="Richmond"/>
    <s v="North Richmond"/>
    <x v="1"/>
    <x v="0"/>
    <m/>
    <x v="0"/>
    <m/>
    <s v="CA36 Kew Foot Road"/>
    <s v="Y"/>
    <s v="Y"/>
    <x v="0"/>
  </r>
  <r>
    <s v="18/3950/FUL"/>
    <n v="112"/>
    <s v="CHU"/>
    <m/>
    <d v="2019-07-15T00:00:00"/>
    <d v="2022-07-15T00:00:00"/>
    <d v="2021-02-22T00:00:00"/>
    <m/>
    <x v="1"/>
    <s v="Intermediate"/>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s v="East Wing"/>
    <m/>
    <m/>
    <m/>
    <m/>
    <m/>
    <m/>
    <m/>
    <n v="0"/>
    <n v="4"/>
    <m/>
    <m/>
    <m/>
    <m/>
    <m/>
    <m/>
    <m/>
    <n v="4"/>
    <n v="4"/>
    <n v="0"/>
    <n v="0"/>
    <n v="0"/>
    <n v="0"/>
    <n v="0"/>
    <n v="0"/>
    <n v="0"/>
    <n v="4"/>
    <s v="Y"/>
    <m/>
    <m/>
    <n v="4"/>
    <m/>
    <m/>
    <m/>
    <m/>
    <m/>
    <m/>
    <m/>
    <m/>
    <m/>
    <m/>
    <m/>
    <m/>
    <m/>
    <m/>
    <n v="4"/>
    <n v="4"/>
    <n v="4"/>
    <m/>
    <m/>
    <n v="518144"/>
    <n v="175553"/>
    <s v="Richmond"/>
    <s v="North Richmond"/>
    <x v="1"/>
    <x v="0"/>
    <m/>
    <x v="0"/>
    <m/>
    <s v="CA36 Kew Foot Road"/>
    <s v="Y"/>
    <s v="Y"/>
    <x v="1"/>
  </r>
  <r>
    <s v="18/3950/FUL"/>
    <n v="113"/>
    <s v="CHU"/>
    <m/>
    <d v="2019-07-15T00:00:00"/>
    <d v="2022-07-15T00:00:00"/>
    <d v="2021-02-22T00:00:00"/>
    <m/>
    <x v="1"/>
    <s v="Open Marke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m/>
    <m/>
    <m/>
    <m/>
    <m/>
    <m/>
    <m/>
    <m/>
    <n v="0"/>
    <n v="22"/>
    <n v="30"/>
    <n v="2"/>
    <n v="2"/>
    <m/>
    <m/>
    <m/>
    <m/>
    <n v="56"/>
    <n v="22"/>
    <n v="30"/>
    <n v="2"/>
    <n v="2"/>
    <n v="0"/>
    <n v="0"/>
    <n v="0"/>
    <n v="0"/>
    <n v="56"/>
    <s v="Y"/>
    <m/>
    <m/>
    <n v="56"/>
    <m/>
    <m/>
    <m/>
    <m/>
    <m/>
    <m/>
    <m/>
    <m/>
    <m/>
    <m/>
    <m/>
    <m/>
    <m/>
    <m/>
    <n v="56"/>
    <n v="56"/>
    <n v="56"/>
    <m/>
    <m/>
    <n v="518144"/>
    <n v="175553"/>
    <s v="Richmond"/>
    <s v="North Richmond"/>
    <x v="1"/>
    <x v="0"/>
    <m/>
    <x v="0"/>
    <m/>
    <s v="CA36 Kew Foot Road"/>
    <s v="Y"/>
    <s v="Y"/>
    <x v="1"/>
  </r>
  <r>
    <s v="20/2721/FUL"/>
    <n v="114"/>
    <s v="CON"/>
    <m/>
    <d v="2021-02-15T00:00:00"/>
    <d v="2024-02-15T00:00:00"/>
    <d v="2021-03-01T00:00:00"/>
    <m/>
    <x v="1"/>
    <s v="Open Market"/>
    <m/>
    <s v="Change of use of the building into 2no. flats and reduction and retention of outbuilding"/>
    <s v="54 Percy Road, Hampton TW12 2JR"/>
    <s v="TW12 2JR"/>
    <m/>
    <m/>
    <m/>
    <m/>
    <m/>
    <m/>
    <n v="1"/>
    <m/>
    <n v="1"/>
    <m/>
    <n v="1"/>
    <n v="1"/>
    <m/>
    <m/>
    <m/>
    <m/>
    <m/>
    <n v="2"/>
    <n v="0"/>
    <n v="1"/>
    <n v="1"/>
    <n v="0"/>
    <n v="0"/>
    <n v="-1"/>
    <n v="0"/>
    <n v="0"/>
    <n v="1"/>
    <m/>
    <m/>
    <n v="0.5"/>
    <n v="0.5"/>
    <m/>
    <m/>
    <m/>
    <m/>
    <m/>
    <m/>
    <m/>
    <m/>
    <m/>
    <m/>
    <m/>
    <m/>
    <m/>
    <m/>
    <n v="1"/>
    <n v="1"/>
    <n v="1"/>
    <m/>
    <m/>
    <n v="513178"/>
    <n v="170142"/>
    <s v="Teddington and the Hamptons"/>
    <s v="Hampton"/>
    <x v="1"/>
    <x v="0"/>
    <m/>
    <x v="0"/>
    <m/>
    <m/>
    <m/>
    <s v="Y"/>
    <x v="0"/>
  </r>
  <r>
    <s v="17/3667/FUL"/>
    <n v="115"/>
    <s v="NEW"/>
    <m/>
    <d v="2018-04-25T00:00:00"/>
    <d v="2021-04-25T00:00:00"/>
    <d v="2021-03-15T00:00:00"/>
    <m/>
    <x v="1"/>
    <s v="Open Market"/>
    <m/>
    <s v="Demolition of existing staff accommodation caravans and storage barn and erection of replacement grooms accommodation."/>
    <s v="Manor Farm Riding School, Petersham Road, Petersham, Richmond TW10 7AH_x000a_"/>
    <s v="TW10 7AH"/>
    <m/>
    <m/>
    <m/>
    <m/>
    <m/>
    <m/>
    <m/>
    <m/>
    <n v="0"/>
    <m/>
    <m/>
    <n v="1"/>
    <m/>
    <m/>
    <m/>
    <m/>
    <m/>
    <n v="1"/>
    <n v="0"/>
    <n v="0"/>
    <n v="1"/>
    <n v="0"/>
    <n v="0"/>
    <n v="0"/>
    <n v="0"/>
    <n v="0"/>
    <n v="1"/>
    <m/>
    <m/>
    <n v="1"/>
    <m/>
    <m/>
    <m/>
    <m/>
    <m/>
    <m/>
    <m/>
    <m/>
    <m/>
    <m/>
    <m/>
    <m/>
    <m/>
    <m/>
    <m/>
    <n v="1"/>
    <n v="1"/>
    <n v="1"/>
    <m/>
    <m/>
    <n v="517808"/>
    <n v="173353"/>
    <s v="Ham &amp; Petersham"/>
    <s v="Ham, Petersham &amp; Richmond Riverside"/>
    <x v="1"/>
    <x v="1"/>
    <m/>
    <x v="0"/>
    <s v="Petersham Lodge"/>
    <s v="CA6 Petersham"/>
    <s v="Y"/>
    <m/>
    <x v="0"/>
  </r>
  <r>
    <s v="15/3297/FUL"/>
    <n v="116"/>
    <s v="NEW"/>
    <m/>
    <d v="2019-08-13T00:00:00"/>
    <d v="2022-08-13T00:00:00"/>
    <d v="2021-03-31T00:00:00"/>
    <d v="2023-07-18T00:00:00"/>
    <x v="1"/>
    <s v="London Affordable Rent"/>
    <m/>
    <s v="SITE B_x000d_The site is currently an open parking court of approximately 28 spaces accessed from Bucklands Road. Create a pair of semi-detached high quality four-bedroom houses._x000d_-Provision of 24 car parking spaces"/>
    <s v="Garage Site B, Bucklands Road, Teddington_x000a__x000a_"/>
    <s v="TW11"/>
    <m/>
    <m/>
    <m/>
    <m/>
    <m/>
    <m/>
    <m/>
    <m/>
    <n v="0"/>
    <m/>
    <m/>
    <m/>
    <n v="2"/>
    <m/>
    <m/>
    <m/>
    <m/>
    <n v="2"/>
    <n v="0"/>
    <n v="0"/>
    <n v="0"/>
    <n v="2"/>
    <n v="0"/>
    <n v="0"/>
    <n v="0"/>
    <n v="0"/>
    <n v="2"/>
    <m/>
    <m/>
    <n v="2"/>
    <m/>
    <m/>
    <m/>
    <m/>
    <m/>
    <m/>
    <m/>
    <m/>
    <m/>
    <m/>
    <m/>
    <m/>
    <m/>
    <m/>
    <m/>
    <n v="2"/>
    <n v="2"/>
    <n v="2"/>
    <m/>
    <m/>
    <n v="517351"/>
    <n v="170884"/>
    <s v="Teddington and the Hamptons"/>
    <s v="Hampton Wick &amp; South Teddington"/>
    <x v="1"/>
    <x v="0"/>
    <m/>
    <x v="0"/>
    <m/>
    <m/>
    <m/>
    <s v="Y"/>
    <x v="0"/>
  </r>
  <r>
    <s v="17/3001/GPD16"/>
    <n v="117"/>
    <s v="CHU"/>
    <s v="PA"/>
    <d v="2017-09-27T00:00:00"/>
    <d v="2021-06-07T00:00:00"/>
    <d v="2021-03-31T00:00:00"/>
    <m/>
    <x v="1"/>
    <s v="Open Market"/>
    <m/>
    <s v="Change of use from B8 (storage) to C3 (residential use) to create a 1 bedroom unit."/>
    <s v="Unit 3, Plough Lane, Teddington_x000a__x000a_"/>
    <s v="TW11 9BN"/>
    <m/>
    <m/>
    <m/>
    <m/>
    <m/>
    <m/>
    <m/>
    <m/>
    <n v="0"/>
    <n v="1"/>
    <m/>
    <m/>
    <m/>
    <m/>
    <m/>
    <m/>
    <m/>
    <n v="1"/>
    <n v="1"/>
    <n v="0"/>
    <n v="0"/>
    <n v="0"/>
    <n v="0"/>
    <n v="0"/>
    <n v="0"/>
    <n v="0"/>
    <n v="1"/>
    <m/>
    <m/>
    <n v="0.5"/>
    <n v="0.5"/>
    <m/>
    <m/>
    <m/>
    <m/>
    <m/>
    <m/>
    <m/>
    <m/>
    <m/>
    <m/>
    <m/>
    <m/>
    <m/>
    <m/>
    <n v="1"/>
    <n v="1"/>
    <n v="1"/>
    <m/>
    <m/>
    <n v="516215"/>
    <n v="171077"/>
    <s v="Teddington and the Hamptons"/>
    <s v="Teddington"/>
    <x v="0"/>
    <x v="0"/>
    <m/>
    <x v="0"/>
    <m/>
    <m/>
    <m/>
    <s v="Y"/>
    <x v="0"/>
  </r>
  <r>
    <s v="17/3003/GPD16"/>
    <n v="118"/>
    <s v="CHU"/>
    <s v="PA"/>
    <d v="2017-09-27T00:00:00"/>
    <d v="2021-06-07T00:00:00"/>
    <d v="2021-03-31T00:00:00"/>
    <m/>
    <x v="1"/>
    <s v="Open Market"/>
    <m/>
    <s v="Change of use from B8 (storage) to C3 (residential) to create 2 Studio units."/>
    <s v="Unit 4 To 5A, Plough Lane, Teddington_x000a__x000a_"/>
    <s v="TW11 9BN"/>
    <m/>
    <m/>
    <m/>
    <m/>
    <m/>
    <m/>
    <m/>
    <m/>
    <n v="0"/>
    <n v="2"/>
    <m/>
    <m/>
    <m/>
    <m/>
    <m/>
    <m/>
    <m/>
    <n v="2"/>
    <n v="2"/>
    <n v="0"/>
    <n v="0"/>
    <n v="0"/>
    <n v="0"/>
    <n v="0"/>
    <n v="0"/>
    <n v="0"/>
    <n v="2"/>
    <m/>
    <m/>
    <n v="1"/>
    <n v="1"/>
    <m/>
    <m/>
    <m/>
    <m/>
    <m/>
    <m/>
    <m/>
    <m/>
    <m/>
    <m/>
    <m/>
    <m/>
    <m/>
    <m/>
    <n v="2"/>
    <n v="2"/>
    <n v="2"/>
    <m/>
    <m/>
    <n v="516224"/>
    <n v="171078"/>
    <s v="Teddington and the Hamptons"/>
    <s v="Teddington"/>
    <x v="0"/>
    <x v="0"/>
    <m/>
    <x v="0"/>
    <m/>
    <m/>
    <m/>
    <s v="Y"/>
    <x v="0"/>
  </r>
  <r>
    <s v="19/3568/FUL"/>
    <n v="119"/>
    <s v="NEW"/>
    <m/>
    <d v="2020-06-10T00:00:00"/>
    <d v="2023-06-10T00:00:00"/>
    <d v="2021-03-31T00:00:00"/>
    <m/>
    <x v="1"/>
    <s v="Open Market"/>
    <m/>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m/>
    <n v="1"/>
    <m/>
    <m/>
    <m/>
    <m/>
    <m/>
    <n v="1"/>
    <m/>
    <m/>
    <m/>
    <m/>
    <n v="2"/>
    <m/>
    <m/>
    <m/>
    <n v="2"/>
    <n v="0"/>
    <n v="-1"/>
    <n v="0"/>
    <n v="0"/>
    <n v="2"/>
    <n v="0"/>
    <n v="0"/>
    <n v="0"/>
    <n v="1"/>
    <m/>
    <m/>
    <n v="1"/>
    <m/>
    <m/>
    <m/>
    <m/>
    <m/>
    <m/>
    <m/>
    <m/>
    <m/>
    <m/>
    <m/>
    <m/>
    <m/>
    <m/>
    <m/>
    <n v="1"/>
    <n v="1"/>
    <n v="1"/>
    <m/>
    <m/>
    <n v="514203"/>
    <n v="169911"/>
    <s v="Teddington and the Hamptons"/>
    <s v="Hampton"/>
    <x v="1"/>
    <x v="0"/>
    <m/>
    <x v="0"/>
    <m/>
    <s v="CA12 Hampton Village"/>
    <s v="Y"/>
    <m/>
    <x v="0"/>
  </r>
  <r>
    <s v="16/0606/FUL"/>
    <n v="120"/>
    <s v="MIX"/>
    <m/>
    <d v="2017-09-05T00:00:00"/>
    <d v="2020-09-05T00:00:00"/>
    <d v="2021-04-26T00:00:00"/>
    <m/>
    <x v="1"/>
    <s v="Open Market"/>
    <m/>
    <s v="Retention of former police station building with partial demolition of the rear wings of the police station and demolition of the rear garages and the construction of 28 residential units (4 x 1 bedroom, 12 x 2 bedroom, 10 x 3 bedroom and 2 x 4 bedroom) and associated access, servicing, cycle parking and landscaping (The proposal has been amended to include setting back the top floor away from the eastern boundary of the site; roof design on Plots 24 to 28 amended; and amendments to unit mix)."/>
    <s v="Police Station, 60 - 68 Station Road, Hampton_x000a__x000a_"/>
    <s v="TW12 2AX"/>
    <m/>
    <m/>
    <m/>
    <m/>
    <m/>
    <m/>
    <m/>
    <m/>
    <n v="0"/>
    <n v="4"/>
    <n v="12"/>
    <n v="10"/>
    <n v="2"/>
    <m/>
    <m/>
    <m/>
    <m/>
    <n v="28"/>
    <n v="4"/>
    <n v="12"/>
    <n v="10"/>
    <n v="2"/>
    <n v="0"/>
    <n v="0"/>
    <n v="0"/>
    <n v="0"/>
    <m/>
    <s v="Y"/>
    <m/>
    <m/>
    <m/>
    <m/>
    <m/>
    <m/>
    <m/>
    <m/>
    <m/>
    <m/>
    <m/>
    <m/>
    <m/>
    <m/>
    <m/>
    <m/>
    <m/>
    <n v="0"/>
    <n v="0"/>
    <n v="0"/>
    <m/>
    <m/>
    <n v="513766"/>
    <n v="169736"/>
    <s v="Teddington and the Hamptons"/>
    <s v="Hampton"/>
    <x v="1"/>
    <x v="0"/>
    <s v="Station Road, Hampton"/>
    <x v="1"/>
    <m/>
    <s v="CA12 Hampton Village"/>
    <s v="Y"/>
    <s v="Y"/>
    <x v="0"/>
  </r>
  <r>
    <s v="20/3740/FUL"/>
    <n v="121"/>
    <s v="NEW"/>
    <m/>
    <d v="2022-06-15T00:00:00"/>
    <d v="2025-06-15T00:00:00"/>
    <d v="2021-04-30T00:00:00"/>
    <m/>
    <x v="1"/>
    <s v="Open Market"/>
    <m/>
    <s v="Erection of two semi detached houses with associated landscaping and parking"/>
    <s v="86 Ormond Drive, Hampton, TW12 2TN"/>
    <s v="TW12 2TN"/>
    <m/>
    <m/>
    <m/>
    <m/>
    <n v="1"/>
    <m/>
    <m/>
    <m/>
    <n v="1"/>
    <m/>
    <m/>
    <m/>
    <n v="2"/>
    <m/>
    <m/>
    <m/>
    <m/>
    <n v="2"/>
    <n v="0"/>
    <n v="0"/>
    <n v="0"/>
    <n v="1"/>
    <n v="0"/>
    <n v="0"/>
    <n v="0"/>
    <n v="0"/>
    <n v="1"/>
    <m/>
    <m/>
    <n v="1"/>
    <m/>
    <m/>
    <m/>
    <m/>
    <m/>
    <m/>
    <m/>
    <m/>
    <m/>
    <m/>
    <m/>
    <m/>
    <m/>
    <m/>
    <m/>
    <n v="1"/>
    <n v="1"/>
    <n v="1"/>
    <m/>
    <m/>
    <n v="513837"/>
    <n v="170102"/>
    <s v="Teddington and the Hamptons"/>
    <s v="Hampton"/>
    <x v="1"/>
    <x v="0"/>
    <m/>
    <x v="0"/>
    <m/>
    <m/>
    <m/>
    <s v="Y"/>
    <x v="0"/>
  </r>
  <r>
    <s v="19/1703/FUL"/>
    <n v="122"/>
    <s v="CHU"/>
    <m/>
    <d v="2019-08-12T00:00:00"/>
    <d v="2022-12-27T00:00:00"/>
    <d v="2021-05-24T00:00:00"/>
    <m/>
    <x v="1"/>
    <s v="Open Market"/>
    <m/>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m/>
    <n v="1"/>
    <m/>
    <m/>
    <m/>
    <m/>
    <n v="1"/>
    <n v="1"/>
    <m/>
    <n v="1"/>
    <m/>
    <m/>
    <m/>
    <m/>
    <m/>
    <n v="2"/>
    <n v="1"/>
    <n v="0"/>
    <n v="0"/>
    <n v="0"/>
    <n v="0"/>
    <n v="0"/>
    <n v="0"/>
    <n v="0"/>
    <n v="1"/>
    <m/>
    <m/>
    <n v="0.5"/>
    <n v="0.5"/>
    <m/>
    <m/>
    <m/>
    <m/>
    <m/>
    <m/>
    <m/>
    <m/>
    <m/>
    <m/>
    <m/>
    <m/>
    <m/>
    <m/>
    <n v="1"/>
    <n v="1"/>
    <n v="1"/>
    <m/>
    <m/>
    <n v="514733"/>
    <n v="172125"/>
    <s v="Twickenham"/>
    <s v="West Twickenham"/>
    <x v="1"/>
    <x v="0"/>
    <m/>
    <x v="0"/>
    <m/>
    <m/>
    <m/>
    <s v="Y"/>
    <x v="0"/>
  </r>
  <r>
    <s v="16/0510/FUL"/>
    <n v="123"/>
    <s v="CHU"/>
    <m/>
    <d v="2018-07-19T00:00:00"/>
    <d v="2021-07-19T00:00:00"/>
    <d v="2021-07-05T00:00:00"/>
    <m/>
    <x v="1"/>
    <s v="Open Market"/>
    <m/>
    <s v="Alterations including construction of a new rear ground floor extension and change of use to commercial space and two 2-bedroom self-contained flats."/>
    <s v="Shanklin House, 70 Sheen Road, Richmond TW9 1UF"/>
    <s v="TW9 1UF"/>
    <m/>
    <m/>
    <m/>
    <m/>
    <m/>
    <m/>
    <m/>
    <m/>
    <n v="0"/>
    <m/>
    <n v="2"/>
    <m/>
    <m/>
    <m/>
    <m/>
    <m/>
    <m/>
    <n v="2"/>
    <n v="0"/>
    <n v="2"/>
    <n v="0"/>
    <n v="0"/>
    <n v="0"/>
    <n v="0"/>
    <n v="0"/>
    <n v="0"/>
    <n v="2"/>
    <m/>
    <m/>
    <n v="1"/>
    <n v="1"/>
    <m/>
    <m/>
    <m/>
    <m/>
    <m/>
    <m/>
    <m/>
    <m/>
    <m/>
    <m/>
    <m/>
    <m/>
    <m/>
    <m/>
    <n v="2"/>
    <n v="2"/>
    <n v="2"/>
    <m/>
    <m/>
    <n v="518392"/>
    <n v="175032"/>
    <s v="Richmond"/>
    <s v="South Richmond"/>
    <x v="1"/>
    <x v="0"/>
    <s v="Sheen Road"/>
    <x v="1"/>
    <m/>
    <s v="CA31 Sheen Road Richmond"/>
    <s v="Y"/>
    <s v="Y"/>
    <x v="0"/>
  </r>
  <r>
    <s v="19/0954/VRC"/>
    <n v="124"/>
    <s v="NEW"/>
    <m/>
    <d v="2019-10-16T00:00:00"/>
    <d v="2022-10-16T00:00:00"/>
    <d v="2021-07-06T00:00:00"/>
    <m/>
    <x v="1"/>
    <s v="Open Market"/>
    <m/>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_x000a_"/>
    <s v="TW10 6AS"/>
    <m/>
    <m/>
    <n v="2"/>
    <n v="1"/>
    <m/>
    <m/>
    <m/>
    <m/>
    <n v="3"/>
    <m/>
    <m/>
    <m/>
    <n v="3"/>
    <m/>
    <m/>
    <m/>
    <m/>
    <n v="3"/>
    <n v="0"/>
    <n v="-2"/>
    <n v="-1"/>
    <n v="3"/>
    <n v="0"/>
    <n v="0"/>
    <n v="0"/>
    <n v="0"/>
    <n v="0"/>
    <m/>
    <m/>
    <n v="0"/>
    <m/>
    <m/>
    <m/>
    <m/>
    <m/>
    <m/>
    <m/>
    <m/>
    <m/>
    <m/>
    <m/>
    <m/>
    <m/>
    <m/>
    <m/>
    <n v="0"/>
    <n v="0"/>
    <n v="0"/>
    <m/>
    <m/>
    <n v="518209"/>
    <n v="174625"/>
    <s v="Richmond"/>
    <s v="South Richmond"/>
    <x v="1"/>
    <x v="0"/>
    <m/>
    <x v="0"/>
    <m/>
    <s v="CA30 St Matthias Richmond"/>
    <s v="Y"/>
    <s v="Y"/>
    <x v="0"/>
  </r>
  <r>
    <s v="17/3590/FUL"/>
    <n v="125"/>
    <s v="NEW"/>
    <m/>
    <d v="2018-07-26T00:00:00"/>
    <d v="2021-07-26T00:00:00"/>
    <d v="2021-07-23T00:00:00"/>
    <m/>
    <x v="1"/>
    <s v="Open Market"/>
    <m/>
    <s v="Demolition of the existing garages. Erection of 1 x 2 bed single storey house and 1 x 3 bed single storey house with basement with associated hard and soft landscaping, refuse and cycle stores."/>
    <s v="Garages Rear Of 48-52 Anlaby Road, Teddington_x000a__x000a_"/>
    <s v="TW11 0PP"/>
    <m/>
    <m/>
    <m/>
    <m/>
    <m/>
    <m/>
    <m/>
    <m/>
    <n v="0"/>
    <m/>
    <n v="1"/>
    <n v="1"/>
    <m/>
    <m/>
    <m/>
    <m/>
    <m/>
    <n v="2"/>
    <n v="0"/>
    <n v="1"/>
    <n v="1"/>
    <n v="0"/>
    <n v="0"/>
    <n v="0"/>
    <n v="0"/>
    <n v="0"/>
    <n v="2"/>
    <m/>
    <m/>
    <n v="2"/>
    <m/>
    <m/>
    <m/>
    <m/>
    <m/>
    <m/>
    <m/>
    <m/>
    <m/>
    <m/>
    <m/>
    <m/>
    <m/>
    <m/>
    <m/>
    <n v="2"/>
    <n v="2"/>
    <n v="2"/>
    <m/>
    <m/>
    <n v="514975"/>
    <n v="171285"/>
    <s v="Teddington and the Hamptons"/>
    <s v="Fulwell &amp; Hampton Hill"/>
    <x v="1"/>
    <x v="0"/>
    <m/>
    <x v="0"/>
    <m/>
    <m/>
    <m/>
    <s v="Y"/>
    <x v="0"/>
  </r>
  <r>
    <s v="20/2500/FUL"/>
    <n v="126"/>
    <s v="NEW"/>
    <m/>
    <d v="2021-01-06T00:00:00"/>
    <d v="2024-01-06T00:00:00"/>
    <d v="2021-08-16T00:00:00"/>
    <m/>
    <x v="1"/>
    <s v="Open Market"/>
    <m/>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s v="TW12 2LY"/>
    <m/>
    <m/>
    <m/>
    <m/>
    <m/>
    <m/>
    <m/>
    <m/>
    <n v="0"/>
    <m/>
    <m/>
    <m/>
    <m/>
    <n v="2"/>
    <m/>
    <m/>
    <m/>
    <n v="2"/>
    <n v="0"/>
    <n v="0"/>
    <n v="0"/>
    <n v="0"/>
    <n v="2"/>
    <n v="0"/>
    <n v="0"/>
    <n v="0"/>
    <n v="2"/>
    <m/>
    <m/>
    <n v="2"/>
    <m/>
    <m/>
    <m/>
    <m/>
    <m/>
    <m/>
    <m/>
    <m/>
    <m/>
    <m/>
    <m/>
    <m/>
    <m/>
    <m/>
    <m/>
    <n v="2"/>
    <n v="2"/>
    <n v="2"/>
    <m/>
    <m/>
    <n v="513454"/>
    <n v="170508"/>
    <s v="Teddington and the Hamptons"/>
    <s v="Hampton"/>
    <x v="1"/>
    <x v="0"/>
    <m/>
    <x v="0"/>
    <m/>
    <m/>
    <m/>
    <s v="Y"/>
    <x v="0"/>
  </r>
  <r>
    <s v="18/1442/FUL"/>
    <n v="127"/>
    <s v="NEW"/>
    <m/>
    <d v="2019-01-07T00:00:00"/>
    <d v="2022-01-07T00:00:00"/>
    <d v="2021-09-16T00:00:00"/>
    <m/>
    <x v="1"/>
    <s v="Open Market"/>
    <m/>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_x000a__x000a_"/>
    <s v="TW2 5ER"/>
    <m/>
    <m/>
    <m/>
    <m/>
    <m/>
    <m/>
    <m/>
    <m/>
    <n v="0"/>
    <m/>
    <n v="1"/>
    <m/>
    <m/>
    <m/>
    <m/>
    <m/>
    <m/>
    <n v="1"/>
    <n v="0"/>
    <n v="1"/>
    <n v="0"/>
    <n v="0"/>
    <n v="0"/>
    <n v="0"/>
    <n v="0"/>
    <n v="0"/>
    <n v="1"/>
    <m/>
    <m/>
    <n v="1"/>
    <m/>
    <m/>
    <m/>
    <m/>
    <m/>
    <m/>
    <m/>
    <m/>
    <m/>
    <m/>
    <m/>
    <m/>
    <m/>
    <m/>
    <m/>
    <n v="1"/>
    <n v="1"/>
    <n v="1"/>
    <m/>
    <m/>
    <n v="514703"/>
    <n v="172701"/>
    <s v="Twickenham"/>
    <s v="West Twickenham"/>
    <x v="1"/>
    <x v="0"/>
    <m/>
    <x v="0"/>
    <m/>
    <m/>
    <m/>
    <m/>
    <x v="0"/>
  </r>
  <r>
    <s v="17/4015/FUL"/>
    <n v="128"/>
    <s v="NEW"/>
    <m/>
    <d v="2018-10-03T00:00:00"/>
    <d v="2021-10-03T00:00:00"/>
    <d v="2021-09-27T00:00:00"/>
    <m/>
    <x v="1"/>
    <s v="Open Market"/>
    <m/>
    <s v="Erection of 2no. dwellings with associated cycle parking and refuse storage."/>
    <s v="Land To Rear Of 34 - 40 The Quadrant, Richmond_x000a__x000a_"/>
    <s v="TW9 1DN"/>
    <m/>
    <m/>
    <m/>
    <m/>
    <m/>
    <m/>
    <m/>
    <m/>
    <n v="0"/>
    <m/>
    <n v="2"/>
    <m/>
    <m/>
    <m/>
    <m/>
    <m/>
    <m/>
    <n v="2"/>
    <n v="0"/>
    <n v="2"/>
    <n v="0"/>
    <n v="0"/>
    <n v="0"/>
    <n v="0"/>
    <n v="0"/>
    <n v="0"/>
    <n v="2"/>
    <m/>
    <m/>
    <n v="2"/>
    <m/>
    <m/>
    <m/>
    <m/>
    <m/>
    <m/>
    <m/>
    <m/>
    <m/>
    <m/>
    <m/>
    <m/>
    <m/>
    <m/>
    <m/>
    <n v="2"/>
    <n v="2"/>
    <n v="2"/>
    <m/>
    <m/>
    <n v="518028"/>
    <n v="175050"/>
    <s v="Richmond"/>
    <s v="South Richmond"/>
    <x v="4"/>
    <x v="0"/>
    <m/>
    <x v="0"/>
    <m/>
    <s v="CA17 Central Richmond"/>
    <s v="Y"/>
    <s v="Y"/>
    <x v="0"/>
  </r>
  <r>
    <s v="19/1033/GPD23"/>
    <n v="129"/>
    <s v="CHU"/>
    <s v="PA"/>
    <d v="2019-06-05T00:00:00"/>
    <d v="2022-06-05T00:00:00"/>
    <d v="2021-10-01T00:00:00"/>
    <m/>
    <x v="1"/>
    <s v="Open Market"/>
    <m/>
    <s v="Change of use from premises in light industrial use (Class B1(c)) to one dwelling house (Class C3)."/>
    <s v="Unit 1 Hampton Works Rear Of 119 Sheen Lane, East Sheen, London_x000a__x000a_"/>
    <s v="SW14 8AE"/>
    <m/>
    <m/>
    <m/>
    <m/>
    <m/>
    <m/>
    <m/>
    <m/>
    <n v="0"/>
    <m/>
    <n v="1"/>
    <m/>
    <m/>
    <m/>
    <m/>
    <m/>
    <m/>
    <n v="1"/>
    <n v="0"/>
    <n v="1"/>
    <n v="0"/>
    <n v="0"/>
    <n v="0"/>
    <n v="0"/>
    <n v="0"/>
    <n v="0"/>
    <n v="1"/>
    <m/>
    <m/>
    <n v="0.5"/>
    <n v="0.5"/>
    <m/>
    <m/>
    <m/>
    <m/>
    <m/>
    <m/>
    <m/>
    <m/>
    <m/>
    <m/>
    <m/>
    <m/>
    <m/>
    <m/>
    <n v="1"/>
    <n v="1"/>
    <n v="1"/>
    <m/>
    <m/>
    <n v="520517"/>
    <n v="175507"/>
    <s v="Barnes and East Sheen"/>
    <s v="East Sheen"/>
    <x v="3"/>
    <x v="0"/>
    <m/>
    <x v="0"/>
    <m/>
    <s v="CA70 Sheen Lane Mortlake"/>
    <s v="Y"/>
    <s v="Y"/>
    <x v="0"/>
  </r>
  <r>
    <s v="20/1461/FUL"/>
    <n v="130"/>
    <s v="CON"/>
    <m/>
    <d v="2020-10-02T00:00:00"/>
    <d v="2023-10-02T00:00:00"/>
    <d v="2021-12-01T00:00:00"/>
    <m/>
    <x v="1"/>
    <s v="Open Market"/>
    <m/>
    <s v="Replacement door.  Change of use from C3 residential to Flexible Non-Residential Institutions or office use.  External cycle racks."/>
    <s v="3 Cedar Terrace, Richmond, TW9 2JE"/>
    <s v="TW9 2JE"/>
    <m/>
    <m/>
    <m/>
    <m/>
    <n v="1"/>
    <m/>
    <m/>
    <m/>
    <n v="1"/>
    <m/>
    <m/>
    <m/>
    <m/>
    <m/>
    <m/>
    <m/>
    <m/>
    <n v="0"/>
    <n v="0"/>
    <n v="0"/>
    <n v="0"/>
    <n v="-1"/>
    <n v="0"/>
    <n v="0"/>
    <n v="0"/>
    <n v="0"/>
    <n v="-1"/>
    <m/>
    <m/>
    <n v="-0.5"/>
    <n v="-0.5"/>
    <m/>
    <m/>
    <m/>
    <m/>
    <m/>
    <m/>
    <m/>
    <m/>
    <m/>
    <m/>
    <m/>
    <m/>
    <m/>
    <m/>
    <n v="-1"/>
    <n v="-1"/>
    <n v="-1"/>
    <m/>
    <m/>
    <n v="518472"/>
    <n v="175425"/>
    <s v="Richmond"/>
    <s v="North Richmond"/>
    <x v="1"/>
    <x v="0"/>
    <m/>
    <x v="0"/>
    <m/>
    <m/>
    <m/>
    <s v="Y"/>
    <x v="0"/>
  </r>
  <r>
    <s v="21/0129/PS192"/>
    <n v="131"/>
    <s v="CHU"/>
    <m/>
    <d v="2021-02-16T00:00:00"/>
    <d v="2024-02-16T00:00:00"/>
    <d v="2021-12-01T00:00:00"/>
    <m/>
    <x v="1"/>
    <s v="Open Market"/>
    <m/>
    <s v="Conversion of the existing 4-storey Use Class A2 unit to mixed-use, comprising an A2 unit at ground floor and two residential flats above on the second, third, and fourth floors."/>
    <s v="1 London Road, Twickenham TW1 3SX"/>
    <s v="TW1 3SX"/>
    <m/>
    <m/>
    <m/>
    <m/>
    <m/>
    <m/>
    <m/>
    <m/>
    <n v="0"/>
    <n v="1"/>
    <n v="1"/>
    <m/>
    <m/>
    <m/>
    <m/>
    <m/>
    <m/>
    <n v="2"/>
    <n v="1"/>
    <n v="1"/>
    <n v="0"/>
    <n v="0"/>
    <n v="0"/>
    <n v="0"/>
    <n v="0"/>
    <n v="0"/>
    <n v="2"/>
    <m/>
    <m/>
    <n v="1"/>
    <n v="1"/>
    <m/>
    <m/>
    <m/>
    <m/>
    <m/>
    <m/>
    <m/>
    <m/>
    <m/>
    <m/>
    <m/>
    <m/>
    <m/>
    <m/>
    <n v="2"/>
    <n v="2"/>
    <n v="2"/>
    <m/>
    <m/>
    <n v="516260"/>
    <n v="173296"/>
    <s v="Twickenham"/>
    <s v="Twickenham Riverside"/>
    <x v="2"/>
    <x v="0"/>
    <m/>
    <x v="0"/>
    <m/>
    <s v="CA8 Twickenham Riverside"/>
    <s v="Y"/>
    <s v="Y"/>
    <x v="0"/>
  </r>
  <r>
    <s v="21/3676/GPD26"/>
    <n v="132"/>
    <s v="CHU"/>
    <s v="PA"/>
    <d v="2021-12-10T00:00:00"/>
    <d v="2024-12-10T00:00:00"/>
    <d v="2021-12-13T00:00:00"/>
    <m/>
    <x v="1"/>
    <s v="Open Market"/>
    <m/>
    <s v="Change of use from Doctors Surgery (Class E) to a Single Family/Household Dwellinghouse (C3)"/>
    <s v="224 London Road, Twickenham TW1 1EU_x000a_"/>
    <s v="TW1 1EU"/>
    <m/>
    <m/>
    <m/>
    <m/>
    <m/>
    <m/>
    <m/>
    <m/>
    <n v="0"/>
    <m/>
    <m/>
    <m/>
    <m/>
    <n v="1"/>
    <m/>
    <m/>
    <m/>
    <n v="1"/>
    <n v="0"/>
    <n v="0"/>
    <n v="0"/>
    <n v="0"/>
    <n v="1"/>
    <n v="0"/>
    <n v="0"/>
    <n v="0"/>
    <n v="1"/>
    <m/>
    <m/>
    <n v="0.5"/>
    <n v="0.5"/>
    <m/>
    <m/>
    <m/>
    <m/>
    <m/>
    <m/>
    <m/>
    <m/>
    <m/>
    <m/>
    <m/>
    <m/>
    <m/>
    <m/>
    <n v="1"/>
    <n v="1"/>
    <n v="1"/>
    <m/>
    <m/>
    <n v="516107"/>
    <n v="174400"/>
    <s v="Twickenham"/>
    <s v="St. Margarets &amp; North Twickenham"/>
    <x v="1"/>
    <x v="0"/>
    <m/>
    <x v="0"/>
    <m/>
    <m/>
    <m/>
    <s v="Y"/>
    <x v="0"/>
  </r>
  <r>
    <s v="21/0754/GPD15"/>
    <n v="133"/>
    <s v="CHU"/>
    <s v="PA"/>
    <d v="2021-04-12T00:00:00"/>
    <d v="2024-04-12T00:00:00"/>
    <d v="2022-01-17T00:00:00"/>
    <m/>
    <x v="1"/>
    <s v="Open Market"/>
    <m/>
    <s v="Change of use from existing offices in building of 63-65 High Street to 12 residential flats (including retention of 3 existing self-contained flats on second floor)"/>
    <s v="63 - 65 High Street, Hampton Hill_x000a__x000a_"/>
    <s v="TW12 1NH"/>
    <m/>
    <m/>
    <m/>
    <m/>
    <m/>
    <m/>
    <m/>
    <m/>
    <n v="0"/>
    <n v="4"/>
    <n v="8"/>
    <m/>
    <m/>
    <m/>
    <m/>
    <m/>
    <m/>
    <n v="12"/>
    <n v="4"/>
    <n v="8"/>
    <n v="0"/>
    <n v="0"/>
    <n v="0"/>
    <n v="0"/>
    <n v="0"/>
    <n v="0"/>
    <n v="12"/>
    <m/>
    <m/>
    <n v="6"/>
    <n v="6"/>
    <m/>
    <m/>
    <m/>
    <m/>
    <m/>
    <m/>
    <m/>
    <m/>
    <m/>
    <m/>
    <m/>
    <m/>
    <m/>
    <m/>
    <n v="12"/>
    <n v="12"/>
    <n v="12"/>
    <m/>
    <m/>
    <n v="514247"/>
    <n v="170821"/>
    <s v="Teddington and the Hamptons"/>
    <s v="Fulwell &amp; Hampton Hill"/>
    <x v="1"/>
    <x v="0"/>
    <s v="High Street, Hampton Hill"/>
    <x v="1"/>
    <m/>
    <s v="CA38 High Street Hampton Hill"/>
    <s v="Y"/>
    <m/>
    <x v="0"/>
  </r>
  <r>
    <s v="20/1986/FUL"/>
    <n v="134"/>
    <s v="NEW"/>
    <m/>
    <d v="2020-11-06T00:00:00"/>
    <d v="2023-11-06T00:00:00"/>
    <d v="2022-01-26T00:00:00"/>
    <m/>
    <x v="1"/>
    <s v="Open Market"/>
    <m/>
    <s v="Replacement of the dwelling and garages with a new build dwelling and garage. Demolition of the existing dwelling and garages. Uses as existing"/>
    <s v="17A Strawberry Hill Road, Twickenham TW1 4QB"/>
    <s v="TW1 4QB"/>
    <m/>
    <m/>
    <m/>
    <m/>
    <m/>
    <n v="1"/>
    <m/>
    <m/>
    <n v="1"/>
    <m/>
    <m/>
    <m/>
    <m/>
    <n v="1"/>
    <m/>
    <m/>
    <m/>
    <n v="1"/>
    <n v="0"/>
    <n v="0"/>
    <n v="0"/>
    <n v="0"/>
    <n v="0"/>
    <n v="0"/>
    <n v="0"/>
    <n v="0"/>
    <n v="0"/>
    <m/>
    <m/>
    <n v="0"/>
    <m/>
    <m/>
    <m/>
    <m/>
    <m/>
    <m/>
    <m/>
    <m/>
    <m/>
    <m/>
    <m/>
    <m/>
    <m/>
    <m/>
    <m/>
    <n v="0"/>
    <n v="0"/>
    <n v="0"/>
    <m/>
    <m/>
    <n v="515689"/>
    <n v="172252"/>
    <s v="Twickenham"/>
    <s v="South Twickenham"/>
    <x v="1"/>
    <x v="0"/>
    <m/>
    <x v="0"/>
    <m/>
    <s v="CA43 Strawberry Hill Road"/>
    <s v="Y"/>
    <s v="Y"/>
    <x v="0"/>
  </r>
  <r>
    <s v="19/3905/FUL"/>
    <n v="135"/>
    <s v="EXT"/>
    <m/>
    <d v="2020-10-22T00:00:00"/>
    <d v="2023-10-22T00:00:00"/>
    <d v="2022-02-01T00:00:00"/>
    <m/>
    <x v="1"/>
    <s v="Open Market"/>
    <m/>
    <s v="Replacement shopfront, replacement windows, 2 no. rooflights on front roof slope, new basement level with lightwells and rear staircase ground floor side/rear extension and 3 rear dormer roof extension to facilitate the provision of 1 no. retail unit and"/>
    <s v="422 Upper Richmond Road West, East Sheen, London"/>
    <s v="TW10 5DY"/>
    <m/>
    <m/>
    <m/>
    <n v="1"/>
    <m/>
    <m/>
    <m/>
    <m/>
    <n v="1"/>
    <n v="7"/>
    <m/>
    <m/>
    <m/>
    <m/>
    <m/>
    <m/>
    <m/>
    <n v="7"/>
    <n v="7"/>
    <n v="0"/>
    <n v="-1"/>
    <n v="0"/>
    <n v="0"/>
    <n v="0"/>
    <n v="0"/>
    <n v="0"/>
    <n v="6"/>
    <m/>
    <m/>
    <n v="3"/>
    <n v="3"/>
    <m/>
    <m/>
    <m/>
    <m/>
    <m/>
    <m/>
    <m/>
    <m/>
    <m/>
    <m/>
    <m/>
    <m/>
    <m/>
    <m/>
    <n v="6"/>
    <n v="6"/>
    <n v="6"/>
    <m/>
    <m/>
    <n v="519849"/>
    <n v="175357"/>
    <s v="Richmond"/>
    <s v="North Richmond"/>
    <x v="1"/>
    <x v="0"/>
    <m/>
    <x v="0"/>
    <m/>
    <m/>
    <m/>
    <s v="Y"/>
    <x v="0"/>
  </r>
  <r>
    <s v="20/0222/FUL"/>
    <n v="136"/>
    <s v="NEW"/>
    <m/>
    <d v="2021-05-04T00:00:00"/>
    <d v="2024-05-04T00:00:00"/>
    <d v="2022-02-01T00:00:00"/>
    <d v="2023-08-22T00:00:00"/>
    <x v="1"/>
    <s v="London Living rent"/>
    <m/>
    <s v="Erection of a two storey residential building with accommodation within the roof to provide 14 flats (11 x 1 bed &amp; 3 x 2 bed units) with associated car parking and landscaping."/>
    <s v="Land Ajacent To 38 - 42 Hampton Road, Teddington_x000a__x000a_"/>
    <s v="TW11 0JE"/>
    <m/>
    <m/>
    <m/>
    <m/>
    <m/>
    <m/>
    <m/>
    <m/>
    <n v="0"/>
    <n v="6"/>
    <m/>
    <m/>
    <m/>
    <m/>
    <m/>
    <m/>
    <m/>
    <n v="6"/>
    <n v="6"/>
    <n v="0"/>
    <n v="0"/>
    <n v="0"/>
    <n v="0"/>
    <n v="0"/>
    <n v="0"/>
    <n v="0"/>
    <n v="6"/>
    <m/>
    <m/>
    <n v="6"/>
    <m/>
    <m/>
    <m/>
    <m/>
    <m/>
    <m/>
    <m/>
    <m/>
    <m/>
    <m/>
    <m/>
    <m/>
    <m/>
    <m/>
    <m/>
    <n v="6"/>
    <n v="6"/>
    <n v="6"/>
    <m/>
    <m/>
    <n v="515045"/>
    <n v="171153"/>
    <s v="Teddington and the Hamptons"/>
    <s v="Fulwell &amp; Hampton Hill"/>
    <x v="1"/>
    <x v="0"/>
    <m/>
    <x v="0"/>
    <m/>
    <m/>
    <m/>
    <s v="Y"/>
    <x v="0"/>
  </r>
  <r>
    <s v="20/0222/FUL"/>
    <n v="137"/>
    <s v="NEW"/>
    <m/>
    <d v="2021-05-04T00:00:00"/>
    <d v="2024-05-04T00:00:00"/>
    <d v="2022-02-01T00:00:00"/>
    <d v="2023-08-22T00:00:00"/>
    <x v="1"/>
    <s v="Shared Ownership"/>
    <m/>
    <s v="Erection of a two storey residential building with accommodation within the roof to provide 14 flats (11 x 1 bed &amp; 3 x 2 bed units) with associated car parking and landscaping."/>
    <s v="Land Ajacent To 38 - 42 Hampton Road, Teddington_x000a__x000a_"/>
    <s v="TW11 0JE"/>
    <m/>
    <m/>
    <m/>
    <m/>
    <m/>
    <m/>
    <m/>
    <m/>
    <n v="0"/>
    <n v="5"/>
    <n v="3"/>
    <m/>
    <m/>
    <m/>
    <m/>
    <m/>
    <m/>
    <n v="8"/>
    <n v="5"/>
    <n v="3"/>
    <n v="0"/>
    <n v="0"/>
    <n v="0"/>
    <n v="0"/>
    <n v="0"/>
    <n v="0"/>
    <n v="8"/>
    <m/>
    <m/>
    <n v="8"/>
    <m/>
    <m/>
    <m/>
    <m/>
    <m/>
    <m/>
    <m/>
    <m/>
    <m/>
    <m/>
    <m/>
    <m/>
    <m/>
    <m/>
    <m/>
    <n v="8"/>
    <n v="8"/>
    <n v="8"/>
    <m/>
    <m/>
    <n v="515045"/>
    <n v="171153"/>
    <s v="Teddington and the Hamptons"/>
    <s v="Fulwell &amp; Hampton Hill"/>
    <x v="1"/>
    <x v="0"/>
    <m/>
    <x v="0"/>
    <m/>
    <m/>
    <m/>
    <s v="Y"/>
    <x v="0"/>
  </r>
  <r>
    <s v="20/3641/FUL"/>
    <n v="138"/>
    <s v="NEW"/>
    <m/>
    <d v="2021-05-12T00:00:00"/>
    <d v="2024-05-12T00:00:00"/>
    <d v="2022-02-01T00:00:00"/>
    <m/>
    <x v="1"/>
    <s v="Open Market"/>
    <m/>
    <s v="Demolition of existing semi-detached bungalow and garage replacement detached dwelling house (Class C3) comprising ground, first floor and accommodation within the roof space."/>
    <s v="2 Chestnut Avenue, Hampton, TW12 2NU"/>
    <s v="TW12 2NU"/>
    <m/>
    <m/>
    <n v="1"/>
    <m/>
    <m/>
    <m/>
    <m/>
    <m/>
    <n v="1"/>
    <m/>
    <m/>
    <m/>
    <m/>
    <n v="1"/>
    <m/>
    <m/>
    <m/>
    <n v="1"/>
    <n v="0"/>
    <n v="-1"/>
    <n v="0"/>
    <n v="0"/>
    <n v="1"/>
    <n v="0"/>
    <n v="0"/>
    <n v="0"/>
    <n v="0"/>
    <m/>
    <m/>
    <n v="0"/>
    <m/>
    <m/>
    <m/>
    <m/>
    <m/>
    <m/>
    <m/>
    <m/>
    <m/>
    <m/>
    <m/>
    <m/>
    <m/>
    <m/>
    <m/>
    <n v="0"/>
    <n v="0"/>
    <n v="0"/>
    <m/>
    <m/>
    <n v="513278"/>
    <n v="170135"/>
    <s v="Teddington and the Hamptons"/>
    <s v="Hampton"/>
    <x v="1"/>
    <x v="0"/>
    <m/>
    <x v="0"/>
    <m/>
    <m/>
    <m/>
    <s v="Y"/>
    <x v="0"/>
  </r>
  <r>
    <s v="21/3152/FUL"/>
    <n v="139"/>
    <s v="NEW"/>
    <m/>
    <d v="2021-11-24T00:00:00"/>
    <d v="2024-11-24T00:00:00"/>
    <d v="2022-02-01T00:00:00"/>
    <m/>
    <x v="1"/>
    <s v="Open Market"/>
    <m/>
    <s v="Demolition of existing house and construction of detached 2-storey dwelling house with basement and accomodation in roof space and associated hard and soft landscaping"/>
    <s v="2 Fife Road, East Sheen, London SW14 7EP_x000a_"/>
    <s v="SW14 7EP"/>
    <m/>
    <m/>
    <m/>
    <m/>
    <n v="1"/>
    <m/>
    <m/>
    <m/>
    <n v="1"/>
    <m/>
    <m/>
    <m/>
    <m/>
    <n v="1"/>
    <m/>
    <m/>
    <m/>
    <n v="1"/>
    <n v="0"/>
    <n v="0"/>
    <n v="0"/>
    <n v="-1"/>
    <n v="1"/>
    <n v="0"/>
    <n v="0"/>
    <n v="0"/>
    <n v="0"/>
    <m/>
    <m/>
    <n v="0"/>
    <m/>
    <m/>
    <m/>
    <m/>
    <m/>
    <m/>
    <m/>
    <m/>
    <m/>
    <m/>
    <m/>
    <m/>
    <m/>
    <m/>
    <m/>
    <n v="0"/>
    <n v="0"/>
    <n v="0"/>
    <m/>
    <m/>
    <n v="520008"/>
    <n v="174808"/>
    <s v="Barnes and East Sheen"/>
    <s v="East Sheen"/>
    <x v="1"/>
    <x v="0"/>
    <m/>
    <x v="0"/>
    <m/>
    <s v="CA13 Christchurch Road East Sheen"/>
    <s v="Y"/>
    <s v="Y"/>
    <x v="0"/>
  </r>
  <r>
    <s v="17/1390/FUL"/>
    <n v="140"/>
    <s v="NEW"/>
    <m/>
    <d v="2018-11-15T00:00:00"/>
    <d v="2022-05-14T00:00:00"/>
    <d v="2022-03-01T00:00:00"/>
    <m/>
    <x v="1"/>
    <s v="Open Market"/>
    <m/>
    <s v="Demolition of builders storage building and erection of one bedroomed  2 storey detached dwellinghouse with basement."/>
    <s v="Land Adjacent To No 1, South Western Road, Twickenham"/>
    <s v="TW1 1LG"/>
    <m/>
    <m/>
    <m/>
    <m/>
    <m/>
    <m/>
    <m/>
    <m/>
    <n v="0"/>
    <n v="1"/>
    <m/>
    <m/>
    <m/>
    <m/>
    <m/>
    <m/>
    <m/>
    <n v="1"/>
    <n v="1"/>
    <n v="0"/>
    <n v="0"/>
    <n v="0"/>
    <n v="0"/>
    <n v="0"/>
    <n v="0"/>
    <n v="0"/>
    <n v="1"/>
    <m/>
    <m/>
    <n v="1"/>
    <m/>
    <m/>
    <m/>
    <m/>
    <m/>
    <m/>
    <m/>
    <m/>
    <m/>
    <m/>
    <m/>
    <m/>
    <m/>
    <m/>
    <m/>
    <n v="1"/>
    <n v="1"/>
    <n v="1"/>
    <m/>
    <m/>
    <n v="516598"/>
    <n v="174330"/>
    <s v="Twickenham"/>
    <s v="St. Margarets &amp; North Twickenham"/>
    <x v="1"/>
    <x v="0"/>
    <m/>
    <x v="0"/>
    <m/>
    <m/>
    <m/>
    <s v="Y"/>
    <x v="0"/>
  </r>
  <r>
    <s v="20/1870/FUL"/>
    <n v="141"/>
    <s v="CHU"/>
    <m/>
    <d v="2021-08-19T00:00:00"/>
    <d v="2024-08-19T00:00:00"/>
    <d v="2022-03-01T00:00:00"/>
    <m/>
    <x v="1"/>
    <s v="Open Market"/>
    <m/>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n v="0"/>
    <n v="2"/>
    <n v="4"/>
    <m/>
    <m/>
    <m/>
    <m/>
    <m/>
    <m/>
    <n v="6"/>
    <n v="2"/>
    <n v="4"/>
    <n v="0"/>
    <n v="0"/>
    <n v="0"/>
    <n v="0"/>
    <n v="0"/>
    <n v="0"/>
    <n v="6"/>
    <m/>
    <m/>
    <n v="3"/>
    <n v="3"/>
    <m/>
    <m/>
    <m/>
    <m/>
    <m/>
    <m/>
    <m/>
    <m/>
    <m/>
    <m/>
    <m/>
    <m/>
    <m/>
    <m/>
    <n v="6"/>
    <n v="6"/>
    <n v="6"/>
    <m/>
    <m/>
    <n v="516610"/>
    <n v="175362"/>
    <s v="Twickenham"/>
    <s v="St. Margarets &amp; North Twickenham"/>
    <x v="1"/>
    <x v="0"/>
    <m/>
    <x v="0"/>
    <m/>
    <s v="CA19 St Margarets"/>
    <s v="Y"/>
    <m/>
    <x v="1"/>
  </r>
  <r>
    <s v="16/2537/FUL"/>
    <n v="142"/>
    <s v="NEW"/>
    <m/>
    <d v="2019-04-03T00:00:00"/>
    <d v="2022-04-03T00:00:00"/>
    <d v="2022-03-16T00:00:00"/>
    <m/>
    <x v="1"/>
    <s v="Open Market"/>
    <m/>
    <s v="Demolition of the existing building, and redevelopment of the site for 8 residential units (1 x 1 bed, 7 x 2 bed units) with associated car and cycle parking, amenity space, refuse and recycling storage."/>
    <s v="1D Becketts Place, Hampton Wick_x000a__x000a_"/>
    <s v="KT1 4EW"/>
    <m/>
    <n v="3"/>
    <m/>
    <m/>
    <m/>
    <m/>
    <m/>
    <m/>
    <n v="3"/>
    <n v="1"/>
    <n v="7"/>
    <m/>
    <m/>
    <m/>
    <m/>
    <m/>
    <m/>
    <n v="8"/>
    <n v="-2"/>
    <n v="7"/>
    <n v="0"/>
    <n v="0"/>
    <n v="0"/>
    <n v="0"/>
    <n v="0"/>
    <n v="0"/>
    <n v="5"/>
    <m/>
    <m/>
    <n v="5"/>
    <m/>
    <m/>
    <m/>
    <m/>
    <m/>
    <m/>
    <m/>
    <m/>
    <m/>
    <m/>
    <m/>
    <m/>
    <m/>
    <m/>
    <m/>
    <n v="5"/>
    <n v="5"/>
    <n v="5"/>
    <m/>
    <m/>
    <n v="517622"/>
    <n v="169605"/>
    <s v="Teddington and the Hamptons"/>
    <s v="Hampton Wick &amp; South Teddington"/>
    <x v="1"/>
    <x v="1"/>
    <s v="Hampton Wick"/>
    <x v="1"/>
    <m/>
    <s v="CA18 Hampton Wick"/>
    <s v="Y"/>
    <s v="Y"/>
    <x v="0"/>
  </r>
  <r>
    <s v="20/1499/FUL"/>
    <n v="143"/>
    <s v="NEW"/>
    <m/>
    <d v="2020-09-29T00:00:00"/>
    <d v="2024-03-04T00:00:00"/>
    <d v="2022-03-31T00:00:00"/>
    <m/>
    <x v="1"/>
    <s v="Open Market"/>
    <m/>
    <s v="Demolition of existing buildings and the erection of a replacement building to contain 9no. flats (Use Class C3), with associated works including landscaping and parking."/>
    <s v="Boundaries, 1 St James's Road, Hampton Hill, Hampton TW12 1DH_x000a_"/>
    <s v="TW12 1DH"/>
    <m/>
    <m/>
    <m/>
    <m/>
    <n v="1"/>
    <m/>
    <m/>
    <m/>
    <n v="1"/>
    <n v="1"/>
    <n v="7"/>
    <n v="1"/>
    <m/>
    <m/>
    <m/>
    <m/>
    <m/>
    <n v="9"/>
    <n v="1"/>
    <n v="7"/>
    <n v="1"/>
    <n v="-1"/>
    <n v="0"/>
    <n v="0"/>
    <n v="0"/>
    <n v="0"/>
    <n v="8"/>
    <m/>
    <m/>
    <n v="8"/>
    <m/>
    <m/>
    <m/>
    <m/>
    <m/>
    <m/>
    <m/>
    <m/>
    <m/>
    <m/>
    <m/>
    <m/>
    <m/>
    <m/>
    <m/>
    <n v="8"/>
    <n v="8"/>
    <n v="8"/>
    <m/>
    <m/>
    <n v="513824"/>
    <n v="171219"/>
    <s v="Teddington and the Hamptons"/>
    <s v="Hampton North"/>
    <x v="1"/>
    <x v="0"/>
    <m/>
    <x v="0"/>
    <m/>
    <m/>
    <m/>
    <m/>
    <x v="1"/>
  </r>
  <r>
    <s v="19/1890/FUL"/>
    <n v="144"/>
    <s v="NEW"/>
    <m/>
    <d v="2020-06-08T00:00:00"/>
    <d v="2023-06-08T00:00:00"/>
    <d v="2022-04-16T00:00:00"/>
    <m/>
    <x v="1"/>
    <s v="Open Market"/>
    <m/>
    <s v="Erection of two pairs of semi-detached 4 bedroom dwellings and associated parking and landscaping following the demolition of the existing property."/>
    <s v="224 Hospital Bridge Road, Twickenham, TW2 6LF"/>
    <s v="TW2 6LF"/>
    <m/>
    <m/>
    <m/>
    <n v="1"/>
    <m/>
    <m/>
    <m/>
    <m/>
    <n v="1"/>
    <m/>
    <m/>
    <m/>
    <n v="4"/>
    <m/>
    <m/>
    <m/>
    <m/>
    <n v="4"/>
    <n v="0"/>
    <n v="0"/>
    <n v="-1"/>
    <n v="4"/>
    <n v="0"/>
    <n v="0"/>
    <n v="0"/>
    <n v="0"/>
    <n v="3"/>
    <m/>
    <m/>
    <n v="3"/>
    <m/>
    <m/>
    <m/>
    <m/>
    <m/>
    <m/>
    <m/>
    <m/>
    <m/>
    <m/>
    <m/>
    <m/>
    <m/>
    <m/>
    <m/>
    <n v="3"/>
    <n v="3"/>
    <n v="3"/>
    <m/>
    <m/>
    <n v="513614"/>
    <n v="173545"/>
    <s v="Whitton"/>
    <s v="Heathfield"/>
    <x v="1"/>
    <x v="0"/>
    <m/>
    <x v="0"/>
    <m/>
    <m/>
    <m/>
    <s v="Y"/>
    <x v="1"/>
  </r>
  <r>
    <s v="20/0997/FUL"/>
    <n v="145"/>
    <s v="CON"/>
    <m/>
    <d v="2020-12-04T00:00:00"/>
    <d v="2023-12-04T00:00:00"/>
    <d v="2022-04-19T00:00:00"/>
    <m/>
    <x v="1"/>
    <s v="Open Market"/>
    <m/>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m/>
    <n v="1"/>
    <m/>
    <m/>
    <m/>
    <m/>
    <n v="1"/>
    <n v="2"/>
    <m/>
    <m/>
    <m/>
    <m/>
    <m/>
    <m/>
    <m/>
    <n v="2"/>
    <n v="2"/>
    <n v="0"/>
    <n v="-1"/>
    <n v="0"/>
    <n v="0"/>
    <n v="0"/>
    <n v="0"/>
    <n v="0"/>
    <n v="1"/>
    <m/>
    <m/>
    <n v="0.5"/>
    <n v="0.5"/>
    <m/>
    <m/>
    <m/>
    <m/>
    <m/>
    <m/>
    <m/>
    <m/>
    <m/>
    <m/>
    <m/>
    <m/>
    <m/>
    <m/>
    <n v="1"/>
    <n v="1"/>
    <n v="1"/>
    <m/>
    <m/>
    <n v="520166"/>
    <n v="175305"/>
    <s v="Barnes and East Sheen"/>
    <s v="East Sheen"/>
    <x v="3"/>
    <x v="0"/>
    <m/>
    <x v="0"/>
    <m/>
    <m/>
    <m/>
    <s v="Y"/>
    <x v="0"/>
  </r>
  <r>
    <s v="20/2358/FUL"/>
    <n v="146"/>
    <s v="CHU"/>
    <m/>
    <d v="2020-10-30T00:00:00"/>
    <d v="2024-09-23T00:00:00"/>
    <d v="2022-05-01T00:00:00"/>
    <m/>
    <x v="1"/>
    <s v="Open Market"/>
    <m/>
    <s v="Change of use for conversion of an office designed as a live work one-bedroom residential property to a two-bedroom residential property, with associated landscaping."/>
    <s v="19 Thames Street, Hampton, TW12 2EW"/>
    <s v="TW12 2EW"/>
    <m/>
    <n v="1"/>
    <m/>
    <m/>
    <m/>
    <m/>
    <m/>
    <m/>
    <n v="1"/>
    <m/>
    <n v="1"/>
    <m/>
    <m/>
    <m/>
    <m/>
    <m/>
    <m/>
    <n v="1"/>
    <n v="-1"/>
    <n v="1"/>
    <n v="0"/>
    <n v="0"/>
    <n v="0"/>
    <n v="0"/>
    <n v="0"/>
    <n v="0"/>
    <n v="0"/>
    <m/>
    <m/>
    <n v="0"/>
    <m/>
    <m/>
    <m/>
    <m/>
    <m/>
    <m/>
    <m/>
    <m/>
    <m/>
    <m/>
    <m/>
    <m/>
    <m/>
    <m/>
    <m/>
    <n v="0"/>
    <n v="0"/>
    <n v="0"/>
    <m/>
    <m/>
    <n v="513893"/>
    <n v="169502"/>
    <s v="Teddington and the Hamptons"/>
    <s v="Hampton"/>
    <x v="1"/>
    <x v="1"/>
    <s v="Thames Street, Hampton"/>
    <x v="1"/>
    <m/>
    <s v="CA12 Hampton Village"/>
    <s v="Y"/>
    <s v="Y"/>
    <x v="0"/>
  </r>
  <r>
    <s v="19/0338/FUL"/>
    <n v="147"/>
    <s v="NEW"/>
    <m/>
    <d v="2019-05-24T00:00:00"/>
    <d v="2022-05-24T00:00:00"/>
    <d v="2022-05-28T00:00:00"/>
    <m/>
    <x v="1"/>
    <s v="Open Market"/>
    <m/>
    <s v="Demolition of existing 3-bedroom bungalow and erection of a new 3-bedroom detached house with basement level."/>
    <s v="48 Fourth Cross Road, Twickenham TW2 5EL"/>
    <s v="TW2 5EL"/>
    <m/>
    <m/>
    <m/>
    <n v="1"/>
    <m/>
    <m/>
    <m/>
    <m/>
    <n v="1"/>
    <m/>
    <m/>
    <n v="1"/>
    <m/>
    <m/>
    <m/>
    <m/>
    <m/>
    <n v="1"/>
    <n v="0"/>
    <n v="0"/>
    <n v="0"/>
    <n v="0"/>
    <n v="0"/>
    <n v="0"/>
    <n v="0"/>
    <n v="0"/>
    <n v="0"/>
    <m/>
    <m/>
    <n v="0"/>
    <m/>
    <m/>
    <m/>
    <m/>
    <m/>
    <m/>
    <m/>
    <m/>
    <m/>
    <m/>
    <m/>
    <m/>
    <m/>
    <m/>
    <m/>
    <n v="0"/>
    <n v="0"/>
    <n v="0"/>
    <m/>
    <m/>
    <n v="514720"/>
    <n v="172712"/>
    <s v="Twickenham"/>
    <s v="West Twickenham"/>
    <x v="1"/>
    <x v="0"/>
    <m/>
    <x v="0"/>
    <m/>
    <m/>
    <m/>
    <m/>
    <x v="0"/>
  </r>
  <r>
    <s v="18/1889/FUL"/>
    <n v="148"/>
    <s v="NEW"/>
    <m/>
    <d v="2018-11-29T00:00:00"/>
    <d v="2022-09-10T00:00:00"/>
    <d v="2022-06-06T00:00:00"/>
    <m/>
    <x v="1"/>
    <s v="Open Market"/>
    <m/>
    <s v="Erection of a pair of 2 storey semi-detached 2 bed (1 x 2B4P and 1 x 2B3P) dwellinghouses with associated hard and soft landscaping and parking."/>
    <s v="Land To The Side Of 61 Acacia Road, Hampton TW12 3DP_x000a_"/>
    <s v="TW12 3DP"/>
    <m/>
    <m/>
    <m/>
    <m/>
    <m/>
    <m/>
    <m/>
    <m/>
    <n v="0"/>
    <m/>
    <n v="2"/>
    <m/>
    <m/>
    <m/>
    <m/>
    <m/>
    <m/>
    <n v="2"/>
    <n v="0"/>
    <n v="2"/>
    <n v="0"/>
    <n v="0"/>
    <n v="0"/>
    <n v="0"/>
    <n v="0"/>
    <n v="0"/>
    <n v="2"/>
    <m/>
    <m/>
    <n v="2"/>
    <m/>
    <m/>
    <m/>
    <m/>
    <m/>
    <m/>
    <m/>
    <m/>
    <m/>
    <m/>
    <m/>
    <m/>
    <m/>
    <m/>
    <m/>
    <n v="2"/>
    <n v="2"/>
    <n v="2"/>
    <m/>
    <m/>
    <n v="513221"/>
    <n v="170897"/>
    <s v="Teddington and the Hamptons"/>
    <s v="Hampton North"/>
    <x v="1"/>
    <x v="0"/>
    <m/>
    <x v="0"/>
    <m/>
    <m/>
    <m/>
    <m/>
    <x v="0"/>
  </r>
  <r>
    <s v="22/3588/GPD26"/>
    <n v="149"/>
    <s v="CHU"/>
    <s v="PA"/>
    <d v="2023-01-26T00:00:00"/>
    <d v="2025-01-26T00:00:00"/>
    <d v="2022-08-01T00:00:00"/>
    <m/>
    <x v="1"/>
    <s v="Open Market"/>
    <m/>
    <s v="Conversion of first floor office unit into 1 x two-bedroom self-contained flat."/>
    <s v="Unit 23 Station Point, 121 Sandycombe Road, Richmond TW9 2AD_x000a_"/>
    <s v="TW9 2AD"/>
    <m/>
    <m/>
    <m/>
    <m/>
    <m/>
    <m/>
    <m/>
    <m/>
    <n v="0"/>
    <m/>
    <n v="1"/>
    <m/>
    <m/>
    <m/>
    <m/>
    <m/>
    <m/>
    <n v="1"/>
    <n v="0"/>
    <n v="1"/>
    <n v="0"/>
    <n v="0"/>
    <n v="0"/>
    <n v="0"/>
    <n v="0"/>
    <n v="0"/>
    <n v="1"/>
    <m/>
    <m/>
    <n v="0.5"/>
    <n v="0.5"/>
    <m/>
    <m/>
    <m/>
    <m/>
    <m/>
    <m/>
    <m/>
    <m/>
    <m/>
    <m/>
    <m/>
    <m/>
    <m/>
    <m/>
    <n v="1"/>
    <n v="1"/>
    <n v="1"/>
    <m/>
    <m/>
    <n v="519074"/>
    <n v="176043"/>
    <s v="Richmond"/>
    <s v="Kew"/>
    <x v="1"/>
    <x v="0"/>
    <m/>
    <x v="0"/>
    <m/>
    <m/>
    <m/>
    <s v="Y"/>
    <x v="0"/>
  </r>
  <r>
    <s v="20/2345/FUL"/>
    <n v="150"/>
    <s v="NEW"/>
    <m/>
    <d v="2021-08-02T00:00:00"/>
    <d v="2024-08-02T00:00:00"/>
    <d v="2022-08-31T00:00:00"/>
    <m/>
    <x v="1"/>
    <s v="Open Market"/>
    <m/>
    <s v="Erection of a new 3 bedroom disabled dwelling with mezzanine, dormer room and carers' accommodation and retrospective permission for the demolition of fire destroyed bungalow."/>
    <s v="31A Whitton Waye, Whitton, Hounslow, TW3 2LT"/>
    <s v="TW3 2LT"/>
    <m/>
    <m/>
    <m/>
    <n v="1"/>
    <m/>
    <m/>
    <m/>
    <m/>
    <n v="1"/>
    <m/>
    <m/>
    <m/>
    <m/>
    <n v="1"/>
    <m/>
    <m/>
    <m/>
    <n v="1"/>
    <n v="0"/>
    <n v="0"/>
    <n v="-1"/>
    <n v="0"/>
    <n v="1"/>
    <n v="0"/>
    <n v="0"/>
    <n v="0"/>
    <n v="0"/>
    <m/>
    <m/>
    <n v="0"/>
    <m/>
    <m/>
    <m/>
    <m/>
    <m/>
    <m/>
    <m/>
    <m/>
    <m/>
    <m/>
    <m/>
    <m/>
    <m/>
    <m/>
    <m/>
    <n v="0"/>
    <n v="0"/>
    <n v="0"/>
    <m/>
    <m/>
    <n v="513403"/>
    <n v="174165"/>
    <s v="Whitton"/>
    <s v="Whitton"/>
    <x v="1"/>
    <x v="0"/>
    <m/>
    <x v="0"/>
    <m/>
    <m/>
    <m/>
    <s v="Y"/>
    <x v="0"/>
  </r>
  <r>
    <s v="20/2393/FUL"/>
    <n v="151"/>
    <s v="CHU"/>
    <m/>
    <d v="2021-07-30T00:00:00"/>
    <d v="2024-07-30T00:00:00"/>
    <d v="2022-08-31T00:00:00"/>
    <m/>
    <x v="1"/>
    <s v="Open Market"/>
    <m/>
    <s v="Conversion of Upper Floors to No. 104 (House of Multiple Occupation) to two self contained Flats, with new ground floor pedestrian access."/>
    <s v="102-104 Heath Road, Twickenham TW1 4BW"/>
    <s v="TW1 4BW"/>
    <m/>
    <m/>
    <m/>
    <m/>
    <m/>
    <n v="1"/>
    <m/>
    <m/>
    <n v="1"/>
    <n v="2"/>
    <m/>
    <m/>
    <m/>
    <m/>
    <m/>
    <m/>
    <m/>
    <n v="2"/>
    <n v="2"/>
    <n v="0"/>
    <n v="0"/>
    <n v="0"/>
    <n v="-1"/>
    <n v="0"/>
    <n v="0"/>
    <n v="0"/>
    <n v="1"/>
    <m/>
    <m/>
    <n v="1"/>
    <m/>
    <m/>
    <m/>
    <m/>
    <m/>
    <m/>
    <m/>
    <m/>
    <m/>
    <m/>
    <m/>
    <m/>
    <m/>
    <m/>
    <m/>
    <n v="1"/>
    <n v="1"/>
    <n v="1"/>
    <m/>
    <m/>
    <n v="515822"/>
    <n v="173145"/>
    <s v="Twickenham"/>
    <s v="South Twickenham"/>
    <x v="2"/>
    <x v="0"/>
    <m/>
    <x v="0"/>
    <m/>
    <m/>
    <m/>
    <s v="Y"/>
    <x v="0"/>
  </r>
  <r>
    <s v="19/1731/FUL"/>
    <n v="152"/>
    <s v="NEW"/>
    <m/>
    <d v="2019-08-21T00:00:00"/>
    <d v="2022-08-21T00:00:00"/>
    <d v="2022-09-01T00:00:00"/>
    <m/>
    <x v="1"/>
    <s v="Open Market"/>
    <m/>
    <s v="Demolition of existing dwellinghouse and erection of replacement two storey 4 bedroom dwellinghouse with associated hard and soft landscaping and cycle and refuse store. Replacement boundary fence/gates."/>
    <s v="17A Tower Road, Twickenham TW1 4PD"/>
    <s v="TW1 4PD"/>
    <m/>
    <m/>
    <n v="1"/>
    <m/>
    <m/>
    <m/>
    <m/>
    <m/>
    <n v="1"/>
    <m/>
    <m/>
    <m/>
    <n v="1"/>
    <m/>
    <m/>
    <m/>
    <m/>
    <n v="1"/>
    <n v="0"/>
    <n v="-1"/>
    <n v="0"/>
    <n v="1"/>
    <n v="0"/>
    <n v="0"/>
    <n v="0"/>
    <n v="0"/>
    <n v="0"/>
    <m/>
    <m/>
    <n v="0"/>
    <m/>
    <m/>
    <m/>
    <m/>
    <m/>
    <m/>
    <m/>
    <m/>
    <m/>
    <m/>
    <m/>
    <m/>
    <m/>
    <m/>
    <m/>
    <n v="0"/>
    <n v="0"/>
    <n v="0"/>
    <m/>
    <m/>
    <n v="515806"/>
    <n v="172455"/>
    <s v="Twickenham"/>
    <s v="South Twickenham"/>
    <x v="1"/>
    <x v="0"/>
    <m/>
    <x v="0"/>
    <m/>
    <m/>
    <m/>
    <s v="Y"/>
    <x v="0"/>
  </r>
  <r>
    <s v="21/2441/FUL"/>
    <n v="153"/>
    <s v="CHU"/>
    <m/>
    <d v="2022-08-23T00:00:00"/>
    <d v="2025-08-23T00:00:00"/>
    <d v="2022-09-01T00:00:00"/>
    <m/>
    <x v="1"/>
    <s v="Open Market"/>
    <m/>
    <s v="Change of use (to C3) of former Royal Oak Public House. Alterations and extension to ground floor, and alterations to existing facades to create 1 x 3 bedroom dwellinghouse with 2 x off-street parking spaces and associated cycle parking."/>
    <s v="The Royal Oak, Ham Street, Ham, Richmond, TW10 7HN"/>
    <s v="TW10 7HN"/>
    <m/>
    <m/>
    <m/>
    <m/>
    <m/>
    <m/>
    <m/>
    <m/>
    <n v="0"/>
    <m/>
    <m/>
    <n v="1"/>
    <m/>
    <m/>
    <m/>
    <m/>
    <m/>
    <n v="1"/>
    <n v="0"/>
    <n v="0"/>
    <n v="1"/>
    <n v="0"/>
    <n v="0"/>
    <n v="0"/>
    <n v="0"/>
    <n v="0"/>
    <n v="1"/>
    <m/>
    <m/>
    <n v="0.5"/>
    <n v="0.5"/>
    <m/>
    <m/>
    <m/>
    <m/>
    <m/>
    <m/>
    <m/>
    <m/>
    <m/>
    <m/>
    <m/>
    <m/>
    <m/>
    <m/>
    <n v="1"/>
    <n v="1"/>
    <n v="1"/>
    <m/>
    <m/>
    <n v="517302"/>
    <n v="172517"/>
    <s v="Ham &amp; Petersham"/>
    <s v="Ham, Petersham &amp; Richmond Riverside"/>
    <x v="1"/>
    <x v="0"/>
    <m/>
    <x v="0"/>
    <s v="The Manor House Ham"/>
    <s v="CA23 Ham House"/>
    <s v="Y"/>
    <m/>
    <x v="0"/>
  </r>
  <r>
    <s v="21/2646/FUL"/>
    <n v="154"/>
    <s v="CON"/>
    <m/>
    <d v="2021-12-07T00:00:00"/>
    <d v="2024-12-07T00:00:00"/>
    <d v="2022-09-01T00:00:00"/>
    <d v="2023-09-25T00:00:00"/>
    <x v="1"/>
    <s v="Open Market"/>
    <m/>
    <s v="Two storey side extension to facilitate the conversion of the existing house into two flats. Associated cycle and refuse stores. Solar panels on rear roofslope and side roofslope to outrigger."/>
    <s v="39 Gainsborough Road, Richmond, TW9 2DZ"/>
    <s v="TW9 2DZ"/>
    <m/>
    <m/>
    <m/>
    <n v="1"/>
    <m/>
    <m/>
    <m/>
    <m/>
    <n v="1"/>
    <m/>
    <n v="2"/>
    <m/>
    <m/>
    <m/>
    <m/>
    <m/>
    <m/>
    <n v="2"/>
    <n v="0"/>
    <n v="2"/>
    <n v="-1"/>
    <n v="0"/>
    <n v="0"/>
    <n v="0"/>
    <n v="0"/>
    <n v="0"/>
    <n v="1"/>
    <m/>
    <m/>
    <n v="1"/>
    <m/>
    <m/>
    <m/>
    <m/>
    <m/>
    <m/>
    <m/>
    <m/>
    <m/>
    <m/>
    <m/>
    <m/>
    <m/>
    <m/>
    <m/>
    <n v="1"/>
    <n v="1"/>
    <n v="1"/>
    <m/>
    <m/>
    <n v="518834"/>
    <n v="175928"/>
    <s v="Richmond"/>
    <s v="Kew"/>
    <x v="1"/>
    <x v="0"/>
    <m/>
    <x v="0"/>
    <m/>
    <m/>
    <m/>
    <s v="Y"/>
    <x v="0"/>
  </r>
  <r>
    <s v="21/3498/FUL"/>
    <n v="155"/>
    <s v="CON"/>
    <m/>
    <d v="2022-03-07T00:00:00"/>
    <d v="2025-03-07T00:00:00"/>
    <d v="2022-09-01T00:00:00"/>
    <m/>
    <x v="1"/>
    <s v="Open Market"/>
    <m/>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London"/>
    <s v="SW13 0BU"/>
    <m/>
    <m/>
    <n v="2"/>
    <m/>
    <m/>
    <m/>
    <m/>
    <m/>
    <n v="2"/>
    <m/>
    <m/>
    <m/>
    <n v="1"/>
    <m/>
    <m/>
    <m/>
    <m/>
    <n v="1"/>
    <n v="0"/>
    <n v="-2"/>
    <n v="0"/>
    <n v="1"/>
    <n v="0"/>
    <n v="0"/>
    <n v="0"/>
    <n v="0"/>
    <n v="-1"/>
    <m/>
    <m/>
    <n v="-0.5"/>
    <n v="-0.5"/>
    <m/>
    <m/>
    <m/>
    <m/>
    <m/>
    <m/>
    <m/>
    <m/>
    <m/>
    <m/>
    <m/>
    <m/>
    <m/>
    <m/>
    <n v="-1"/>
    <n v="-1"/>
    <n v="-1"/>
    <m/>
    <m/>
    <n v="522359"/>
    <n v="176498"/>
    <s v="Barnes and East Sheen"/>
    <s v="Barnes"/>
    <x v="1"/>
    <x v="0"/>
    <m/>
    <x v="0"/>
    <m/>
    <s v="CA32 Barnes Common"/>
    <s v="Y"/>
    <s v="Y"/>
    <x v="0"/>
  </r>
  <r>
    <s v="22/0229/GPD26"/>
    <n v="156"/>
    <s v="CHU"/>
    <s v="PA"/>
    <d v="2022-03-24T00:00:00"/>
    <d v="2025-03-24T00:00:00"/>
    <d v="2022-09-01T00:00:00"/>
    <d v="2023-07-05T00:00:00"/>
    <x v="1"/>
    <s v="Open Market"/>
    <m/>
    <s v="Change of use from offices to dwelling houses to create 2 self contained flats (3b 6p, 5b 8p)"/>
    <s v="32 Candler Mews, Twickenham, TW1 3JF"/>
    <s v="TW1 3JF"/>
    <m/>
    <m/>
    <m/>
    <m/>
    <m/>
    <m/>
    <m/>
    <m/>
    <n v="0"/>
    <m/>
    <m/>
    <n v="1"/>
    <m/>
    <n v="1"/>
    <m/>
    <m/>
    <m/>
    <n v="2"/>
    <n v="0"/>
    <n v="0"/>
    <n v="1"/>
    <n v="0"/>
    <n v="1"/>
    <n v="0"/>
    <n v="0"/>
    <n v="0"/>
    <n v="2"/>
    <m/>
    <m/>
    <n v="2"/>
    <m/>
    <m/>
    <m/>
    <m/>
    <m/>
    <m/>
    <m/>
    <m/>
    <m/>
    <m/>
    <m/>
    <m/>
    <m/>
    <m/>
    <m/>
    <n v="2"/>
    <n v="2"/>
    <n v="2"/>
    <m/>
    <m/>
    <n v="516346"/>
    <n v="173774"/>
    <s v="Twickenham"/>
    <s v="Twickenham Riverside"/>
    <x v="1"/>
    <x v="0"/>
    <m/>
    <x v="0"/>
    <m/>
    <m/>
    <m/>
    <s v="Y"/>
    <x v="0"/>
  </r>
  <r>
    <s v="19/2235/FUL"/>
    <n v="157"/>
    <s v="NEW"/>
    <m/>
    <d v="2020-07-31T00:00:00"/>
    <d v="2023-07-31T00:00:00"/>
    <d v="2022-09-05T00:00:00"/>
    <m/>
    <x v="1"/>
    <s v="Open Market"/>
    <m/>
    <s v="Demolition of existing dwelling and the erection of two 4-bedroom semi-detached dwellings with associated access and car parking."/>
    <s v="10 Broad Lane, Hampton, TW12 3AW"/>
    <s v="TW12 3AW"/>
    <m/>
    <m/>
    <m/>
    <n v="1"/>
    <m/>
    <m/>
    <m/>
    <m/>
    <n v="1"/>
    <m/>
    <m/>
    <m/>
    <n v="2"/>
    <m/>
    <m/>
    <m/>
    <m/>
    <n v="2"/>
    <n v="0"/>
    <n v="0"/>
    <n v="-1"/>
    <n v="2"/>
    <n v="0"/>
    <n v="0"/>
    <n v="0"/>
    <n v="0"/>
    <n v="1"/>
    <m/>
    <m/>
    <n v="1"/>
    <m/>
    <m/>
    <m/>
    <m/>
    <m/>
    <m/>
    <m/>
    <m/>
    <m/>
    <m/>
    <m/>
    <m/>
    <m/>
    <m/>
    <m/>
    <n v="1"/>
    <n v="1"/>
    <n v="1"/>
    <m/>
    <m/>
    <n v="513725"/>
    <n v="170629"/>
    <s v="Teddington and the Hamptons"/>
    <s v="Hampton North"/>
    <x v="1"/>
    <x v="0"/>
    <m/>
    <x v="0"/>
    <m/>
    <m/>
    <m/>
    <m/>
    <x v="0"/>
  </r>
  <r>
    <s v="18/3930/FUL"/>
    <n v="158"/>
    <s v="NEW"/>
    <m/>
    <d v="2019-10-17T00:00:00"/>
    <d v="2022-10-17T00:00:00"/>
    <d v="2022-09-07T00:00:00"/>
    <m/>
    <x v="1"/>
    <s v="Open Market"/>
    <m/>
    <s v="Demolition of existing garage and erection of 1No. 2 storey with habitable roofspace 4 bed dwelling with associated hard and soft landscaping. Alterations to existing crossover and creation of a new crossover in front of No.38 Langham Road to facilitate p"/>
    <s v="38 Langham Road, Teddington TW11 9HQ"/>
    <s v="TW11 9HQ"/>
    <m/>
    <m/>
    <m/>
    <m/>
    <m/>
    <m/>
    <m/>
    <m/>
    <n v="0"/>
    <m/>
    <m/>
    <m/>
    <n v="1"/>
    <m/>
    <m/>
    <m/>
    <m/>
    <n v="1"/>
    <n v="0"/>
    <n v="0"/>
    <n v="0"/>
    <n v="1"/>
    <n v="0"/>
    <n v="0"/>
    <n v="0"/>
    <n v="0"/>
    <n v="1"/>
    <m/>
    <m/>
    <n v="1"/>
    <m/>
    <m/>
    <m/>
    <m/>
    <m/>
    <m/>
    <m/>
    <m/>
    <m/>
    <m/>
    <m/>
    <m/>
    <m/>
    <m/>
    <m/>
    <n v="1"/>
    <n v="1"/>
    <n v="1"/>
    <m/>
    <m/>
    <n v="516550"/>
    <n v="171027"/>
    <s v="Teddington and the Hamptons"/>
    <s v="Hampton Wick &amp; South Teddington"/>
    <x v="1"/>
    <x v="0"/>
    <m/>
    <x v="0"/>
    <m/>
    <m/>
    <m/>
    <s v="Y"/>
    <x v="0"/>
  </r>
  <r>
    <s v="20/3164/OUT"/>
    <n v="159"/>
    <s v="NEW"/>
    <m/>
    <d v="2021-05-07T00:00:00"/>
    <d v="2024-05-07T00:00:00"/>
    <d v="2022-10-01T00:00:00"/>
    <m/>
    <x v="1"/>
    <s v="Open Market"/>
    <m/>
    <s v="Outline application for a single storey 2 bedroomed dwelling to the rear of 2 Sunbury Avenue, associated hard and soft landscaping and off-street parking"/>
    <s v="Land Rear Of, 2 Sunbury Avenue, East Sheen, London"/>
    <s v="SW14"/>
    <m/>
    <m/>
    <m/>
    <m/>
    <m/>
    <m/>
    <m/>
    <m/>
    <n v="0"/>
    <m/>
    <n v="1"/>
    <m/>
    <m/>
    <m/>
    <m/>
    <m/>
    <m/>
    <n v="1"/>
    <n v="0"/>
    <n v="1"/>
    <n v="0"/>
    <n v="0"/>
    <n v="0"/>
    <n v="0"/>
    <n v="0"/>
    <n v="0"/>
    <n v="1"/>
    <m/>
    <m/>
    <n v="1"/>
    <m/>
    <m/>
    <m/>
    <m/>
    <m/>
    <m/>
    <m/>
    <m/>
    <m/>
    <m/>
    <m/>
    <m/>
    <m/>
    <m/>
    <m/>
    <n v="1"/>
    <n v="1"/>
    <n v="1"/>
    <m/>
    <m/>
    <n v="520935"/>
    <n v="175143"/>
    <s v="Barnes and East Sheen"/>
    <s v="East Sheen"/>
    <x v="1"/>
    <x v="0"/>
    <m/>
    <x v="0"/>
    <m/>
    <m/>
    <m/>
    <s v="Y"/>
    <x v="0"/>
  </r>
  <r>
    <s v="21/4278/FUL"/>
    <n v="160"/>
    <s v="CON"/>
    <m/>
    <d v="2022-08-12T00:00:00"/>
    <d v="2025-08-12T00:00:00"/>
    <d v="2022-10-01T00:00:00"/>
    <m/>
    <x v="1"/>
    <s v="Open Market"/>
    <m/>
    <s v="Conversion of three flats to single dwelling. Proposed single storey rear extension."/>
    <s v="Kingsleigh House, 5 St Albans Gardens, Teddington_x000a__x000a_"/>
    <s v="TW11 8AE"/>
    <m/>
    <m/>
    <n v="3"/>
    <m/>
    <m/>
    <m/>
    <m/>
    <m/>
    <n v="3"/>
    <m/>
    <m/>
    <m/>
    <m/>
    <m/>
    <n v="1"/>
    <m/>
    <m/>
    <n v="1"/>
    <n v="0"/>
    <n v="-3"/>
    <n v="0"/>
    <n v="0"/>
    <n v="0"/>
    <n v="1"/>
    <n v="0"/>
    <n v="0"/>
    <n v="-2"/>
    <m/>
    <m/>
    <n v="-1"/>
    <n v="-1"/>
    <m/>
    <m/>
    <m/>
    <m/>
    <m/>
    <m/>
    <m/>
    <m/>
    <m/>
    <m/>
    <m/>
    <m/>
    <m/>
    <m/>
    <n v="-2"/>
    <n v="-2"/>
    <n v="-2"/>
    <m/>
    <m/>
    <n v="516423"/>
    <n v="171233"/>
    <s v="Teddington and the Hamptons"/>
    <s v="Teddington"/>
    <x v="1"/>
    <x v="0"/>
    <m/>
    <x v="0"/>
    <m/>
    <s v="CA27 Teddington Lock"/>
    <s v="Y"/>
    <s v="Y"/>
    <x v="0"/>
  </r>
  <r>
    <s v="22/2230/GPD26"/>
    <n v="161"/>
    <s v="CHU"/>
    <s v="PA"/>
    <d v="2022-09-09T00:00:00"/>
    <d v="2025-09-09T00:00:00"/>
    <d v="2022-10-03T00:00:00"/>
    <m/>
    <x v="1"/>
    <s v="Open Market"/>
    <m/>
    <s v="The change of use of the ground floor from commercial business and service(Class E) to residential (Class C3) to provide 1 no. 2 bed flat"/>
    <s v="34 Crown Road, Twickenham, TW1 3EH"/>
    <s v="TW1 3EH"/>
    <m/>
    <m/>
    <m/>
    <m/>
    <m/>
    <m/>
    <m/>
    <m/>
    <n v="0"/>
    <m/>
    <n v="1"/>
    <m/>
    <m/>
    <m/>
    <m/>
    <m/>
    <m/>
    <n v="1"/>
    <n v="0"/>
    <n v="1"/>
    <n v="0"/>
    <n v="0"/>
    <n v="0"/>
    <n v="0"/>
    <n v="0"/>
    <n v="0"/>
    <n v="1"/>
    <m/>
    <m/>
    <n v="0.5"/>
    <n v="0.5"/>
    <m/>
    <m/>
    <m/>
    <m/>
    <m/>
    <m/>
    <m/>
    <m/>
    <m/>
    <m/>
    <m/>
    <m/>
    <m/>
    <m/>
    <n v="1"/>
    <n v="1"/>
    <n v="1"/>
    <m/>
    <m/>
    <n v="516880"/>
    <n v="174106"/>
    <s v="Twickenham"/>
    <s v="St. Margarets &amp; North Twickenham"/>
    <x v="1"/>
    <x v="0"/>
    <s v="St Margarets"/>
    <x v="1"/>
    <m/>
    <s v="CA49 Crown Road St Margarets"/>
    <s v="Y"/>
    <s v="Y"/>
    <x v="0"/>
  </r>
  <r>
    <s v="20/2902/FUL"/>
    <n v="162"/>
    <s v="NEW"/>
    <m/>
    <d v="2021-10-28T00:00:00"/>
    <d v="2024-10-28T00:00:00"/>
    <d v="2022-10-21T00:00:00"/>
    <m/>
    <x v="1"/>
    <s v="Open Market"/>
    <m/>
    <s v="New 2-storey detached house with associated parking to replace existing bungalow. ."/>
    <s v="60A Wensleydale Road, Hampton TW12 2LX"/>
    <s v="TW12 2LX"/>
    <m/>
    <m/>
    <m/>
    <n v="1"/>
    <m/>
    <m/>
    <m/>
    <m/>
    <n v="1"/>
    <m/>
    <m/>
    <m/>
    <m/>
    <n v="1"/>
    <m/>
    <m/>
    <m/>
    <n v="1"/>
    <n v="0"/>
    <n v="0"/>
    <n v="-1"/>
    <n v="0"/>
    <n v="1"/>
    <n v="0"/>
    <n v="0"/>
    <n v="0"/>
    <n v="0"/>
    <m/>
    <m/>
    <n v="0"/>
    <m/>
    <m/>
    <m/>
    <m/>
    <m/>
    <m/>
    <m/>
    <m/>
    <m/>
    <m/>
    <m/>
    <m/>
    <m/>
    <m/>
    <m/>
    <n v="0"/>
    <n v="0"/>
    <n v="0"/>
    <m/>
    <m/>
    <n v="513562"/>
    <n v="170238"/>
    <s v="Teddington and the Hamptons"/>
    <s v="Hampton"/>
    <x v="1"/>
    <x v="0"/>
    <m/>
    <x v="0"/>
    <m/>
    <m/>
    <m/>
    <s v="Y"/>
    <x v="0"/>
  </r>
  <r>
    <s v="22/1929/GPD26"/>
    <n v="163"/>
    <s v="CHU"/>
    <s v="PA"/>
    <d v="2022-08-22T00:00:00"/>
    <d v="2025-08-22T00:00:00"/>
    <d v="2022-10-26T00:00:00"/>
    <d v="2023-07-05T00:00:00"/>
    <x v="1"/>
    <s v="Open Market"/>
    <m/>
    <s v="Conversion of ground floor &amp; first floor offices to  x1. 1 bed flat  and x1 . 2 bed flat"/>
    <s v="46 - 48 Heath Road, Twickenham"/>
    <s v="TW1"/>
    <m/>
    <m/>
    <m/>
    <m/>
    <m/>
    <m/>
    <m/>
    <m/>
    <n v="0"/>
    <n v="1"/>
    <n v="1"/>
    <m/>
    <m/>
    <m/>
    <m/>
    <m/>
    <m/>
    <n v="2"/>
    <n v="1"/>
    <n v="1"/>
    <n v="0"/>
    <n v="0"/>
    <n v="0"/>
    <n v="0"/>
    <n v="0"/>
    <n v="0"/>
    <n v="2"/>
    <m/>
    <m/>
    <n v="2"/>
    <m/>
    <m/>
    <m/>
    <m/>
    <m/>
    <m/>
    <m/>
    <m/>
    <m/>
    <m/>
    <m/>
    <m/>
    <m/>
    <m/>
    <m/>
    <n v="2"/>
    <n v="2"/>
    <n v="2"/>
    <m/>
    <m/>
    <n v="516001"/>
    <n v="173141"/>
    <s v="Twickenham"/>
    <s v="Twickenham Riverside"/>
    <x v="2"/>
    <x v="0"/>
    <m/>
    <x v="0"/>
    <m/>
    <m/>
    <m/>
    <s v="Y"/>
    <x v="0"/>
  </r>
  <r>
    <s v="19/3324/FUL"/>
    <n v="164"/>
    <s v="NEW"/>
    <m/>
    <d v="2020-09-30T00:00:00"/>
    <d v="2023-09-30T00:00:00"/>
    <d v="2022-10-31T00:00:00"/>
    <m/>
    <x v="1"/>
    <s v="Open Market"/>
    <m/>
    <s v="Demolition of 30 garages and erection of 5 x 3 bedroom detached dwellings with associated hard and soft landscaping, parking and cycle and refuse stores"/>
    <s v="Garages And Land Adjacent Railway South Worple Way, East Sheen, London_x000a__x000a_"/>
    <s v="SW14 8"/>
    <m/>
    <m/>
    <m/>
    <m/>
    <m/>
    <m/>
    <m/>
    <m/>
    <n v="0"/>
    <m/>
    <m/>
    <n v="5"/>
    <m/>
    <m/>
    <m/>
    <m/>
    <m/>
    <n v="5"/>
    <n v="0"/>
    <n v="0"/>
    <n v="5"/>
    <n v="0"/>
    <n v="0"/>
    <n v="0"/>
    <n v="0"/>
    <n v="0"/>
    <n v="5"/>
    <m/>
    <m/>
    <n v="5"/>
    <m/>
    <m/>
    <m/>
    <m/>
    <m/>
    <m/>
    <m/>
    <m/>
    <m/>
    <m/>
    <m/>
    <m/>
    <m/>
    <m/>
    <m/>
    <n v="5"/>
    <n v="5"/>
    <n v="5"/>
    <m/>
    <m/>
    <n v="520616"/>
    <n v="175748"/>
    <s v="Barnes and East Sheen"/>
    <s v="East Sheen"/>
    <x v="1"/>
    <x v="0"/>
    <m/>
    <x v="0"/>
    <m/>
    <m/>
    <m/>
    <s v="Y"/>
    <x v="0"/>
  </r>
  <r>
    <s v="19/1728/FUL"/>
    <n v="165"/>
    <s v="CON"/>
    <m/>
    <d v="2020-05-15T00:00:00"/>
    <d v="2023-05-15T00:00:00"/>
    <d v="2022-11-01T00:00:00"/>
    <m/>
    <x v="1"/>
    <s v="Open Market"/>
    <m/>
    <s v="Conversion and alteration of the existing garage building to provide a one bedroom flat over two levels together with a garden amenity area."/>
    <s v="Manning House, 3 Gloucester Road, Teddington TW11 0NS_x000a_"/>
    <s v="TW11 0NS"/>
    <m/>
    <m/>
    <m/>
    <m/>
    <m/>
    <m/>
    <m/>
    <m/>
    <n v="0"/>
    <n v="1"/>
    <m/>
    <m/>
    <m/>
    <m/>
    <m/>
    <m/>
    <m/>
    <n v="1"/>
    <n v="1"/>
    <n v="0"/>
    <n v="0"/>
    <n v="0"/>
    <n v="0"/>
    <n v="0"/>
    <n v="0"/>
    <n v="0"/>
    <n v="1"/>
    <m/>
    <m/>
    <n v="0.5"/>
    <n v="0.5"/>
    <m/>
    <m/>
    <m/>
    <m/>
    <m/>
    <m/>
    <m/>
    <m/>
    <m/>
    <m/>
    <m/>
    <m/>
    <m/>
    <m/>
    <n v="1"/>
    <n v="1"/>
    <n v="1"/>
    <m/>
    <m/>
    <n v="515221"/>
    <n v="171318"/>
    <s v="Teddington and the Hamptons"/>
    <s v="Fulwell &amp; Hampton Hill"/>
    <x v="1"/>
    <x v="0"/>
    <m/>
    <x v="0"/>
    <m/>
    <m/>
    <m/>
    <s v="Y"/>
    <x v="0"/>
  </r>
  <r>
    <s v="21/0156/FUL"/>
    <n v="166"/>
    <s v="NEW"/>
    <m/>
    <d v="2022-05-30T00:00:00"/>
    <d v="2025-05-30T00:00:00"/>
    <d v="2022-11-01T00:00:00"/>
    <m/>
    <x v="1"/>
    <s v="Open Market"/>
    <m/>
    <s v="Demolition of the existing structures and the erection on of two buildings, consisting of a retail unit and community centre at ground floor and 15 residential units above, parking and associated hard and soft landscaping"/>
    <s v="Milevale Properties Ltd, 672 Hanworth Road, Whitton, Hounslow TW4 5NP_x000a_"/>
    <s v="TW4 5NP"/>
    <m/>
    <m/>
    <m/>
    <m/>
    <m/>
    <m/>
    <m/>
    <m/>
    <n v="0"/>
    <n v="5"/>
    <n v="9"/>
    <n v="1"/>
    <m/>
    <m/>
    <m/>
    <m/>
    <m/>
    <n v="15"/>
    <n v="5"/>
    <n v="9"/>
    <n v="1"/>
    <n v="0"/>
    <n v="0"/>
    <n v="0"/>
    <n v="0"/>
    <n v="0"/>
    <n v="15"/>
    <m/>
    <m/>
    <n v="7.5"/>
    <n v="7.5"/>
    <m/>
    <m/>
    <m/>
    <m/>
    <m/>
    <m/>
    <m/>
    <m/>
    <m/>
    <m/>
    <m/>
    <m/>
    <m/>
    <m/>
    <n v="15"/>
    <n v="15"/>
    <n v="15"/>
    <m/>
    <m/>
    <n v="512716"/>
    <n v="173569"/>
    <s v="Whitton"/>
    <s v="Heathfield"/>
    <x v="1"/>
    <x v="0"/>
    <s v="Hanworth Road"/>
    <x v="1"/>
    <m/>
    <m/>
    <m/>
    <m/>
    <x v="0"/>
  </r>
  <r>
    <s v="21/4401/FUL"/>
    <n v="167"/>
    <s v="EXT"/>
    <m/>
    <d v="2022-07-20T00:00:00"/>
    <d v="2025-07-20T00:00:00"/>
    <d v="2022-11-01T00:00:00"/>
    <d v="2023-08-03T00:00:00"/>
    <x v="1"/>
    <s v="Open Market"/>
    <m/>
    <s v="Second floor rear roof extension and the conversion of the existing dwelling to form three new flats."/>
    <s v="14 Whitton Road, Twickenham, TW1 1BJ"/>
    <s v="TW1 1BJ"/>
    <m/>
    <m/>
    <m/>
    <m/>
    <n v="1"/>
    <m/>
    <m/>
    <m/>
    <n v="1"/>
    <n v="1"/>
    <n v="2"/>
    <m/>
    <m/>
    <m/>
    <m/>
    <m/>
    <m/>
    <n v="3"/>
    <n v="1"/>
    <n v="2"/>
    <n v="0"/>
    <n v="-1"/>
    <n v="0"/>
    <n v="0"/>
    <n v="0"/>
    <n v="0"/>
    <n v="2"/>
    <m/>
    <m/>
    <n v="2"/>
    <m/>
    <m/>
    <m/>
    <m/>
    <m/>
    <m/>
    <m/>
    <m/>
    <m/>
    <m/>
    <m/>
    <m/>
    <m/>
    <m/>
    <m/>
    <n v="2"/>
    <n v="2"/>
    <n v="2"/>
    <m/>
    <m/>
    <n v="515969"/>
    <n v="173779"/>
    <s v="Twickenham"/>
    <s v="St. Margarets &amp; North Twickenham"/>
    <x v="1"/>
    <x v="0"/>
    <m/>
    <x v="0"/>
    <m/>
    <m/>
    <m/>
    <s v="Y"/>
    <x v="0"/>
  </r>
  <r>
    <s v="22/0523/FUL"/>
    <n v="168"/>
    <s v="NEW"/>
    <m/>
    <d v="2022-04-28T00:00:00"/>
    <d v="2025-11-08T00:00:00"/>
    <d v="2022-11-01T00:00:00"/>
    <m/>
    <x v="1"/>
    <s v="Open Market"/>
    <m/>
    <s v="Erection of a 5-bedroom dwellinghouse with associated outbuilding, parking and landscaping following demolition of the existing bungalow"/>
    <s v="45 Langham Road, Teddington, TW11 9HF"/>
    <s v="TW11 9HF"/>
    <m/>
    <m/>
    <n v="1"/>
    <m/>
    <m/>
    <m/>
    <m/>
    <m/>
    <n v="1"/>
    <m/>
    <m/>
    <m/>
    <m/>
    <n v="1"/>
    <m/>
    <m/>
    <m/>
    <n v="1"/>
    <n v="0"/>
    <n v="-1"/>
    <n v="0"/>
    <n v="0"/>
    <n v="1"/>
    <n v="0"/>
    <n v="0"/>
    <n v="0"/>
    <n v="0"/>
    <m/>
    <m/>
    <n v="0"/>
    <m/>
    <m/>
    <m/>
    <m/>
    <m/>
    <m/>
    <m/>
    <m/>
    <m/>
    <m/>
    <m/>
    <m/>
    <m/>
    <m/>
    <m/>
    <n v="0"/>
    <n v="0"/>
    <n v="0"/>
    <m/>
    <m/>
    <n v="516605"/>
    <n v="171002"/>
    <s v="Teddington and the Hamptons"/>
    <s v="Hampton Wick &amp; South Teddington"/>
    <x v="1"/>
    <x v="0"/>
    <m/>
    <x v="0"/>
    <m/>
    <m/>
    <m/>
    <s v="Y"/>
    <x v="0"/>
  </r>
  <r>
    <s v="22/0785/FUL"/>
    <n v="169"/>
    <s v="CON"/>
    <m/>
    <d v="2022-09-16T00:00:00"/>
    <d v="2025-09-16T00:00:00"/>
    <d v="2022-11-01T00:00:00"/>
    <m/>
    <x v="1"/>
    <s v="Open Market"/>
    <m/>
    <s v="Installation of front and rear rooflights to facilitate the conversion of an existing 3 bed maisonette to 2 x self-contained flats (1 x 1 bed and 1 x 2 bed) with associated cycle and waste storage."/>
    <s v="6 Colston Road, East Sheen, London SW14 7PQ_x000a_"/>
    <s v="SW14 7PQ"/>
    <m/>
    <m/>
    <m/>
    <n v="1"/>
    <m/>
    <m/>
    <m/>
    <m/>
    <n v="1"/>
    <n v="1"/>
    <n v="1"/>
    <m/>
    <m/>
    <m/>
    <m/>
    <m/>
    <m/>
    <n v="2"/>
    <n v="1"/>
    <n v="1"/>
    <n v="-1"/>
    <n v="0"/>
    <n v="0"/>
    <n v="0"/>
    <n v="0"/>
    <n v="0"/>
    <n v="1"/>
    <m/>
    <m/>
    <n v="0.5"/>
    <n v="0.5"/>
    <m/>
    <m/>
    <m/>
    <m/>
    <m/>
    <m/>
    <m/>
    <m/>
    <m/>
    <m/>
    <m/>
    <m/>
    <m/>
    <m/>
    <n v="1"/>
    <n v="1"/>
    <n v="1"/>
    <m/>
    <m/>
    <n v="520450"/>
    <n v="175359"/>
    <s v="Barnes and East Sheen"/>
    <s v="East Sheen"/>
    <x v="3"/>
    <x v="0"/>
    <m/>
    <x v="0"/>
    <m/>
    <m/>
    <m/>
    <s v="Y"/>
    <x v="0"/>
  </r>
  <r>
    <s v="21/2775/FUL"/>
    <n v="170"/>
    <s v="NEW"/>
    <m/>
    <d v="2022-05-20T00:00:00"/>
    <d v="2025-05-20T00:00:00"/>
    <d v="2022-11-02T00:00:00"/>
    <m/>
    <x v="1"/>
    <s v="Open Market"/>
    <m/>
    <s v="The subdivision of existing plot comprising of the erection of a 2-storey dwelling house as an extension of the existing semi-detached terrace; associated external works to the existing semi-detached building, including changes to the roof form and a sing"/>
    <s v="2 Thompson Avenue, Richmond TW9 4JW_x000a_"/>
    <s v="TW9 4JW"/>
    <m/>
    <m/>
    <m/>
    <m/>
    <m/>
    <m/>
    <m/>
    <m/>
    <n v="0"/>
    <m/>
    <n v="1"/>
    <m/>
    <m/>
    <m/>
    <m/>
    <m/>
    <m/>
    <n v="1"/>
    <n v="0"/>
    <n v="1"/>
    <n v="0"/>
    <n v="0"/>
    <n v="0"/>
    <n v="0"/>
    <n v="0"/>
    <n v="0"/>
    <n v="1"/>
    <m/>
    <m/>
    <m/>
    <n v="1"/>
    <m/>
    <m/>
    <m/>
    <m/>
    <m/>
    <m/>
    <m/>
    <m/>
    <m/>
    <m/>
    <m/>
    <m/>
    <m/>
    <m/>
    <n v="1"/>
    <n v="1"/>
    <n v="1"/>
    <m/>
    <m/>
    <n v="519398"/>
    <n v="175866"/>
    <s v="Richmond"/>
    <s v="Kew"/>
    <x v="1"/>
    <x v="0"/>
    <m/>
    <x v="0"/>
    <m/>
    <m/>
    <m/>
    <s v="Y"/>
    <x v="0"/>
  </r>
  <r>
    <s v="22/2177/FUL"/>
    <n v="171"/>
    <s v="CON"/>
    <m/>
    <d v="2022-11-21T00:00:00"/>
    <d v="2024-06-21T00:00:00"/>
    <d v="2022-11-14T00:00:00"/>
    <m/>
    <x v="1"/>
    <s v="Open Market"/>
    <m/>
    <s v="Part change of use of ground floor from commercial to C3 (residential) use, removal of rear access stairs, relocation of exisitng extraction flue, alterations to fenestration arrangement, two storey rear infill extension, Replacement of Roof with New Flat"/>
    <s v="102 - 104 Kew Road, Richmond TW9 2PQ_x000a_"/>
    <s v="TW9 2PQ"/>
    <m/>
    <m/>
    <m/>
    <n v="2"/>
    <m/>
    <m/>
    <m/>
    <m/>
    <n v="2"/>
    <n v="7"/>
    <m/>
    <m/>
    <m/>
    <m/>
    <m/>
    <m/>
    <m/>
    <n v="7"/>
    <n v="7"/>
    <n v="0"/>
    <n v="-2"/>
    <n v="0"/>
    <n v="0"/>
    <n v="0"/>
    <n v="0"/>
    <n v="0"/>
    <n v="5"/>
    <m/>
    <m/>
    <n v="2.5"/>
    <n v="2.5"/>
    <m/>
    <m/>
    <m/>
    <m/>
    <m/>
    <m/>
    <m/>
    <m/>
    <m/>
    <m/>
    <m/>
    <m/>
    <m/>
    <m/>
    <n v="5"/>
    <n v="5"/>
    <n v="5"/>
    <m/>
    <m/>
    <n v="518353"/>
    <n v="175510"/>
    <s v="Richmond"/>
    <s v="North Richmond"/>
    <x v="1"/>
    <x v="0"/>
    <s v="Kew Road"/>
    <x v="1"/>
    <m/>
    <s v="CA36 Kew Foot Road"/>
    <s v="Y"/>
    <s v="Y"/>
    <x v="0"/>
  </r>
  <r>
    <s v="19/1763/FUL"/>
    <n v="172"/>
    <s v="NEW"/>
    <m/>
    <d v="2019-09-23T00:00:00"/>
    <d v="2022-09-23T00:00:00"/>
    <d v="2022-12-22T00:00:00"/>
    <m/>
    <x v="1"/>
    <s v="Open Market"/>
    <m/>
    <s v="Demolition of existing residential garages and erection of 2x four bed semi-detached houses (Use Class C3), associated amenity space, landscaping, car and cycle parking and refuse storage."/>
    <s v="Garages At Craneford Way, Twickenham_x000a__x000a_"/>
    <s v="TW2 7SQ"/>
    <m/>
    <m/>
    <m/>
    <m/>
    <m/>
    <m/>
    <m/>
    <m/>
    <n v="0"/>
    <m/>
    <m/>
    <m/>
    <n v="2"/>
    <m/>
    <m/>
    <m/>
    <m/>
    <n v="2"/>
    <n v="0"/>
    <n v="0"/>
    <n v="0"/>
    <n v="2"/>
    <n v="0"/>
    <n v="0"/>
    <n v="0"/>
    <n v="0"/>
    <n v="2"/>
    <m/>
    <m/>
    <m/>
    <n v="2"/>
    <m/>
    <m/>
    <m/>
    <m/>
    <m/>
    <m/>
    <m/>
    <m/>
    <m/>
    <m/>
    <m/>
    <m/>
    <m/>
    <m/>
    <n v="2"/>
    <n v="2"/>
    <n v="2"/>
    <m/>
    <m/>
    <n v="515377"/>
    <n v="173631"/>
    <s v="Twickenham"/>
    <s v="St. Margarets &amp; North Twickenham"/>
    <x v="1"/>
    <x v="0"/>
    <m/>
    <x v="0"/>
    <m/>
    <m/>
    <m/>
    <s v="Y"/>
    <x v="0"/>
  </r>
  <r>
    <s v="22/2628/FUL"/>
    <n v="173"/>
    <s v="CON"/>
    <m/>
    <d v="2022-08-09T00:00:00"/>
    <d v="2025-08-09T00:00:00"/>
    <d v="2023-01-09T00:00:00"/>
    <m/>
    <x v="1"/>
    <s v="Open Market"/>
    <m/>
    <s v="New single storey side extension, new verandah roof, replacement fenestration to all elevations, new rooflights to existing rear extension, new roof dormers and associated landscaping to facilitate the conversion of existing 2 properties into 1 dwellinghouse. Extension to existing basement, new car stacker.  Installation of 2 x ASHPs, 3 x AC units and associated enclosure in garden."/>
    <s v="174 Kew Road, Kew, Richmond TW9 2AS_x000a_"/>
    <s v="TW9 2AS"/>
    <m/>
    <m/>
    <m/>
    <n v="1"/>
    <m/>
    <n v="1"/>
    <m/>
    <m/>
    <n v="2"/>
    <m/>
    <m/>
    <m/>
    <m/>
    <m/>
    <m/>
    <m/>
    <n v="1"/>
    <n v="1"/>
    <n v="0"/>
    <n v="0"/>
    <n v="-1"/>
    <n v="0"/>
    <n v="-1"/>
    <n v="0"/>
    <n v="0"/>
    <n v="1"/>
    <n v="-1"/>
    <m/>
    <m/>
    <n v="-0.5"/>
    <n v="-0.5"/>
    <m/>
    <m/>
    <m/>
    <m/>
    <m/>
    <m/>
    <m/>
    <m/>
    <m/>
    <m/>
    <m/>
    <m/>
    <m/>
    <m/>
    <n v="-1"/>
    <n v="-1"/>
    <n v="-1"/>
    <m/>
    <m/>
    <n v="518640"/>
    <n v="175931"/>
    <s v="Richmond"/>
    <s v="North Richmond"/>
    <x v="1"/>
    <x v="0"/>
    <m/>
    <x v="0"/>
    <m/>
    <s v="CA55 Kew Road"/>
    <s v="Y"/>
    <s v="Y"/>
    <x v="0"/>
  </r>
  <r>
    <s v="21/4123/GPD26"/>
    <n v="174"/>
    <s v="CHU"/>
    <s v="PA"/>
    <d v="2022-01-21T00:00:00"/>
    <d v="2025-01-21T00:00:00"/>
    <d v="2023-01-10T00:00:00"/>
    <m/>
    <x v="1"/>
    <s v="Open Market"/>
    <m/>
    <s v="Change of use and conversion of Unit H from Use Class E office to Use Class C3 dwelling house, with ground level car and cycle parking and refuse storage."/>
    <s v="Unit H, 42 Upper Richmond Road West, East Sheen, London, SW14 8DD"/>
    <s v="SW14 8DD"/>
    <m/>
    <m/>
    <m/>
    <m/>
    <m/>
    <m/>
    <m/>
    <m/>
    <n v="0"/>
    <n v="1"/>
    <m/>
    <m/>
    <m/>
    <m/>
    <m/>
    <m/>
    <m/>
    <n v="1"/>
    <n v="1"/>
    <n v="0"/>
    <n v="0"/>
    <n v="0"/>
    <n v="0"/>
    <n v="0"/>
    <n v="0"/>
    <n v="0"/>
    <n v="1"/>
    <m/>
    <m/>
    <n v="0.5"/>
    <n v="0.5"/>
    <m/>
    <m/>
    <m/>
    <m/>
    <m/>
    <m/>
    <m/>
    <m/>
    <m/>
    <m/>
    <m/>
    <m/>
    <m/>
    <m/>
    <n v="1"/>
    <n v="1"/>
    <n v="1"/>
    <m/>
    <m/>
    <n v="521328"/>
    <n v="175496"/>
    <s v="Barnes and East Sheen"/>
    <s v="Mortlake &amp; Barnes Common"/>
    <x v="1"/>
    <x v="0"/>
    <m/>
    <x v="0"/>
    <m/>
    <m/>
    <m/>
    <s v="Y"/>
    <x v="0"/>
  </r>
  <r>
    <s v="22/0304/GPD26"/>
    <n v="175"/>
    <s v="CHU"/>
    <s v="PA"/>
    <d v="2022-03-24T00:00:00"/>
    <d v="2025-03-24T00:00:00"/>
    <d v="2023-01-10T00:00:00"/>
    <m/>
    <x v="1"/>
    <s v="Open Market"/>
    <m/>
    <s v="Change of use from class E office to single dwellinghouse, with ground level car and cycle parking and refuse storage."/>
    <s v="Unit J1 And J2, 42 Upper Richmond Road West, East Sheen, London, SW14 8DD"/>
    <s v="SW14 8DD"/>
    <m/>
    <m/>
    <m/>
    <m/>
    <m/>
    <m/>
    <m/>
    <m/>
    <n v="0"/>
    <m/>
    <n v="1"/>
    <m/>
    <m/>
    <m/>
    <m/>
    <m/>
    <m/>
    <n v="1"/>
    <n v="0"/>
    <n v="1"/>
    <n v="0"/>
    <n v="0"/>
    <n v="0"/>
    <n v="0"/>
    <n v="0"/>
    <n v="0"/>
    <n v="1"/>
    <m/>
    <m/>
    <n v="0.5"/>
    <n v="0.5"/>
    <m/>
    <m/>
    <m/>
    <m/>
    <m/>
    <m/>
    <m/>
    <m/>
    <m/>
    <m/>
    <m/>
    <m/>
    <m/>
    <m/>
    <n v="1"/>
    <n v="1"/>
    <n v="1"/>
    <m/>
    <m/>
    <n v="521328"/>
    <n v="175496"/>
    <s v="Barnes and East Sheen"/>
    <s v="Mortlake &amp; Barnes Common"/>
    <x v="1"/>
    <x v="0"/>
    <m/>
    <x v="0"/>
    <m/>
    <m/>
    <m/>
    <s v="Y"/>
    <x v="0"/>
  </r>
  <r>
    <s v="22/2110/GPD26"/>
    <n v="176"/>
    <s v="CHU"/>
    <s v="PA"/>
    <d v="2022-08-19T00:00:00"/>
    <d v="2025-08-19T00:00:00"/>
    <d v="2023-01-16T00:00:00"/>
    <m/>
    <x v="1"/>
    <s v="Open Market"/>
    <m/>
    <s v="Conversion of 3 Friars Lane and part of ground floor of 4 Friars Lane from Class E to C3 dwellinghouses - provision of 3no. flats. _x000d_"/>
    <s v="3 And 4 Friars Lane, Richmond_x000a__x000a_"/>
    <s v="TW9 1NL"/>
    <m/>
    <m/>
    <m/>
    <m/>
    <m/>
    <m/>
    <m/>
    <m/>
    <n v="0"/>
    <n v="3"/>
    <m/>
    <m/>
    <m/>
    <m/>
    <m/>
    <m/>
    <m/>
    <n v="3"/>
    <n v="3"/>
    <n v="0"/>
    <n v="0"/>
    <n v="0"/>
    <n v="0"/>
    <n v="0"/>
    <n v="0"/>
    <n v="0"/>
    <n v="3"/>
    <m/>
    <m/>
    <n v="1.5"/>
    <n v="1.5"/>
    <m/>
    <m/>
    <m/>
    <m/>
    <m/>
    <m/>
    <m/>
    <m/>
    <m/>
    <m/>
    <m/>
    <m/>
    <m/>
    <m/>
    <n v="3"/>
    <n v="3"/>
    <n v="3"/>
    <m/>
    <m/>
    <n v="517627"/>
    <n v="174827"/>
    <s v="Richmond"/>
    <s v="South Richmond"/>
    <x v="1"/>
    <x v="0"/>
    <m/>
    <x v="0"/>
    <m/>
    <s v="CA3 Richmond Green"/>
    <s v="Y"/>
    <s v="Y"/>
    <x v="0"/>
  </r>
  <r>
    <s v="22/2111/GPD26"/>
    <n v="177"/>
    <s v="CHU"/>
    <s v="PA"/>
    <d v="2022-08-23T00:00:00"/>
    <d v="2025-08-23T00:00:00"/>
    <d v="2023-01-16T00:00:00"/>
    <d v="2023-06-22T00:00:00"/>
    <x v="1"/>
    <s v="Open Market"/>
    <m/>
    <s v="Conversion of part of ground floor of 4 Friars Lane to provide 1no. 1 bedroom flat._x000d_"/>
    <s v="4 Friars Lane, Richmond, TW9 1NL_x000a_"/>
    <s v="TW9 1NL"/>
    <m/>
    <m/>
    <m/>
    <m/>
    <m/>
    <m/>
    <m/>
    <m/>
    <n v="0"/>
    <n v="1"/>
    <m/>
    <m/>
    <m/>
    <m/>
    <m/>
    <m/>
    <m/>
    <n v="1"/>
    <n v="1"/>
    <n v="0"/>
    <n v="0"/>
    <n v="0"/>
    <n v="0"/>
    <n v="0"/>
    <n v="0"/>
    <n v="0"/>
    <n v="1"/>
    <m/>
    <m/>
    <n v="1"/>
    <m/>
    <m/>
    <m/>
    <m/>
    <m/>
    <m/>
    <m/>
    <m/>
    <m/>
    <m/>
    <m/>
    <m/>
    <m/>
    <m/>
    <m/>
    <n v="1"/>
    <n v="1"/>
    <n v="1"/>
    <m/>
    <m/>
    <n v="517621"/>
    <n v="174819"/>
    <s v="Richmond"/>
    <s v="South Richmond"/>
    <x v="1"/>
    <x v="0"/>
    <m/>
    <x v="0"/>
    <m/>
    <s v="CA3 Richmond Green"/>
    <s v="Y"/>
    <s v="Y"/>
    <x v="0"/>
  </r>
  <r>
    <s v="22/2337/GPD26"/>
    <n v="178"/>
    <s v="CON"/>
    <s v="PA"/>
    <d v="2022-09-16T00:00:00"/>
    <d v="2025-09-16T00:00:00"/>
    <d v="2023-01-16T00:00:00"/>
    <m/>
    <x v="1"/>
    <s v="Open Market"/>
    <m/>
    <s v="Conversion of 3 Friars Lane to provide 2no. flats"/>
    <s v="3 Friars Lane, Richmond TW9 1NL_x000a_"/>
    <s v="TW9 1NL"/>
    <m/>
    <m/>
    <m/>
    <m/>
    <m/>
    <m/>
    <m/>
    <m/>
    <n v="0"/>
    <n v="2"/>
    <m/>
    <m/>
    <m/>
    <m/>
    <m/>
    <m/>
    <m/>
    <n v="2"/>
    <n v="2"/>
    <n v="0"/>
    <n v="0"/>
    <n v="0"/>
    <n v="0"/>
    <n v="0"/>
    <n v="0"/>
    <n v="0"/>
    <n v="2"/>
    <m/>
    <m/>
    <n v="1"/>
    <n v="1"/>
    <m/>
    <m/>
    <m/>
    <m/>
    <m/>
    <m/>
    <m/>
    <m/>
    <m/>
    <m/>
    <m/>
    <m/>
    <m/>
    <m/>
    <n v="2"/>
    <n v="2"/>
    <n v="2"/>
    <m/>
    <m/>
    <n v="517628"/>
    <n v="174828"/>
    <s v="Richmond"/>
    <s v="South Richmond"/>
    <x v="1"/>
    <x v="0"/>
    <m/>
    <x v="0"/>
    <m/>
    <s v="CA3 Richmond Green"/>
    <s v="Y"/>
    <s v="Y"/>
    <x v="0"/>
  </r>
  <r>
    <s v="22/2338/GPD26"/>
    <n v="179"/>
    <s v="CHU"/>
    <s v="PA"/>
    <d v="2022-09-16T00:00:00"/>
    <d v="2025-09-16T00:00:00"/>
    <d v="2023-01-16T00:00:00"/>
    <m/>
    <x v="1"/>
    <s v="Open Market"/>
    <m/>
    <s v="Conversion of part of 4 Friars Lane to provide 1no. flat_x000d_"/>
    <s v="4 Friars Lane, Richmond, TW9 1NL_x000a_"/>
    <s v="TW9 1NL"/>
    <m/>
    <m/>
    <m/>
    <m/>
    <m/>
    <m/>
    <m/>
    <m/>
    <n v="0"/>
    <n v="1"/>
    <m/>
    <m/>
    <m/>
    <m/>
    <m/>
    <m/>
    <m/>
    <n v="1"/>
    <n v="1"/>
    <n v="0"/>
    <n v="0"/>
    <n v="0"/>
    <n v="0"/>
    <n v="0"/>
    <n v="0"/>
    <n v="0"/>
    <n v="1"/>
    <m/>
    <m/>
    <n v="1"/>
    <m/>
    <m/>
    <m/>
    <m/>
    <m/>
    <m/>
    <m/>
    <m/>
    <m/>
    <m/>
    <m/>
    <m/>
    <m/>
    <m/>
    <m/>
    <n v="1"/>
    <n v="1"/>
    <n v="1"/>
    <m/>
    <m/>
    <n v="517621"/>
    <n v="174819"/>
    <s v="Richmond"/>
    <s v="South Richmond"/>
    <x v="1"/>
    <x v="0"/>
    <m/>
    <x v="0"/>
    <m/>
    <s v="CA3 Richmond Green"/>
    <s v="Y"/>
    <s v="Y"/>
    <x v="0"/>
  </r>
  <r>
    <s v="22/3002/GPD26"/>
    <n v="180"/>
    <s v="CHU"/>
    <s v="PA"/>
    <d v="2022-11-28T00:00:00"/>
    <d v="2025-11-20T00:00:00"/>
    <d v="2023-01-16T00:00:00"/>
    <m/>
    <x v="1"/>
    <s v="Open Market"/>
    <m/>
    <s v="Conversion of offices on ground floor (Class E Use) to 1no. residential dwelling (Class C3 Use)"/>
    <s v="Friars Way, The Green, Richmond, TW9 1NQ"/>
    <s v="TW9 1NQ"/>
    <m/>
    <m/>
    <m/>
    <m/>
    <m/>
    <m/>
    <m/>
    <m/>
    <n v="0"/>
    <n v="1"/>
    <m/>
    <m/>
    <m/>
    <m/>
    <m/>
    <m/>
    <m/>
    <n v="1"/>
    <n v="1"/>
    <n v="0"/>
    <n v="0"/>
    <n v="0"/>
    <n v="0"/>
    <n v="0"/>
    <n v="0"/>
    <n v="0"/>
    <n v="1"/>
    <m/>
    <m/>
    <n v="0.5"/>
    <n v="0.5"/>
    <m/>
    <m/>
    <m/>
    <m/>
    <m/>
    <m/>
    <m/>
    <m/>
    <m/>
    <m/>
    <m/>
    <m/>
    <m/>
    <m/>
    <n v="1"/>
    <n v="1"/>
    <n v="1"/>
    <m/>
    <m/>
    <n v="517638"/>
    <n v="174846"/>
    <s v="Richmond"/>
    <s v="South Richmond"/>
    <x v="1"/>
    <x v="0"/>
    <m/>
    <x v="0"/>
    <m/>
    <s v="CA3 Richmond Green"/>
    <s v="Y"/>
    <s v="Y"/>
    <x v="0"/>
  </r>
  <r>
    <s v="22/3626/GPD26"/>
    <n v="181"/>
    <s v="CHU"/>
    <s v="PA"/>
    <d v="2023-01-26T00:00:00"/>
    <d v="2026-01-26T00:00:00"/>
    <d v="2023-01-16T00:00:00"/>
    <m/>
    <x v="1"/>
    <s v="Open Market"/>
    <m/>
    <s v="Conversion of first and second floor office accommodation to provide 2no. flats"/>
    <s v="2 Friars Lane, Richmond TW9 1NL_x000a_"/>
    <s v="TW9 1NL"/>
    <m/>
    <m/>
    <m/>
    <m/>
    <m/>
    <m/>
    <m/>
    <m/>
    <n v="0"/>
    <n v="2"/>
    <m/>
    <m/>
    <m/>
    <m/>
    <m/>
    <m/>
    <m/>
    <n v="2"/>
    <n v="2"/>
    <n v="0"/>
    <n v="0"/>
    <n v="0"/>
    <n v="0"/>
    <n v="0"/>
    <n v="0"/>
    <n v="0"/>
    <n v="2"/>
    <m/>
    <m/>
    <n v="1"/>
    <n v="1"/>
    <m/>
    <m/>
    <m/>
    <m/>
    <m/>
    <m/>
    <m/>
    <m/>
    <m/>
    <m/>
    <m/>
    <m/>
    <m/>
    <m/>
    <n v="2"/>
    <n v="2"/>
    <n v="2"/>
    <m/>
    <m/>
    <n v="517631"/>
    <n v="174833"/>
    <s v="Richmond"/>
    <s v="South Richmond"/>
    <x v="1"/>
    <x v="0"/>
    <m/>
    <x v="0"/>
    <m/>
    <s v="CA3 Richmond Green"/>
    <s v="Y"/>
    <s v="Y"/>
    <x v="0"/>
  </r>
  <r>
    <s v="22/1512/GPD26"/>
    <n v="182"/>
    <s v="CHU"/>
    <s v="PA"/>
    <d v="2022-07-01T00:00:00"/>
    <d v="2025-07-01T00:00:00"/>
    <d v="2023-01-30T00:00:00"/>
    <m/>
    <x v="1"/>
    <s v="Open Market"/>
    <m/>
    <s v="Conversion of the rear of the existing shop from Class E(a) to one self-contained flat (Class C3 Use)"/>
    <s v="408 Richmond Road, Twickenham, TW1 2EB"/>
    <s v="TW1 2EB"/>
    <m/>
    <m/>
    <m/>
    <m/>
    <m/>
    <m/>
    <m/>
    <m/>
    <n v="0"/>
    <n v="1"/>
    <m/>
    <m/>
    <m/>
    <m/>
    <m/>
    <m/>
    <m/>
    <n v="1"/>
    <n v="1"/>
    <n v="0"/>
    <n v="0"/>
    <n v="0"/>
    <n v="0"/>
    <n v="0"/>
    <n v="0"/>
    <n v="0"/>
    <n v="1"/>
    <m/>
    <m/>
    <n v="0.5"/>
    <n v="0.5"/>
    <m/>
    <m/>
    <m/>
    <m/>
    <m/>
    <m/>
    <m/>
    <m/>
    <m/>
    <m/>
    <m/>
    <m/>
    <m/>
    <m/>
    <n v="1"/>
    <n v="1"/>
    <n v="1"/>
    <m/>
    <m/>
    <n v="517582"/>
    <n v="174357"/>
    <s v="Twickenham"/>
    <s v="Twickenham Riverside"/>
    <x v="1"/>
    <x v="0"/>
    <s v="East Twickenham"/>
    <x v="1"/>
    <m/>
    <s v="CA66 Richmond Road East Twickenham"/>
    <s v="Y"/>
    <s v="Y"/>
    <x v="0"/>
  </r>
  <r>
    <s v="19/0911/FUL"/>
    <n v="183"/>
    <s v="EXT"/>
    <m/>
    <d v="2020-02-05T00:00:00"/>
    <d v="2023-02-05T00:00:00"/>
    <d v="2023-02-03T00:00:00"/>
    <m/>
    <x v="1"/>
    <s v="Open Market"/>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n v="2"/>
    <m/>
    <m/>
    <m/>
    <m/>
    <m/>
    <m/>
    <n v="2"/>
    <n v="0"/>
    <n v="2"/>
    <n v="0"/>
    <n v="0"/>
    <n v="0"/>
    <n v="0"/>
    <n v="0"/>
    <n v="0"/>
    <n v="2"/>
    <m/>
    <m/>
    <n v="1"/>
    <n v="1"/>
    <m/>
    <m/>
    <m/>
    <m/>
    <m/>
    <m/>
    <m/>
    <m/>
    <m/>
    <m/>
    <m/>
    <m/>
    <m/>
    <m/>
    <n v="2"/>
    <n v="2"/>
    <n v="2"/>
    <m/>
    <m/>
    <n v="517543"/>
    <n v="169767"/>
    <s v="Teddington and the Hamptons"/>
    <s v="Hampton Wick &amp; South Teddington"/>
    <x v="1"/>
    <x v="0"/>
    <m/>
    <x v="0"/>
    <m/>
    <m/>
    <m/>
    <s v="Y"/>
    <x v="0"/>
  </r>
  <r>
    <s v="22/0754/FUL"/>
    <n v="184"/>
    <s v="NEW"/>
    <m/>
    <d v="2022-08-26T00:00:00"/>
    <d v="2025-08-26T00:00:00"/>
    <d v="2023-02-24T00:00:00"/>
    <m/>
    <x v="1"/>
    <s v="Open Market"/>
    <m/>
    <s v="Demolition and reconstruction of a terraced property with basement, ground and loft extensions."/>
    <s v="28 Westfields Avenue, Barnes, London SW13 0AU_x000a_"/>
    <m/>
    <m/>
    <m/>
    <m/>
    <n v="1"/>
    <m/>
    <m/>
    <m/>
    <m/>
    <n v="1"/>
    <m/>
    <m/>
    <n v="1"/>
    <m/>
    <m/>
    <m/>
    <m/>
    <m/>
    <n v="1"/>
    <n v="0"/>
    <n v="0"/>
    <n v="0"/>
    <n v="0"/>
    <n v="0"/>
    <n v="0"/>
    <n v="0"/>
    <n v="0"/>
    <n v="0"/>
    <m/>
    <m/>
    <n v="0"/>
    <m/>
    <m/>
    <m/>
    <m/>
    <m/>
    <m/>
    <m/>
    <m/>
    <m/>
    <m/>
    <m/>
    <m/>
    <m/>
    <m/>
    <m/>
    <n v="0"/>
    <n v="0"/>
    <n v="0"/>
    <m/>
    <m/>
    <n v="521430"/>
    <n v="175853"/>
    <s v="Barnes and East Sheen"/>
    <s v="Mortlake &amp; Barnes Common"/>
    <x v="1"/>
    <x v="0"/>
    <m/>
    <x v="0"/>
    <m/>
    <s v="CA16 Thorne Passage Mortlake"/>
    <s v="Y"/>
    <s v="Y"/>
    <x v="0"/>
  </r>
  <r>
    <s v="19/2471/FUL"/>
    <n v="185"/>
    <s v="EXT"/>
    <m/>
    <d v="2020-05-06T00:00:00"/>
    <d v="2023-05-06T00:00:00"/>
    <d v="2023-03-01T00:00:00"/>
    <m/>
    <x v="1"/>
    <s v="Open Market"/>
    <m/>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_x000a_"/>
    <s v="TW2 7LG"/>
    <m/>
    <m/>
    <m/>
    <m/>
    <m/>
    <m/>
    <m/>
    <m/>
    <n v="0"/>
    <n v="2"/>
    <m/>
    <m/>
    <m/>
    <m/>
    <m/>
    <m/>
    <m/>
    <n v="2"/>
    <n v="2"/>
    <n v="0"/>
    <n v="0"/>
    <n v="0"/>
    <n v="0"/>
    <n v="0"/>
    <n v="0"/>
    <n v="0"/>
    <n v="2"/>
    <m/>
    <m/>
    <n v="1"/>
    <n v="1"/>
    <m/>
    <m/>
    <m/>
    <m/>
    <m/>
    <m/>
    <m/>
    <m/>
    <m/>
    <m/>
    <m/>
    <m/>
    <m/>
    <m/>
    <n v="2"/>
    <n v="2"/>
    <n v="2"/>
    <m/>
    <m/>
    <n v="514218"/>
    <n v="173596"/>
    <s v="Whitton"/>
    <s v="Whitton"/>
    <x v="5"/>
    <x v="0"/>
    <m/>
    <x v="0"/>
    <m/>
    <m/>
    <m/>
    <s v="Y"/>
    <x v="0"/>
  </r>
  <r>
    <s v="21/3820/FUL"/>
    <n v="186"/>
    <s v="CHU"/>
    <m/>
    <d v="2022-05-20T00:00:00"/>
    <d v="2025-05-20T00:00:00"/>
    <d v="2023-03-01T00:00:00"/>
    <m/>
    <x v="1"/>
    <s v="Open Market"/>
    <m/>
    <s v="Single storey rear extension, with a change of use of part of a derelict retail unit and residential unit to a one bedroom flat and the erection of an overhead shutter door to the rear yard."/>
    <s v="95 Stanley Road, Teddington, TW11 8UB_x000a_"/>
    <s v="TW11 8UB"/>
    <m/>
    <m/>
    <m/>
    <m/>
    <m/>
    <m/>
    <m/>
    <m/>
    <n v="0"/>
    <n v="1"/>
    <m/>
    <m/>
    <m/>
    <m/>
    <m/>
    <m/>
    <m/>
    <n v="1"/>
    <n v="1"/>
    <n v="0"/>
    <n v="0"/>
    <n v="0"/>
    <n v="0"/>
    <n v="0"/>
    <n v="0"/>
    <n v="0"/>
    <n v="1"/>
    <m/>
    <m/>
    <n v="0.5"/>
    <n v="0.5"/>
    <m/>
    <m/>
    <m/>
    <m/>
    <m/>
    <m/>
    <m/>
    <m/>
    <m/>
    <m/>
    <m/>
    <m/>
    <m/>
    <m/>
    <n v="1"/>
    <n v="1"/>
    <n v="1"/>
    <m/>
    <m/>
    <n v="515093"/>
    <n v="171528"/>
    <s v="Teddington and the Hamptons"/>
    <s v="Fulwell &amp; Hampton Hill"/>
    <x v="1"/>
    <x v="0"/>
    <s v="Stanley Road, Teddington"/>
    <x v="1"/>
    <m/>
    <m/>
    <m/>
    <s v="Y"/>
    <x v="0"/>
  </r>
  <r>
    <s v="21/4119/FUL"/>
    <n v="187"/>
    <s v="NEW"/>
    <m/>
    <d v="2022-08-05T00:00:00"/>
    <d v="2025-08-05T00:00:00"/>
    <d v="2023-03-01T00:00:00"/>
    <m/>
    <x v="1"/>
    <s v="Open Market"/>
    <m/>
    <s v="Construction of new detached family home following demolition of existing detached bungalow."/>
    <s v="92 Sandy Lane, Teddington, TW11 0DF"/>
    <s v="TW11 0DF"/>
    <m/>
    <m/>
    <m/>
    <n v="1"/>
    <m/>
    <m/>
    <m/>
    <m/>
    <n v="1"/>
    <m/>
    <m/>
    <m/>
    <n v="1"/>
    <m/>
    <m/>
    <m/>
    <m/>
    <n v="1"/>
    <n v="0"/>
    <n v="0"/>
    <n v="-1"/>
    <n v="1"/>
    <n v="0"/>
    <n v="0"/>
    <n v="0"/>
    <n v="0"/>
    <n v="0"/>
    <m/>
    <m/>
    <n v="0"/>
    <m/>
    <m/>
    <m/>
    <m/>
    <m/>
    <m/>
    <m/>
    <m/>
    <m/>
    <m/>
    <m/>
    <m/>
    <m/>
    <m/>
    <m/>
    <n v="0"/>
    <n v="0"/>
    <n v="0"/>
    <m/>
    <m/>
    <n v="516237"/>
    <n v="170397"/>
    <s v="Teddington and the Hamptons"/>
    <s v="Teddington"/>
    <x v="1"/>
    <x v="0"/>
    <m/>
    <x v="0"/>
    <m/>
    <m/>
    <m/>
    <s v="Y"/>
    <x v="0"/>
  </r>
  <r>
    <s v="22/2043/FUL"/>
    <n v="188"/>
    <s v="CON"/>
    <m/>
    <d v="2023-02-16T00:00:00"/>
    <d v="2026-02-16T00:00:00"/>
    <d v="2023-03-01T00:00:00"/>
    <m/>
    <x v="1"/>
    <s v="Open Market"/>
    <m/>
    <s v="Replacement railing to rear and conversion into one dwellinghouse. Installation of ac unit."/>
    <s v="Ryan House, Cross Deep, Twickenham TW1 4QJ_x000a_"/>
    <s v="TW1 4QJ"/>
    <m/>
    <n v="1"/>
    <m/>
    <m/>
    <m/>
    <n v="1"/>
    <m/>
    <m/>
    <n v="2"/>
    <m/>
    <m/>
    <m/>
    <m/>
    <n v="1"/>
    <m/>
    <m/>
    <m/>
    <n v="1"/>
    <n v="-1"/>
    <n v="0"/>
    <n v="0"/>
    <n v="0"/>
    <n v="0"/>
    <n v="0"/>
    <n v="0"/>
    <n v="0"/>
    <n v="-1"/>
    <m/>
    <m/>
    <n v="-0.5"/>
    <n v="-0.5"/>
    <m/>
    <m/>
    <m/>
    <m/>
    <m/>
    <m/>
    <m/>
    <m/>
    <m/>
    <m/>
    <m/>
    <m/>
    <m/>
    <m/>
    <n v="-1"/>
    <n v="-1"/>
    <n v="-1"/>
    <m/>
    <m/>
    <n v="516027"/>
    <n v="172735"/>
    <s v="Twickenham"/>
    <s v="Twickenham Riverside"/>
    <x v="1"/>
    <x v="0"/>
    <m/>
    <x v="0"/>
    <s v="Radnor Gardens"/>
    <s v="CA8 Twickenham Riverside"/>
    <s v="Y"/>
    <s v="Y"/>
    <x v="0"/>
  </r>
  <r>
    <s v="20/0990/FUL"/>
    <n v="189"/>
    <s v="NEW"/>
    <m/>
    <d v="2020-09-30T00:00:00"/>
    <d v="2023-09-30T00:00:00"/>
    <d v="2023-03-06T00:00:00"/>
    <m/>
    <x v="1"/>
    <s v="Open Market"/>
    <m/>
    <s v="Demolition of existing garage and the erection of a single storey studio dwelling unit with associated hard and soft landscaping, refuse and cycle stores and boundary treatment."/>
    <s v="Land Rear Of 40 Pagoda Avenue, Richmond TW9 2HF"/>
    <s v="TW9 2HF"/>
    <m/>
    <m/>
    <m/>
    <m/>
    <m/>
    <m/>
    <m/>
    <m/>
    <n v="0"/>
    <n v="1"/>
    <m/>
    <m/>
    <m/>
    <m/>
    <m/>
    <m/>
    <m/>
    <n v="1"/>
    <n v="1"/>
    <n v="0"/>
    <n v="0"/>
    <n v="0"/>
    <n v="0"/>
    <n v="0"/>
    <n v="0"/>
    <n v="0"/>
    <n v="1"/>
    <m/>
    <m/>
    <n v="0.5"/>
    <n v="0.5"/>
    <m/>
    <m/>
    <m/>
    <m/>
    <m/>
    <m/>
    <m/>
    <m/>
    <m/>
    <m/>
    <m/>
    <m/>
    <m/>
    <m/>
    <n v="1"/>
    <n v="1"/>
    <n v="1"/>
    <m/>
    <m/>
    <n v="518657"/>
    <n v="175579"/>
    <s v="Richmond"/>
    <s v="North Richmond"/>
    <x v="1"/>
    <x v="0"/>
    <m/>
    <x v="0"/>
    <m/>
    <m/>
    <m/>
    <s v="Y"/>
    <x v="0"/>
  </r>
  <r>
    <s v="19/0391/FUL"/>
    <n v="190"/>
    <s v="NEW"/>
    <m/>
    <d v="2020-02-20T00:00:00"/>
    <d v="2023-02-20T00:00:00"/>
    <d v="2023-03-08T00:00:00"/>
    <m/>
    <x v="1"/>
    <s v="Open Market"/>
    <m/>
    <s v="Demolition all buildings on site and the erection of a three-storey building and a part one, two-storey building comprising (3 x 1 bedroom and 4 x 2 bedroom) flats and approximately 805 sqm of flexible B1/D1 and flexible B1/D2 commercial floorspace, surfa"/>
    <s v="26-28 Priests Bridge, East Sheen, London SW14 8TA"/>
    <s v="SW14 8TA"/>
    <m/>
    <m/>
    <m/>
    <m/>
    <m/>
    <m/>
    <m/>
    <m/>
    <n v="0"/>
    <n v="3"/>
    <n v="4"/>
    <m/>
    <m/>
    <m/>
    <m/>
    <m/>
    <m/>
    <n v="7"/>
    <n v="3"/>
    <n v="4"/>
    <n v="0"/>
    <n v="0"/>
    <n v="0"/>
    <n v="0"/>
    <n v="0"/>
    <n v="0"/>
    <n v="7"/>
    <m/>
    <m/>
    <m/>
    <n v="3.5"/>
    <n v="3.5"/>
    <m/>
    <m/>
    <m/>
    <m/>
    <m/>
    <m/>
    <m/>
    <m/>
    <m/>
    <m/>
    <m/>
    <m/>
    <m/>
    <n v="7"/>
    <n v="7"/>
    <n v="7"/>
    <m/>
    <m/>
    <n v="521492"/>
    <n v="175545"/>
    <s v="Barnes and East Sheen"/>
    <s v="Mortlake &amp; Barnes Common"/>
    <x v="1"/>
    <x v="0"/>
    <s v="Priests Bridge, Barnes"/>
    <x v="1"/>
    <m/>
    <m/>
    <m/>
    <s v="Y"/>
    <x v="0"/>
  </r>
  <r>
    <s v="20/0539/FUL"/>
    <n v="191"/>
    <s v="NEW"/>
    <m/>
    <d v="2022-04-04T00:00:00"/>
    <d v="2025-04-04T00:00:00"/>
    <d v="2023-03-10T00:00:00"/>
    <m/>
    <x v="1"/>
    <s v="Intermediate"/>
    <m/>
    <s v="Demolition of all existing buildings; erection of two 3-storey buildings comprising 30 residential dwellings in total (6 x1 bedroom, 17 x 2 bedroom &amp; 7 x 3 bedroom); erection of single storey nursery building (294 sqm in total) alterations to existing acc"/>
    <s v="The Strathmore Centre, Strathmore Road, Teddington TW11 8UH_x000a_"/>
    <s v="TW11 8UH"/>
    <s v="Block A"/>
    <m/>
    <m/>
    <m/>
    <m/>
    <m/>
    <m/>
    <m/>
    <n v="0"/>
    <n v="2"/>
    <n v="4"/>
    <m/>
    <m/>
    <m/>
    <m/>
    <m/>
    <m/>
    <n v="6"/>
    <n v="2"/>
    <n v="4"/>
    <n v="0"/>
    <n v="0"/>
    <n v="0"/>
    <n v="0"/>
    <n v="0"/>
    <n v="0"/>
    <n v="6"/>
    <m/>
    <m/>
    <m/>
    <n v="6"/>
    <m/>
    <m/>
    <m/>
    <m/>
    <m/>
    <m/>
    <m/>
    <m/>
    <m/>
    <m/>
    <m/>
    <m/>
    <m/>
    <m/>
    <n v="6"/>
    <n v="6"/>
    <n v="6"/>
    <m/>
    <m/>
    <n v="515141"/>
    <n v="171791"/>
    <s v="Teddington and the Hamptons"/>
    <s v="Fulwell &amp; Hampton Hill"/>
    <x v="1"/>
    <x v="0"/>
    <m/>
    <x v="0"/>
    <m/>
    <m/>
    <m/>
    <s v="Y"/>
    <x v="0"/>
  </r>
  <r>
    <s v="20/0539/FUL"/>
    <n v="192"/>
    <s v="NEW"/>
    <m/>
    <d v="2022-04-04T00:00:00"/>
    <d v="2025-04-04T00:00:00"/>
    <d v="2023-03-10T00:00:00"/>
    <m/>
    <x v="1"/>
    <s v="London Affordable Rent"/>
    <m/>
    <s v="Demolition of all existing buildings; erection of two 3-storey buildings comprising 30 residential dwellings in total (6 x1 bedroom, 17 x 2 bedroom &amp; 7 x 3 bedroom); erection of single storey nursery building (294 sqm in total) alterations to existing acc"/>
    <s v="The Strathmore Centre, Strathmore Road, Teddington TW11 8UH_x000a_"/>
    <s v="TW11 8UH"/>
    <s v="Block B"/>
    <m/>
    <m/>
    <m/>
    <m/>
    <m/>
    <m/>
    <m/>
    <n v="0"/>
    <n v="4"/>
    <n v="13"/>
    <n v="7"/>
    <m/>
    <m/>
    <m/>
    <m/>
    <m/>
    <n v="24"/>
    <n v="4"/>
    <n v="13"/>
    <n v="7"/>
    <n v="0"/>
    <n v="0"/>
    <n v="0"/>
    <n v="0"/>
    <n v="0"/>
    <n v="24"/>
    <s v="Y"/>
    <m/>
    <m/>
    <n v="24"/>
    <m/>
    <m/>
    <m/>
    <m/>
    <m/>
    <m/>
    <m/>
    <m/>
    <m/>
    <m/>
    <m/>
    <m/>
    <m/>
    <m/>
    <n v="24"/>
    <n v="24"/>
    <n v="24"/>
    <m/>
    <m/>
    <n v="515141"/>
    <n v="171791"/>
    <s v="Teddington and the Hamptons"/>
    <s v="Fulwell &amp; Hampton Hill"/>
    <x v="1"/>
    <x v="0"/>
    <m/>
    <x v="0"/>
    <m/>
    <m/>
    <m/>
    <s v="Y"/>
    <x v="0"/>
  </r>
  <r>
    <s v="17/4005/FUL"/>
    <n v="193"/>
    <s v="MIX"/>
    <m/>
    <d v="2020-03-05T00:00:00"/>
    <d v="2023-03-05T00:00:00"/>
    <d v="2023-03-31T00:00:00"/>
    <m/>
    <x v="1"/>
    <s v="Open Market"/>
    <m/>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m/>
    <n v="1"/>
    <m/>
    <m/>
    <m/>
    <m/>
    <m/>
    <m/>
    <n v="1"/>
    <n v="2"/>
    <m/>
    <m/>
    <m/>
    <m/>
    <m/>
    <m/>
    <m/>
    <n v="2"/>
    <n v="1"/>
    <n v="0"/>
    <n v="0"/>
    <n v="0"/>
    <n v="0"/>
    <n v="0"/>
    <n v="0"/>
    <n v="0"/>
    <n v="1"/>
    <m/>
    <m/>
    <n v="0.5"/>
    <n v="0.5"/>
    <m/>
    <m/>
    <m/>
    <m/>
    <m/>
    <m/>
    <m/>
    <m/>
    <m/>
    <m/>
    <m/>
    <m/>
    <m/>
    <m/>
    <n v="1"/>
    <n v="1"/>
    <n v="1"/>
    <m/>
    <m/>
    <n v="518109"/>
    <n v="175300"/>
    <s v="Richmond"/>
    <s v="South Richmond"/>
    <x v="4"/>
    <x v="0"/>
    <m/>
    <x v="0"/>
    <m/>
    <s v="CA17 Central Richmond"/>
    <s v="Y"/>
    <s v="Y"/>
    <x v="0"/>
  </r>
  <r>
    <s v="19/3490/FUL"/>
    <n v="194"/>
    <s v="EXT"/>
    <m/>
    <d v="2020-09-18T00:00:00"/>
    <d v="2023-09-18T00:00:00"/>
    <d v="2023-03-31T00:00:00"/>
    <m/>
    <x v="1"/>
    <s v="Open Market"/>
    <m/>
    <s v="Part two-storey/part single-storey rear extension to provide 1no. additional dwelling, including associated alterations to fenestration, following demolition of existing single-storey rear extension."/>
    <s v="81 High Street, Hampton Wick, Kingston Upon Thames KT1 4DG"/>
    <s v="KT1 4DG"/>
    <m/>
    <m/>
    <m/>
    <m/>
    <m/>
    <m/>
    <m/>
    <m/>
    <n v="0"/>
    <n v="1"/>
    <m/>
    <m/>
    <m/>
    <m/>
    <m/>
    <m/>
    <m/>
    <n v="1"/>
    <n v="1"/>
    <n v="0"/>
    <n v="0"/>
    <n v="0"/>
    <n v="0"/>
    <n v="0"/>
    <n v="0"/>
    <n v="0"/>
    <n v="1"/>
    <m/>
    <m/>
    <m/>
    <n v="1"/>
    <m/>
    <m/>
    <m/>
    <m/>
    <m/>
    <m/>
    <m/>
    <m/>
    <m/>
    <m/>
    <m/>
    <m/>
    <m/>
    <m/>
    <n v="1"/>
    <n v="1"/>
    <n v="1"/>
    <m/>
    <m/>
    <n v="517423"/>
    <n v="169711"/>
    <s v="Teddington and the Hamptons"/>
    <s v="Hampton Wick &amp; South Teddington"/>
    <x v="1"/>
    <x v="0"/>
    <s v="Hampton Wick"/>
    <x v="1"/>
    <m/>
    <s v="CA18 Hampton Wick"/>
    <s v="Y"/>
    <s v="Y"/>
    <x v="0"/>
  </r>
  <r>
    <s v="20/1223/FUL"/>
    <n v="195"/>
    <s v="NEW"/>
    <m/>
    <d v="2020-08-10T00:00:00"/>
    <d v="2023-08-10T00:00:00"/>
    <d v="2023-03-31T00:00:00"/>
    <m/>
    <x v="1"/>
    <s v="Open Market"/>
    <m/>
    <s v="The construction of a two storey 4 bedroom dwelling with a basement level following the demolition of the existing house and garage."/>
    <s v="90 Ormond Avenue, Hampton TW12 2RX_x000a_"/>
    <s v="TW12 2RX"/>
    <m/>
    <m/>
    <m/>
    <m/>
    <n v="1"/>
    <m/>
    <m/>
    <m/>
    <n v="1"/>
    <m/>
    <m/>
    <m/>
    <n v="1"/>
    <m/>
    <m/>
    <m/>
    <m/>
    <n v="1"/>
    <n v="0"/>
    <n v="0"/>
    <n v="0"/>
    <n v="0"/>
    <n v="0"/>
    <n v="0"/>
    <n v="0"/>
    <n v="0"/>
    <n v="0"/>
    <m/>
    <m/>
    <n v="0"/>
    <m/>
    <m/>
    <m/>
    <m/>
    <m/>
    <m/>
    <m/>
    <m/>
    <m/>
    <m/>
    <m/>
    <m/>
    <m/>
    <m/>
    <m/>
    <n v="0"/>
    <n v="0"/>
    <n v="0"/>
    <m/>
    <m/>
    <n v="513542"/>
    <n v="169839"/>
    <s v="Teddington and the Hamptons"/>
    <s v="Hampton"/>
    <x v="1"/>
    <x v="0"/>
    <m/>
    <x v="0"/>
    <m/>
    <m/>
    <m/>
    <s v="Y"/>
    <x v="0"/>
  </r>
  <r>
    <s v="22/1106/GPD26"/>
    <n v="196"/>
    <s v="CHU"/>
    <s v="PA"/>
    <d v="2022-05-30T00:00:00"/>
    <d v="2025-05-30T00:00:00"/>
    <d v="2023-03-31T00:00:00"/>
    <m/>
    <x v="1"/>
    <s v="Open Market"/>
    <m/>
    <s v="Conversion of a shop to single family dwelling house."/>
    <s v="1 Station Road, Teddington, TW11 9AA"/>
    <s v="TW11 9AA"/>
    <m/>
    <m/>
    <m/>
    <m/>
    <m/>
    <m/>
    <m/>
    <m/>
    <n v="0"/>
    <m/>
    <n v="1"/>
    <m/>
    <m/>
    <m/>
    <m/>
    <m/>
    <m/>
    <n v="1"/>
    <n v="0"/>
    <n v="1"/>
    <n v="0"/>
    <n v="0"/>
    <n v="0"/>
    <n v="0"/>
    <n v="0"/>
    <n v="0"/>
    <n v="1"/>
    <m/>
    <m/>
    <n v="0.5"/>
    <n v="0.5"/>
    <m/>
    <m/>
    <m/>
    <m/>
    <m/>
    <m/>
    <m/>
    <m/>
    <m/>
    <m/>
    <m/>
    <m/>
    <m/>
    <m/>
    <n v="1"/>
    <n v="1"/>
    <n v="1"/>
    <m/>
    <m/>
    <n v="515985"/>
    <n v="171070"/>
    <s v="Teddington and the Hamptons"/>
    <s v="Teddington"/>
    <x v="0"/>
    <x v="0"/>
    <m/>
    <x v="0"/>
    <m/>
    <s v="CA37 High Street Teddington"/>
    <s v="Y"/>
    <s v="Y"/>
    <x v="0"/>
  </r>
  <r>
    <s v="21/4038/FUL"/>
    <n v="197"/>
    <s v="CHU"/>
    <m/>
    <d v="2022-07-12T00:00:00"/>
    <d v="2025-07-12T00:00:00"/>
    <d v="2023-05-01T00:00:00"/>
    <m/>
    <x v="1"/>
    <s v="Open Market"/>
    <m/>
    <s v="Change of use of ground floor and basement of the former Old Kings Head public house to a Mixed Use Community Cycle Hub comprising Café (Use Class E(b)), Training Area (Use Class F2(b)) and Treatment Room/Medical (Use Class E(e)) and 1No. 1-bedroom  apartment.   Alterations and conversion of the first and second floors to replace existing staff accommodation with 3No. 2-bedroom apartments.  External Alterations to include the replacement of French doors with balconies and a roof terrace on the first floor western and southern elevations, the installation of 2 no. conservation-style rooflights on the southern and western roof slopes and a bike enclosure to the rear at ground floor.  _x000a_"/>
    <s v="The Old Kings Head, Hampton Court Road, Hampton Wick, Kingston Upon Thames KT1 4AE_x000a_"/>
    <s v="KT1 4AE"/>
    <m/>
    <m/>
    <m/>
    <m/>
    <m/>
    <m/>
    <m/>
    <m/>
    <n v="0"/>
    <n v="1"/>
    <n v="3"/>
    <m/>
    <m/>
    <m/>
    <m/>
    <m/>
    <m/>
    <n v="4"/>
    <n v="1"/>
    <n v="3"/>
    <n v="0"/>
    <n v="0"/>
    <n v="0"/>
    <n v="0"/>
    <n v="0"/>
    <n v="0"/>
    <n v="4"/>
    <m/>
    <m/>
    <n v="2"/>
    <n v="2"/>
    <m/>
    <m/>
    <m/>
    <m/>
    <m/>
    <m/>
    <m/>
    <m/>
    <m/>
    <m/>
    <m/>
    <m/>
    <m/>
    <m/>
    <n v="4"/>
    <n v="4"/>
    <n v="4"/>
    <m/>
    <m/>
    <n v="517498"/>
    <n v="169337"/>
    <s v="Teddington and the Hamptons"/>
    <s v="Hampton Wick &amp; South Teddington"/>
    <x v="1"/>
    <x v="1"/>
    <s v="Hampton Wick"/>
    <x v="1"/>
    <s v="Hampton Court"/>
    <s v="CA18 Hampton Wick"/>
    <s v="Y"/>
    <s v="Y"/>
    <x v="0"/>
  </r>
  <r>
    <s v="19/3857/FUL"/>
    <n v="198"/>
    <s v="MIX"/>
    <m/>
    <d v="2020-06-18T00:00:00"/>
    <d v="2023-06-18T00:00:00"/>
    <d v="2023-05-15T00:00:00"/>
    <m/>
    <x v="1"/>
    <s v="Open Market"/>
    <m/>
    <s v="Part two storey, part first floor infill, part second floor rear extensions and extensions / alterations to the roof to facilitate the conversion of existing 1 x studio and 1 x 2 bed flat into four flats (2 x studio and 2 x 1 bed) and increase in retail f"/>
    <s v="20 London Road, Twickenham TW1 3RR"/>
    <s v="TW1 3RR"/>
    <m/>
    <n v="1"/>
    <n v="1"/>
    <m/>
    <m/>
    <m/>
    <m/>
    <m/>
    <n v="2"/>
    <n v="4"/>
    <m/>
    <m/>
    <m/>
    <m/>
    <m/>
    <m/>
    <m/>
    <n v="4"/>
    <n v="3"/>
    <n v="-1"/>
    <n v="0"/>
    <n v="0"/>
    <n v="0"/>
    <n v="0"/>
    <n v="0"/>
    <n v="0"/>
    <n v="2"/>
    <m/>
    <m/>
    <n v="1"/>
    <n v="1"/>
    <m/>
    <m/>
    <m/>
    <m/>
    <m/>
    <m/>
    <m/>
    <m/>
    <m/>
    <m/>
    <m/>
    <m/>
    <m/>
    <m/>
    <n v="2"/>
    <n v="2"/>
    <n v="2"/>
    <m/>
    <m/>
    <n v="516259"/>
    <n v="173377"/>
    <s v="Twickenham"/>
    <s v="Twickenham Riverside"/>
    <x v="2"/>
    <x v="0"/>
    <m/>
    <x v="0"/>
    <m/>
    <s v="CA8 Twickenham Riverside"/>
    <s v="Y"/>
    <s v="Y"/>
    <x v="0"/>
  </r>
  <r>
    <s v="21/0111/GPD15"/>
    <n v="199"/>
    <s v="CHU"/>
    <s v="PA"/>
    <d v="2021-02-16T00:00:00"/>
    <d v="2024-02-16T00:00:00"/>
    <m/>
    <m/>
    <x v="2"/>
    <s v="Open Market"/>
    <m/>
    <s v="Change of Use from Office (Class E formerly B1(a)) to C3 to form 1 x 2 bed flat._x000d_"/>
    <s v="86 - 88 Lower Mortlake Road, Richmond_x000a__x000a_"/>
    <s v="TW9 2JG"/>
    <m/>
    <m/>
    <m/>
    <m/>
    <m/>
    <m/>
    <m/>
    <m/>
    <n v="0"/>
    <m/>
    <n v="1"/>
    <m/>
    <m/>
    <m/>
    <m/>
    <m/>
    <m/>
    <n v="1"/>
    <n v="0"/>
    <n v="1"/>
    <n v="0"/>
    <n v="0"/>
    <n v="0"/>
    <n v="0"/>
    <n v="0"/>
    <n v="0"/>
    <n v="1"/>
    <m/>
    <m/>
    <n v="0.25"/>
    <n v="0.25"/>
    <n v="0.25"/>
    <n v="0.25"/>
    <m/>
    <m/>
    <m/>
    <m/>
    <m/>
    <m/>
    <m/>
    <m/>
    <m/>
    <m/>
    <m/>
    <m/>
    <n v="1"/>
    <n v="1"/>
    <n v="1"/>
    <m/>
    <m/>
    <n v="518619"/>
    <n v="175475"/>
    <s v="Richmond"/>
    <s v="North Richmond"/>
    <x v="1"/>
    <x v="0"/>
    <m/>
    <x v="0"/>
    <m/>
    <m/>
    <m/>
    <s v="Y"/>
    <x v="1"/>
  </r>
  <r>
    <s v="21/1219/GPD15"/>
    <n v="200"/>
    <s v="CHU"/>
    <s v="PA"/>
    <d v="2021-06-10T00:00:00"/>
    <d v="2024-06-10T00:00:00"/>
    <d v="2023-05-01T00:00:00"/>
    <m/>
    <x v="2"/>
    <s v="Open Market"/>
    <m/>
    <s v="Change of use from offices (B1a) to single dwelling house (C3)."/>
    <s v="Suite 1, 47 St Margarets Grove, Twickenham TW1 1JF_x000a_"/>
    <s v="TW1 1JF"/>
    <m/>
    <m/>
    <m/>
    <m/>
    <m/>
    <m/>
    <m/>
    <m/>
    <n v="0"/>
    <n v="1"/>
    <m/>
    <m/>
    <m/>
    <m/>
    <m/>
    <m/>
    <m/>
    <n v="1"/>
    <n v="1"/>
    <n v="0"/>
    <n v="0"/>
    <n v="0"/>
    <n v="0"/>
    <n v="0"/>
    <n v="0"/>
    <n v="0"/>
    <n v="1"/>
    <m/>
    <m/>
    <n v="0.25"/>
    <n v="0.25"/>
    <n v="0.25"/>
    <n v="0.25"/>
    <m/>
    <m/>
    <m/>
    <m/>
    <m/>
    <m/>
    <m/>
    <m/>
    <m/>
    <m/>
    <m/>
    <m/>
    <n v="1"/>
    <n v="1"/>
    <n v="1"/>
    <m/>
    <m/>
    <n v="516472"/>
    <n v="174374"/>
    <s v="Twickenham"/>
    <s v="St. Margarets &amp; North Twickenham"/>
    <x v="1"/>
    <x v="0"/>
    <m/>
    <x v="0"/>
    <m/>
    <m/>
    <m/>
    <s v="Y"/>
    <x v="0"/>
  </r>
  <r>
    <s v="21/1220/GPD15"/>
    <n v="201"/>
    <s v="CHU"/>
    <s v="PA"/>
    <d v="2021-06-10T00:00:00"/>
    <d v="2024-06-10T00:00:00"/>
    <d v="2023-05-01T00:00:00"/>
    <m/>
    <x v="2"/>
    <s v="Open Market"/>
    <m/>
    <s v="Change of use of suites 2, 3 and 4 from offices (B1) to 3 one-bedroom single family dwellings."/>
    <s v="Suites 2, 3 And 4, 47 St Margarets Grove, Twickenham"/>
    <s v="TW1 1JF"/>
    <m/>
    <m/>
    <m/>
    <m/>
    <m/>
    <m/>
    <m/>
    <m/>
    <n v="0"/>
    <n v="3"/>
    <m/>
    <m/>
    <m/>
    <m/>
    <m/>
    <m/>
    <m/>
    <n v="3"/>
    <n v="3"/>
    <n v="0"/>
    <n v="0"/>
    <n v="0"/>
    <n v="0"/>
    <n v="0"/>
    <n v="0"/>
    <n v="0"/>
    <n v="3"/>
    <m/>
    <m/>
    <n v="0.75"/>
    <n v="0.75"/>
    <n v="0.75"/>
    <n v="0.75"/>
    <m/>
    <m/>
    <m/>
    <m/>
    <m/>
    <m/>
    <m/>
    <m/>
    <m/>
    <m/>
    <m/>
    <m/>
    <n v="3"/>
    <n v="3"/>
    <n v="3"/>
    <m/>
    <m/>
    <n v="516481"/>
    <n v="174369"/>
    <s v="Twickenham"/>
    <s v="St. Margarets &amp; North Twickenham"/>
    <x v="1"/>
    <x v="0"/>
    <m/>
    <x v="0"/>
    <m/>
    <m/>
    <m/>
    <s v="Y"/>
    <x v="0"/>
  </r>
  <r>
    <s v="21/1639/FUL"/>
    <n v="202"/>
    <s v="NEW"/>
    <m/>
    <d v="2022-08-26T00:00:00"/>
    <d v="2025-08-26T00:00:00"/>
    <d v="2023-05-22T00:00:00"/>
    <m/>
    <x v="2"/>
    <s v="Open Market"/>
    <m/>
    <s v="Demolition of existing dwelling and construction of two-storey, 2-bedroom detached dwelling, with associated parking, landscaping, boundary treatments and associated works."/>
    <s v="12 Oxford Road, Teddington, TW11 0PZ"/>
    <s v="TW11 0PZ"/>
    <m/>
    <n v="1"/>
    <m/>
    <m/>
    <m/>
    <m/>
    <m/>
    <m/>
    <n v="1"/>
    <m/>
    <n v="1"/>
    <m/>
    <m/>
    <m/>
    <m/>
    <m/>
    <m/>
    <n v="1"/>
    <n v="-1"/>
    <n v="1"/>
    <n v="0"/>
    <n v="0"/>
    <n v="0"/>
    <n v="0"/>
    <n v="0"/>
    <n v="0"/>
    <n v="0"/>
    <m/>
    <m/>
    <n v="0"/>
    <m/>
    <m/>
    <m/>
    <m/>
    <m/>
    <m/>
    <m/>
    <m/>
    <m/>
    <m/>
    <m/>
    <m/>
    <m/>
    <m/>
    <m/>
    <n v="0"/>
    <n v="0"/>
    <n v="0"/>
    <m/>
    <m/>
    <n v="514878"/>
    <n v="171282"/>
    <s v="Teddington and the Hamptons"/>
    <s v="Fulwell &amp; Hampton Hill"/>
    <x v="1"/>
    <x v="0"/>
    <m/>
    <x v="0"/>
    <m/>
    <m/>
    <m/>
    <s v="Y"/>
    <x v="0"/>
  </r>
  <r>
    <s v="21/1841/FUL"/>
    <n v="203"/>
    <s v="NEW"/>
    <m/>
    <d v="2023-02-16T00:00:00"/>
    <d v="2026-02-16T00:00:00"/>
    <d v="2023-06-01T00:00:00"/>
    <m/>
    <x v="2"/>
    <s v="Open Market"/>
    <m/>
    <s v="Demolition of existing car showroom and partial demolition of ancillary offices to facilitate the construction of 4 semi-detached houses with associated landscaping and car parking spaces, construction of a new vehicle access._x000d_"/>
    <s v="45 - 49 Station Road, Hampton TW12 2BT_x000a_"/>
    <s v="TW12 2BT"/>
    <m/>
    <m/>
    <m/>
    <m/>
    <m/>
    <m/>
    <m/>
    <m/>
    <n v="0"/>
    <m/>
    <m/>
    <n v="4"/>
    <m/>
    <m/>
    <m/>
    <m/>
    <m/>
    <n v="4"/>
    <n v="0"/>
    <n v="0"/>
    <n v="4"/>
    <n v="0"/>
    <n v="0"/>
    <n v="0"/>
    <n v="0"/>
    <n v="0"/>
    <n v="4"/>
    <m/>
    <m/>
    <m/>
    <n v="4"/>
    <m/>
    <m/>
    <m/>
    <m/>
    <m/>
    <m/>
    <m/>
    <m/>
    <m/>
    <m/>
    <m/>
    <m/>
    <m/>
    <m/>
    <n v="4"/>
    <n v="4"/>
    <n v="4"/>
    <m/>
    <m/>
    <n v="513825"/>
    <n v="169567"/>
    <s v="Teddington and the Hamptons"/>
    <s v="Hampton"/>
    <x v="1"/>
    <x v="0"/>
    <m/>
    <x v="0"/>
    <m/>
    <s v="CA12 Hampton Village"/>
    <s v="Y"/>
    <s v="Y"/>
    <x v="0"/>
  </r>
  <r>
    <s v="19/2789/FUL"/>
    <n v="204"/>
    <s v="NEW"/>
    <m/>
    <d v="2020-06-19T00:00:00"/>
    <d v="2023-06-19T00:00:00"/>
    <d v="2023-06-09T00:00:00"/>
    <m/>
    <x v="2"/>
    <s v="Shared Ownership"/>
    <m/>
    <s v="Demolition of existing commercial building and erection of building to provide 15 affordable residential units, together with 12 parking spaces and communal amenity space."/>
    <s v="Lockcorp House, 75 Norcutt Road, Twickenham TW2 6SR"/>
    <s v="TW2 6SR"/>
    <m/>
    <m/>
    <m/>
    <m/>
    <m/>
    <m/>
    <m/>
    <m/>
    <n v="0"/>
    <n v="6"/>
    <n v="6"/>
    <n v="3"/>
    <m/>
    <m/>
    <m/>
    <m/>
    <m/>
    <n v="15"/>
    <n v="6"/>
    <n v="6"/>
    <n v="3"/>
    <n v="0"/>
    <n v="0"/>
    <n v="0"/>
    <n v="0"/>
    <n v="0"/>
    <n v="15"/>
    <s v="Y"/>
    <m/>
    <m/>
    <m/>
    <n v="7.5"/>
    <n v="7.5"/>
    <m/>
    <m/>
    <m/>
    <m/>
    <m/>
    <m/>
    <m/>
    <m/>
    <m/>
    <m/>
    <m/>
    <m/>
    <n v="15"/>
    <n v="15"/>
    <n v="15"/>
    <m/>
    <m/>
    <n v="515337"/>
    <n v="173383"/>
    <s v="Twickenham"/>
    <s v="South Twickenham"/>
    <x v="1"/>
    <x v="0"/>
    <m/>
    <x v="0"/>
    <m/>
    <m/>
    <m/>
    <s v="Y"/>
    <x v="0"/>
  </r>
  <r>
    <s v="19/2199/FUL"/>
    <n v="205"/>
    <s v="NEW"/>
    <m/>
    <d v="2021-01-13T00:00:00"/>
    <d v="2024-01-13T00:00:00"/>
    <d v="2023-06-12T00:00:00"/>
    <m/>
    <x v="2"/>
    <s v="Open Market"/>
    <m/>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n v="0"/>
    <m/>
    <n v="2"/>
    <m/>
    <m/>
    <m/>
    <m/>
    <m/>
    <m/>
    <n v="2"/>
    <n v="0"/>
    <n v="2"/>
    <n v="0"/>
    <n v="0"/>
    <n v="0"/>
    <n v="0"/>
    <n v="0"/>
    <n v="0"/>
    <n v="2"/>
    <m/>
    <m/>
    <m/>
    <n v="2"/>
    <m/>
    <m/>
    <m/>
    <m/>
    <m/>
    <m/>
    <m/>
    <m/>
    <m/>
    <m/>
    <m/>
    <m/>
    <m/>
    <m/>
    <n v="2"/>
    <n v="2"/>
    <n v="2"/>
    <m/>
    <m/>
    <n v="520452"/>
    <n v="175621"/>
    <s v="Barnes and East Sheen"/>
    <s v="East Sheen"/>
    <x v="1"/>
    <x v="0"/>
    <m/>
    <x v="0"/>
    <m/>
    <s v="CA70 Sheen Lane Mortlake"/>
    <s v="Y"/>
    <s v="Y"/>
    <x v="0"/>
  </r>
  <r>
    <s v="21/2642/FUL"/>
    <n v="206"/>
    <s v="CHU"/>
    <m/>
    <d v="2022-04-08T00:00:00"/>
    <d v="2025-04-08T00:00:00"/>
    <d v="2023-07-24T00:00:00"/>
    <m/>
    <x v="2"/>
    <s v="Affordable rent"/>
    <m/>
    <s v="Change of use to four C3 residential units for supported living together with external alterations including changes to the roof form and a first floor extension"/>
    <s v="67A Holly Road, Twickenham, TW1 4HF"/>
    <s v="TW1 4HF"/>
    <m/>
    <m/>
    <m/>
    <m/>
    <m/>
    <m/>
    <m/>
    <m/>
    <n v="0"/>
    <n v="4"/>
    <m/>
    <m/>
    <m/>
    <m/>
    <m/>
    <m/>
    <m/>
    <n v="4"/>
    <n v="4"/>
    <n v="0"/>
    <n v="0"/>
    <n v="0"/>
    <n v="0"/>
    <n v="0"/>
    <n v="0"/>
    <n v="0"/>
    <n v="4"/>
    <m/>
    <m/>
    <m/>
    <n v="4"/>
    <m/>
    <m/>
    <m/>
    <m/>
    <m/>
    <m/>
    <m/>
    <m/>
    <m/>
    <m/>
    <m/>
    <m/>
    <m/>
    <m/>
    <n v="4"/>
    <n v="4"/>
    <n v="4"/>
    <m/>
    <s v="Y"/>
    <n v="516114"/>
    <n v="173184"/>
    <s v="Twickenham"/>
    <s v="Twickenham Riverside"/>
    <x v="2"/>
    <x v="0"/>
    <m/>
    <x v="0"/>
    <m/>
    <m/>
    <m/>
    <s v="Y"/>
    <x v="0"/>
  </r>
  <r>
    <s v="21/1328/FUL"/>
    <n v="207"/>
    <s v="NEW"/>
    <m/>
    <d v="2022-04-21T00:00:00"/>
    <d v="2025-04-21T00:00:00"/>
    <d v="2023-08-16T00:00:00"/>
    <m/>
    <x v="2"/>
    <s v="Open Market"/>
    <m/>
    <s v="Part three storey part single storey extension to provide an additional retail unit (Class E) at ground floor and 1 x residential dwelling on upper floors.  Alterations to bay windows at 171 Ashburnham Road.  Associated hard and soft landscaping works inc"/>
    <s v="Land South Of 171 And 171 Ashburnham Road, Ham_x000a__x000a_"/>
    <s v="TW10 7NR"/>
    <m/>
    <m/>
    <m/>
    <m/>
    <m/>
    <m/>
    <m/>
    <m/>
    <n v="0"/>
    <m/>
    <n v="1"/>
    <m/>
    <m/>
    <m/>
    <m/>
    <m/>
    <m/>
    <n v="1"/>
    <n v="0"/>
    <n v="1"/>
    <n v="0"/>
    <n v="0"/>
    <n v="0"/>
    <n v="0"/>
    <n v="0"/>
    <n v="0"/>
    <n v="1"/>
    <m/>
    <m/>
    <m/>
    <n v="1"/>
    <m/>
    <m/>
    <m/>
    <m/>
    <m/>
    <m/>
    <m/>
    <m/>
    <m/>
    <m/>
    <m/>
    <m/>
    <m/>
    <m/>
    <n v="1"/>
    <n v="1"/>
    <n v="1"/>
    <m/>
    <m/>
    <n v="516850"/>
    <n v="172139"/>
    <s v="Ham &amp; Petersham"/>
    <s v="Ham, Petersham &amp; Richmond Riverside"/>
    <x v="1"/>
    <x v="0"/>
    <m/>
    <x v="0"/>
    <m/>
    <m/>
    <m/>
    <m/>
    <x v="0"/>
  </r>
  <r>
    <s v="21/3188/FUL"/>
    <n v="208"/>
    <s v="NEW"/>
    <m/>
    <d v="2022-08-22T00:00:00"/>
    <d v="2025-08-26T00:00:00"/>
    <d v="2023-09-04T00:00:00"/>
    <m/>
    <x v="2"/>
    <s v="Open Market"/>
    <m/>
    <s v="Erection of 7 residential units (4 x 1 and 2 bed flats and 3 x 3 bed houses) with ground floor Class E commercial business and service space (73.3m2) including associated works."/>
    <s v="Adjacent To 118 Kneller Road, Twickenham, Hounslow TW2 7DX_x000a_"/>
    <s v="TW10 6UB"/>
    <m/>
    <m/>
    <m/>
    <m/>
    <m/>
    <m/>
    <m/>
    <m/>
    <n v="0"/>
    <n v="2"/>
    <n v="2"/>
    <n v="3"/>
    <m/>
    <m/>
    <m/>
    <m/>
    <m/>
    <n v="7"/>
    <n v="2"/>
    <n v="2"/>
    <n v="3"/>
    <n v="0"/>
    <n v="0"/>
    <n v="0"/>
    <n v="0"/>
    <n v="0"/>
    <n v="7"/>
    <m/>
    <m/>
    <m/>
    <n v="3.5"/>
    <n v="3.5"/>
    <m/>
    <m/>
    <m/>
    <m/>
    <m/>
    <m/>
    <m/>
    <m/>
    <m/>
    <m/>
    <m/>
    <m/>
    <m/>
    <n v="7"/>
    <n v="7"/>
    <n v="7"/>
    <m/>
    <m/>
    <n v="514498"/>
    <n v="174249"/>
    <s v="Whitton"/>
    <s v="Whitton"/>
    <x v="1"/>
    <x v="0"/>
    <m/>
    <x v="0"/>
    <m/>
    <m/>
    <m/>
    <s v="Y"/>
    <x v="0"/>
  </r>
  <r>
    <s v="20/0815/FUL"/>
    <n v="209"/>
    <s v="EXT"/>
    <m/>
    <d v="2020-08-25T00:00:00"/>
    <d v="2023-08-25T00:00:00"/>
    <m/>
    <m/>
    <x v="2"/>
    <s v="Open Market"/>
    <m/>
    <s v="Change of use of forecourt and existing lobby and staircase from B1(a) to sui generis (mixed B1(a)/C3) to facilitate the creation of a second floor extension to the existing office building to provide a 3 bed flat, external alterations to the fenestration"/>
    <s v="East House, 109 South Worple Way, East Sheen, London SW14 8TN"/>
    <s v="SW14 8TN"/>
    <m/>
    <m/>
    <m/>
    <m/>
    <m/>
    <m/>
    <m/>
    <m/>
    <n v="0"/>
    <m/>
    <m/>
    <n v="1"/>
    <m/>
    <m/>
    <m/>
    <m/>
    <m/>
    <n v="1"/>
    <n v="0"/>
    <n v="0"/>
    <n v="1"/>
    <n v="0"/>
    <n v="0"/>
    <n v="0"/>
    <n v="0"/>
    <n v="0"/>
    <n v="1"/>
    <m/>
    <m/>
    <n v="0.25"/>
    <n v="0.25"/>
    <n v="0.25"/>
    <n v="0.25"/>
    <m/>
    <m/>
    <m/>
    <m/>
    <m/>
    <m/>
    <m/>
    <m/>
    <m/>
    <m/>
    <m/>
    <m/>
    <n v="1"/>
    <n v="1"/>
    <n v="1"/>
    <m/>
    <m/>
    <n v="520556"/>
    <n v="175757"/>
    <s v="Barnes and East Sheen"/>
    <s v="East Sheen"/>
    <x v="3"/>
    <x v="0"/>
    <m/>
    <x v="0"/>
    <m/>
    <m/>
    <m/>
    <s v="Y"/>
    <x v="0"/>
  </r>
  <r>
    <s v="20/1985/GPD23"/>
    <n v="210"/>
    <s v="CHU"/>
    <s v="PA"/>
    <d v="2020-08-25T00:00:00"/>
    <d v="2023-08-25T00:00:00"/>
    <m/>
    <m/>
    <x v="2"/>
    <s v="Open Market"/>
    <m/>
    <s v="Proposed change of use from Class B1(c) light industrial to Class C3 (residential) (2 dwellings)."/>
    <s v="12 High Street, Hampton Hill TW12 1PD_x000a_"/>
    <s v="TW12 1PD"/>
    <m/>
    <m/>
    <m/>
    <m/>
    <m/>
    <m/>
    <m/>
    <m/>
    <n v="0"/>
    <n v="2"/>
    <m/>
    <m/>
    <m/>
    <m/>
    <m/>
    <m/>
    <m/>
    <n v="2"/>
    <n v="2"/>
    <n v="0"/>
    <n v="0"/>
    <n v="0"/>
    <n v="0"/>
    <n v="0"/>
    <n v="0"/>
    <n v="0"/>
    <n v="2"/>
    <m/>
    <m/>
    <n v="0.5"/>
    <n v="0.5"/>
    <n v="0.5"/>
    <n v="0.5"/>
    <m/>
    <m/>
    <m/>
    <m/>
    <m/>
    <m/>
    <m/>
    <m/>
    <m/>
    <m/>
    <m/>
    <m/>
    <n v="2"/>
    <n v="2"/>
    <n v="2"/>
    <m/>
    <m/>
    <n v="514296"/>
    <n v="170824"/>
    <s v="Teddington and the Hamptons"/>
    <s v="Fulwell &amp; Hampton Hill"/>
    <x v="1"/>
    <x v="0"/>
    <s v="High Street, Hampton Hill"/>
    <x v="1"/>
    <m/>
    <s v="CA38 High Street Hampton Hill"/>
    <s v="Y"/>
    <m/>
    <x v="0"/>
  </r>
  <r>
    <s v="18/3642/OUT"/>
    <n v="211"/>
    <s v="MIX"/>
    <m/>
    <d v="2020-09-14T00:00:00"/>
    <d v="2023-09-14T00:00:00"/>
    <m/>
    <m/>
    <x v="2"/>
    <s v="London Affordable Rent"/>
    <m/>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3"/>
    <n v="1"/>
    <m/>
    <m/>
    <m/>
    <m/>
    <m/>
    <m/>
    <n v="4"/>
    <n v="3"/>
    <n v="1"/>
    <n v="0"/>
    <n v="0"/>
    <n v="0"/>
    <n v="0"/>
    <n v="0"/>
    <n v="0"/>
    <n v="4"/>
    <s v="Y"/>
    <m/>
    <m/>
    <m/>
    <m/>
    <m/>
    <n v="2"/>
    <n v="2"/>
    <m/>
    <m/>
    <m/>
    <m/>
    <m/>
    <m/>
    <m/>
    <m/>
    <m/>
    <m/>
    <n v="2"/>
    <n v="4"/>
    <n v="4"/>
    <m/>
    <m/>
    <n v="521203"/>
    <n v="175677"/>
    <s v="Barnes and East Sheen"/>
    <s v="Mortlake &amp; Barnes Common"/>
    <x v="1"/>
    <x v="0"/>
    <m/>
    <x v="0"/>
    <m/>
    <m/>
    <m/>
    <s v="Y"/>
    <x v="0"/>
  </r>
  <r>
    <s v="18/3642/OUT"/>
    <n v="212"/>
    <s v="MIX"/>
    <m/>
    <d v="2020-09-14T00:00:00"/>
    <d v="2023-09-14T00:00:00"/>
    <m/>
    <m/>
    <x v="2"/>
    <s v="Open Market"/>
    <m/>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22"/>
    <n v="31"/>
    <n v="12"/>
    <m/>
    <m/>
    <m/>
    <m/>
    <m/>
    <n v="65"/>
    <n v="22"/>
    <n v="31"/>
    <n v="12"/>
    <n v="0"/>
    <n v="0"/>
    <n v="0"/>
    <n v="0"/>
    <n v="0"/>
    <n v="65"/>
    <s v="Y"/>
    <m/>
    <m/>
    <m/>
    <m/>
    <m/>
    <n v="32.5"/>
    <n v="32.5"/>
    <m/>
    <m/>
    <m/>
    <m/>
    <m/>
    <m/>
    <m/>
    <m/>
    <m/>
    <m/>
    <n v="32.5"/>
    <n v="65"/>
    <n v="65"/>
    <m/>
    <m/>
    <n v="521203"/>
    <n v="175677"/>
    <s v="Barnes and East Sheen"/>
    <s v="Mortlake &amp; Barnes Common"/>
    <x v="1"/>
    <x v="0"/>
    <m/>
    <x v="0"/>
    <m/>
    <m/>
    <m/>
    <s v="Y"/>
    <x v="0"/>
  </r>
  <r>
    <s v="18/3642/OUT"/>
    <n v="213"/>
    <s v="MIX"/>
    <m/>
    <d v="2020-09-14T00:00:00"/>
    <d v="2023-09-14T00:00:00"/>
    <m/>
    <m/>
    <x v="2"/>
    <s v="Shared Ownership"/>
    <m/>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5"/>
    <n v="7"/>
    <n v="2"/>
    <m/>
    <m/>
    <m/>
    <m/>
    <m/>
    <n v="14"/>
    <n v="5"/>
    <n v="7"/>
    <n v="2"/>
    <n v="0"/>
    <n v="0"/>
    <n v="0"/>
    <n v="0"/>
    <n v="0"/>
    <n v="14"/>
    <s v="Y"/>
    <m/>
    <m/>
    <m/>
    <m/>
    <m/>
    <n v="7"/>
    <n v="7"/>
    <m/>
    <m/>
    <m/>
    <m/>
    <m/>
    <m/>
    <m/>
    <m/>
    <m/>
    <m/>
    <n v="7"/>
    <n v="14"/>
    <n v="14"/>
    <m/>
    <m/>
    <n v="521203"/>
    <n v="175677"/>
    <s v="Barnes and East Sheen"/>
    <s v="Mortlake &amp; Barnes Common"/>
    <x v="1"/>
    <x v="0"/>
    <m/>
    <x v="0"/>
    <m/>
    <m/>
    <m/>
    <s v="Y"/>
    <x v="0"/>
  </r>
  <r>
    <s v="18/3310/FUL"/>
    <n v="214"/>
    <s v="NEW"/>
    <m/>
    <d v="2020-09-16T00:00:00"/>
    <d v="2023-09-16T00:00:00"/>
    <d v="2023-09-12T00:00:00"/>
    <m/>
    <x v="2"/>
    <s v="Open Market"/>
    <m/>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_x000a__x000a_"/>
    <s v="TW9"/>
    <m/>
    <m/>
    <m/>
    <m/>
    <m/>
    <m/>
    <m/>
    <m/>
    <n v="0"/>
    <n v="13"/>
    <n v="75"/>
    <m/>
    <m/>
    <m/>
    <m/>
    <m/>
    <m/>
    <n v="88"/>
    <n v="13"/>
    <n v="75"/>
    <n v="0"/>
    <n v="0"/>
    <n v="0"/>
    <n v="0"/>
    <n v="0"/>
    <n v="0"/>
    <n v="88"/>
    <s v="Y"/>
    <m/>
    <m/>
    <m/>
    <m/>
    <n v="44"/>
    <n v="44"/>
    <m/>
    <m/>
    <m/>
    <m/>
    <m/>
    <m/>
    <m/>
    <m/>
    <m/>
    <m/>
    <m/>
    <n v="88"/>
    <n v="88"/>
    <n v="88"/>
    <s v="Y"/>
    <s v="Y"/>
    <n v="519778"/>
    <n v="176914"/>
    <s v="Richmond"/>
    <s v="Kew"/>
    <x v="1"/>
    <x v="1"/>
    <m/>
    <x v="0"/>
    <s v="Townmead Kew"/>
    <m/>
    <m/>
    <s v="Y"/>
    <x v="0"/>
  </r>
  <r>
    <s v="20/1333/FUL"/>
    <n v="215"/>
    <s v="CHU"/>
    <m/>
    <d v="2020-09-16T00:00:00"/>
    <d v="2023-09-16T00:00:00"/>
    <m/>
    <m/>
    <x v="2"/>
    <s v="Open Market"/>
    <m/>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n v="0"/>
    <m/>
    <n v="1"/>
    <m/>
    <m/>
    <m/>
    <m/>
    <m/>
    <m/>
    <n v="1"/>
    <n v="0"/>
    <n v="1"/>
    <n v="0"/>
    <n v="0"/>
    <n v="0"/>
    <n v="0"/>
    <n v="0"/>
    <n v="0"/>
    <n v="1"/>
    <m/>
    <m/>
    <n v="0.25"/>
    <n v="0.25"/>
    <n v="0.25"/>
    <n v="0.25"/>
    <m/>
    <m/>
    <m/>
    <m/>
    <m/>
    <m/>
    <m/>
    <m/>
    <m/>
    <m/>
    <m/>
    <m/>
    <n v="1"/>
    <n v="1"/>
    <n v="1"/>
    <m/>
    <m/>
    <n v="521750"/>
    <n v="176384"/>
    <s v="Barnes and East Sheen"/>
    <s v="Mortlake &amp; Barnes Common"/>
    <x v="1"/>
    <x v="0"/>
    <s v="High Street, Barnes"/>
    <x v="1"/>
    <m/>
    <s v="CA1 Barnes Green"/>
    <s v="Y"/>
    <s v="Y"/>
    <x v="0"/>
  </r>
  <r>
    <s v="19/0228/FUL"/>
    <n v="216"/>
    <s v="CON"/>
    <m/>
    <d v="2019-06-28T00:00:00"/>
    <d v="2022-06-28T00:00:00"/>
    <m/>
    <m/>
    <x v="2"/>
    <s v="Open Market"/>
    <m/>
    <s v="Division of the existing dwelling house into two residential units in the form of semi detached houses. The demolition of the existing adjoined garage and alterations to fenestration."/>
    <s v="173 Kew Road, Richmond, TW9 2BB"/>
    <s v="TW9 2BB"/>
    <m/>
    <m/>
    <m/>
    <m/>
    <m/>
    <m/>
    <m/>
    <n v="1"/>
    <n v="1"/>
    <m/>
    <m/>
    <n v="1"/>
    <n v="1"/>
    <m/>
    <m/>
    <m/>
    <m/>
    <n v="2"/>
    <n v="0"/>
    <n v="0"/>
    <n v="1"/>
    <n v="1"/>
    <n v="0"/>
    <n v="0"/>
    <n v="-1"/>
    <n v="0"/>
    <n v="1"/>
    <m/>
    <m/>
    <n v="0.25"/>
    <n v="0.25"/>
    <n v="0.25"/>
    <n v="0.25"/>
    <m/>
    <m/>
    <m/>
    <m/>
    <m/>
    <m/>
    <m/>
    <m/>
    <m/>
    <m/>
    <m/>
    <m/>
    <n v="1"/>
    <n v="1"/>
    <n v="1"/>
    <m/>
    <m/>
    <n v="518380"/>
    <n v="175623"/>
    <s v="Richmond"/>
    <s v="North Richmond"/>
    <x v="1"/>
    <x v="0"/>
    <m/>
    <x v="0"/>
    <m/>
    <s v="CA36 Kew Foot Road"/>
    <s v="Y"/>
    <s v="Y"/>
    <x v="1"/>
  </r>
  <r>
    <s v="20/0595/FUL"/>
    <n v="217"/>
    <s v="MIX"/>
    <m/>
    <d v="2020-09-24T00:00:00"/>
    <d v="2023-09-24T00:00:00"/>
    <m/>
    <m/>
    <x v="2"/>
    <s v="Open Market"/>
    <m/>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n v="0"/>
    <n v="1"/>
    <m/>
    <m/>
    <m/>
    <m/>
    <m/>
    <m/>
    <m/>
    <n v="1"/>
    <n v="1"/>
    <n v="0"/>
    <n v="0"/>
    <n v="0"/>
    <n v="0"/>
    <n v="0"/>
    <n v="0"/>
    <n v="0"/>
    <n v="1"/>
    <m/>
    <m/>
    <m/>
    <n v="1"/>
    <m/>
    <m/>
    <m/>
    <m/>
    <m/>
    <m/>
    <m/>
    <m/>
    <m/>
    <m/>
    <m/>
    <m/>
    <m/>
    <m/>
    <n v="1"/>
    <n v="1"/>
    <n v="1"/>
    <m/>
    <m/>
    <n v="521318"/>
    <n v="175834"/>
    <s v="Barnes and East Sheen"/>
    <s v="Mortlake &amp; Barnes Common"/>
    <x v="1"/>
    <x v="0"/>
    <s v="White Hart lane, Barnes"/>
    <x v="1"/>
    <m/>
    <s v="CA33 Mortlake"/>
    <s v="Y"/>
    <s v="Y"/>
    <x v="0"/>
  </r>
  <r>
    <s v="20/1885/FUL"/>
    <n v="218"/>
    <s v="CHU"/>
    <m/>
    <d v="2020-10-02T00:00:00"/>
    <d v="2023-10-02T00:00:00"/>
    <m/>
    <m/>
    <x v="2"/>
    <s v="Open Market"/>
    <m/>
    <s v="Conversion of public house to a single residential dwelling"/>
    <s v="80 Windmill Road, Hampton Hill, Hampton TW12 1QU_x000a_"/>
    <s v="TW12 1QU"/>
    <m/>
    <m/>
    <m/>
    <m/>
    <n v="1"/>
    <m/>
    <m/>
    <m/>
    <n v="1"/>
    <m/>
    <m/>
    <m/>
    <n v="1"/>
    <m/>
    <m/>
    <m/>
    <m/>
    <n v="1"/>
    <n v="0"/>
    <n v="0"/>
    <n v="0"/>
    <n v="0"/>
    <n v="0"/>
    <n v="0"/>
    <n v="0"/>
    <n v="0"/>
    <n v="0"/>
    <m/>
    <m/>
    <n v="0"/>
    <m/>
    <m/>
    <m/>
    <m/>
    <m/>
    <m/>
    <m/>
    <m/>
    <m/>
    <m/>
    <m/>
    <m/>
    <m/>
    <m/>
    <m/>
    <n v="0"/>
    <n v="0"/>
    <n v="0"/>
    <m/>
    <m/>
    <n v="513956"/>
    <n v="171140"/>
    <s v="Teddington and the Hamptons"/>
    <s v="Fulwell &amp; Hampton Hill"/>
    <x v="1"/>
    <x v="0"/>
    <m/>
    <x v="0"/>
    <m/>
    <m/>
    <m/>
    <m/>
    <x v="0"/>
  </r>
  <r>
    <s v="20/0145/FUL"/>
    <n v="219"/>
    <s v="CON"/>
    <m/>
    <d v="2020-10-05T00:00:00"/>
    <d v="2023-10-05T00:00:00"/>
    <m/>
    <m/>
    <x v="2"/>
    <s v="Open Market"/>
    <m/>
    <s v="3,2m rear extension and division of a single flat into 2 flats."/>
    <s v="133A Percy Road, Twickenham TW2 6HT"/>
    <s v="TW2 6HT"/>
    <m/>
    <m/>
    <m/>
    <m/>
    <n v="1"/>
    <m/>
    <m/>
    <m/>
    <n v="1"/>
    <n v="1"/>
    <n v="1"/>
    <m/>
    <m/>
    <m/>
    <m/>
    <m/>
    <m/>
    <n v="2"/>
    <n v="1"/>
    <n v="1"/>
    <n v="0"/>
    <n v="-1"/>
    <n v="0"/>
    <n v="0"/>
    <n v="0"/>
    <n v="0"/>
    <n v="1"/>
    <m/>
    <m/>
    <n v="0.25"/>
    <n v="0.25"/>
    <n v="0.25"/>
    <n v="0.25"/>
    <m/>
    <m/>
    <m/>
    <m/>
    <m/>
    <m/>
    <m/>
    <m/>
    <m/>
    <m/>
    <m/>
    <m/>
    <n v="1"/>
    <n v="1"/>
    <n v="1"/>
    <m/>
    <m/>
    <n v="514206"/>
    <n v="173520"/>
    <s v="Whitton"/>
    <s v="Heathfield"/>
    <x v="5"/>
    <x v="0"/>
    <m/>
    <x v="0"/>
    <m/>
    <m/>
    <m/>
    <s v="Y"/>
    <x v="0"/>
  </r>
  <r>
    <s v="19/1219/FUL"/>
    <n v="220"/>
    <s v="NEW"/>
    <m/>
    <d v="2019-12-11T00:00:00"/>
    <d v="2022-12-11T00:00:00"/>
    <m/>
    <m/>
    <x v="2"/>
    <s v="Open Market"/>
    <m/>
    <s v="Replacement 2 storey 4 bedroom dwellinghouse with basement level and accommodation in the roof.  Associated hard and soft landscaping, cycle and refuse stores and parking."/>
    <s v="21 Sunbury Avenue, East Sheen, London SW14 8RA"/>
    <s v="SW14 8RA"/>
    <m/>
    <m/>
    <n v="1"/>
    <m/>
    <m/>
    <m/>
    <m/>
    <m/>
    <n v="1"/>
    <m/>
    <m/>
    <n v="1"/>
    <m/>
    <m/>
    <m/>
    <m/>
    <m/>
    <n v="1"/>
    <n v="0"/>
    <n v="-1"/>
    <n v="1"/>
    <n v="0"/>
    <n v="0"/>
    <n v="0"/>
    <n v="0"/>
    <n v="0"/>
    <n v="0"/>
    <m/>
    <m/>
    <n v="0"/>
    <m/>
    <m/>
    <m/>
    <m/>
    <m/>
    <m/>
    <m/>
    <m/>
    <m/>
    <m/>
    <m/>
    <m/>
    <m/>
    <m/>
    <m/>
    <n v="0"/>
    <n v="0"/>
    <n v="0"/>
    <m/>
    <m/>
    <n v="520990"/>
    <n v="175033"/>
    <s v="Barnes and East Sheen"/>
    <s v="East Sheen"/>
    <x v="1"/>
    <x v="0"/>
    <m/>
    <x v="0"/>
    <m/>
    <m/>
    <m/>
    <s v="Y"/>
    <x v="0"/>
  </r>
  <r>
    <s v="20/0921/FUL"/>
    <n v="221"/>
    <s v="CON"/>
    <m/>
    <d v="2020-10-14T00:00:00"/>
    <d v="2023-10-14T00:00:00"/>
    <m/>
    <m/>
    <x v="2"/>
    <s v="Open Market"/>
    <m/>
    <s v="Conversion of existing 3-bed terraced dwelling to 2 x 1-bed flats"/>
    <s v="22 Linden Road, Hampton, TW12 2JB"/>
    <s v="TW12 2JB"/>
    <m/>
    <m/>
    <m/>
    <n v="1"/>
    <m/>
    <m/>
    <m/>
    <m/>
    <n v="1"/>
    <n v="2"/>
    <m/>
    <m/>
    <m/>
    <m/>
    <m/>
    <m/>
    <m/>
    <n v="2"/>
    <n v="2"/>
    <n v="0"/>
    <n v="-1"/>
    <n v="0"/>
    <n v="0"/>
    <n v="0"/>
    <n v="0"/>
    <n v="0"/>
    <n v="1"/>
    <m/>
    <m/>
    <n v="0.25"/>
    <n v="0.25"/>
    <n v="0.25"/>
    <n v="0.25"/>
    <m/>
    <m/>
    <m/>
    <m/>
    <m/>
    <m/>
    <m/>
    <m/>
    <m/>
    <m/>
    <m/>
    <m/>
    <n v="1"/>
    <n v="1"/>
    <n v="1"/>
    <m/>
    <m/>
    <n v="513125"/>
    <n v="169836"/>
    <s v="Teddington and the Hamptons"/>
    <s v="Hampton"/>
    <x v="1"/>
    <x v="0"/>
    <m/>
    <x v="0"/>
    <m/>
    <m/>
    <m/>
    <s v="Y"/>
    <x v="0"/>
  </r>
  <r>
    <s v="20/2077/GPD15"/>
    <n v="222"/>
    <s v="CHU"/>
    <s v="PA"/>
    <d v="2020-10-23T00:00:00"/>
    <d v="2023-10-23T00:00:00"/>
    <m/>
    <m/>
    <x v="2"/>
    <s v="Open Market"/>
    <m/>
    <s v="Change of use from Class B1(a) to Class C3 to provide 1 x 3 bed flat"/>
    <s v="First Floor, 23 - 25 King Street, Twickenham, TW1 3SD"/>
    <s v="TW1 3SD"/>
    <m/>
    <m/>
    <m/>
    <m/>
    <m/>
    <m/>
    <m/>
    <m/>
    <n v="0"/>
    <m/>
    <m/>
    <n v="1"/>
    <m/>
    <m/>
    <m/>
    <m/>
    <m/>
    <n v="1"/>
    <n v="0"/>
    <n v="0"/>
    <n v="1"/>
    <n v="0"/>
    <n v="0"/>
    <n v="0"/>
    <n v="0"/>
    <n v="0"/>
    <n v="1"/>
    <m/>
    <m/>
    <n v="0.25"/>
    <n v="0.25"/>
    <n v="0.25"/>
    <n v="0.25"/>
    <m/>
    <m/>
    <m/>
    <m/>
    <m/>
    <m/>
    <m/>
    <m/>
    <m/>
    <m/>
    <m/>
    <m/>
    <n v="1"/>
    <n v="1"/>
    <n v="1"/>
    <m/>
    <m/>
    <n v="516240"/>
    <n v="173173"/>
    <s v="Twickenham"/>
    <s v="Twickenham Riverside"/>
    <x v="2"/>
    <x v="0"/>
    <m/>
    <x v="0"/>
    <m/>
    <m/>
    <m/>
    <s v="Y"/>
    <x v="0"/>
  </r>
  <r>
    <s v="19/3632/FUL"/>
    <n v="223"/>
    <s v="EXT"/>
    <m/>
    <d v="2020-11-02T00:00:00"/>
    <d v="2023-11-02T00:00:00"/>
    <m/>
    <m/>
    <x v="2"/>
    <s v="Open Market"/>
    <m/>
    <s v="Loft conversion to no. 1 and no. 3 Cromwell Road to provide 2 x 1 person studios with external extensions (side dormer roof extensions) and alterations with internal remodeling and ancillary cycle and refuse storage."/>
    <s v="1 - 3 Cromwell Road, Teddington"/>
    <m/>
    <m/>
    <m/>
    <m/>
    <m/>
    <m/>
    <m/>
    <m/>
    <m/>
    <n v="0"/>
    <n v="2"/>
    <m/>
    <m/>
    <m/>
    <m/>
    <m/>
    <m/>
    <m/>
    <n v="2"/>
    <n v="2"/>
    <n v="0"/>
    <n v="0"/>
    <n v="0"/>
    <n v="0"/>
    <n v="0"/>
    <n v="0"/>
    <n v="0"/>
    <n v="2"/>
    <m/>
    <m/>
    <n v="0.5"/>
    <n v="0.5"/>
    <n v="0.5"/>
    <n v="0.5"/>
    <m/>
    <m/>
    <m/>
    <m/>
    <m/>
    <m/>
    <m/>
    <m/>
    <m/>
    <m/>
    <m/>
    <m/>
    <n v="2"/>
    <n v="2"/>
    <n v="2"/>
    <m/>
    <m/>
    <n v="516132"/>
    <n v="170736"/>
    <s v="Teddington and the Hamptons"/>
    <s v="Teddington"/>
    <x v="1"/>
    <x v="0"/>
    <m/>
    <x v="0"/>
    <m/>
    <m/>
    <m/>
    <s v="Y"/>
    <x v="0"/>
  </r>
  <r>
    <s v="18/3418/FUL"/>
    <n v="224"/>
    <s v="NEW"/>
    <m/>
    <d v="2019-12-19T00:00:00"/>
    <d v="2023-11-10T00:00:00"/>
    <m/>
    <m/>
    <x v="2"/>
    <s v="Open Market"/>
    <m/>
    <s v="Demolition of existing garages and erection of 1no. Dwelling house. Relocation of entrance to existing flats."/>
    <s v="332 Richmond Road, Twickenham TW1 2DU"/>
    <s v="TW1 2DU"/>
    <m/>
    <m/>
    <m/>
    <m/>
    <m/>
    <m/>
    <m/>
    <m/>
    <n v="0"/>
    <m/>
    <n v="1"/>
    <m/>
    <m/>
    <m/>
    <m/>
    <m/>
    <m/>
    <n v="1"/>
    <n v="0"/>
    <n v="1"/>
    <n v="0"/>
    <n v="0"/>
    <n v="0"/>
    <n v="0"/>
    <n v="0"/>
    <n v="0"/>
    <n v="1"/>
    <m/>
    <m/>
    <n v="0.25"/>
    <n v="0.25"/>
    <n v="0.25"/>
    <n v="0.25"/>
    <m/>
    <m/>
    <m/>
    <m/>
    <m/>
    <m/>
    <m/>
    <m/>
    <m/>
    <m/>
    <m/>
    <m/>
    <n v="1"/>
    <n v="1"/>
    <n v="1"/>
    <m/>
    <m/>
    <n v="517407"/>
    <n v="174195"/>
    <s v="Twickenham"/>
    <s v="Twickenham Riverside"/>
    <x v="1"/>
    <x v="0"/>
    <s v="East Twickenham"/>
    <x v="1"/>
    <m/>
    <s v="CA66 Richmond Road East Twickenham"/>
    <s v="Y"/>
    <s v="Y"/>
    <x v="0"/>
  </r>
  <r>
    <s v="19/2414/FUL"/>
    <n v="225"/>
    <s v="NEW"/>
    <m/>
    <d v="2020-07-08T00:00:00"/>
    <d v="2023-07-08T00:00:00"/>
    <m/>
    <m/>
    <x v="2"/>
    <s v="Open Market"/>
    <m/>
    <s v="Erection of a single storey one-bed dwelling, associated parking provision, cycle and refuse stores and landscaping."/>
    <s v="Rear Of 54 Heathside, Whitton"/>
    <s v="TW4 5NN"/>
    <m/>
    <m/>
    <m/>
    <m/>
    <m/>
    <m/>
    <m/>
    <m/>
    <n v="0"/>
    <n v="1"/>
    <m/>
    <m/>
    <m/>
    <m/>
    <m/>
    <m/>
    <m/>
    <n v="1"/>
    <n v="1"/>
    <n v="0"/>
    <n v="0"/>
    <n v="0"/>
    <n v="0"/>
    <n v="0"/>
    <n v="0"/>
    <n v="0"/>
    <n v="1"/>
    <m/>
    <m/>
    <n v="0.25"/>
    <n v="0.25"/>
    <n v="0.25"/>
    <n v="0.25"/>
    <m/>
    <m/>
    <m/>
    <m/>
    <m/>
    <m/>
    <m/>
    <m/>
    <m/>
    <m/>
    <m/>
    <m/>
    <n v="1"/>
    <n v="1"/>
    <n v="1"/>
    <m/>
    <m/>
    <n v="512957"/>
    <n v="173546"/>
    <s v="Whitton"/>
    <s v="Heathfield"/>
    <x v="1"/>
    <x v="0"/>
    <m/>
    <x v="0"/>
    <m/>
    <m/>
    <m/>
    <m/>
    <x v="0"/>
  </r>
  <r>
    <s v="19/3746/FUL"/>
    <n v="226"/>
    <s v="EXT"/>
    <m/>
    <d v="2020-12-10T00:00:00"/>
    <d v="2023-12-10T00:00:00"/>
    <m/>
    <m/>
    <x v="2"/>
    <s v="Open Market"/>
    <m/>
    <s v="Rear extension at second and third floor levels to form 2 x 1 person flats"/>
    <s v="Tabard House, 22 Upper Teddington Road, Hampton Wick"/>
    <s v="KT1 4DT"/>
    <m/>
    <m/>
    <m/>
    <m/>
    <m/>
    <m/>
    <m/>
    <m/>
    <n v="0"/>
    <n v="2"/>
    <m/>
    <m/>
    <m/>
    <m/>
    <m/>
    <m/>
    <m/>
    <n v="2"/>
    <n v="2"/>
    <n v="0"/>
    <n v="0"/>
    <n v="0"/>
    <n v="0"/>
    <n v="0"/>
    <n v="0"/>
    <n v="0"/>
    <n v="2"/>
    <m/>
    <m/>
    <n v="0.5"/>
    <n v="0.5"/>
    <n v="0.5"/>
    <n v="0.5"/>
    <m/>
    <m/>
    <m/>
    <m/>
    <m/>
    <m/>
    <m/>
    <m/>
    <m/>
    <m/>
    <m/>
    <m/>
    <n v="2"/>
    <n v="2"/>
    <n v="2"/>
    <m/>
    <m/>
    <n v="517355"/>
    <n v="169968"/>
    <s v="Teddington and the Hamptons"/>
    <s v="Hampton Wick &amp; South Teddington"/>
    <x v="1"/>
    <x v="0"/>
    <m/>
    <x v="0"/>
    <m/>
    <m/>
    <m/>
    <s v="Y"/>
    <x v="0"/>
  </r>
  <r>
    <s v="19/3101/GPD23"/>
    <n v="227"/>
    <s v="CHU"/>
    <s v="PA"/>
    <d v="2019-11-18T00:00:00"/>
    <d v="2022-11-18T00:00:00"/>
    <m/>
    <m/>
    <x v="2"/>
    <s v="Open Market"/>
    <m/>
    <s v="Change of Use of existing B1(c) light industrial unit to residential C3 providing 1No. 2 Bed dwelling."/>
    <s v="Unit 4, Princes Works, Princes Road, Teddington TW11 0RW_x000a_"/>
    <s v="TW11 0RW"/>
    <m/>
    <m/>
    <m/>
    <m/>
    <m/>
    <m/>
    <m/>
    <m/>
    <n v="0"/>
    <m/>
    <n v="1"/>
    <m/>
    <m/>
    <m/>
    <m/>
    <m/>
    <m/>
    <n v="1"/>
    <n v="0"/>
    <n v="1"/>
    <n v="0"/>
    <n v="0"/>
    <n v="0"/>
    <n v="0"/>
    <n v="0"/>
    <n v="0"/>
    <n v="1"/>
    <m/>
    <m/>
    <n v="0.25"/>
    <n v="0.25"/>
    <n v="0.25"/>
    <n v="0.25"/>
    <m/>
    <m/>
    <m/>
    <m/>
    <m/>
    <m/>
    <m/>
    <m/>
    <m/>
    <m/>
    <m/>
    <m/>
    <n v="1"/>
    <n v="1"/>
    <n v="1"/>
    <m/>
    <m/>
    <n v="515035"/>
    <n v="171569"/>
    <s v="Teddington and the Hamptons"/>
    <s v="Fulwell &amp; Hampton Hill"/>
    <x v="1"/>
    <x v="0"/>
    <s v="Stanley Road, Teddington"/>
    <x v="1"/>
    <m/>
    <m/>
    <m/>
    <s v="Y"/>
    <x v="0"/>
  </r>
  <r>
    <s v="19/0198/HOT"/>
    <n v="228"/>
    <s v="CHU"/>
    <m/>
    <d v="2020-12-22T00:00:00"/>
    <d v="2023-12-22T00:00:00"/>
    <m/>
    <m/>
    <x v="2"/>
    <s v="Open Market"/>
    <m/>
    <s v="Works of alteration and refurbishment in connection with the use of the building as a single, family dwellinghouse, including: demolition of existing Victorian side extension and construction of replacement side extension with roof terrace. Construction o"/>
    <s v="Wick House, Richmond Hill, Richmond TW10 6RN"/>
    <s v="TW10 6RN"/>
    <m/>
    <m/>
    <m/>
    <m/>
    <m/>
    <m/>
    <m/>
    <m/>
    <n v="0"/>
    <m/>
    <m/>
    <m/>
    <m/>
    <n v="1"/>
    <m/>
    <m/>
    <m/>
    <n v="1"/>
    <n v="0"/>
    <n v="0"/>
    <n v="0"/>
    <n v="0"/>
    <n v="1"/>
    <n v="0"/>
    <n v="0"/>
    <n v="0"/>
    <n v="1"/>
    <m/>
    <m/>
    <n v="0.25"/>
    <n v="0.25"/>
    <n v="0.25"/>
    <n v="0.25"/>
    <m/>
    <m/>
    <m/>
    <m/>
    <m/>
    <m/>
    <m/>
    <m/>
    <m/>
    <m/>
    <m/>
    <m/>
    <n v="1"/>
    <n v="1"/>
    <n v="1"/>
    <m/>
    <m/>
    <n v="518366"/>
    <n v="173868"/>
    <s v="Ham &amp; Petersham"/>
    <s v="Ham, Petersham &amp; Richmond Riverside"/>
    <x v="1"/>
    <x v="1"/>
    <m/>
    <x v="0"/>
    <s v="Petersham Common"/>
    <s v="CA5 Richmond Hill"/>
    <s v="Y"/>
    <s v="Y"/>
    <x v="0"/>
  </r>
  <r>
    <s v="20/2093/GPD15"/>
    <n v="229"/>
    <s v="CHU"/>
    <s v="PA"/>
    <d v="2021-01-29T00:00:00"/>
    <d v="2024-01-29T00:00:00"/>
    <m/>
    <m/>
    <x v="2"/>
    <s v="Open Market"/>
    <m/>
    <s v="CHANGE OF USE FROM OFFICE TO RESIDENTIAL TO CREATE 31 RESIDENTIAL UNITS"/>
    <s v="159 Mortlake Road, Kew_x000a__x000a_"/>
    <s v="TW9"/>
    <m/>
    <m/>
    <m/>
    <m/>
    <m/>
    <m/>
    <m/>
    <m/>
    <n v="0"/>
    <n v="21"/>
    <n v="10"/>
    <m/>
    <m/>
    <m/>
    <m/>
    <m/>
    <m/>
    <n v="31"/>
    <n v="21"/>
    <n v="10"/>
    <n v="0"/>
    <n v="0"/>
    <n v="0"/>
    <n v="0"/>
    <n v="0"/>
    <n v="0"/>
    <n v="31"/>
    <s v="Y"/>
    <m/>
    <n v="7.75"/>
    <n v="7.75"/>
    <n v="7.75"/>
    <n v="7.75"/>
    <m/>
    <m/>
    <m/>
    <m/>
    <m/>
    <m/>
    <m/>
    <m/>
    <m/>
    <m/>
    <m/>
    <m/>
    <n v="31"/>
    <n v="31"/>
    <n v="31"/>
    <m/>
    <m/>
    <n v="519533"/>
    <n v="176694"/>
    <s v="Richmond"/>
    <s v="Kew"/>
    <x v="1"/>
    <x v="0"/>
    <m/>
    <x v="0"/>
    <m/>
    <m/>
    <m/>
    <s v="Y"/>
    <x v="0"/>
  </r>
  <r>
    <s v="19/3704/FUL"/>
    <n v="230"/>
    <s v="MIX"/>
    <m/>
    <d v="2020-08-06T00:00:00"/>
    <d v="2023-08-06T00:00:00"/>
    <m/>
    <m/>
    <x v="2"/>
    <s v="Open Market"/>
    <m/>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_x000a__x000a_"/>
    <s v="TW12 1JG"/>
    <m/>
    <m/>
    <m/>
    <n v="1"/>
    <m/>
    <m/>
    <m/>
    <m/>
    <n v="1"/>
    <n v="4"/>
    <m/>
    <m/>
    <m/>
    <m/>
    <m/>
    <m/>
    <m/>
    <n v="4"/>
    <n v="4"/>
    <n v="0"/>
    <n v="-1"/>
    <n v="0"/>
    <n v="0"/>
    <n v="0"/>
    <n v="0"/>
    <n v="0"/>
    <n v="3"/>
    <m/>
    <m/>
    <n v="0.75"/>
    <n v="0.75"/>
    <n v="0.75"/>
    <n v="0.75"/>
    <m/>
    <m/>
    <m/>
    <m/>
    <m/>
    <m/>
    <m/>
    <m/>
    <m/>
    <m/>
    <m/>
    <m/>
    <n v="3"/>
    <n v="3"/>
    <n v="3"/>
    <m/>
    <m/>
    <n v="514554"/>
    <n v="171263"/>
    <s v="Teddington and the Hamptons"/>
    <s v="Fulwell &amp; Hampton Hill"/>
    <x v="1"/>
    <x v="0"/>
    <s v="High Street, Hampton Hill"/>
    <x v="1"/>
    <m/>
    <m/>
    <m/>
    <s v="Y"/>
    <x v="0"/>
  </r>
  <r>
    <s v="20/1846/FUL"/>
    <n v="231"/>
    <s v="MIX"/>
    <m/>
    <d v="2021-02-12T00:00:00"/>
    <d v="2024-02-12T00:00:00"/>
    <m/>
    <m/>
    <x v="2"/>
    <s v="Open Market"/>
    <m/>
    <s v="Ground and basement extensions to facilitate change of use of basement and part change of use of ground floor from A1 to C3 to provide a one- bedroom residential unit"/>
    <s v="4 The Broadway, Barnes, London, SW13 0NY"/>
    <s v="SW13 0NY"/>
    <m/>
    <m/>
    <m/>
    <m/>
    <m/>
    <m/>
    <m/>
    <m/>
    <n v="0"/>
    <n v="1"/>
    <m/>
    <m/>
    <m/>
    <m/>
    <m/>
    <m/>
    <m/>
    <n v="1"/>
    <n v="1"/>
    <n v="0"/>
    <n v="0"/>
    <n v="0"/>
    <n v="0"/>
    <n v="0"/>
    <n v="0"/>
    <n v="0"/>
    <n v="1"/>
    <m/>
    <m/>
    <n v="0.25"/>
    <n v="0.25"/>
    <n v="0.25"/>
    <n v="0.25"/>
    <m/>
    <m/>
    <m/>
    <m/>
    <m/>
    <m/>
    <m/>
    <m/>
    <m/>
    <m/>
    <m/>
    <m/>
    <n v="1"/>
    <n v="1"/>
    <n v="1"/>
    <m/>
    <m/>
    <n v="521239"/>
    <n v="176042"/>
    <s v="Barnes and East Sheen"/>
    <s v="Mortlake &amp; Barnes Common"/>
    <x v="1"/>
    <x v="0"/>
    <s v="White Hart Lane/Mortlake H"/>
    <x v="1"/>
    <m/>
    <s v="CA33 Mortlake"/>
    <s v="Y"/>
    <s v="Y"/>
    <x v="0"/>
  </r>
  <r>
    <s v="20/2841/FUL"/>
    <n v="232"/>
    <s v="EXT"/>
    <m/>
    <d v="2021-02-12T00:00:00"/>
    <d v="2024-02-12T00:00:00"/>
    <m/>
    <m/>
    <x v="2"/>
    <s v="Open Market"/>
    <m/>
    <s v="Proposed erection of single storey building at rear to provide 1 no. self contained flat"/>
    <s v="118A - 118B High Street, Hampton Hill, Hampton, TW12 1NT"/>
    <s v="TW12 1NT"/>
    <m/>
    <m/>
    <m/>
    <m/>
    <m/>
    <m/>
    <m/>
    <m/>
    <n v="0"/>
    <n v="1"/>
    <m/>
    <m/>
    <m/>
    <m/>
    <m/>
    <m/>
    <m/>
    <n v="1"/>
    <n v="1"/>
    <n v="0"/>
    <n v="0"/>
    <n v="0"/>
    <n v="0"/>
    <n v="0"/>
    <n v="0"/>
    <n v="0"/>
    <n v="1"/>
    <m/>
    <m/>
    <n v="0.25"/>
    <n v="0.25"/>
    <n v="0.25"/>
    <n v="0.25"/>
    <m/>
    <m/>
    <m/>
    <m/>
    <m/>
    <m/>
    <m/>
    <m/>
    <m/>
    <m/>
    <m/>
    <m/>
    <n v="1"/>
    <n v="1"/>
    <n v="1"/>
    <m/>
    <m/>
    <n v="514515"/>
    <n v="171261"/>
    <s v="Teddington and the Hamptons"/>
    <s v="Fulwell &amp; Hampton Hill"/>
    <x v="1"/>
    <x v="0"/>
    <s v="High Street, Hampton Hill"/>
    <x v="1"/>
    <m/>
    <m/>
    <m/>
    <s v="Y"/>
    <x v="0"/>
  </r>
  <r>
    <s v="21/0110/GPD15"/>
    <n v="233"/>
    <s v="CHU"/>
    <s v="PA"/>
    <d v="2021-02-16T00:00:00"/>
    <d v="2024-02-16T00:00:00"/>
    <m/>
    <m/>
    <x v="2"/>
    <s v="Open Market"/>
    <m/>
    <s v="Change of Use from Offices (Class E formerly B1(a)) to C3 to form 1 x 2 bed and 1 x 1 bed flats."/>
    <s v="Unit A, 92 - 98 Lower Mortlake Road, Richmond_x000a__x000a_"/>
    <s v="TW9 2JG"/>
    <m/>
    <m/>
    <m/>
    <m/>
    <m/>
    <m/>
    <m/>
    <m/>
    <n v="0"/>
    <n v="1"/>
    <n v="1"/>
    <m/>
    <m/>
    <m/>
    <m/>
    <m/>
    <m/>
    <n v="2"/>
    <n v="1"/>
    <n v="1"/>
    <n v="0"/>
    <n v="0"/>
    <n v="0"/>
    <n v="0"/>
    <n v="0"/>
    <n v="0"/>
    <n v="2"/>
    <m/>
    <m/>
    <n v="0.5"/>
    <n v="0.5"/>
    <n v="0.5"/>
    <n v="0.5"/>
    <m/>
    <m/>
    <m/>
    <m/>
    <m/>
    <m/>
    <m/>
    <m/>
    <m/>
    <m/>
    <m/>
    <m/>
    <n v="2"/>
    <n v="2"/>
    <n v="2"/>
    <m/>
    <m/>
    <n v="518638"/>
    <n v="175484"/>
    <s v="Richmond"/>
    <s v="North Richmond"/>
    <x v="1"/>
    <x v="0"/>
    <m/>
    <x v="0"/>
    <m/>
    <m/>
    <m/>
    <s v="Y"/>
    <x v="0"/>
  </r>
  <r>
    <s v="20/0238/GPD23"/>
    <n v="234"/>
    <s v="CHU"/>
    <s v="PA"/>
    <d v="2020-05-05T00:00:00"/>
    <d v="2023-05-05T00:00:00"/>
    <m/>
    <m/>
    <x v="2"/>
    <s v="Open Market"/>
    <m/>
    <s v="Change of use of existing light industrial unit B1(c) to residential dwelling C3"/>
    <s v="Unit 2, Princes Works, Princes Road, Teddington"/>
    <s v="TW11 0RW"/>
    <m/>
    <m/>
    <m/>
    <m/>
    <m/>
    <m/>
    <m/>
    <m/>
    <n v="0"/>
    <m/>
    <n v="1"/>
    <m/>
    <m/>
    <m/>
    <m/>
    <m/>
    <m/>
    <n v="1"/>
    <n v="0"/>
    <n v="1"/>
    <n v="0"/>
    <n v="0"/>
    <n v="0"/>
    <n v="0"/>
    <n v="0"/>
    <n v="0"/>
    <n v="1"/>
    <m/>
    <m/>
    <n v="0.25"/>
    <n v="0.25"/>
    <n v="0.25"/>
    <n v="0.25"/>
    <m/>
    <m/>
    <m/>
    <m/>
    <m/>
    <m/>
    <m/>
    <m/>
    <m/>
    <m/>
    <m/>
    <m/>
    <n v="1"/>
    <n v="1"/>
    <n v="1"/>
    <m/>
    <m/>
    <n v="515038"/>
    <n v="171570"/>
    <s v="Teddington and the Hamptons"/>
    <s v="Fulwell &amp; Hampton Hill"/>
    <x v="1"/>
    <x v="0"/>
    <s v="Stanley Road, Teddington"/>
    <x v="1"/>
    <m/>
    <m/>
    <m/>
    <s v="Y"/>
    <x v="0"/>
  </r>
  <r>
    <s v="20/3689/GPD15"/>
    <n v="235"/>
    <s v="CHU"/>
    <s v="PA"/>
    <d v="2021-03-01T00:00:00"/>
    <d v="2024-03-01T00:00:00"/>
    <m/>
    <m/>
    <x v="2"/>
    <s v="Open Market"/>
    <m/>
    <s v="Proposed change the use from office to residential (1No. 2-bed unit) within the wing to the south of the property"/>
    <s v="171 Kingston Road, Teddington, TW11 9JP"/>
    <s v="TW11 9JP"/>
    <m/>
    <m/>
    <m/>
    <m/>
    <m/>
    <m/>
    <m/>
    <m/>
    <n v="0"/>
    <m/>
    <n v="1"/>
    <m/>
    <m/>
    <m/>
    <m/>
    <m/>
    <m/>
    <n v="1"/>
    <n v="0"/>
    <n v="1"/>
    <n v="0"/>
    <n v="0"/>
    <n v="0"/>
    <n v="0"/>
    <n v="0"/>
    <n v="0"/>
    <n v="1"/>
    <m/>
    <m/>
    <n v="0.25"/>
    <n v="0.25"/>
    <n v="0.25"/>
    <n v="0.25"/>
    <m/>
    <m/>
    <m/>
    <m/>
    <m/>
    <m/>
    <m/>
    <m/>
    <m/>
    <m/>
    <m/>
    <m/>
    <n v="1"/>
    <n v="1"/>
    <n v="1"/>
    <m/>
    <m/>
    <n v="516869"/>
    <n v="170713"/>
    <s v="Teddington and the Hamptons"/>
    <s v="Hampton Wick &amp; South Teddington"/>
    <x v="1"/>
    <x v="0"/>
    <m/>
    <x v="0"/>
    <m/>
    <m/>
    <m/>
    <s v="Y"/>
    <x v="0"/>
  </r>
  <r>
    <s v="20/0740/FUL"/>
    <n v="236"/>
    <s v="NEW"/>
    <m/>
    <d v="2020-06-24T00:00:00"/>
    <d v="2023-06-24T00:00:00"/>
    <m/>
    <m/>
    <x v="2"/>
    <s v="Open Market"/>
    <m/>
    <s v="Demolition of existing detached dwelling and construction of new 2 storey 4 bed house with basement level with associated hard and soft landscaping, cycle and refuse stores"/>
    <s v="Downlands, Petersham Close, Petersham, Richmond TW10 7DZ_x000a_"/>
    <s v="TW10 7DZ"/>
    <m/>
    <m/>
    <m/>
    <m/>
    <n v="1"/>
    <m/>
    <m/>
    <m/>
    <n v="1"/>
    <m/>
    <m/>
    <m/>
    <m/>
    <n v="1"/>
    <m/>
    <m/>
    <m/>
    <n v="1"/>
    <n v="0"/>
    <n v="0"/>
    <n v="0"/>
    <n v="-1"/>
    <n v="1"/>
    <n v="0"/>
    <n v="0"/>
    <n v="0"/>
    <n v="0"/>
    <m/>
    <m/>
    <n v="0"/>
    <m/>
    <m/>
    <m/>
    <m/>
    <m/>
    <m/>
    <m/>
    <m/>
    <m/>
    <m/>
    <m/>
    <m/>
    <m/>
    <m/>
    <m/>
    <n v="0"/>
    <n v="0"/>
    <n v="0"/>
    <m/>
    <m/>
    <n v="517972"/>
    <n v="172874"/>
    <s v="Ham &amp; Petersham"/>
    <s v="Ham, Petersham &amp; Richmond Riverside"/>
    <x v="1"/>
    <x v="0"/>
    <m/>
    <x v="0"/>
    <m/>
    <m/>
    <m/>
    <m/>
    <x v="0"/>
  </r>
  <r>
    <s v="19/3616/FUL"/>
    <n v="237"/>
    <s v="NEW"/>
    <m/>
    <d v="2021-03-03T00:00:00"/>
    <d v="2024-03-03T00:00:00"/>
    <m/>
    <m/>
    <x v="2"/>
    <s v="London Living rent"/>
    <m/>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_x000a_"/>
    <s v="TW1 4LJ"/>
    <m/>
    <m/>
    <m/>
    <m/>
    <m/>
    <m/>
    <m/>
    <m/>
    <n v="0"/>
    <n v="10"/>
    <m/>
    <m/>
    <m/>
    <m/>
    <m/>
    <m/>
    <m/>
    <n v="10"/>
    <n v="10"/>
    <n v="0"/>
    <n v="0"/>
    <n v="0"/>
    <n v="0"/>
    <n v="0"/>
    <n v="0"/>
    <n v="0"/>
    <n v="10"/>
    <s v="Y"/>
    <m/>
    <m/>
    <m/>
    <n v="5"/>
    <n v="5"/>
    <m/>
    <m/>
    <m/>
    <m/>
    <m/>
    <m/>
    <m/>
    <m/>
    <m/>
    <m/>
    <m/>
    <m/>
    <n v="10"/>
    <n v="10"/>
    <n v="10"/>
    <m/>
    <m/>
    <n v="516060"/>
    <n v="173599"/>
    <s v="Twickenham"/>
    <s v="Twickenham Riverside"/>
    <x v="2"/>
    <x v="0"/>
    <m/>
    <x v="0"/>
    <m/>
    <m/>
    <m/>
    <s v="Y"/>
    <x v="0"/>
  </r>
  <r>
    <s v="19/3616/FUL"/>
    <n v="238"/>
    <s v="NEW"/>
    <m/>
    <d v="2021-03-03T00:00:00"/>
    <d v="2024-03-03T00:00:00"/>
    <m/>
    <m/>
    <x v="2"/>
    <s v="Open Market"/>
    <m/>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_x000a_"/>
    <s v="TW1 4LJ"/>
    <m/>
    <m/>
    <m/>
    <m/>
    <m/>
    <m/>
    <m/>
    <m/>
    <n v="0"/>
    <n v="28"/>
    <n v="8"/>
    <m/>
    <m/>
    <m/>
    <m/>
    <m/>
    <m/>
    <n v="36"/>
    <n v="28"/>
    <n v="8"/>
    <n v="0"/>
    <n v="0"/>
    <n v="0"/>
    <n v="0"/>
    <n v="0"/>
    <n v="0"/>
    <n v="36"/>
    <s v="Y"/>
    <m/>
    <m/>
    <m/>
    <n v="18"/>
    <n v="18"/>
    <m/>
    <m/>
    <m/>
    <m/>
    <m/>
    <m/>
    <m/>
    <m/>
    <m/>
    <m/>
    <m/>
    <m/>
    <n v="36"/>
    <n v="36"/>
    <n v="36"/>
    <m/>
    <m/>
    <n v="516060"/>
    <n v="173599"/>
    <s v="Twickenham"/>
    <s v="Twickenham Riverside"/>
    <x v="2"/>
    <x v="0"/>
    <m/>
    <x v="0"/>
    <m/>
    <m/>
    <m/>
    <s v="Y"/>
    <x v="0"/>
  </r>
  <r>
    <s v="20/3495/FUL"/>
    <n v="239"/>
    <s v="CHU"/>
    <m/>
    <d v="2021-03-08T00:00:00"/>
    <d v="2024-03-08T00:00:00"/>
    <m/>
    <m/>
    <x v="2"/>
    <s v="Open Market"/>
    <m/>
    <s v="Conversion of existing ancillary residential accommodation to a single-family dwelling house with minor external alterations, associated parking, refuse and cycle enclosures."/>
    <s v="Land To Rear Of 24 Marchmont Road, Richmond TW10 6HQ"/>
    <s v="TW10 6HQ"/>
    <m/>
    <m/>
    <m/>
    <m/>
    <m/>
    <m/>
    <m/>
    <m/>
    <n v="0"/>
    <n v="1"/>
    <m/>
    <m/>
    <m/>
    <m/>
    <m/>
    <m/>
    <m/>
    <n v="1"/>
    <n v="1"/>
    <n v="0"/>
    <n v="0"/>
    <n v="0"/>
    <n v="0"/>
    <n v="0"/>
    <n v="0"/>
    <n v="0"/>
    <n v="1"/>
    <m/>
    <m/>
    <n v="0.25"/>
    <n v="0.25"/>
    <n v="0.25"/>
    <n v="0.25"/>
    <m/>
    <m/>
    <m/>
    <m/>
    <m/>
    <m/>
    <m/>
    <m/>
    <m/>
    <m/>
    <m/>
    <m/>
    <n v="1"/>
    <n v="1"/>
    <n v="1"/>
    <m/>
    <m/>
    <n v="518831"/>
    <n v="174557"/>
    <s v="Richmond"/>
    <s v="South Richmond"/>
    <x v="1"/>
    <x v="0"/>
    <m/>
    <x v="0"/>
    <m/>
    <m/>
    <m/>
    <s v="Y"/>
    <x v="0"/>
  </r>
  <r>
    <s v="19/1647/FUL"/>
    <n v="240"/>
    <s v="NEW"/>
    <m/>
    <d v="2020-03-03T00:00:00"/>
    <d v="2024-03-30T00:00:00"/>
    <m/>
    <m/>
    <x v="2"/>
    <s v="Open Market"/>
    <m/>
    <s v="Demolition of the existing garage block and the erection of a mews development, consisting of 2 x 2 bedroom dwellings, together with associated car parking and landscaping improvements."/>
    <s v="Garages Adjacent 75, Churchview Road, Twickenham"/>
    <s v="TW2 5BT"/>
    <m/>
    <m/>
    <m/>
    <m/>
    <m/>
    <m/>
    <m/>
    <m/>
    <n v="0"/>
    <m/>
    <n v="2"/>
    <m/>
    <m/>
    <m/>
    <m/>
    <m/>
    <m/>
    <n v="2"/>
    <n v="0"/>
    <n v="2"/>
    <n v="0"/>
    <n v="0"/>
    <n v="0"/>
    <n v="0"/>
    <n v="0"/>
    <n v="0"/>
    <n v="2"/>
    <m/>
    <m/>
    <n v="0.5"/>
    <n v="0.5"/>
    <n v="0.5"/>
    <n v="0.5"/>
    <m/>
    <m/>
    <m/>
    <m/>
    <m/>
    <m/>
    <m/>
    <m/>
    <m/>
    <m/>
    <m/>
    <m/>
    <n v="2"/>
    <n v="2"/>
    <n v="2"/>
    <m/>
    <m/>
    <n v="514626"/>
    <n v="173079"/>
    <s v="Twickenham"/>
    <s v="West Twickenham"/>
    <x v="1"/>
    <x v="0"/>
    <m/>
    <x v="0"/>
    <m/>
    <m/>
    <m/>
    <s v="Y"/>
    <x v="0"/>
  </r>
  <r>
    <s v="21/0313/GPD15"/>
    <n v="241"/>
    <s v="CHU"/>
    <s v="PA"/>
    <d v="2021-04-30T00:00:00"/>
    <d v="2024-04-30T00:00:00"/>
    <m/>
    <m/>
    <x v="2"/>
    <s v="Open Market"/>
    <m/>
    <s v="Conversion of offices in Sandford House into 6 self-contained flats and Jardine House into 4 self-contained flats."/>
    <s v="Jardine House And Sandford House, 1B And 1C Claremont Road , Teddington "/>
    <s v="TW11 8DG"/>
    <m/>
    <m/>
    <m/>
    <m/>
    <m/>
    <m/>
    <m/>
    <m/>
    <n v="0"/>
    <n v="10"/>
    <m/>
    <m/>
    <m/>
    <m/>
    <m/>
    <m/>
    <m/>
    <n v="10"/>
    <n v="10"/>
    <n v="0"/>
    <n v="0"/>
    <n v="0"/>
    <n v="0"/>
    <n v="0"/>
    <n v="0"/>
    <n v="0"/>
    <n v="10"/>
    <s v="Y"/>
    <m/>
    <n v="2.5"/>
    <n v="2.5"/>
    <n v="2.5"/>
    <n v="2.5"/>
    <m/>
    <m/>
    <m/>
    <m/>
    <m/>
    <m/>
    <m/>
    <m/>
    <m/>
    <m/>
    <m/>
    <m/>
    <n v="10"/>
    <n v="10"/>
    <n v="10"/>
    <m/>
    <m/>
    <n v="515777"/>
    <n v="171474"/>
    <s v="Teddington and the Hamptons"/>
    <s v="Teddington"/>
    <x v="1"/>
    <x v="0"/>
    <m/>
    <x v="0"/>
    <m/>
    <m/>
    <m/>
    <s v="Y"/>
    <x v="0"/>
  </r>
  <r>
    <s v="21/1087/GPD15"/>
    <n v="242"/>
    <s v="CHU"/>
    <s v="PA"/>
    <d v="2021-05-19T00:00:00"/>
    <d v="2024-05-19T00:00:00"/>
    <m/>
    <m/>
    <x v="2"/>
    <s v="Open Market"/>
    <m/>
    <s v="The proposed works is for the change of use of existing Class E office use on first floor to provide C3 3 x 1 bedroom units and a 1 x 2 bedroom unit"/>
    <s v="First Floor, 55 - 61 Heath Road, Twickenham"/>
    <s v="TW1 4AW"/>
    <m/>
    <m/>
    <m/>
    <m/>
    <m/>
    <m/>
    <m/>
    <m/>
    <n v="0"/>
    <n v="3"/>
    <n v="1"/>
    <m/>
    <m/>
    <m/>
    <m/>
    <m/>
    <m/>
    <n v="4"/>
    <n v="3"/>
    <n v="1"/>
    <n v="0"/>
    <n v="0"/>
    <n v="0"/>
    <n v="0"/>
    <n v="0"/>
    <n v="0"/>
    <n v="4"/>
    <m/>
    <m/>
    <n v="1"/>
    <n v="1"/>
    <n v="1"/>
    <n v="1"/>
    <m/>
    <m/>
    <m/>
    <m/>
    <m/>
    <m/>
    <m/>
    <m/>
    <m/>
    <m/>
    <m/>
    <m/>
    <n v="4"/>
    <n v="4"/>
    <n v="4"/>
    <m/>
    <m/>
    <n v="515975"/>
    <n v="173091"/>
    <s v="Twickenham"/>
    <s v="South Twickenham"/>
    <x v="2"/>
    <x v="0"/>
    <m/>
    <x v="0"/>
    <m/>
    <m/>
    <m/>
    <s v="Y"/>
    <x v="0"/>
  </r>
  <r>
    <s v="20/1805/FUL"/>
    <n v="243"/>
    <s v="CHU"/>
    <m/>
    <d v="2021-05-20T00:00:00"/>
    <d v="2024-05-20T00:00:00"/>
    <m/>
    <m/>
    <x v="2"/>
    <s v="Open Market"/>
    <m/>
    <s v="Change of use of part of ground floor commercial unit to provide 4 x 1 bedroom dwellings"/>
    <s v="159 Heath Road, Twickenham, TW1 4BH"/>
    <s v="TW1 4BH"/>
    <m/>
    <m/>
    <m/>
    <m/>
    <m/>
    <m/>
    <m/>
    <m/>
    <n v="0"/>
    <n v="4"/>
    <m/>
    <m/>
    <m/>
    <m/>
    <m/>
    <m/>
    <m/>
    <n v="4"/>
    <n v="4"/>
    <n v="0"/>
    <n v="0"/>
    <n v="0"/>
    <n v="0"/>
    <n v="0"/>
    <n v="0"/>
    <n v="0"/>
    <n v="4"/>
    <m/>
    <m/>
    <n v="1"/>
    <n v="1"/>
    <n v="1"/>
    <n v="1"/>
    <m/>
    <m/>
    <m/>
    <m/>
    <m/>
    <m/>
    <m/>
    <m/>
    <m/>
    <m/>
    <m/>
    <m/>
    <n v="4"/>
    <n v="4"/>
    <n v="4"/>
    <m/>
    <m/>
    <n v="515605"/>
    <n v="173100"/>
    <s v="Twickenham"/>
    <s v="South Twickenham"/>
    <x v="2"/>
    <x v="0"/>
    <m/>
    <x v="0"/>
    <m/>
    <m/>
    <m/>
    <s v="Y"/>
    <x v="0"/>
  </r>
  <r>
    <s v="20/1558/FUL"/>
    <n v="244"/>
    <s v="EXT"/>
    <m/>
    <d v="2021-06-08T00:00:00"/>
    <d v="2024-06-08T00:00:00"/>
    <m/>
    <m/>
    <x v="2"/>
    <s v="Open Market"/>
    <m/>
    <s v="Additional storey to 2-storey commercial building to provide 4 no.1 bed apartments"/>
    <s v="Ground Floor, 55 - 61 Heath Road, Twickenham, TW1 4AW"/>
    <s v="TW1 4AW"/>
    <m/>
    <m/>
    <m/>
    <m/>
    <m/>
    <m/>
    <m/>
    <m/>
    <n v="0"/>
    <n v="4"/>
    <m/>
    <m/>
    <m/>
    <m/>
    <m/>
    <m/>
    <m/>
    <n v="4"/>
    <n v="4"/>
    <n v="0"/>
    <n v="0"/>
    <n v="0"/>
    <n v="0"/>
    <n v="0"/>
    <n v="0"/>
    <n v="0"/>
    <n v="4"/>
    <m/>
    <m/>
    <n v="1"/>
    <n v="1"/>
    <n v="1"/>
    <n v="1"/>
    <m/>
    <m/>
    <m/>
    <m/>
    <m/>
    <m/>
    <m/>
    <m/>
    <m/>
    <m/>
    <m/>
    <m/>
    <n v="4"/>
    <n v="4"/>
    <n v="4"/>
    <m/>
    <m/>
    <n v="515975"/>
    <n v="173091"/>
    <s v="Twickenham"/>
    <s v="South Twickenham"/>
    <x v="2"/>
    <x v="0"/>
    <m/>
    <x v="0"/>
    <m/>
    <m/>
    <m/>
    <s v="Y"/>
    <x v="0"/>
  </r>
  <r>
    <s v="20/2411/FUL"/>
    <n v="245"/>
    <s v="NEW"/>
    <m/>
    <d v="2021-06-24T00:00:00"/>
    <d v="2024-06-24T00:00:00"/>
    <m/>
    <m/>
    <x v="2"/>
    <s v="Open Market"/>
    <m/>
    <s v="Erection of a 3 bed detached dwelling house with associated off-street parking and amenity space"/>
    <s v="52 Ringwood Way, Hampton Hill, TW12 1AT"/>
    <s v="TW12 1AT"/>
    <m/>
    <m/>
    <m/>
    <m/>
    <m/>
    <m/>
    <m/>
    <m/>
    <n v="0"/>
    <m/>
    <m/>
    <n v="1"/>
    <m/>
    <m/>
    <m/>
    <m/>
    <m/>
    <n v="1"/>
    <n v="0"/>
    <n v="0"/>
    <n v="1"/>
    <n v="0"/>
    <n v="0"/>
    <n v="0"/>
    <n v="0"/>
    <n v="0"/>
    <n v="1"/>
    <m/>
    <m/>
    <n v="0.25"/>
    <n v="0.25"/>
    <n v="0.25"/>
    <n v="0.25"/>
    <m/>
    <m/>
    <m/>
    <m/>
    <m/>
    <m/>
    <m/>
    <m/>
    <m/>
    <m/>
    <m/>
    <m/>
    <n v="1"/>
    <n v="1"/>
    <n v="1"/>
    <m/>
    <m/>
    <n v="513278"/>
    <n v="171616"/>
    <s v="Teddington and the Hamptons"/>
    <s v="Hampton North"/>
    <x v="1"/>
    <x v="0"/>
    <m/>
    <x v="0"/>
    <m/>
    <m/>
    <m/>
    <m/>
    <x v="0"/>
  </r>
  <r>
    <s v="19/2404/FUL"/>
    <n v="246"/>
    <s v="NEW"/>
    <m/>
    <d v="2021-06-30T00:00:00"/>
    <d v="2024-06-30T00:00:00"/>
    <m/>
    <m/>
    <x v="2"/>
    <s v="Affordable rent"/>
    <m/>
    <s v="Redevelopment of existing hard standing court to accommodate new 4 storey residential building (comprising 11x1 bed and 1x2 bed charitable housing units) fronting Queens Road and 15 no. surface car parking spaces to the rear. Creation of a new multi-use recreational space, minor alterations for the existing Dickson House office building and a small extension (26 sqm) to the Cambrian Centre at the ground floor of the Caplan Court Building."/>
    <s v="Queens Road Estate, Queens Road, Richmond TW10_x000a_"/>
    <s v="TW10"/>
    <m/>
    <m/>
    <m/>
    <m/>
    <m/>
    <m/>
    <m/>
    <m/>
    <n v="0"/>
    <n v="7"/>
    <n v="1"/>
    <m/>
    <m/>
    <m/>
    <m/>
    <m/>
    <m/>
    <n v="8"/>
    <n v="7"/>
    <n v="1"/>
    <n v="0"/>
    <n v="0"/>
    <n v="0"/>
    <n v="0"/>
    <n v="0"/>
    <n v="0"/>
    <n v="8"/>
    <m/>
    <m/>
    <m/>
    <m/>
    <n v="4"/>
    <n v="4"/>
    <m/>
    <m/>
    <m/>
    <m/>
    <m/>
    <m/>
    <m/>
    <m/>
    <m/>
    <m/>
    <m/>
    <m/>
    <n v="8"/>
    <n v="8"/>
    <n v="8"/>
    <m/>
    <m/>
    <n v="518792"/>
    <n v="174254"/>
    <s v="Richmond"/>
    <s v="South Richmond"/>
    <x v="1"/>
    <x v="0"/>
    <m/>
    <x v="0"/>
    <m/>
    <m/>
    <m/>
    <m/>
    <x v="0"/>
  </r>
  <r>
    <s v="19/2404/FUL"/>
    <n v="247"/>
    <s v="NEW"/>
    <m/>
    <d v="2021-06-30T00:00:00"/>
    <d v="2024-06-30T00:00:00"/>
    <m/>
    <m/>
    <x v="2"/>
    <s v="London Affordable Rent"/>
    <m/>
    <s v="Redevelopment of existing hard standing court to accommodate new 4 storey residential building (comprising 11x1 bed and 1x2 bed charitable housing units) fronting Queens Road and 15 no. surface car parking spaces to the rear. Creation of a new multi-use recreational space, minor alterations for the existing Dickson House office building and a small extension (26 sqm) to the Cambrian Centre at the ground floor of the Caplan Court Building."/>
    <s v="Queens Road Estate, Queens Road, Richmond TW10_x000a_"/>
    <s v="TW10"/>
    <m/>
    <m/>
    <m/>
    <m/>
    <m/>
    <m/>
    <m/>
    <m/>
    <n v="0"/>
    <n v="4"/>
    <m/>
    <m/>
    <m/>
    <m/>
    <m/>
    <m/>
    <m/>
    <n v="4"/>
    <n v="4"/>
    <n v="0"/>
    <n v="0"/>
    <n v="0"/>
    <n v="0"/>
    <n v="0"/>
    <n v="0"/>
    <n v="0"/>
    <n v="4"/>
    <m/>
    <m/>
    <m/>
    <m/>
    <n v="2"/>
    <n v="2"/>
    <m/>
    <m/>
    <m/>
    <m/>
    <m/>
    <m/>
    <m/>
    <m/>
    <m/>
    <m/>
    <m/>
    <m/>
    <n v="4"/>
    <n v="4"/>
    <n v="4"/>
    <m/>
    <m/>
    <n v="518792"/>
    <n v="174254"/>
    <s v="Richmond"/>
    <s v="South Richmond"/>
    <x v="1"/>
    <x v="0"/>
    <m/>
    <x v="0"/>
    <m/>
    <m/>
    <m/>
    <m/>
    <x v="0"/>
  </r>
  <r>
    <s v="21/1788/GPD15"/>
    <n v="248"/>
    <s v="CHU"/>
    <s v="PA"/>
    <d v="2021-07-07T00:00:00"/>
    <d v="2024-07-07T00:00:00"/>
    <m/>
    <m/>
    <x v="2"/>
    <s v="Open Market"/>
    <m/>
    <s v="Change of use from office space to 6 residential units."/>
    <s v="37 Sheen Road, Richmond TW9 1AJ_x000a_"/>
    <s v="TW9 1AJ"/>
    <m/>
    <m/>
    <m/>
    <m/>
    <m/>
    <m/>
    <m/>
    <m/>
    <n v="0"/>
    <m/>
    <n v="4"/>
    <n v="2"/>
    <m/>
    <m/>
    <m/>
    <m/>
    <m/>
    <n v="6"/>
    <n v="0"/>
    <n v="4"/>
    <n v="2"/>
    <n v="0"/>
    <n v="0"/>
    <n v="0"/>
    <n v="0"/>
    <n v="0"/>
    <n v="6"/>
    <m/>
    <m/>
    <n v="1.5"/>
    <n v="1.5"/>
    <n v="1.5"/>
    <n v="1.5"/>
    <m/>
    <m/>
    <m/>
    <m/>
    <m/>
    <m/>
    <m/>
    <m/>
    <m/>
    <m/>
    <m/>
    <m/>
    <n v="6"/>
    <n v="6"/>
    <n v="6"/>
    <m/>
    <m/>
    <n v="518272"/>
    <n v="174943"/>
    <s v="Richmond"/>
    <s v="South Richmond"/>
    <x v="1"/>
    <x v="0"/>
    <m/>
    <x v="0"/>
    <m/>
    <s v="CA31 Sheen Road Richmond"/>
    <s v="Y"/>
    <s v="Y"/>
    <x v="0"/>
  </r>
  <r>
    <s v="21/1493/GPD15"/>
    <n v="249"/>
    <s v="CHU"/>
    <s v="PA"/>
    <d v="2021-07-09T00:00:00"/>
    <d v="2024-07-09T00:00:00"/>
    <m/>
    <m/>
    <x v="2"/>
    <s v="Open Market"/>
    <m/>
    <s v="Change of use of first floor office space to create 5 residential units (C3)"/>
    <s v="61 High Street, Teddington, TW11 8HA"/>
    <s v="TW11 8HA"/>
    <m/>
    <m/>
    <m/>
    <m/>
    <m/>
    <m/>
    <m/>
    <m/>
    <n v="0"/>
    <n v="3"/>
    <n v="2"/>
    <m/>
    <m/>
    <m/>
    <m/>
    <m/>
    <m/>
    <n v="5"/>
    <n v="3"/>
    <n v="2"/>
    <n v="0"/>
    <n v="0"/>
    <n v="0"/>
    <n v="0"/>
    <n v="0"/>
    <n v="0"/>
    <n v="5"/>
    <m/>
    <m/>
    <n v="1.25"/>
    <n v="1.25"/>
    <n v="1.25"/>
    <n v="1.25"/>
    <m/>
    <m/>
    <m/>
    <m/>
    <m/>
    <m/>
    <m/>
    <m/>
    <m/>
    <m/>
    <m/>
    <m/>
    <n v="5"/>
    <n v="5"/>
    <n v="5"/>
    <m/>
    <m/>
    <n v="516134"/>
    <n v="171142"/>
    <s v="Teddington and the Hamptons"/>
    <s v="Teddington"/>
    <x v="0"/>
    <x v="0"/>
    <m/>
    <x v="0"/>
    <m/>
    <s v="CA37 High Street Teddington"/>
    <s v="Y"/>
    <s v="Y"/>
    <x v="0"/>
  </r>
  <r>
    <s v="20/2923/FUL"/>
    <n v="250"/>
    <s v="NEW"/>
    <m/>
    <d v="2021-07-16T00:00:00"/>
    <d v="2024-07-16T00:00:00"/>
    <m/>
    <m/>
    <x v="2"/>
    <s v="Open Market"/>
    <m/>
    <s v="Demolition of existing garages and greenhouses and redevelopment to provide a single detached residential property"/>
    <s v="Land Rear Of 130, Castelnau, Barnes, London"/>
    <s v="SW13 9ET"/>
    <m/>
    <m/>
    <m/>
    <m/>
    <m/>
    <m/>
    <m/>
    <m/>
    <n v="0"/>
    <m/>
    <m/>
    <n v="1"/>
    <m/>
    <m/>
    <m/>
    <m/>
    <m/>
    <n v="1"/>
    <n v="0"/>
    <n v="0"/>
    <n v="1"/>
    <n v="0"/>
    <n v="0"/>
    <n v="0"/>
    <n v="0"/>
    <n v="0"/>
    <n v="1"/>
    <m/>
    <m/>
    <n v="0.25"/>
    <n v="0.25"/>
    <n v="0.25"/>
    <n v="0.25"/>
    <m/>
    <m/>
    <m/>
    <m/>
    <m/>
    <m/>
    <m/>
    <m/>
    <m/>
    <m/>
    <m/>
    <m/>
    <n v="1"/>
    <n v="1"/>
    <n v="1"/>
    <m/>
    <m/>
    <n v="522676"/>
    <n v="177493"/>
    <s v="Barnes and East Sheen"/>
    <s v="Barnes"/>
    <x v="1"/>
    <x v="0"/>
    <m/>
    <x v="0"/>
    <m/>
    <s v="CA25 Castelnau"/>
    <s v="Y"/>
    <s v="Y"/>
    <x v="0"/>
  </r>
  <r>
    <s v="19/0691/FUL"/>
    <n v="251"/>
    <s v="NEW"/>
    <m/>
    <d v="2021-07-28T00:00:00"/>
    <d v="2024-07-28T00:00:00"/>
    <m/>
    <m/>
    <x v="2"/>
    <s v="Open Market"/>
    <m/>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s v="SW14 7HN"/>
    <m/>
    <m/>
    <m/>
    <m/>
    <m/>
    <m/>
    <m/>
    <m/>
    <n v="0"/>
    <m/>
    <n v="4"/>
    <n v="2"/>
    <m/>
    <m/>
    <m/>
    <m/>
    <m/>
    <n v="6"/>
    <n v="0"/>
    <n v="4"/>
    <n v="2"/>
    <n v="0"/>
    <n v="0"/>
    <n v="0"/>
    <n v="0"/>
    <n v="0"/>
    <n v="6"/>
    <m/>
    <m/>
    <n v="1.5"/>
    <n v="1.5"/>
    <n v="1.5"/>
    <n v="1.5"/>
    <m/>
    <m/>
    <m/>
    <m/>
    <m/>
    <m/>
    <m/>
    <m/>
    <m/>
    <m/>
    <m/>
    <m/>
    <n v="6"/>
    <n v="6"/>
    <n v="6"/>
    <m/>
    <m/>
    <n v="519806"/>
    <n v="175640"/>
    <s v="Barnes and East Sheen"/>
    <s v="Mortlake &amp; Barnes Common"/>
    <x v="1"/>
    <x v="0"/>
    <m/>
    <x v="0"/>
    <m/>
    <m/>
    <m/>
    <s v="Y"/>
    <x v="0"/>
  </r>
  <r>
    <s v="21/0699/FUL"/>
    <n v="252"/>
    <s v="EXT"/>
    <m/>
    <d v="2021-08-03T00:00:00"/>
    <d v="2024-08-03T00:00:00"/>
    <m/>
    <m/>
    <x v="2"/>
    <s v="Open Market"/>
    <m/>
    <s v="Upward roof extension to provide for one flat, and alter elevations, and associated works"/>
    <s v="47 Crown Road, Twickenham, TW1 3EJ"/>
    <s v="TW1 3EJ"/>
    <m/>
    <m/>
    <m/>
    <m/>
    <m/>
    <m/>
    <m/>
    <m/>
    <n v="0"/>
    <m/>
    <n v="1"/>
    <m/>
    <m/>
    <m/>
    <m/>
    <m/>
    <m/>
    <n v="1"/>
    <n v="0"/>
    <n v="1"/>
    <n v="0"/>
    <n v="0"/>
    <n v="0"/>
    <n v="0"/>
    <n v="0"/>
    <n v="0"/>
    <n v="1"/>
    <m/>
    <m/>
    <n v="0.25"/>
    <n v="0.25"/>
    <n v="0.25"/>
    <n v="0.25"/>
    <m/>
    <m/>
    <m/>
    <m/>
    <m/>
    <m/>
    <m/>
    <m/>
    <m/>
    <m/>
    <m/>
    <m/>
    <n v="1"/>
    <n v="1"/>
    <n v="1"/>
    <m/>
    <m/>
    <n v="516925"/>
    <n v="174069"/>
    <s v="Twickenham"/>
    <s v="St. Margarets &amp; North Twickenham"/>
    <x v="1"/>
    <x v="0"/>
    <s v="St Margarets"/>
    <x v="1"/>
    <m/>
    <m/>
    <m/>
    <s v="Y"/>
    <x v="0"/>
  </r>
  <r>
    <s v="17/0925/FUL"/>
    <n v="253"/>
    <s v="MIX"/>
    <m/>
    <d v="2021-08-10T00:00:00"/>
    <d v="2024-08-10T00:00:00"/>
    <m/>
    <m/>
    <x v="2"/>
    <s v="Open Market"/>
    <m/>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s v="TW4 5NP"/>
    <m/>
    <m/>
    <n v="1"/>
    <m/>
    <m/>
    <m/>
    <m/>
    <m/>
    <n v="1"/>
    <n v="2"/>
    <m/>
    <m/>
    <m/>
    <m/>
    <m/>
    <m/>
    <m/>
    <n v="2"/>
    <n v="2"/>
    <n v="-1"/>
    <n v="0"/>
    <n v="0"/>
    <n v="0"/>
    <n v="0"/>
    <n v="0"/>
    <n v="0"/>
    <n v="1"/>
    <m/>
    <m/>
    <n v="0.25"/>
    <n v="0.25"/>
    <n v="0.25"/>
    <n v="0.25"/>
    <m/>
    <m/>
    <m/>
    <m/>
    <m/>
    <m/>
    <m/>
    <m/>
    <m/>
    <m/>
    <m/>
    <m/>
    <n v="1"/>
    <n v="1"/>
    <n v="1"/>
    <m/>
    <m/>
    <n v="512771"/>
    <n v="173675"/>
    <s v="Whitton"/>
    <s v="Heathfield"/>
    <x v="1"/>
    <x v="0"/>
    <s v="Hanworth Road"/>
    <x v="1"/>
    <m/>
    <m/>
    <m/>
    <m/>
    <x v="0"/>
  </r>
  <r>
    <s v="19/0483/FUL"/>
    <n v="254"/>
    <s v="CON"/>
    <m/>
    <d v="2021-08-27T00:00:00"/>
    <d v="2024-08-27T00:00:00"/>
    <m/>
    <m/>
    <x v="2"/>
    <s v="Open Market"/>
    <m/>
    <s v="Insertion of 3 no. rooflights on front roof slope and 2 no. rear dormer roof extensions to facilitate the conversion of existing 2 no. 3 bed maisonettes at no. 8A and 10A High Street to 5 flats (4 no. 1 bed and 1 no. 2 bed)"/>
    <s v="8 - 10 High Street, Teddington_x000a__x000a_"/>
    <s v="TW11 8EW"/>
    <m/>
    <m/>
    <m/>
    <n v="2"/>
    <m/>
    <m/>
    <m/>
    <m/>
    <n v="2"/>
    <n v="4"/>
    <n v="1"/>
    <m/>
    <m/>
    <m/>
    <m/>
    <m/>
    <m/>
    <n v="5"/>
    <n v="4"/>
    <n v="1"/>
    <n v="-2"/>
    <n v="0"/>
    <n v="0"/>
    <n v="0"/>
    <n v="0"/>
    <n v="0"/>
    <n v="3"/>
    <m/>
    <m/>
    <n v="0.75"/>
    <n v="0.75"/>
    <n v="0.75"/>
    <n v="0.75"/>
    <m/>
    <m/>
    <m/>
    <m/>
    <m/>
    <m/>
    <m/>
    <m/>
    <m/>
    <m/>
    <m/>
    <m/>
    <n v="3"/>
    <n v="3"/>
    <n v="3"/>
    <m/>
    <m/>
    <n v="515988"/>
    <n v="171089"/>
    <s v="Teddington and the Hamptons"/>
    <s v="Teddington"/>
    <x v="0"/>
    <x v="0"/>
    <m/>
    <x v="0"/>
    <m/>
    <s v="CA37 High Street Teddington"/>
    <s v="Y"/>
    <s v="Y"/>
    <x v="0"/>
  </r>
  <r>
    <s v="20/2626/GPH01"/>
    <n v="255"/>
    <s v="EXT"/>
    <m/>
    <d v="2020-11-12T00:00:00"/>
    <d v="2024-08-27T00:00:00"/>
    <m/>
    <m/>
    <x v="2"/>
    <s v="Open Market"/>
    <m/>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n v="0"/>
    <n v="3"/>
    <m/>
    <m/>
    <m/>
    <m/>
    <m/>
    <m/>
    <m/>
    <n v="3"/>
    <n v="3"/>
    <n v="0"/>
    <n v="0"/>
    <n v="0"/>
    <n v="0"/>
    <n v="0"/>
    <n v="0"/>
    <n v="0"/>
    <n v="3"/>
    <m/>
    <m/>
    <n v="0.75"/>
    <n v="0.75"/>
    <n v="0.75"/>
    <n v="0.75"/>
    <m/>
    <m/>
    <m/>
    <m/>
    <m/>
    <m/>
    <m/>
    <m/>
    <m/>
    <m/>
    <m/>
    <m/>
    <n v="3"/>
    <n v="3"/>
    <n v="3"/>
    <m/>
    <m/>
    <n v="516098"/>
    <n v="173924"/>
    <s v="Twickenham"/>
    <s v="St. Margarets &amp; North Twickenham"/>
    <x v="1"/>
    <x v="0"/>
    <m/>
    <x v="0"/>
    <m/>
    <m/>
    <m/>
    <s v="Y"/>
    <x v="0"/>
  </r>
  <r>
    <s v="21/2528/GPD13"/>
    <n v="256"/>
    <s v="CHU"/>
    <s v="PA"/>
    <d v="2021-09-01T00:00:00"/>
    <d v="2024-09-01T00:00:00"/>
    <m/>
    <m/>
    <x v="2"/>
    <s v="Open Market"/>
    <m/>
    <s v="Change of use of part of ground floor of property from A2 to C3 Use."/>
    <s v="357 Upper Richmond Road West, East Sheen, London SW14 8QN_x000a_"/>
    <s v="SW14 8QN"/>
    <m/>
    <m/>
    <m/>
    <m/>
    <m/>
    <m/>
    <m/>
    <m/>
    <n v="0"/>
    <n v="1"/>
    <m/>
    <m/>
    <m/>
    <m/>
    <m/>
    <m/>
    <m/>
    <n v="1"/>
    <n v="1"/>
    <n v="0"/>
    <n v="0"/>
    <n v="0"/>
    <n v="0"/>
    <n v="0"/>
    <n v="0"/>
    <n v="0"/>
    <n v="1"/>
    <m/>
    <m/>
    <n v="0.25"/>
    <n v="0.25"/>
    <n v="0.25"/>
    <n v="0.25"/>
    <m/>
    <m/>
    <m/>
    <m/>
    <m/>
    <m/>
    <m/>
    <m/>
    <m/>
    <m/>
    <m/>
    <m/>
    <n v="1"/>
    <n v="1"/>
    <n v="1"/>
    <m/>
    <m/>
    <n v="520553"/>
    <n v="175393"/>
    <s v="Barnes and East Sheen"/>
    <s v="East Sheen"/>
    <x v="3"/>
    <x v="0"/>
    <m/>
    <x v="0"/>
    <m/>
    <m/>
    <m/>
    <s v="Y"/>
    <x v="0"/>
  </r>
  <r>
    <s v="21/2665/GPD13"/>
    <n v="257"/>
    <s v="CHU"/>
    <s v="PA"/>
    <d v="2021-09-16T00:00:00"/>
    <d v="2024-09-16T00:00:00"/>
    <m/>
    <m/>
    <x v="2"/>
    <s v="Open Market"/>
    <m/>
    <s v="Proposed change of use from A1 (retail) units to 2No. 1 bed apartments C3 (residential) Use Class"/>
    <s v="3 - 4 New Broadway, Hampton Hill_x000a__x000a_"/>
    <s v="TW12 1JG"/>
    <m/>
    <m/>
    <m/>
    <m/>
    <m/>
    <m/>
    <m/>
    <m/>
    <n v="0"/>
    <n v="2"/>
    <m/>
    <m/>
    <m/>
    <m/>
    <m/>
    <m/>
    <m/>
    <n v="2"/>
    <n v="2"/>
    <n v="0"/>
    <n v="0"/>
    <n v="0"/>
    <n v="0"/>
    <n v="0"/>
    <n v="0"/>
    <n v="0"/>
    <n v="2"/>
    <m/>
    <m/>
    <n v="0.5"/>
    <n v="0.5"/>
    <n v="0.5"/>
    <n v="0.5"/>
    <m/>
    <m/>
    <m/>
    <m/>
    <m/>
    <m/>
    <m/>
    <m/>
    <m/>
    <m/>
    <m/>
    <m/>
    <n v="2"/>
    <n v="2"/>
    <n v="2"/>
    <m/>
    <m/>
    <n v="514554"/>
    <n v="171263"/>
    <s v="Teddington and the Hamptons"/>
    <s v="Fulwell &amp; Hampton Hill"/>
    <x v="1"/>
    <x v="0"/>
    <s v="High Street, Hampton Hill"/>
    <x v="1"/>
    <m/>
    <m/>
    <m/>
    <s v="Y"/>
    <x v="0"/>
  </r>
  <r>
    <s v="20/0127/FUL"/>
    <n v="258"/>
    <s v="CON"/>
    <m/>
    <d v="2021-09-20T00:00:00"/>
    <d v="2024-09-20T00:00:00"/>
    <m/>
    <m/>
    <x v="2"/>
    <s v="Open Market"/>
    <m/>
    <s v="Conversion of existing maisonette on first and second floors into 2 flats (1 x 1 bedroom flat and 1 x 2 bedroom flat)"/>
    <s v="350 Richmond Road, Twickenham, TW1 2DU"/>
    <s v="TW1 2DU"/>
    <m/>
    <m/>
    <m/>
    <m/>
    <n v="1"/>
    <m/>
    <m/>
    <m/>
    <n v="1"/>
    <n v="1"/>
    <n v="1"/>
    <m/>
    <m/>
    <m/>
    <m/>
    <m/>
    <m/>
    <n v="2"/>
    <n v="1"/>
    <n v="1"/>
    <n v="0"/>
    <n v="-1"/>
    <n v="0"/>
    <n v="0"/>
    <n v="0"/>
    <n v="0"/>
    <n v="1"/>
    <m/>
    <m/>
    <n v="0.25"/>
    <n v="0.25"/>
    <n v="0.25"/>
    <n v="0.25"/>
    <m/>
    <m/>
    <m/>
    <m/>
    <m/>
    <m/>
    <m/>
    <m/>
    <m/>
    <m/>
    <m/>
    <m/>
    <n v="1"/>
    <n v="1"/>
    <n v="1"/>
    <m/>
    <m/>
    <n v="517428"/>
    <n v="174238"/>
    <s v="Twickenham"/>
    <s v="Twickenham Riverside"/>
    <x v="1"/>
    <x v="0"/>
    <s v="East Twickenham"/>
    <x v="1"/>
    <m/>
    <s v="CA66 Richmond Road East Twickenham"/>
    <s v="Y"/>
    <s v="Y"/>
    <x v="0"/>
  </r>
  <r>
    <s v="20/2118/FUL"/>
    <n v="259"/>
    <s v="CHU"/>
    <m/>
    <d v="2021-09-30T00:00:00"/>
    <d v="2024-09-30T00:00:00"/>
    <m/>
    <m/>
    <x v="2"/>
    <s v="Open Market"/>
    <m/>
    <s v="Fenestration alterations to rear and side elevation to facilitate change of use of rear part of premises from Class E (Retail) to C3 to create 1 x 1 bed flat and associated refuse and cycle store."/>
    <s v="301 Richmond Road, Kingston Upon Thames, KT2 5QU"/>
    <s v="KT2 5QU"/>
    <m/>
    <m/>
    <m/>
    <m/>
    <m/>
    <m/>
    <m/>
    <m/>
    <n v="0"/>
    <n v="1"/>
    <m/>
    <m/>
    <m/>
    <m/>
    <m/>
    <m/>
    <m/>
    <n v="1"/>
    <n v="1"/>
    <n v="0"/>
    <n v="0"/>
    <n v="0"/>
    <n v="0"/>
    <n v="0"/>
    <n v="0"/>
    <n v="0"/>
    <n v="1"/>
    <m/>
    <m/>
    <n v="0.25"/>
    <n v="0.25"/>
    <n v="0.25"/>
    <n v="0.25"/>
    <m/>
    <m/>
    <m/>
    <m/>
    <m/>
    <m/>
    <m/>
    <m/>
    <m/>
    <m/>
    <m/>
    <m/>
    <n v="1"/>
    <n v="1"/>
    <n v="1"/>
    <m/>
    <m/>
    <n v="517763"/>
    <n v="171531"/>
    <s v="Ham &amp; Petersham"/>
    <s v="Ham, Petersham &amp; Richmond Riverside"/>
    <x v="1"/>
    <x v="0"/>
    <m/>
    <x v="0"/>
    <m/>
    <m/>
    <m/>
    <m/>
    <x v="0"/>
  </r>
  <r>
    <s v="21/0146/FUL"/>
    <n v="260"/>
    <s v="NEW"/>
    <m/>
    <d v="2021-09-30T00:00:00"/>
    <d v="2024-09-30T00:00:00"/>
    <m/>
    <m/>
    <x v="2"/>
    <s v="Open Market"/>
    <m/>
    <s v="Demolition of the Existing house and outbuildings and replacement with a Single Family Dwelling, new front boundary wall and vehicular gate and associated hard and soft landscaping, cycle and refuse stores"/>
    <s v="19 Nylands Avenue, Kew, Richmond, TW9 4HH"/>
    <s v="TW9 4HH"/>
    <m/>
    <m/>
    <m/>
    <m/>
    <m/>
    <n v="1"/>
    <m/>
    <m/>
    <n v="1"/>
    <m/>
    <m/>
    <m/>
    <m/>
    <m/>
    <n v="1"/>
    <m/>
    <m/>
    <n v="1"/>
    <n v="0"/>
    <n v="0"/>
    <n v="0"/>
    <n v="0"/>
    <n v="-1"/>
    <n v="1"/>
    <n v="0"/>
    <n v="0"/>
    <n v="0"/>
    <m/>
    <m/>
    <n v="0"/>
    <m/>
    <m/>
    <m/>
    <m/>
    <m/>
    <m/>
    <m/>
    <m/>
    <m/>
    <m/>
    <m/>
    <m/>
    <m/>
    <m/>
    <m/>
    <n v="0"/>
    <n v="0"/>
    <n v="0"/>
    <m/>
    <m/>
    <n v="519305"/>
    <n v="176468"/>
    <s v="Richmond"/>
    <s v="Kew"/>
    <x v="1"/>
    <x v="0"/>
    <m/>
    <x v="0"/>
    <m/>
    <m/>
    <m/>
    <s v="Y"/>
    <x v="0"/>
  </r>
  <r>
    <s v="21/2602/FUL"/>
    <n v="261"/>
    <s v="CHU"/>
    <m/>
    <d v="2021-11-09T00:00:00"/>
    <d v="2024-11-09T00:00:00"/>
    <m/>
    <m/>
    <x v="2"/>
    <s v="Open Market"/>
    <m/>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m/>
    <n v="1"/>
    <m/>
    <m/>
    <m/>
    <m/>
    <m/>
    <m/>
    <n v="1"/>
    <m/>
    <m/>
    <m/>
    <m/>
    <m/>
    <m/>
    <m/>
    <m/>
    <n v="0"/>
    <n v="-1"/>
    <n v="0"/>
    <n v="0"/>
    <n v="0"/>
    <n v="0"/>
    <n v="0"/>
    <n v="0"/>
    <n v="0"/>
    <n v="-1"/>
    <m/>
    <m/>
    <n v="-0.25"/>
    <n v="-0.25"/>
    <n v="-0.25"/>
    <n v="-0.25"/>
    <m/>
    <m/>
    <m/>
    <m/>
    <m/>
    <m/>
    <m/>
    <m/>
    <m/>
    <m/>
    <m/>
    <m/>
    <n v="-1"/>
    <n v="-1"/>
    <n v="-1"/>
    <m/>
    <m/>
    <n v="522822"/>
    <n v="177807"/>
    <s v="Barnes and East Sheen"/>
    <s v="Barnes"/>
    <x v="1"/>
    <x v="0"/>
    <s v="Castelnau, North Barnes"/>
    <x v="1"/>
    <m/>
    <s v="CA25 Castelnau"/>
    <s v="Y"/>
    <s v="Y"/>
    <x v="0"/>
  </r>
  <r>
    <s v="20/2298/FUL"/>
    <n v="262"/>
    <s v="NEW"/>
    <m/>
    <d v="2022-01-18T00:00:00"/>
    <d v="2025-01-18T00:00:00"/>
    <m/>
    <m/>
    <x v="2"/>
    <s v="Open Market"/>
    <m/>
    <s v="Demolition of garage to rear of property accessed from Castle Yard to facilitate change of use of rear part to C3 (Residential) use to provide 1 x 2 bedroom two storey house with associated cycle and refuse stores"/>
    <s v="28 Hill Street, Richmond, TW9 1TW"/>
    <s v="TW9 1TW"/>
    <m/>
    <m/>
    <m/>
    <m/>
    <m/>
    <m/>
    <m/>
    <m/>
    <n v="0"/>
    <m/>
    <n v="1"/>
    <m/>
    <m/>
    <m/>
    <m/>
    <m/>
    <m/>
    <n v="1"/>
    <n v="0"/>
    <n v="1"/>
    <n v="0"/>
    <n v="0"/>
    <n v="0"/>
    <n v="0"/>
    <n v="0"/>
    <n v="0"/>
    <n v="1"/>
    <m/>
    <m/>
    <n v="0.25"/>
    <n v="0.25"/>
    <n v="0.25"/>
    <n v="0.25"/>
    <m/>
    <m/>
    <m/>
    <m/>
    <m/>
    <m/>
    <m/>
    <m/>
    <m/>
    <m/>
    <m/>
    <m/>
    <n v="1"/>
    <n v="1"/>
    <n v="1"/>
    <m/>
    <m/>
    <n v="517804"/>
    <n v="174681"/>
    <s v="Richmond"/>
    <s v="South Richmond"/>
    <x v="4"/>
    <x v="0"/>
    <m/>
    <x v="0"/>
    <m/>
    <s v="CA17 Central Richmond"/>
    <s v="Y"/>
    <s v="Y"/>
    <x v="0"/>
  </r>
  <r>
    <s v="20/1570/FUL"/>
    <n v="263"/>
    <s v="NEW"/>
    <m/>
    <d v="2022-01-26T00:00:00"/>
    <d v="2025-01-26T00:00:00"/>
    <m/>
    <m/>
    <x v="2"/>
    <s v="Open Market"/>
    <m/>
    <s v="Demolition of existing garages and erection of a part two / four storey building to provide 4 x 1, 4 x 2 and 1 x 3 bedroom flats and associated soft and hard landscaping, cycle and refuse stores. Plans readvertised on 09.04.2021, with the main amendments:"/>
    <s v="Garage Site, Marys Terrace, Twickenham TW1 3JB"/>
    <s v="TW1 3JB"/>
    <m/>
    <m/>
    <m/>
    <m/>
    <m/>
    <m/>
    <m/>
    <m/>
    <n v="0"/>
    <n v="4"/>
    <n v="4"/>
    <n v="1"/>
    <m/>
    <m/>
    <m/>
    <m/>
    <m/>
    <n v="9"/>
    <n v="4"/>
    <n v="4"/>
    <n v="1"/>
    <n v="0"/>
    <n v="0"/>
    <n v="0"/>
    <n v="0"/>
    <n v="0"/>
    <n v="9"/>
    <m/>
    <m/>
    <n v="2.25"/>
    <n v="2.25"/>
    <n v="2.25"/>
    <n v="2.25"/>
    <m/>
    <m/>
    <m/>
    <m/>
    <m/>
    <m/>
    <m/>
    <m/>
    <m/>
    <m/>
    <m/>
    <m/>
    <n v="9"/>
    <n v="9"/>
    <n v="9"/>
    <m/>
    <m/>
    <n v="516182"/>
    <n v="173653"/>
    <s v="Twickenham"/>
    <s v="Twickenham Riverside"/>
    <x v="2"/>
    <x v="0"/>
    <m/>
    <x v="0"/>
    <m/>
    <m/>
    <m/>
    <s v="Y"/>
    <x v="0"/>
  </r>
  <r>
    <s v="21/2497/FUL"/>
    <n v="264"/>
    <s v="CHU"/>
    <m/>
    <d v="2022-02-02T00:00:00"/>
    <d v="2025-02-02T00:00:00"/>
    <m/>
    <m/>
    <x v="2"/>
    <s v="Open Market"/>
    <m/>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n v="0"/>
    <m/>
    <m/>
    <n v="1"/>
    <m/>
    <m/>
    <m/>
    <m/>
    <m/>
    <n v="1"/>
    <n v="0"/>
    <n v="0"/>
    <n v="1"/>
    <n v="0"/>
    <n v="0"/>
    <n v="0"/>
    <n v="0"/>
    <n v="0"/>
    <n v="1"/>
    <m/>
    <m/>
    <n v="0.25"/>
    <n v="0.25"/>
    <n v="0.25"/>
    <n v="0.25"/>
    <m/>
    <m/>
    <m/>
    <m/>
    <m/>
    <m/>
    <m/>
    <m/>
    <m/>
    <m/>
    <m/>
    <m/>
    <n v="1"/>
    <n v="1"/>
    <n v="1"/>
    <m/>
    <m/>
    <n v="518173"/>
    <n v="174602"/>
    <s v="Richmond"/>
    <s v="South Richmond"/>
    <x v="1"/>
    <x v="0"/>
    <m/>
    <x v="0"/>
    <m/>
    <s v="CA30 St Matthias Richmond"/>
    <s v="Y"/>
    <s v="Y"/>
    <x v="0"/>
  </r>
  <r>
    <s v="21/3330/FUL"/>
    <n v="265"/>
    <s v="NEW"/>
    <m/>
    <d v="2022-02-02T00:00:00"/>
    <d v="2025-02-02T00:00:00"/>
    <m/>
    <m/>
    <x v="2"/>
    <s v="Open Market"/>
    <m/>
    <s v="Construction of terrace of 3 family houses with associated parking and landscaping."/>
    <s v="Car Park, Brooklands Place, Hampton"/>
    <s v="TW12"/>
    <m/>
    <m/>
    <m/>
    <m/>
    <m/>
    <m/>
    <m/>
    <m/>
    <n v="0"/>
    <m/>
    <m/>
    <n v="3"/>
    <m/>
    <m/>
    <m/>
    <m/>
    <m/>
    <n v="3"/>
    <n v="0"/>
    <n v="0"/>
    <n v="3"/>
    <n v="0"/>
    <n v="0"/>
    <n v="0"/>
    <n v="0"/>
    <n v="0"/>
    <n v="3"/>
    <m/>
    <m/>
    <n v="0.75"/>
    <n v="0.75"/>
    <n v="0.75"/>
    <n v="0.75"/>
    <m/>
    <m/>
    <m/>
    <m/>
    <m/>
    <m/>
    <m/>
    <m/>
    <m/>
    <m/>
    <m/>
    <m/>
    <n v="3"/>
    <n v="3"/>
    <n v="3"/>
    <m/>
    <m/>
    <n v="513958"/>
    <n v="171178"/>
    <s v="Teddington and the Hamptons"/>
    <s v="Fulwell &amp; Hampton Hill"/>
    <x v="1"/>
    <x v="0"/>
    <m/>
    <x v="0"/>
    <m/>
    <m/>
    <m/>
    <m/>
    <x v="0"/>
  </r>
  <r>
    <s v="19/2893/FUL"/>
    <n v="266"/>
    <s v="NEW"/>
    <m/>
    <d v="2022-02-15T00:00:00"/>
    <d v="2025-02-15T00:00:00"/>
    <m/>
    <m/>
    <x v="2"/>
    <s v="Open Market"/>
    <m/>
    <s v="Construction of a detached two-storey building comprising of two x one-bedroom flats on the vacant car parking site including associated amenity space and no car parking."/>
    <s v="48 - 50 Ashley Road, Hampton"/>
    <s v="TW12 2HU"/>
    <m/>
    <m/>
    <m/>
    <m/>
    <m/>
    <m/>
    <m/>
    <m/>
    <n v="0"/>
    <n v="2"/>
    <m/>
    <m/>
    <m/>
    <m/>
    <m/>
    <m/>
    <m/>
    <n v="2"/>
    <n v="2"/>
    <n v="0"/>
    <n v="0"/>
    <n v="0"/>
    <n v="0"/>
    <n v="0"/>
    <n v="0"/>
    <n v="0"/>
    <n v="2"/>
    <m/>
    <m/>
    <n v="0.5"/>
    <n v="0.5"/>
    <n v="0.5"/>
    <n v="0.5"/>
    <m/>
    <m/>
    <m/>
    <m/>
    <m/>
    <m/>
    <m/>
    <m/>
    <m/>
    <m/>
    <m/>
    <m/>
    <n v="2"/>
    <n v="2"/>
    <n v="2"/>
    <m/>
    <m/>
    <n v="513346"/>
    <n v="169821"/>
    <s v="Teddington and the Hamptons"/>
    <s v="Hampton"/>
    <x v="1"/>
    <x v="0"/>
    <m/>
    <x v="0"/>
    <m/>
    <m/>
    <m/>
    <s v="Y"/>
    <x v="0"/>
  </r>
  <r>
    <s v="21/2965/FUL"/>
    <n v="267"/>
    <s v="CHU"/>
    <m/>
    <d v="2022-03-02T00:00:00"/>
    <d v="2025-03-02T00:00:00"/>
    <m/>
    <m/>
    <x v="2"/>
    <s v="Open Market"/>
    <m/>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s v="TW2 6HB"/>
    <m/>
    <m/>
    <m/>
    <m/>
    <m/>
    <m/>
    <m/>
    <m/>
    <n v="0"/>
    <m/>
    <n v="1"/>
    <m/>
    <m/>
    <m/>
    <m/>
    <m/>
    <m/>
    <n v="1"/>
    <n v="0"/>
    <n v="1"/>
    <n v="0"/>
    <n v="0"/>
    <n v="0"/>
    <n v="0"/>
    <n v="0"/>
    <n v="0"/>
    <n v="1"/>
    <m/>
    <m/>
    <n v="0.25"/>
    <n v="0.25"/>
    <n v="0.25"/>
    <n v="0.25"/>
    <m/>
    <m/>
    <m/>
    <m/>
    <m/>
    <m/>
    <m/>
    <m/>
    <m/>
    <m/>
    <m/>
    <m/>
    <n v="1"/>
    <n v="1"/>
    <n v="1"/>
    <m/>
    <m/>
    <n v="514165"/>
    <n v="173531"/>
    <s v="Whitton"/>
    <s v="Heathfield"/>
    <x v="1"/>
    <x v="0"/>
    <m/>
    <x v="0"/>
    <m/>
    <m/>
    <m/>
    <s v="Y"/>
    <x v="0"/>
  </r>
  <r>
    <s v="20/3489/FUL"/>
    <n v="268"/>
    <s v="MIX"/>
    <m/>
    <d v="2022-03-04T00:00:00"/>
    <d v="2025-03-04T00:00:00"/>
    <m/>
    <m/>
    <x v="2"/>
    <s v="Open Market"/>
    <m/>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m/>
    <n v="1"/>
    <m/>
    <m/>
    <m/>
    <n v="1"/>
    <m/>
    <n v="1"/>
    <n v="1"/>
    <m/>
    <m/>
    <m/>
    <m/>
    <m/>
    <n v="2"/>
    <n v="0"/>
    <n v="1"/>
    <n v="1"/>
    <n v="-1"/>
    <n v="0"/>
    <n v="0"/>
    <n v="0"/>
    <n v="0"/>
    <n v="1"/>
    <m/>
    <m/>
    <n v="0.25"/>
    <n v="0.25"/>
    <n v="0.25"/>
    <n v="0.25"/>
    <m/>
    <m/>
    <m/>
    <m/>
    <m/>
    <m/>
    <m/>
    <m/>
    <m/>
    <m/>
    <m/>
    <m/>
    <n v="1"/>
    <n v="1"/>
    <n v="1"/>
    <m/>
    <m/>
    <n v="514528"/>
    <n v="173249"/>
    <s v="Twickenham"/>
    <s v="West Twickenham"/>
    <x v="1"/>
    <x v="0"/>
    <m/>
    <x v="0"/>
    <m/>
    <m/>
    <m/>
    <s v="Y"/>
    <x v="0"/>
  </r>
  <r>
    <s v="22/0153/GPD26"/>
    <n v="269"/>
    <s v="CHU"/>
    <s v="PA"/>
    <d v="2022-03-22T00:00:00"/>
    <d v="2025-03-22T00:00:00"/>
    <m/>
    <m/>
    <x v="2"/>
    <s v="Open Market"/>
    <m/>
    <s v="Change of use of part of ground floor and first floor from restaurant to C3 residential use to provide 1 additional first floor flat"/>
    <s v="29 Kew Road, Richmond, TW9 2NQ"/>
    <s v="TW9 2NQ"/>
    <m/>
    <m/>
    <m/>
    <m/>
    <m/>
    <m/>
    <m/>
    <m/>
    <n v="0"/>
    <n v="1"/>
    <m/>
    <m/>
    <m/>
    <m/>
    <m/>
    <m/>
    <m/>
    <n v="1"/>
    <n v="1"/>
    <n v="0"/>
    <n v="0"/>
    <n v="0"/>
    <n v="0"/>
    <n v="0"/>
    <n v="0"/>
    <n v="0"/>
    <n v="1"/>
    <m/>
    <m/>
    <n v="0.25"/>
    <n v="0.25"/>
    <n v="0.25"/>
    <n v="0.25"/>
    <m/>
    <m/>
    <m/>
    <m/>
    <m/>
    <m/>
    <m/>
    <m/>
    <m/>
    <m/>
    <m/>
    <m/>
    <n v="1"/>
    <n v="1"/>
    <n v="1"/>
    <m/>
    <m/>
    <n v="518059"/>
    <n v="175250"/>
    <s v="Richmond"/>
    <s v="South Richmond"/>
    <x v="4"/>
    <x v="0"/>
    <m/>
    <x v="0"/>
    <m/>
    <s v="CA17 Central Richmond"/>
    <s v="Y"/>
    <s v="Y"/>
    <x v="0"/>
  </r>
  <r>
    <s v="20/0564/FUL"/>
    <n v="270"/>
    <s v="CHU"/>
    <m/>
    <d v="2022-04-01T00:00:00"/>
    <d v="2025-04-01T00:00:00"/>
    <m/>
    <m/>
    <x v="2"/>
    <s v="Open Market"/>
    <m/>
    <s v="Single-storey rear extension to rear of existing shop and part change of use from A1 to C3, to facilitate creation of one one-bedroom two-person dwellinghouse. Construction of external stairway to rear elevation to provide access to existing upper-floor f"/>
    <s v="311A Richmond Road, Kingston Upon Thames, KT2 5QU"/>
    <s v="KT2 5QU"/>
    <m/>
    <m/>
    <m/>
    <m/>
    <m/>
    <m/>
    <m/>
    <m/>
    <n v="0"/>
    <n v="1"/>
    <m/>
    <m/>
    <m/>
    <m/>
    <m/>
    <m/>
    <m/>
    <n v="1"/>
    <n v="1"/>
    <n v="0"/>
    <n v="0"/>
    <n v="0"/>
    <n v="0"/>
    <n v="0"/>
    <n v="0"/>
    <n v="0"/>
    <n v="1"/>
    <m/>
    <m/>
    <n v="0.25"/>
    <n v="0.25"/>
    <n v="0.25"/>
    <n v="0.25"/>
    <m/>
    <m/>
    <m/>
    <m/>
    <m/>
    <m/>
    <m/>
    <m/>
    <m/>
    <m/>
    <m/>
    <m/>
    <n v="1"/>
    <n v="1"/>
    <n v="1"/>
    <m/>
    <m/>
    <n v="517763"/>
    <n v="171561"/>
    <s v="Ham &amp; Petersham"/>
    <s v="Ham, Petersham &amp; Richmond Riverside"/>
    <x v="1"/>
    <x v="0"/>
    <m/>
    <x v="0"/>
    <m/>
    <m/>
    <m/>
    <m/>
    <x v="0"/>
  </r>
  <r>
    <s v="22/0428/GPD26"/>
    <n v="271"/>
    <s v="CHU"/>
    <s v="PA"/>
    <d v="2022-04-13T00:00:00"/>
    <d v="2025-04-13T00:00:00"/>
    <m/>
    <m/>
    <x v="2"/>
    <s v="Open Market"/>
    <m/>
    <s v="Change of use of ground floor hair salon from Use Class E Retail to Use Class C3 dwelling houses."/>
    <s v="173 Percy Road, Hampton, TW12 2JN"/>
    <s v="TW12 2JN"/>
    <m/>
    <m/>
    <m/>
    <m/>
    <m/>
    <m/>
    <m/>
    <m/>
    <n v="0"/>
    <m/>
    <n v="1"/>
    <m/>
    <m/>
    <m/>
    <m/>
    <m/>
    <m/>
    <n v="1"/>
    <n v="0"/>
    <n v="1"/>
    <n v="0"/>
    <n v="0"/>
    <n v="0"/>
    <n v="0"/>
    <n v="0"/>
    <n v="0"/>
    <n v="1"/>
    <m/>
    <m/>
    <n v="0.25"/>
    <n v="0.25"/>
    <n v="0.25"/>
    <n v="0.25"/>
    <m/>
    <m/>
    <m/>
    <m/>
    <m/>
    <m/>
    <m/>
    <m/>
    <m/>
    <m/>
    <m/>
    <m/>
    <n v="1"/>
    <n v="1"/>
    <n v="1"/>
    <m/>
    <m/>
    <n v="513028"/>
    <n v="170485"/>
    <s v="Teddington and the Hamptons"/>
    <s v="Hampton"/>
    <x v="1"/>
    <x v="0"/>
    <m/>
    <x v="0"/>
    <m/>
    <m/>
    <m/>
    <s v="Y"/>
    <x v="0"/>
  </r>
  <r>
    <s v="21/2970/FUL"/>
    <n v="272"/>
    <s v="MIX"/>
    <m/>
    <d v="2022-04-20T00:00:00"/>
    <d v="2025-04-20T00:00:00"/>
    <m/>
    <m/>
    <x v="2"/>
    <s v="Open Market"/>
    <m/>
    <s v="Change of use from retail (Use Class E) on first and second floors at no 19 to create a new, three bed maisonette; First floor side/rear extension and PV panels to existing roof of No.19; change of use and extension of roof space (Use Class E) at no. 19a,"/>
    <s v="19 - 19A King Street, Richmond"/>
    <s v="TW9 1ND"/>
    <m/>
    <m/>
    <m/>
    <m/>
    <m/>
    <m/>
    <m/>
    <m/>
    <n v="0"/>
    <n v="1"/>
    <m/>
    <n v="1"/>
    <m/>
    <m/>
    <m/>
    <m/>
    <m/>
    <n v="2"/>
    <n v="1"/>
    <n v="0"/>
    <n v="1"/>
    <n v="0"/>
    <n v="0"/>
    <n v="0"/>
    <n v="0"/>
    <n v="0"/>
    <n v="2"/>
    <m/>
    <m/>
    <n v="0.5"/>
    <n v="0.5"/>
    <n v="0.5"/>
    <n v="0.5"/>
    <m/>
    <m/>
    <m/>
    <m/>
    <m/>
    <m/>
    <m/>
    <m/>
    <m/>
    <m/>
    <m/>
    <m/>
    <n v="2"/>
    <n v="2"/>
    <n v="2"/>
    <m/>
    <m/>
    <n v="517711"/>
    <n v="174824"/>
    <s v="Richmond"/>
    <s v="South Richmond"/>
    <x v="4"/>
    <x v="0"/>
    <m/>
    <x v="0"/>
    <m/>
    <s v="CA3 Richmond Green"/>
    <s v="Y"/>
    <s v="Y"/>
    <x v="0"/>
  </r>
  <r>
    <s v="21/2225/FUL"/>
    <n v="273"/>
    <s v="NEW"/>
    <m/>
    <d v="2022-04-21T00:00:00"/>
    <d v="2025-04-21T00:00:00"/>
    <m/>
    <m/>
    <x v="2"/>
    <s v="Open Market"/>
    <m/>
    <s v="Demolition of existing building and erection of replacement 5 bedroom dwelling including associated hard and soft landscaping, cycle store and outbuilding"/>
    <s v="22 Parke Road, Barnes, London, SW13 9NG"/>
    <s v="SW13 9NG"/>
    <m/>
    <m/>
    <m/>
    <m/>
    <n v="1"/>
    <m/>
    <m/>
    <m/>
    <n v="1"/>
    <m/>
    <m/>
    <m/>
    <m/>
    <n v="1"/>
    <m/>
    <m/>
    <m/>
    <n v="1"/>
    <n v="0"/>
    <n v="0"/>
    <n v="0"/>
    <n v="-1"/>
    <n v="1"/>
    <n v="0"/>
    <n v="0"/>
    <n v="0"/>
    <n v="0"/>
    <m/>
    <m/>
    <n v="0"/>
    <m/>
    <m/>
    <m/>
    <m/>
    <m/>
    <m/>
    <m/>
    <m/>
    <m/>
    <m/>
    <m/>
    <m/>
    <m/>
    <m/>
    <m/>
    <n v="0"/>
    <n v="0"/>
    <n v="0"/>
    <m/>
    <m/>
    <n v="522088"/>
    <n v="177109"/>
    <s v="Barnes and East Sheen"/>
    <s v="Barnes"/>
    <x v="1"/>
    <x v="0"/>
    <m/>
    <x v="0"/>
    <m/>
    <m/>
    <m/>
    <m/>
    <x v="0"/>
  </r>
  <r>
    <s v="22/0624/GPD26"/>
    <n v="274"/>
    <s v="CHU"/>
    <s v="PA"/>
    <d v="2022-04-21T00:00:00"/>
    <d v="2025-04-21T00:00:00"/>
    <d v="2023-04-01T00:00:00"/>
    <d v="2023-08-30T00:00:00"/>
    <x v="2"/>
    <s v="Open Market"/>
    <m/>
    <s v="Change of use of first floor from offices (Class E) to residential (Class C3) (1no. studio and 2no. one bed)"/>
    <s v="6 High Street, Teddington, TW11 8EP_x000a_"/>
    <s v="TW11 8EP"/>
    <m/>
    <m/>
    <m/>
    <m/>
    <m/>
    <m/>
    <m/>
    <m/>
    <n v="0"/>
    <n v="3"/>
    <m/>
    <m/>
    <m/>
    <m/>
    <m/>
    <m/>
    <m/>
    <n v="3"/>
    <n v="3"/>
    <n v="0"/>
    <n v="0"/>
    <n v="0"/>
    <n v="0"/>
    <n v="0"/>
    <n v="0"/>
    <n v="0"/>
    <n v="3"/>
    <m/>
    <m/>
    <n v="3"/>
    <m/>
    <m/>
    <m/>
    <m/>
    <m/>
    <m/>
    <m/>
    <m/>
    <m/>
    <m/>
    <m/>
    <m/>
    <m/>
    <m/>
    <m/>
    <n v="3"/>
    <n v="3"/>
    <n v="3"/>
    <m/>
    <m/>
    <n v="515980"/>
    <n v="171081"/>
    <s v="Teddington and the Hamptons"/>
    <s v="Teddington"/>
    <x v="0"/>
    <x v="0"/>
    <m/>
    <x v="0"/>
    <m/>
    <s v="CA37 High Street Teddington"/>
    <s v="Y"/>
    <s v="Y"/>
    <x v="0"/>
  </r>
  <r>
    <s v="21/2729/FUL"/>
    <n v="275"/>
    <s v="CON"/>
    <m/>
    <d v="2021-10-20T00:00:00"/>
    <d v="2025-04-29T00:00:00"/>
    <m/>
    <m/>
    <x v="2"/>
    <s v="Open Market"/>
    <m/>
    <s v="Renovation, rear single storey extension, new gable roof extension and rear basement to existing building to form six apartments."/>
    <s v="85 Connaught Road, Teddington_x000a__x000a_"/>
    <s v="TW11 0QQ"/>
    <m/>
    <m/>
    <n v="1"/>
    <n v="1"/>
    <m/>
    <m/>
    <m/>
    <m/>
    <n v="2"/>
    <n v="4"/>
    <n v="2"/>
    <m/>
    <m/>
    <m/>
    <m/>
    <m/>
    <m/>
    <n v="6"/>
    <n v="4"/>
    <n v="1"/>
    <n v="-1"/>
    <n v="0"/>
    <n v="0"/>
    <n v="0"/>
    <n v="0"/>
    <n v="0"/>
    <n v="4"/>
    <m/>
    <m/>
    <n v="1"/>
    <n v="1"/>
    <n v="1"/>
    <n v="1"/>
    <m/>
    <m/>
    <m/>
    <m/>
    <m/>
    <m/>
    <m/>
    <m/>
    <m/>
    <m/>
    <m/>
    <m/>
    <n v="4"/>
    <n v="4"/>
    <n v="4"/>
    <m/>
    <m/>
    <n v="514632"/>
    <n v="171370"/>
    <s v="Teddington and the Hamptons"/>
    <s v="Fulwell &amp; Hampton Hill"/>
    <x v="1"/>
    <x v="0"/>
    <m/>
    <x v="0"/>
    <m/>
    <m/>
    <m/>
    <s v="Y"/>
    <x v="0"/>
  </r>
  <r>
    <s v="21/2559/FUL"/>
    <n v="276"/>
    <s v="CON"/>
    <m/>
    <d v="2022-05-12T00:00:00"/>
    <d v="2025-05-12T00:00:00"/>
    <m/>
    <m/>
    <x v="2"/>
    <s v="Open Market"/>
    <m/>
    <s v="Proposed Conversion of Existing Dwelling to 1no. Two Bedroom Dwelling and 1no. Three Bedroom Dwelling"/>
    <s v="96 Court Way, Twickenham, TW2 7SW"/>
    <s v="TW2 7SW"/>
    <m/>
    <m/>
    <m/>
    <m/>
    <m/>
    <n v="1"/>
    <m/>
    <m/>
    <n v="1"/>
    <m/>
    <n v="1"/>
    <n v="1"/>
    <m/>
    <m/>
    <m/>
    <m/>
    <m/>
    <n v="2"/>
    <n v="0"/>
    <n v="1"/>
    <n v="1"/>
    <n v="0"/>
    <n v="-1"/>
    <n v="0"/>
    <n v="0"/>
    <n v="0"/>
    <n v="1"/>
    <m/>
    <m/>
    <n v="0.25"/>
    <n v="0.25"/>
    <n v="0.25"/>
    <n v="0.25"/>
    <m/>
    <m/>
    <m/>
    <m/>
    <m/>
    <m/>
    <m/>
    <m/>
    <m/>
    <m/>
    <m/>
    <m/>
    <n v="1"/>
    <n v="1"/>
    <n v="1"/>
    <m/>
    <m/>
    <n v="515512"/>
    <n v="173771"/>
    <s v="Twickenham"/>
    <s v="St. Margarets &amp; North Twickenham"/>
    <x v="1"/>
    <x v="0"/>
    <m/>
    <x v="0"/>
    <m/>
    <m/>
    <m/>
    <s v="Y"/>
    <x v="0"/>
  </r>
  <r>
    <s v="22/1167/GPD26"/>
    <n v="277"/>
    <s v="CHU"/>
    <s v="PA"/>
    <d v="2022-05-31T00:00:00"/>
    <d v="2025-05-31T00:00:00"/>
    <m/>
    <m/>
    <x v="2"/>
    <s v="Open Market"/>
    <m/>
    <s v="Change of use of the second floor only from  commercial, business and service (Use Class E) to dwellinghouses (Use Class C3) to provide 2 x two-bedroom (4 person) apartments and cycle parking"/>
    <s v="Second Floor Offices, 27 - 28 George Street, Richmond TW9 1HY_x000a_"/>
    <s v="TW9 1HY"/>
    <m/>
    <m/>
    <m/>
    <m/>
    <m/>
    <m/>
    <m/>
    <m/>
    <n v="0"/>
    <m/>
    <n v="2"/>
    <m/>
    <m/>
    <m/>
    <m/>
    <m/>
    <m/>
    <n v="2"/>
    <n v="0"/>
    <n v="2"/>
    <n v="0"/>
    <n v="0"/>
    <n v="0"/>
    <n v="0"/>
    <n v="0"/>
    <n v="0"/>
    <n v="2"/>
    <m/>
    <m/>
    <n v="0.5"/>
    <n v="0.5"/>
    <n v="0.5"/>
    <n v="0.5"/>
    <m/>
    <m/>
    <m/>
    <m/>
    <m/>
    <m/>
    <m/>
    <m/>
    <m/>
    <m/>
    <m/>
    <m/>
    <n v="2"/>
    <n v="2"/>
    <n v="2"/>
    <m/>
    <m/>
    <n v="517895"/>
    <n v="174884"/>
    <s v="Richmond"/>
    <s v="South Richmond"/>
    <x v="4"/>
    <x v="0"/>
    <m/>
    <x v="0"/>
    <m/>
    <s v="CA17 Central Richmond"/>
    <s v="Y"/>
    <s v="Y"/>
    <x v="0"/>
  </r>
  <r>
    <s v="22/1285/GPD26"/>
    <n v="278"/>
    <s v="CHU"/>
    <s v="PA"/>
    <d v="2022-05-31T00:00:00"/>
    <d v="2025-05-31T00:00:00"/>
    <m/>
    <m/>
    <x v="2"/>
    <s v="Open Market"/>
    <m/>
    <s v="CHANGE OF USE TO SINGLE DWELLING HOUSE"/>
    <s v="5 Bridle Lane, Twickenham TW1 3EG"/>
    <s v="TW1 3EG"/>
    <m/>
    <m/>
    <m/>
    <m/>
    <m/>
    <m/>
    <m/>
    <m/>
    <n v="0"/>
    <m/>
    <n v="1"/>
    <m/>
    <m/>
    <m/>
    <m/>
    <m/>
    <m/>
    <n v="1"/>
    <n v="0"/>
    <n v="1"/>
    <n v="0"/>
    <n v="0"/>
    <n v="0"/>
    <n v="0"/>
    <n v="0"/>
    <n v="0"/>
    <n v="1"/>
    <m/>
    <m/>
    <n v="0.25"/>
    <n v="0.25"/>
    <n v="0.25"/>
    <n v="0.25"/>
    <m/>
    <m/>
    <m/>
    <m/>
    <m/>
    <m/>
    <m/>
    <m/>
    <m/>
    <m/>
    <m/>
    <m/>
    <n v="1"/>
    <n v="1"/>
    <n v="1"/>
    <m/>
    <m/>
    <n v="516837"/>
    <n v="174180"/>
    <s v="Twickenham"/>
    <s v="St. Margarets &amp; North Twickenham"/>
    <x v="1"/>
    <x v="0"/>
    <s v="St Margarets"/>
    <x v="1"/>
    <m/>
    <s v="CA49 Crown Road St Margarets"/>
    <s v="Y"/>
    <s v="Y"/>
    <x v="0"/>
  </r>
  <r>
    <s v="22/1214/GPD26"/>
    <n v="279"/>
    <s v="CHU"/>
    <s v="PA"/>
    <d v="2022-06-14T00:00:00"/>
    <d v="2025-06-14T00:00:00"/>
    <m/>
    <m/>
    <x v="2"/>
    <s v="Open Market"/>
    <m/>
    <s v="Change of use of first and second floors to C3 (residential) use to facilitate the creation of 2x 2-bed 3-person flats."/>
    <s v="First And Second Floors, 41 Broad Street, Teddington TW11 8QZ"/>
    <s v="TW11 8QZ"/>
    <m/>
    <m/>
    <m/>
    <m/>
    <m/>
    <m/>
    <m/>
    <m/>
    <n v="0"/>
    <m/>
    <n v="2"/>
    <m/>
    <m/>
    <m/>
    <m/>
    <m/>
    <m/>
    <n v="2"/>
    <n v="0"/>
    <n v="2"/>
    <n v="0"/>
    <n v="0"/>
    <n v="0"/>
    <n v="0"/>
    <n v="0"/>
    <n v="0"/>
    <n v="2"/>
    <m/>
    <m/>
    <n v="0.5"/>
    <n v="0.5"/>
    <n v="0.5"/>
    <n v="0.5"/>
    <m/>
    <m/>
    <m/>
    <m/>
    <m/>
    <m/>
    <m/>
    <m/>
    <m/>
    <m/>
    <m/>
    <m/>
    <n v="2"/>
    <n v="2"/>
    <n v="2"/>
    <m/>
    <m/>
    <n v="515645"/>
    <n v="170997"/>
    <s v="Teddington and the Hamptons"/>
    <s v="Teddington"/>
    <x v="0"/>
    <x v="0"/>
    <m/>
    <x v="0"/>
    <m/>
    <m/>
    <m/>
    <s v="Y"/>
    <x v="0"/>
  </r>
  <r>
    <s v="22/0707/PS192"/>
    <n v="280"/>
    <s v="CHU"/>
    <m/>
    <d v="2022-06-17T00:00:00"/>
    <d v="2025-06-17T00:00:00"/>
    <m/>
    <m/>
    <x v="2"/>
    <s v="Open Market"/>
    <m/>
    <s v="Use of ancillary caretakers bungalow at The Vineyard School as Class F1(a) education use"/>
    <s v="10 Friars Stile Road, Richmond TW10 6NE_x000a_"/>
    <s v="TW10 6NE"/>
    <m/>
    <m/>
    <m/>
    <n v="1"/>
    <m/>
    <m/>
    <m/>
    <m/>
    <n v="1"/>
    <m/>
    <m/>
    <m/>
    <m/>
    <m/>
    <m/>
    <m/>
    <m/>
    <n v="0"/>
    <n v="0"/>
    <n v="0"/>
    <n v="-1"/>
    <n v="0"/>
    <n v="0"/>
    <n v="0"/>
    <n v="0"/>
    <n v="0"/>
    <n v="-1"/>
    <m/>
    <m/>
    <n v="-0.25"/>
    <n v="-0.25"/>
    <n v="-0.25"/>
    <n v="-0.25"/>
    <m/>
    <m/>
    <m/>
    <m/>
    <m/>
    <m/>
    <m/>
    <m/>
    <m/>
    <m/>
    <m/>
    <m/>
    <n v="-1"/>
    <n v="-1"/>
    <n v="-1"/>
    <m/>
    <m/>
    <n v="518327"/>
    <n v="174138"/>
    <s v="Richmond"/>
    <s v="South Richmond"/>
    <x v="1"/>
    <x v="0"/>
    <m/>
    <x v="0"/>
    <m/>
    <s v="CA30 St Matthias Richmond"/>
    <s v="Y"/>
    <s v="Y"/>
    <x v="0"/>
  </r>
  <r>
    <s v="22/1278/GPD26"/>
    <n v="281"/>
    <s v="CHU"/>
    <s v="PA"/>
    <d v="2022-06-20T00:00:00"/>
    <d v="2025-06-20T00:00:00"/>
    <m/>
    <m/>
    <x v="2"/>
    <s v="Open Market"/>
    <m/>
    <s v="Change of use from offices in building of 67-71 High Street to seven residential flats (three 1-bed, three 2-bed, one 3-bed)"/>
    <s v="67 - 71 High Street, Hampton Hill, Hampton TW12 1NH_x000a_"/>
    <s v="TW12 1NH"/>
    <m/>
    <m/>
    <m/>
    <m/>
    <m/>
    <m/>
    <m/>
    <m/>
    <n v="0"/>
    <n v="3"/>
    <n v="3"/>
    <n v="1"/>
    <m/>
    <m/>
    <m/>
    <m/>
    <m/>
    <n v="7"/>
    <n v="3"/>
    <n v="3"/>
    <n v="1"/>
    <n v="0"/>
    <n v="0"/>
    <n v="0"/>
    <n v="0"/>
    <n v="0"/>
    <n v="7"/>
    <m/>
    <m/>
    <n v="1.75"/>
    <n v="1.75"/>
    <n v="1.75"/>
    <n v="1.75"/>
    <m/>
    <m/>
    <m/>
    <m/>
    <m/>
    <m/>
    <m/>
    <m/>
    <m/>
    <m/>
    <m/>
    <m/>
    <n v="7"/>
    <n v="7"/>
    <n v="7"/>
    <m/>
    <m/>
    <n v="514266"/>
    <n v="170834"/>
    <s v="Teddington and the Hamptons"/>
    <s v="Fulwell &amp; Hampton Hill"/>
    <x v="1"/>
    <x v="0"/>
    <s v="High Street, Hampton Hill"/>
    <x v="1"/>
    <m/>
    <s v="CA38 High Street Hampton Hill"/>
    <s v="Y"/>
    <m/>
    <x v="0"/>
  </r>
  <r>
    <s v="21/2533/FUL"/>
    <n v="282"/>
    <s v="NEW"/>
    <m/>
    <d v="2022-06-23T00:00:00"/>
    <d v="2025-06-23T00:00:00"/>
    <m/>
    <m/>
    <x v="2"/>
    <s v="Intermediate"/>
    <m/>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_x000a_"/>
    <s v="TW11 0HG"/>
    <m/>
    <m/>
    <m/>
    <m/>
    <m/>
    <m/>
    <m/>
    <m/>
    <n v="0"/>
    <n v="1"/>
    <n v="2"/>
    <m/>
    <m/>
    <m/>
    <m/>
    <m/>
    <m/>
    <n v="3"/>
    <n v="1"/>
    <n v="2"/>
    <n v="0"/>
    <n v="0"/>
    <n v="0"/>
    <n v="0"/>
    <n v="0"/>
    <n v="0"/>
    <n v="3"/>
    <s v="Y"/>
    <m/>
    <m/>
    <m/>
    <n v="1.5"/>
    <n v="1.5"/>
    <m/>
    <m/>
    <m/>
    <m/>
    <m/>
    <m/>
    <m/>
    <m/>
    <m/>
    <m/>
    <m/>
    <m/>
    <n v="3"/>
    <n v="3"/>
    <n v="3"/>
    <m/>
    <m/>
    <n v="515712"/>
    <n v="170847"/>
    <s v="Teddington and the Hamptons"/>
    <s v="Teddington"/>
    <x v="1"/>
    <x v="0"/>
    <m/>
    <x v="0"/>
    <m/>
    <m/>
    <m/>
    <s v="Y"/>
    <x v="0"/>
  </r>
  <r>
    <s v="21/2533/FUL"/>
    <n v="283"/>
    <s v="NEW"/>
    <m/>
    <d v="2022-06-23T00:00:00"/>
    <d v="2025-06-23T00:00:00"/>
    <m/>
    <m/>
    <x v="2"/>
    <s v="Social Rent"/>
    <m/>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_x000a_"/>
    <s v="TW11 0HG"/>
    <m/>
    <m/>
    <m/>
    <m/>
    <m/>
    <m/>
    <m/>
    <m/>
    <n v="0"/>
    <n v="2"/>
    <n v="11"/>
    <m/>
    <m/>
    <m/>
    <m/>
    <m/>
    <m/>
    <n v="13"/>
    <n v="2"/>
    <n v="11"/>
    <n v="0"/>
    <n v="0"/>
    <n v="0"/>
    <n v="0"/>
    <n v="0"/>
    <n v="0"/>
    <n v="13"/>
    <s v="Y"/>
    <m/>
    <m/>
    <m/>
    <n v="6.5"/>
    <n v="6.5"/>
    <m/>
    <m/>
    <m/>
    <m/>
    <m/>
    <m/>
    <m/>
    <m/>
    <m/>
    <m/>
    <m/>
    <m/>
    <n v="13"/>
    <n v="13"/>
    <n v="13"/>
    <m/>
    <m/>
    <n v="515712"/>
    <n v="170847"/>
    <s v="Teddington and the Hamptons"/>
    <s v="Teddington"/>
    <x v="1"/>
    <x v="0"/>
    <m/>
    <x v="0"/>
    <m/>
    <m/>
    <m/>
    <s v="Y"/>
    <x v="0"/>
  </r>
  <r>
    <s v="21/2764/FUL"/>
    <n v="284"/>
    <s v="CHU"/>
    <m/>
    <d v="2022-06-28T00:00:00"/>
    <d v="2025-06-28T00:00:00"/>
    <m/>
    <m/>
    <x v="2"/>
    <s v="Open Market"/>
    <m/>
    <s v="Change of use of ground floor to create mixed Class E and C3 uses to provide a retail unit at ground floor, a separately accessed office in the basement and the replacement of the former tyre fitting bay and parking area with a building comprising two residential units"/>
    <s v="311 Upper Richmond Road West, East Sheen, London SW14 8QR"/>
    <s v="SW14 8QR"/>
    <m/>
    <m/>
    <m/>
    <m/>
    <m/>
    <m/>
    <m/>
    <m/>
    <n v="0"/>
    <n v="1"/>
    <n v="1"/>
    <m/>
    <m/>
    <m/>
    <m/>
    <m/>
    <m/>
    <n v="2"/>
    <n v="1"/>
    <n v="1"/>
    <n v="0"/>
    <n v="0"/>
    <n v="0"/>
    <n v="0"/>
    <n v="0"/>
    <n v="0"/>
    <n v="2"/>
    <m/>
    <m/>
    <n v="0.5"/>
    <n v="0.5"/>
    <n v="0.5"/>
    <n v="0.5"/>
    <m/>
    <m/>
    <m/>
    <m/>
    <m/>
    <m/>
    <m/>
    <m/>
    <m/>
    <m/>
    <m/>
    <m/>
    <n v="2"/>
    <n v="2"/>
    <n v="2"/>
    <m/>
    <m/>
    <n v="520700"/>
    <n v="175411"/>
    <s v="Barnes and East Sheen"/>
    <s v="East Sheen"/>
    <x v="3"/>
    <x v="0"/>
    <m/>
    <x v="0"/>
    <m/>
    <m/>
    <m/>
    <s v="Y"/>
    <x v="0"/>
  </r>
  <r>
    <s v="19/0404/FUL"/>
    <n v="285"/>
    <s v="NEW"/>
    <m/>
    <d v="2022-06-30T00:00:00"/>
    <d v="2025-06-30T00:00:00"/>
    <m/>
    <m/>
    <x v="2"/>
    <s v="Open Market"/>
    <m/>
    <s v="Proposed construction of 2 bedroom dwellinghouse with 1No car parking space; secure storage for 2No cycles; refuse &amp; recycling storage; replacement of part of existing boundary wall with gates, piers &amp; railings to provide new pedestrian &amp; vehicular access"/>
    <s v="Land Adjacent To, 53 Old Deer Park Gardens, Richmond"/>
    <s v="TW9 2T"/>
    <m/>
    <m/>
    <m/>
    <m/>
    <m/>
    <m/>
    <m/>
    <m/>
    <n v="0"/>
    <m/>
    <n v="1"/>
    <m/>
    <m/>
    <m/>
    <m/>
    <m/>
    <m/>
    <n v="1"/>
    <n v="0"/>
    <n v="1"/>
    <n v="0"/>
    <n v="0"/>
    <n v="0"/>
    <n v="0"/>
    <n v="0"/>
    <n v="0"/>
    <n v="1"/>
    <m/>
    <m/>
    <n v="0.25"/>
    <n v="0.25"/>
    <n v="0.25"/>
    <n v="0.25"/>
    <m/>
    <m/>
    <m/>
    <m/>
    <m/>
    <m/>
    <m/>
    <m/>
    <m/>
    <m/>
    <m/>
    <m/>
    <n v="1"/>
    <n v="1"/>
    <n v="1"/>
    <m/>
    <m/>
    <n v="518195"/>
    <n v="175741"/>
    <s v="Richmond"/>
    <s v="North Richmond"/>
    <x v="1"/>
    <x v="0"/>
    <m/>
    <x v="0"/>
    <m/>
    <m/>
    <m/>
    <s v="Y"/>
    <x v="0"/>
  </r>
  <r>
    <s v="22/1924/GPD26"/>
    <n v="286"/>
    <s v="CHU"/>
    <s v="PA"/>
    <d v="2022-07-29T00:00:00"/>
    <d v="2025-07-29T00:00:00"/>
    <m/>
    <m/>
    <x v="2"/>
    <s v="Open Market"/>
    <m/>
    <s v="Conversion of Ground Floor Commercial unit (Class E) to Use Class C3 Dwelling-house, Comprising of 2 No x Self Contained Studio units."/>
    <s v="3 - 5 Wensleydale Road, Hampton"/>
    <s v="TW12 2LP"/>
    <m/>
    <m/>
    <m/>
    <m/>
    <m/>
    <m/>
    <m/>
    <m/>
    <n v="0"/>
    <n v="2"/>
    <m/>
    <m/>
    <m/>
    <m/>
    <m/>
    <m/>
    <m/>
    <n v="2"/>
    <n v="2"/>
    <n v="0"/>
    <n v="0"/>
    <n v="0"/>
    <n v="0"/>
    <n v="0"/>
    <n v="0"/>
    <n v="0"/>
    <n v="2"/>
    <m/>
    <m/>
    <n v="0.5"/>
    <n v="0.5"/>
    <n v="0.5"/>
    <n v="0.5"/>
    <m/>
    <m/>
    <m/>
    <m/>
    <m/>
    <m/>
    <m/>
    <m/>
    <m/>
    <m/>
    <m/>
    <m/>
    <n v="2"/>
    <n v="2"/>
    <n v="2"/>
    <m/>
    <m/>
    <n v="513450"/>
    <n v="169954"/>
    <s v="Teddington and the Hamptons"/>
    <s v="Hampton"/>
    <x v="1"/>
    <x v="0"/>
    <s v="Wensleydale Road, Hampton"/>
    <x v="1"/>
    <m/>
    <m/>
    <m/>
    <s v="Y"/>
    <x v="0"/>
  </r>
  <r>
    <s v="22/1568/FUL"/>
    <n v="287"/>
    <s v="NEW"/>
    <m/>
    <d v="2022-08-09T00:00:00"/>
    <d v="2025-08-09T00:00:00"/>
    <m/>
    <m/>
    <x v="2"/>
    <s v="Open Market"/>
    <m/>
    <s v="Demolition of the existing 5-bed bungalow and replacement with a 5-bed family house. Associated hard and soft landscaping. Installation of vehicular and pedestrian gate. Bike and refuse stores."/>
    <s v="Jude Gate, 35 Ham Common, Ham, Richmond, TW10 7JG, "/>
    <s v="TW10 7JG"/>
    <m/>
    <m/>
    <m/>
    <m/>
    <n v="1"/>
    <m/>
    <m/>
    <m/>
    <n v="1"/>
    <m/>
    <m/>
    <m/>
    <m/>
    <n v="1"/>
    <m/>
    <m/>
    <m/>
    <n v="1"/>
    <n v="0"/>
    <n v="0"/>
    <n v="0"/>
    <n v="-1"/>
    <n v="1"/>
    <n v="0"/>
    <n v="0"/>
    <n v="0"/>
    <n v="0"/>
    <m/>
    <m/>
    <n v="0"/>
    <m/>
    <m/>
    <m/>
    <m/>
    <m/>
    <m/>
    <m/>
    <m/>
    <m/>
    <m/>
    <m/>
    <m/>
    <m/>
    <m/>
    <m/>
    <n v="0"/>
    <n v="0"/>
    <n v="0"/>
    <m/>
    <m/>
    <n v="517552"/>
    <n v="172166"/>
    <s v="Ham &amp; Petersham"/>
    <s v="Ham, Petersham &amp; Richmond Riverside"/>
    <x v="1"/>
    <x v="0"/>
    <m/>
    <x v="0"/>
    <m/>
    <s v="CA7 Ham Common"/>
    <s v="Y"/>
    <m/>
    <x v="0"/>
  </r>
  <r>
    <s v="21/2151/FUL"/>
    <n v="288"/>
    <s v="NEW"/>
    <m/>
    <d v="2022-08-10T00:00:00"/>
    <d v="2025-08-10T00:00:00"/>
    <m/>
    <m/>
    <x v="2"/>
    <s v="Open Market"/>
    <m/>
    <s v="Demolition of the existing three storey house and erection of a replacement two storey plus basement single family dwelling with associated hard and soft landscpaing and refuse store."/>
    <s v="40 West Temple Sheen, East Sheen, London, SW14 7AP"/>
    <s v="SW14 7AP"/>
    <m/>
    <m/>
    <m/>
    <m/>
    <m/>
    <n v="1"/>
    <m/>
    <m/>
    <n v="1"/>
    <m/>
    <m/>
    <m/>
    <m/>
    <n v="1"/>
    <m/>
    <m/>
    <m/>
    <n v="1"/>
    <n v="0"/>
    <n v="0"/>
    <n v="0"/>
    <n v="0"/>
    <n v="0"/>
    <n v="0"/>
    <n v="0"/>
    <n v="0"/>
    <n v="0"/>
    <m/>
    <m/>
    <n v="0"/>
    <m/>
    <m/>
    <m/>
    <m/>
    <m/>
    <m/>
    <m/>
    <m/>
    <m/>
    <m/>
    <m/>
    <m/>
    <m/>
    <m/>
    <m/>
    <n v="0"/>
    <n v="0"/>
    <n v="0"/>
    <m/>
    <m/>
    <n v="519892"/>
    <n v="174721"/>
    <s v="Barnes and East Sheen"/>
    <s v="East Sheen"/>
    <x v="1"/>
    <x v="0"/>
    <m/>
    <x v="0"/>
    <m/>
    <m/>
    <m/>
    <s v="Y"/>
    <x v="0"/>
  </r>
  <r>
    <s v="21/3140/FUL"/>
    <n v="289"/>
    <s v="NEW"/>
    <m/>
    <d v="2022-08-12T00:00:00"/>
    <d v="2025-08-12T00:00:00"/>
    <m/>
    <m/>
    <x v="2"/>
    <s v="Open Market"/>
    <m/>
    <s v="Demolition of 3 houses and construction of 8 new houses at 38 to 42 Vincam close"/>
    <s v="38 - 42 Vincam Close, Twickenham_x000a__x000a_"/>
    <m/>
    <m/>
    <m/>
    <n v="1"/>
    <n v="1"/>
    <m/>
    <n v="1"/>
    <m/>
    <m/>
    <n v="3"/>
    <m/>
    <m/>
    <n v="6"/>
    <n v="2"/>
    <m/>
    <m/>
    <m/>
    <m/>
    <n v="8"/>
    <n v="0"/>
    <n v="-1"/>
    <n v="5"/>
    <n v="2"/>
    <n v="-1"/>
    <n v="0"/>
    <n v="0"/>
    <n v="0"/>
    <n v="5"/>
    <m/>
    <m/>
    <n v="1.25"/>
    <n v="1.25"/>
    <n v="1.25"/>
    <n v="1.25"/>
    <m/>
    <m/>
    <m/>
    <m/>
    <m/>
    <m/>
    <m/>
    <m/>
    <m/>
    <m/>
    <m/>
    <m/>
    <n v="5"/>
    <n v="5"/>
    <n v="5"/>
    <m/>
    <m/>
    <n v="513356"/>
    <n v="173823"/>
    <s v="Whitton"/>
    <s v="Whitton"/>
    <x v="1"/>
    <x v="0"/>
    <m/>
    <x v="0"/>
    <m/>
    <m/>
    <m/>
    <s v="Y"/>
    <x v="0"/>
  </r>
  <r>
    <s v="22/0208/FUL"/>
    <n v="290"/>
    <s v="NEW"/>
    <m/>
    <d v="2022-09-02T00:00:00"/>
    <d v="2025-09-02T00:00:00"/>
    <m/>
    <m/>
    <x v="2"/>
    <s v="Open Market"/>
    <m/>
    <s v="Construction of two-storey house with basement."/>
    <s v="3 Bridle Lane, Twickenham, TW1 3EG"/>
    <s v="TW1 3EG"/>
    <m/>
    <m/>
    <m/>
    <m/>
    <m/>
    <m/>
    <m/>
    <m/>
    <n v="0"/>
    <m/>
    <n v="1"/>
    <m/>
    <m/>
    <m/>
    <m/>
    <m/>
    <m/>
    <n v="1"/>
    <n v="0"/>
    <n v="1"/>
    <n v="0"/>
    <n v="0"/>
    <n v="0"/>
    <n v="0"/>
    <n v="0"/>
    <n v="0"/>
    <n v="1"/>
    <m/>
    <m/>
    <n v="0.25"/>
    <n v="0.25"/>
    <n v="0.25"/>
    <n v="0.25"/>
    <m/>
    <m/>
    <m/>
    <m/>
    <m/>
    <m/>
    <m/>
    <m/>
    <m/>
    <m/>
    <m/>
    <m/>
    <n v="1"/>
    <n v="1"/>
    <n v="1"/>
    <m/>
    <m/>
    <n v="516814"/>
    <n v="174186"/>
    <s v="Twickenham"/>
    <s v="St. Margarets &amp; North Twickenham"/>
    <x v="1"/>
    <x v="0"/>
    <m/>
    <x v="0"/>
    <m/>
    <m/>
    <m/>
    <s v="Y"/>
    <x v="0"/>
  </r>
  <r>
    <s v="21/4257/FUL"/>
    <n v="291"/>
    <s v="NEW"/>
    <m/>
    <d v="2022-09-05T00:00:00"/>
    <d v="2025-09-05T00:00:00"/>
    <m/>
    <m/>
    <x v="2"/>
    <s v="Open Market"/>
    <m/>
    <s v="Demolition of Existing House and Garaging and Erection of New Replacement Two Storey House with Part Basement, Additional Accommodation within the Roof Space, Attached Garages and External Works."/>
    <s v="Denbigh, 34 Lower Teddington Road, Hampton Wick, Kingston Upon Thames KT1 4HJ_x000a_"/>
    <s v="KT1 4HJ"/>
    <m/>
    <m/>
    <m/>
    <m/>
    <m/>
    <n v="1"/>
    <m/>
    <m/>
    <n v="1"/>
    <m/>
    <m/>
    <m/>
    <m/>
    <n v="1"/>
    <m/>
    <m/>
    <m/>
    <n v="1"/>
    <n v="0"/>
    <n v="0"/>
    <n v="0"/>
    <n v="0"/>
    <n v="0"/>
    <n v="0"/>
    <n v="0"/>
    <n v="0"/>
    <n v="0"/>
    <m/>
    <m/>
    <n v="0"/>
    <m/>
    <m/>
    <m/>
    <m/>
    <m/>
    <m/>
    <m/>
    <m/>
    <m/>
    <m/>
    <m/>
    <m/>
    <m/>
    <m/>
    <m/>
    <n v="0"/>
    <n v="0"/>
    <n v="0"/>
    <m/>
    <m/>
    <n v="517672"/>
    <n v="170048"/>
    <s v="Teddington and the Hamptons"/>
    <s v="Hampton Wick &amp; South Teddington"/>
    <x v="1"/>
    <x v="1"/>
    <m/>
    <x v="0"/>
    <m/>
    <s v="CA18 Hampton Wick"/>
    <s v="Y"/>
    <s v="Y"/>
    <x v="1"/>
  </r>
  <r>
    <s v="21/2209/FUL"/>
    <n v="292"/>
    <s v="MIX"/>
    <m/>
    <d v="2022-09-12T00:00:00"/>
    <d v="2025-09-12T00:00:00"/>
    <m/>
    <m/>
    <x v="2"/>
    <s v="Open Market"/>
    <m/>
    <s v="Extension and subdivision of existing end of terrace house to form two maisonette flats."/>
    <s v="155 Priory Road, Hampton, TW12 2PT"/>
    <s v="TW12 2PT"/>
    <m/>
    <m/>
    <m/>
    <n v="1"/>
    <m/>
    <m/>
    <m/>
    <m/>
    <n v="1"/>
    <m/>
    <n v="1"/>
    <n v="1"/>
    <m/>
    <m/>
    <m/>
    <m/>
    <m/>
    <n v="2"/>
    <n v="0"/>
    <n v="1"/>
    <n v="0"/>
    <n v="0"/>
    <n v="0"/>
    <n v="0"/>
    <n v="0"/>
    <n v="0"/>
    <n v="1"/>
    <m/>
    <m/>
    <n v="0.25"/>
    <n v="0.25"/>
    <n v="0.25"/>
    <n v="0.25"/>
    <m/>
    <m/>
    <m/>
    <m/>
    <m/>
    <m/>
    <m/>
    <m/>
    <m/>
    <m/>
    <m/>
    <m/>
    <n v="1"/>
    <n v="1"/>
    <n v="1"/>
    <m/>
    <m/>
    <n v="512618"/>
    <n v="170021"/>
    <s v="Teddington and the Hamptons"/>
    <s v="Hampton"/>
    <x v="1"/>
    <x v="0"/>
    <m/>
    <x v="0"/>
    <m/>
    <m/>
    <m/>
    <s v="Y"/>
    <x v="0"/>
  </r>
  <r>
    <s v="21/1907/FUL"/>
    <n v="293"/>
    <s v="NEW"/>
    <m/>
    <d v="2022-09-13T00:00:00"/>
    <d v="2025-09-13T00:00:00"/>
    <m/>
    <m/>
    <x v="2"/>
    <s v="Open Market"/>
    <m/>
    <s v="DEMOLITION OF EXISTING TWO (2) STOREY DETACHED DWELLING AND CONSTRUCTION OF NEW TWO (2) STOREY DETACHED DWELLING WITH HABITABLE ROOF SPACE."/>
    <s v="42 Ormond Crescent, Hampton, TW12 2TH"/>
    <s v="TW12 2TH"/>
    <m/>
    <m/>
    <m/>
    <n v="1"/>
    <m/>
    <m/>
    <m/>
    <m/>
    <n v="1"/>
    <m/>
    <m/>
    <m/>
    <m/>
    <n v="1"/>
    <m/>
    <m/>
    <m/>
    <n v="1"/>
    <n v="0"/>
    <n v="0"/>
    <n v="-1"/>
    <n v="0"/>
    <n v="1"/>
    <n v="0"/>
    <n v="0"/>
    <n v="0"/>
    <n v="0"/>
    <m/>
    <m/>
    <n v="0"/>
    <m/>
    <m/>
    <m/>
    <m/>
    <m/>
    <m/>
    <m/>
    <m/>
    <m/>
    <m/>
    <m/>
    <m/>
    <m/>
    <m/>
    <m/>
    <n v="0"/>
    <n v="0"/>
    <n v="0"/>
    <m/>
    <m/>
    <n v="513869"/>
    <n v="169984"/>
    <s v="Teddington and the Hamptons"/>
    <s v="Hampton"/>
    <x v="1"/>
    <x v="0"/>
    <m/>
    <x v="0"/>
    <m/>
    <m/>
    <m/>
    <s v="Y"/>
    <x v="0"/>
  </r>
  <r>
    <s v="22/1513/FUL"/>
    <n v="294"/>
    <s v="NEW"/>
    <m/>
    <d v="2022-09-16T00:00:00"/>
    <d v="2025-09-16T00:00:00"/>
    <m/>
    <m/>
    <x v="2"/>
    <s v="Open Market"/>
    <m/>
    <s v="Erection of a new dwelling with associated parking and landscaping."/>
    <s v="2A Courtlands Avenue, Hampton TW12 3NT_x000a_"/>
    <s v="TW12 3NT"/>
    <m/>
    <m/>
    <m/>
    <m/>
    <m/>
    <m/>
    <m/>
    <m/>
    <n v="0"/>
    <m/>
    <m/>
    <m/>
    <n v="1"/>
    <m/>
    <m/>
    <m/>
    <m/>
    <n v="1"/>
    <n v="0"/>
    <n v="0"/>
    <n v="0"/>
    <n v="1"/>
    <n v="0"/>
    <n v="0"/>
    <n v="0"/>
    <n v="0"/>
    <n v="1"/>
    <m/>
    <m/>
    <n v="0.25"/>
    <n v="0.25"/>
    <n v="0.25"/>
    <n v="0.25"/>
    <m/>
    <m/>
    <m/>
    <m/>
    <m/>
    <m/>
    <m/>
    <m/>
    <m/>
    <m/>
    <m/>
    <m/>
    <n v="1"/>
    <n v="1"/>
    <n v="1"/>
    <m/>
    <m/>
    <n v="512954"/>
    <n v="170628"/>
    <s v="Teddington and the Hamptons"/>
    <s v="Hampton North"/>
    <x v="1"/>
    <x v="0"/>
    <m/>
    <x v="0"/>
    <m/>
    <m/>
    <m/>
    <m/>
    <x v="0"/>
  </r>
  <r>
    <s v="22/1916/FUL"/>
    <n v="295"/>
    <s v="NEW"/>
    <m/>
    <d v="2022-10-12T00:00:00"/>
    <d v="2025-10-12T00:00:00"/>
    <m/>
    <m/>
    <x v="2"/>
    <s v="Open Market"/>
    <m/>
    <s v="Demolition of an existing detached residence and construction of a replacement 2 storey 5 bedroom house and associated hard and soft landscaping, refuse and cycle parking facilities"/>
    <s v="32 Sandy Lane, Petersham, Richmond TW10 7EL"/>
    <s v="TW10 7EL"/>
    <m/>
    <m/>
    <m/>
    <n v="1"/>
    <m/>
    <m/>
    <m/>
    <m/>
    <n v="1"/>
    <m/>
    <m/>
    <m/>
    <m/>
    <n v="1"/>
    <m/>
    <m/>
    <m/>
    <n v="1"/>
    <n v="0"/>
    <n v="0"/>
    <n v="-1"/>
    <n v="0"/>
    <n v="1"/>
    <n v="0"/>
    <n v="0"/>
    <n v="0"/>
    <n v="0"/>
    <m/>
    <m/>
    <n v="0"/>
    <m/>
    <m/>
    <m/>
    <m/>
    <m/>
    <m/>
    <m/>
    <m/>
    <m/>
    <m/>
    <m/>
    <m/>
    <m/>
    <m/>
    <m/>
    <n v="0"/>
    <n v="0"/>
    <n v="0"/>
    <m/>
    <m/>
    <n v="517779"/>
    <n v="172645"/>
    <s v="Ham &amp; Petersham"/>
    <s v="Ham, Petersham &amp; Richmond Riverside"/>
    <x v="1"/>
    <x v="0"/>
    <m/>
    <x v="0"/>
    <m/>
    <m/>
    <m/>
    <m/>
    <x v="0"/>
  </r>
  <r>
    <s v="20/1871/FUL"/>
    <n v="296"/>
    <s v="NEW"/>
    <m/>
    <d v="2022-10-20T00:00:00"/>
    <d v="2025-10-20T00:00:00"/>
    <m/>
    <m/>
    <x v="2"/>
    <s v="Open Market"/>
    <m/>
    <s v="Demolition of two blocks of lock-up garages and construction of 3 x 2 bed dwellings with associated structures and landscaping works."/>
    <s v="Land R/O 8 To 18 Atbara Road, Teddington"/>
    <s v="TW11"/>
    <m/>
    <m/>
    <m/>
    <m/>
    <m/>
    <m/>
    <m/>
    <m/>
    <n v="0"/>
    <m/>
    <n v="3"/>
    <m/>
    <m/>
    <m/>
    <m/>
    <m/>
    <m/>
    <n v="3"/>
    <n v="0"/>
    <n v="3"/>
    <n v="0"/>
    <n v="0"/>
    <n v="0"/>
    <n v="0"/>
    <n v="0"/>
    <n v="0"/>
    <n v="3"/>
    <m/>
    <m/>
    <n v="0.75"/>
    <n v="0.75"/>
    <n v="0.75"/>
    <n v="0.75"/>
    <m/>
    <m/>
    <m/>
    <m/>
    <m/>
    <m/>
    <m/>
    <m/>
    <m/>
    <m/>
    <m/>
    <m/>
    <n v="3"/>
    <n v="3"/>
    <n v="3"/>
    <m/>
    <m/>
    <n v="516900"/>
    <n v="170739"/>
    <s v="Teddington and the Hamptons"/>
    <s v="Hampton Wick &amp; South Teddington"/>
    <x v="1"/>
    <x v="0"/>
    <m/>
    <x v="0"/>
    <m/>
    <m/>
    <m/>
    <s v="Y"/>
    <x v="0"/>
  </r>
  <r>
    <s v="21/4201/FUL"/>
    <n v="297"/>
    <s v="NEW"/>
    <m/>
    <d v="2022-10-21T00:00:00"/>
    <d v="2025-10-21T00:00:00"/>
    <m/>
    <m/>
    <x v="2"/>
    <s v="Open Market"/>
    <m/>
    <s v="Erection of a new dwellinghouse with associated parking and landscaping following the demolition of the existing house."/>
    <s v="5 Monmouth Avenue, Hampton Wick, Kingston Upon Thames, KT1 4HR"/>
    <s v="KT1 4HR"/>
    <m/>
    <m/>
    <m/>
    <n v="1"/>
    <m/>
    <m/>
    <m/>
    <m/>
    <n v="1"/>
    <m/>
    <m/>
    <m/>
    <n v="1"/>
    <m/>
    <m/>
    <m/>
    <m/>
    <n v="1"/>
    <n v="0"/>
    <n v="0"/>
    <n v="-1"/>
    <n v="1"/>
    <n v="0"/>
    <n v="0"/>
    <n v="0"/>
    <n v="0"/>
    <n v="0"/>
    <m/>
    <m/>
    <n v="0"/>
    <m/>
    <m/>
    <m/>
    <m/>
    <m/>
    <m/>
    <m/>
    <m/>
    <m/>
    <m/>
    <m/>
    <m/>
    <m/>
    <m/>
    <m/>
    <n v="0"/>
    <n v="0"/>
    <n v="0"/>
    <m/>
    <m/>
    <n v="517493"/>
    <n v="170091"/>
    <s v="Teddington and the Hamptons"/>
    <s v="Hampton Wick &amp; South Teddington"/>
    <x v="1"/>
    <x v="0"/>
    <m/>
    <x v="0"/>
    <m/>
    <m/>
    <m/>
    <s v="Y"/>
    <x v="0"/>
  </r>
  <r>
    <s v="21/3800/FUL"/>
    <n v="298"/>
    <s v="CON"/>
    <m/>
    <d v="2022-11-07T00:00:00"/>
    <d v="2025-11-07T00:00:00"/>
    <m/>
    <m/>
    <x v="2"/>
    <s v="Open Market"/>
    <m/>
    <s v="Change of use of single dwelling house to provide one x 4 bedroom dwelling and one x 2 bedroom dwelling"/>
    <s v="286 Staines Road, Twickenham TW2 5AS_x000a_"/>
    <s v="TW2 5AS"/>
    <m/>
    <m/>
    <m/>
    <m/>
    <m/>
    <m/>
    <n v="1"/>
    <m/>
    <n v="1"/>
    <m/>
    <n v="1"/>
    <m/>
    <n v="1"/>
    <m/>
    <m/>
    <m/>
    <m/>
    <n v="2"/>
    <n v="0"/>
    <n v="1"/>
    <n v="0"/>
    <n v="1"/>
    <n v="0"/>
    <n v="-1"/>
    <n v="0"/>
    <n v="0"/>
    <n v="1"/>
    <m/>
    <m/>
    <n v="0.25"/>
    <n v="0.25"/>
    <n v="0.25"/>
    <n v="0.25"/>
    <m/>
    <m/>
    <m/>
    <m/>
    <m/>
    <m/>
    <m/>
    <m/>
    <m/>
    <m/>
    <m/>
    <m/>
    <n v="1"/>
    <n v="1"/>
    <n v="1"/>
    <m/>
    <m/>
    <n v="514221"/>
    <n v="172513"/>
    <s v="Twickenham"/>
    <s v="West Twickenham"/>
    <x v="1"/>
    <x v="0"/>
    <m/>
    <x v="0"/>
    <m/>
    <m/>
    <m/>
    <m/>
    <x v="0"/>
  </r>
  <r>
    <s v="22/0399/FUL"/>
    <n v="299"/>
    <s v="NEW"/>
    <m/>
    <d v="2022-11-07T00:00:00"/>
    <d v="2025-11-07T00:00:00"/>
    <m/>
    <m/>
    <x v="2"/>
    <s v="Co-living"/>
    <m/>
    <s v="Construction of a part 1/2/3 storey building including basement level to provide 14 co-living units (sui generis) and associated hard and soft landscaping, cycle and refuse stores"/>
    <s v="47A 47 And 49 Lower Mortlake Road, Richmond"/>
    <s v="TW9 2LW"/>
    <m/>
    <m/>
    <m/>
    <m/>
    <m/>
    <m/>
    <m/>
    <m/>
    <n v="0"/>
    <n v="14"/>
    <m/>
    <m/>
    <m/>
    <m/>
    <m/>
    <m/>
    <m/>
    <n v="14"/>
    <n v="14"/>
    <n v="0"/>
    <n v="0"/>
    <n v="0"/>
    <n v="0"/>
    <n v="0"/>
    <n v="0"/>
    <n v="0"/>
    <n v="14"/>
    <s v="Y"/>
    <m/>
    <n v="3.5"/>
    <n v="3.5"/>
    <n v="3.5"/>
    <n v="3.5"/>
    <m/>
    <m/>
    <m/>
    <m/>
    <m/>
    <m/>
    <m/>
    <m/>
    <m/>
    <m/>
    <m/>
    <m/>
    <n v="14"/>
    <n v="14"/>
    <n v="14"/>
    <m/>
    <m/>
    <n v="518347"/>
    <n v="175427"/>
    <s v="Richmond"/>
    <s v="North Richmond"/>
    <x v="1"/>
    <x v="0"/>
    <m/>
    <x v="0"/>
    <m/>
    <m/>
    <m/>
    <s v="Y"/>
    <x v="0"/>
  </r>
  <r>
    <s v="22/1825/FUL"/>
    <n v="300"/>
    <s v="NEW"/>
    <m/>
    <d v="2022-11-07T00:00:00"/>
    <d v="2025-11-07T00:00:00"/>
    <m/>
    <m/>
    <x v="2"/>
    <s v="Social Rent"/>
    <m/>
    <s v="Demolition of existing dwelling and associated outbuildings, and erection of 4no. new 1bed and 2bed affordable flats, with associated landscaping, cycle and refuse stores"/>
    <s v="88 Richmond Road, Twickenham TW1 3BB"/>
    <s v="TW1 3BB"/>
    <m/>
    <m/>
    <m/>
    <n v="1"/>
    <m/>
    <m/>
    <m/>
    <m/>
    <n v="1"/>
    <n v="3"/>
    <n v="1"/>
    <m/>
    <m/>
    <m/>
    <m/>
    <m/>
    <m/>
    <n v="4"/>
    <n v="3"/>
    <n v="1"/>
    <n v="-1"/>
    <n v="0"/>
    <n v="0"/>
    <n v="0"/>
    <n v="0"/>
    <n v="0"/>
    <n v="3"/>
    <m/>
    <m/>
    <n v="0.75"/>
    <n v="0.75"/>
    <n v="0.75"/>
    <n v="0.75"/>
    <m/>
    <m/>
    <m/>
    <m/>
    <m/>
    <m/>
    <m/>
    <m/>
    <m/>
    <m/>
    <m/>
    <m/>
    <n v="3"/>
    <n v="3"/>
    <n v="3"/>
    <m/>
    <m/>
    <n v="516734"/>
    <n v="173647"/>
    <s v="Twickenham"/>
    <s v="Twickenham Riverside"/>
    <x v="1"/>
    <x v="0"/>
    <m/>
    <x v="0"/>
    <s v="Orleans School"/>
    <s v="CA8 Twickenham Riverside"/>
    <s v="Y"/>
    <s v="Y"/>
    <x v="0"/>
  </r>
  <r>
    <s v="20/0969/FUL"/>
    <n v="301"/>
    <s v="NEW"/>
    <m/>
    <d v="2022-11-10T00:00:00"/>
    <d v="2025-11-10T00:00:00"/>
    <m/>
    <m/>
    <x v="2"/>
    <s v="Open Market"/>
    <m/>
    <s v="The demolition of an existing garage and ancillary outbuildings on garden land and the construction of 2 new detached houses."/>
    <s v="Land Rear Of 256 To 258 Kingston Road, Teddington"/>
    <s v="TW11"/>
    <m/>
    <m/>
    <m/>
    <m/>
    <m/>
    <m/>
    <m/>
    <m/>
    <n v="0"/>
    <m/>
    <n v="2"/>
    <m/>
    <m/>
    <m/>
    <m/>
    <m/>
    <m/>
    <n v="2"/>
    <n v="0"/>
    <n v="2"/>
    <n v="0"/>
    <n v="0"/>
    <n v="0"/>
    <n v="0"/>
    <n v="0"/>
    <n v="0"/>
    <n v="2"/>
    <m/>
    <m/>
    <n v="0.5"/>
    <n v="0.5"/>
    <n v="0.5"/>
    <n v="0.5"/>
    <m/>
    <m/>
    <m/>
    <m/>
    <m/>
    <m/>
    <m/>
    <m/>
    <m/>
    <m/>
    <m/>
    <m/>
    <n v="2"/>
    <n v="2"/>
    <n v="2"/>
    <m/>
    <m/>
    <n v="517060"/>
    <n v="170217"/>
    <s v="Teddington and the Hamptons"/>
    <s v="Hampton Wick &amp; South Teddington"/>
    <x v="1"/>
    <x v="0"/>
    <m/>
    <x v="0"/>
    <m/>
    <s v="CA83 Wick Road"/>
    <s v="Y"/>
    <s v="Y"/>
    <x v="1"/>
  </r>
  <r>
    <s v="22/2877/GPD26"/>
    <n v="302"/>
    <s v="CHU"/>
    <s v="PA"/>
    <d v="2022-11-24T00:00:00"/>
    <d v="2025-11-24T00:00:00"/>
    <m/>
    <m/>
    <x v="2"/>
    <s v="Open Market"/>
    <m/>
    <s v="Change of Use from the existing Use Class E (dental surgery) to the Use Class C3 (Residential Flat)"/>
    <s v="9A Tangley Park Road, Hampton TW12 3YH"/>
    <s v="TW12 3YH"/>
    <m/>
    <m/>
    <m/>
    <m/>
    <m/>
    <m/>
    <m/>
    <m/>
    <n v="0"/>
    <n v="1"/>
    <m/>
    <m/>
    <m/>
    <m/>
    <m/>
    <m/>
    <m/>
    <n v="1"/>
    <n v="1"/>
    <n v="0"/>
    <n v="0"/>
    <n v="0"/>
    <n v="0"/>
    <n v="0"/>
    <n v="0"/>
    <n v="0"/>
    <n v="1"/>
    <m/>
    <m/>
    <n v="0.25"/>
    <n v="0.25"/>
    <n v="0.25"/>
    <n v="0.25"/>
    <m/>
    <m/>
    <m/>
    <m/>
    <m/>
    <m/>
    <m/>
    <m/>
    <m/>
    <m/>
    <m/>
    <m/>
    <n v="1"/>
    <n v="1"/>
    <n v="1"/>
    <m/>
    <m/>
    <n v="512819"/>
    <n v="170921"/>
    <s v="Teddington and the Hamptons"/>
    <s v="Hampton North"/>
    <x v="1"/>
    <x v="0"/>
    <m/>
    <x v="0"/>
    <m/>
    <m/>
    <m/>
    <m/>
    <x v="0"/>
  </r>
  <r>
    <s v="22/2994/GPH03"/>
    <n v="303"/>
    <s v="EXT"/>
    <s v="PA"/>
    <d v="2022-11-29T00:00:00"/>
    <d v="2025-11-29T00:00:00"/>
    <m/>
    <m/>
    <x v="2"/>
    <s v="Open Market"/>
    <m/>
    <s v="Erection of a roof extension comprising an additional storey (providing 3 additional residential units) to the existing mixed-use, 3 storey terraced building along with the provision of a green roof, refuse and recycling storage and cycle parking associat"/>
    <s v="Canham House, 17 Heath Road, Twickenham TW1 4AW_x000a_"/>
    <s v="TW1 4AW"/>
    <m/>
    <m/>
    <m/>
    <m/>
    <m/>
    <m/>
    <m/>
    <m/>
    <n v="0"/>
    <n v="1"/>
    <n v="2"/>
    <m/>
    <m/>
    <m/>
    <m/>
    <m/>
    <m/>
    <n v="3"/>
    <n v="1"/>
    <n v="2"/>
    <n v="0"/>
    <n v="0"/>
    <n v="0"/>
    <n v="0"/>
    <n v="0"/>
    <n v="0"/>
    <n v="3"/>
    <m/>
    <m/>
    <n v="0.75"/>
    <n v="0.75"/>
    <n v="0.75"/>
    <n v="0.75"/>
    <m/>
    <m/>
    <m/>
    <m/>
    <m/>
    <m/>
    <m/>
    <m/>
    <m/>
    <m/>
    <m/>
    <m/>
    <n v="3"/>
    <n v="3"/>
    <n v="3"/>
    <m/>
    <m/>
    <n v="516087"/>
    <n v="173122"/>
    <s v="Twickenham"/>
    <s v="South Twickenham"/>
    <x v="2"/>
    <x v="0"/>
    <m/>
    <x v="0"/>
    <m/>
    <m/>
    <m/>
    <s v="Y"/>
    <x v="0"/>
  </r>
  <r>
    <s v="22/0663/FUL"/>
    <n v="304"/>
    <s v="EXT"/>
    <m/>
    <d v="2022-11-30T00:00:00"/>
    <d v="2025-11-30T00:00:00"/>
    <m/>
    <m/>
    <x v="2"/>
    <s v="Open Market"/>
    <m/>
    <s v="Demolition of existing outbuilding.  Erection of side/rear extension to additional office floorspace and create 1 x 1 bed flat with associated landscaping, cycle and refuse storage facilities."/>
    <s v="53 Sheen Lane, East Sheen, London SW14 8AB"/>
    <s v="SW14 8AB"/>
    <m/>
    <m/>
    <m/>
    <m/>
    <m/>
    <m/>
    <m/>
    <m/>
    <n v="0"/>
    <n v="1"/>
    <m/>
    <m/>
    <m/>
    <m/>
    <m/>
    <m/>
    <m/>
    <n v="1"/>
    <n v="1"/>
    <n v="0"/>
    <n v="0"/>
    <n v="0"/>
    <n v="0"/>
    <n v="0"/>
    <n v="0"/>
    <n v="0"/>
    <n v="1"/>
    <m/>
    <m/>
    <n v="0.25"/>
    <n v="0.25"/>
    <n v="0.25"/>
    <n v="0.25"/>
    <m/>
    <m/>
    <m/>
    <m/>
    <m/>
    <m/>
    <m/>
    <m/>
    <m/>
    <m/>
    <m/>
    <m/>
    <n v="1"/>
    <n v="1"/>
    <n v="1"/>
    <m/>
    <m/>
    <n v="520508"/>
    <n v="175676"/>
    <s v="Barnes and East Sheen"/>
    <s v="East Sheen"/>
    <x v="3"/>
    <x v="0"/>
    <m/>
    <x v="0"/>
    <m/>
    <s v="CA70 Sheen Lane Mortlake"/>
    <s v="Y"/>
    <s v="Y"/>
    <x v="0"/>
  </r>
  <r>
    <s v="22/3043/GPD24"/>
    <n v="305"/>
    <s v="CHU"/>
    <s v="PA"/>
    <d v="2022-11-30T00:00:00"/>
    <d v="2025-11-30T00:00:00"/>
    <m/>
    <m/>
    <x v="2"/>
    <s v="Open Market"/>
    <m/>
    <s v="Change of use from Class E (commercial, business and service) to Mixed Use Class E (commercial, business and service) and Class C3 (dwellinghouses) to provide 1x self-contained dwelling."/>
    <s v="357 Upper Richmond Road West, East Sheen, London SW14 8QN"/>
    <s v="SW14 8QN"/>
    <m/>
    <m/>
    <m/>
    <m/>
    <m/>
    <m/>
    <m/>
    <m/>
    <n v="0"/>
    <n v="1"/>
    <m/>
    <m/>
    <m/>
    <m/>
    <m/>
    <m/>
    <m/>
    <n v="1"/>
    <n v="1"/>
    <n v="0"/>
    <n v="0"/>
    <n v="0"/>
    <n v="0"/>
    <n v="0"/>
    <n v="0"/>
    <n v="0"/>
    <n v="1"/>
    <m/>
    <m/>
    <n v="0.25"/>
    <n v="0.25"/>
    <n v="0.25"/>
    <n v="0.25"/>
    <m/>
    <m/>
    <m/>
    <m/>
    <m/>
    <m/>
    <m/>
    <m/>
    <m/>
    <m/>
    <m/>
    <m/>
    <n v="1"/>
    <n v="1"/>
    <n v="1"/>
    <m/>
    <m/>
    <n v="520553"/>
    <n v="175393"/>
    <s v="Barnes and East Sheen"/>
    <s v="East Sheen"/>
    <x v="3"/>
    <x v="0"/>
    <m/>
    <x v="0"/>
    <m/>
    <m/>
    <m/>
    <s v="Y"/>
    <x v="0"/>
  </r>
  <r>
    <s v="22/1742/FUL"/>
    <n v="306"/>
    <s v="NEW"/>
    <m/>
    <d v="2022-12-09T00:00:00"/>
    <d v="2025-12-09T00:00:00"/>
    <m/>
    <m/>
    <x v="2"/>
    <s v="Open Market"/>
    <m/>
    <s v="Demolition of existing building and erection of two semi-detached houses"/>
    <s v="34 Udney Park Road, Teddington, TW11 9BG"/>
    <s v="TW11 9BG"/>
    <m/>
    <m/>
    <m/>
    <n v="1"/>
    <m/>
    <m/>
    <m/>
    <m/>
    <n v="1"/>
    <m/>
    <m/>
    <m/>
    <n v="2"/>
    <m/>
    <m/>
    <m/>
    <m/>
    <n v="2"/>
    <n v="0"/>
    <n v="0"/>
    <n v="-1"/>
    <n v="2"/>
    <n v="0"/>
    <n v="0"/>
    <n v="0"/>
    <n v="0"/>
    <n v="1"/>
    <m/>
    <m/>
    <n v="0.25"/>
    <n v="0.25"/>
    <n v="0.25"/>
    <n v="0.25"/>
    <m/>
    <m/>
    <m/>
    <m/>
    <m/>
    <m/>
    <m/>
    <m/>
    <m/>
    <m/>
    <m/>
    <m/>
    <n v="1"/>
    <n v="1"/>
    <n v="1"/>
    <m/>
    <m/>
    <n v="516303"/>
    <n v="170784"/>
    <s v="Teddington and the Hamptons"/>
    <s v="Teddington"/>
    <x v="1"/>
    <x v="0"/>
    <m/>
    <x v="0"/>
    <m/>
    <m/>
    <m/>
    <s v="Y"/>
    <x v="0"/>
  </r>
  <r>
    <s v="22/2876/GPD26"/>
    <n v="307"/>
    <s v="CHU"/>
    <s v="PA"/>
    <d v="2022-12-12T00:00:00"/>
    <d v="2025-12-12T00:00:00"/>
    <m/>
    <m/>
    <x v="2"/>
    <s v="Open Market"/>
    <m/>
    <s v="Change of use of vacant office building to two flats_x000d_"/>
    <s v="Mega House, 159A High Street, Hampton Hill, Hampton, TW12 1NL"/>
    <s v="TW12 1NL"/>
    <m/>
    <m/>
    <m/>
    <m/>
    <m/>
    <m/>
    <m/>
    <m/>
    <n v="0"/>
    <m/>
    <n v="2"/>
    <m/>
    <m/>
    <m/>
    <m/>
    <m/>
    <m/>
    <n v="2"/>
    <n v="0"/>
    <n v="2"/>
    <n v="0"/>
    <n v="0"/>
    <n v="0"/>
    <n v="0"/>
    <n v="0"/>
    <n v="0"/>
    <n v="2"/>
    <m/>
    <m/>
    <n v="0.5"/>
    <n v="0.5"/>
    <n v="0.5"/>
    <n v="0.5"/>
    <m/>
    <m/>
    <m/>
    <m/>
    <m/>
    <m/>
    <m/>
    <m/>
    <m/>
    <m/>
    <m/>
    <m/>
    <n v="2"/>
    <n v="2"/>
    <n v="2"/>
    <m/>
    <m/>
    <n v="514405"/>
    <n v="171101"/>
    <s v="Teddington and the Hamptons"/>
    <s v="Fulwell &amp; Hampton Hill"/>
    <x v="1"/>
    <x v="0"/>
    <s v="High Street, Hampton Hill"/>
    <x v="1"/>
    <m/>
    <s v="CA38 High Street Hampton Hill"/>
    <s v="Y"/>
    <m/>
    <x v="0"/>
  </r>
  <r>
    <s v="22/2399/FUL"/>
    <n v="308"/>
    <s v="CON"/>
    <m/>
    <d v="2022-12-13T00:00:00"/>
    <d v="2025-12-13T00:00:00"/>
    <m/>
    <m/>
    <x v="2"/>
    <s v="Open Market"/>
    <m/>
    <s v="Single storey rear extension, side dormer roof extension with solar panels, rooflights on front and side roof slopes, replacement fenestration and associated bin store to facilitate the conversion of two flats into a single dwellinghouse."/>
    <s v="92 Palewell Park, East Sheen, London SW14 8JH_x000a_"/>
    <s v="SW14 8JH"/>
    <m/>
    <n v="1"/>
    <n v="1"/>
    <m/>
    <m/>
    <m/>
    <m/>
    <m/>
    <n v="2"/>
    <m/>
    <m/>
    <m/>
    <n v="1"/>
    <m/>
    <m/>
    <m/>
    <m/>
    <n v="1"/>
    <n v="-1"/>
    <n v="-1"/>
    <n v="0"/>
    <n v="1"/>
    <n v="0"/>
    <n v="0"/>
    <n v="0"/>
    <n v="0"/>
    <n v="-1"/>
    <m/>
    <m/>
    <n v="-0.25"/>
    <n v="-0.25"/>
    <n v="-0.25"/>
    <n v="-0.25"/>
    <m/>
    <m/>
    <m/>
    <m/>
    <m/>
    <m/>
    <m/>
    <m/>
    <m/>
    <m/>
    <m/>
    <m/>
    <n v="-1"/>
    <n v="-1"/>
    <n v="-1"/>
    <m/>
    <m/>
    <n v="520657"/>
    <n v="175094"/>
    <s v="Barnes and East Sheen"/>
    <s v="East Sheen"/>
    <x v="1"/>
    <x v="0"/>
    <m/>
    <x v="0"/>
    <m/>
    <m/>
    <m/>
    <s v="Y"/>
    <x v="0"/>
  </r>
  <r>
    <s v="22/3397/GPD26"/>
    <n v="309"/>
    <s v="CHU"/>
    <s v="PA"/>
    <d v="2022-12-15T00:00:00"/>
    <d v="2025-12-15T00:00:00"/>
    <m/>
    <m/>
    <x v="2"/>
    <s v="Open Market"/>
    <m/>
    <s v="Change of use of the building from Use Class E (Office) to C3 (Residential) single dwelling."/>
    <s v="33A Milton Road, Hampton, TW12 2LL"/>
    <s v="TW12 2LL"/>
    <m/>
    <m/>
    <m/>
    <m/>
    <m/>
    <m/>
    <m/>
    <m/>
    <n v="0"/>
    <n v="1"/>
    <m/>
    <m/>
    <m/>
    <m/>
    <m/>
    <m/>
    <m/>
    <n v="1"/>
    <n v="1"/>
    <n v="0"/>
    <n v="0"/>
    <n v="0"/>
    <n v="0"/>
    <n v="0"/>
    <n v="0"/>
    <n v="0"/>
    <n v="1"/>
    <m/>
    <m/>
    <n v="0.25"/>
    <n v="0.25"/>
    <n v="0.25"/>
    <n v="0.25"/>
    <m/>
    <m/>
    <m/>
    <m/>
    <m/>
    <m/>
    <m/>
    <m/>
    <m/>
    <m/>
    <m/>
    <m/>
    <n v="1"/>
    <n v="1"/>
    <n v="1"/>
    <m/>
    <m/>
    <n v="513402"/>
    <n v="169963"/>
    <s v="Teddington and the Hamptons"/>
    <s v="Hampton"/>
    <x v="1"/>
    <x v="0"/>
    <m/>
    <x v="0"/>
    <m/>
    <m/>
    <m/>
    <s v="Y"/>
    <x v="0"/>
  </r>
  <r>
    <s v="21/2788/FUL"/>
    <n v="310"/>
    <s v="CON"/>
    <m/>
    <d v="2021-12-21T00:00:00"/>
    <d v="2025-12-16T00:00:00"/>
    <m/>
    <m/>
    <x v="2"/>
    <s v="Open Market"/>
    <m/>
    <s v="Convert the building containing 9no. flats to 4no flats (Use Class C3) , car parking, extension to existing basement, two storey rear extension, replacement fenestrations at front of the property, replacement and new fenestrations  to rear and rear patio."/>
    <s v="13 Manor Road, Twickenham"/>
    <s v="TW2 5DF"/>
    <m/>
    <n v="9"/>
    <m/>
    <m/>
    <m/>
    <m/>
    <m/>
    <m/>
    <n v="9"/>
    <n v="1"/>
    <n v="3"/>
    <m/>
    <m/>
    <m/>
    <m/>
    <m/>
    <m/>
    <n v="4"/>
    <n v="-8"/>
    <n v="3"/>
    <n v="0"/>
    <n v="0"/>
    <n v="0"/>
    <n v="0"/>
    <n v="0"/>
    <n v="0"/>
    <n v="-5"/>
    <m/>
    <m/>
    <n v="-1.25"/>
    <n v="-1.25"/>
    <n v="-1.25"/>
    <n v="-1.25"/>
    <m/>
    <m/>
    <m/>
    <m/>
    <m/>
    <m/>
    <m/>
    <m/>
    <m/>
    <m/>
    <m/>
    <m/>
    <n v="-5"/>
    <n v="-5"/>
    <n v="-5"/>
    <m/>
    <m/>
    <n v="514541"/>
    <n v="172794"/>
    <s v="Twickenham"/>
    <s v="West Twickenham"/>
    <x v="1"/>
    <x v="0"/>
    <m/>
    <x v="0"/>
    <m/>
    <m/>
    <m/>
    <s v="Y"/>
    <x v="0"/>
  </r>
  <r>
    <s v="22/3141/FUL"/>
    <n v="311"/>
    <s v="CON"/>
    <m/>
    <d v="2022-12-19T00:00:00"/>
    <d v="2025-12-19T00:00:00"/>
    <m/>
    <m/>
    <x v="2"/>
    <s v="Open Market"/>
    <m/>
    <s v="Rear dormer roof extension to facilitate the conversion of existing 2 bed maisonette into 2 flats (1 x 1 bed and 1 x 2 bed). Solar PV panels to rear pitched and flat roofs. 2no. Velux roof lights to front roof slope."/>
    <s v="23 Colston Road, East Sheen, London, SW14 7PQ"/>
    <s v="SW14 7PQ"/>
    <m/>
    <m/>
    <n v="1"/>
    <m/>
    <m/>
    <m/>
    <m/>
    <m/>
    <n v="1"/>
    <n v="1"/>
    <n v="1"/>
    <m/>
    <m/>
    <m/>
    <m/>
    <m/>
    <m/>
    <n v="2"/>
    <n v="1"/>
    <n v="0"/>
    <n v="0"/>
    <n v="0"/>
    <n v="0"/>
    <n v="0"/>
    <n v="0"/>
    <n v="0"/>
    <n v="1"/>
    <m/>
    <m/>
    <n v="0.25"/>
    <n v="0.25"/>
    <n v="0.25"/>
    <n v="0.25"/>
    <m/>
    <m/>
    <m/>
    <m/>
    <m/>
    <m/>
    <m/>
    <m/>
    <m/>
    <m/>
    <m/>
    <m/>
    <n v="1"/>
    <n v="1"/>
    <n v="1"/>
    <m/>
    <m/>
    <n v="520360"/>
    <n v="175325"/>
    <s v="Barnes and East Sheen"/>
    <s v="East Sheen"/>
    <x v="3"/>
    <x v="0"/>
    <m/>
    <x v="0"/>
    <m/>
    <m/>
    <m/>
    <s v="Y"/>
    <x v="0"/>
  </r>
  <r>
    <s v="21/2758/FUL"/>
    <n v="312"/>
    <s v="NEW"/>
    <m/>
    <d v="2022-12-21T00:00:00"/>
    <d v="2025-12-21T00:00:00"/>
    <m/>
    <m/>
    <x v="2"/>
    <s v="Affordable rent"/>
    <m/>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ater Lane"/>
    <m/>
    <m/>
    <m/>
    <m/>
    <m/>
    <m/>
    <m/>
    <n v="0"/>
    <n v="9"/>
    <n v="7"/>
    <n v="1"/>
    <m/>
    <m/>
    <m/>
    <m/>
    <m/>
    <n v="17"/>
    <n v="9"/>
    <n v="7"/>
    <n v="1"/>
    <n v="0"/>
    <n v="0"/>
    <n v="0"/>
    <n v="0"/>
    <n v="0"/>
    <n v="17"/>
    <s v="Y"/>
    <m/>
    <n v="4.25"/>
    <n v="4.25"/>
    <n v="4.25"/>
    <n v="4.25"/>
    <m/>
    <m/>
    <m/>
    <m/>
    <m/>
    <m/>
    <m/>
    <m/>
    <m/>
    <m/>
    <m/>
    <m/>
    <n v="17"/>
    <n v="17"/>
    <n v="17"/>
    <m/>
    <m/>
    <n v="516311"/>
    <n v="173216"/>
    <s v="Twickenham"/>
    <s v="Twickenham Riverside"/>
    <x v="2"/>
    <x v="0"/>
    <m/>
    <x v="0"/>
    <m/>
    <s v="CA8 Twickenham Riverside"/>
    <s v="Y"/>
    <s v="Y"/>
    <x v="0"/>
  </r>
  <r>
    <s v="21/2758/FUL"/>
    <n v="313"/>
    <s v="NEW"/>
    <m/>
    <d v="2022-12-21T00:00:00"/>
    <d v="2025-12-21T00:00:00"/>
    <m/>
    <m/>
    <x v="2"/>
    <s v="Intermediate"/>
    <m/>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ater Lane"/>
    <m/>
    <m/>
    <m/>
    <m/>
    <m/>
    <m/>
    <m/>
    <n v="0"/>
    <n v="2"/>
    <n v="2"/>
    <m/>
    <m/>
    <m/>
    <m/>
    <m/>
    <m/>
    <n v="4"/>
    <n v="2"/>
    <n v="2"/>
    <n v="0"/>
    <n v="0"/>
    <n v="0"/>
    <n v="0"/>
    <n v="0"/>
    <n v="0"/>
    <n v="4"/>
    <s v="Y"/>
    <m/>
    <n v="1"/>
    <n v="1"/>
    <n v="1"/>
    <n v="1"/>
    <m/>
    <m/>
    <m/>
    <m/>
    <m/>
    <m/>
    <m/>
    <m/>
    <m/>
    <m/>
    <m/>
    <m/>
    <n v="4"/>
    <n v="4"/>
    <n v="4"/>
    <m/>
    <m/>
    <n v="516311"/>
    <n v="173216"/>
    <s v="Twickenham"/>
    <s v="Twickenham Riverside"/>
    <x v="2"/>
    <x v="0"/>
    <m/>
    <x v="0"/>
    <m/>
    <s v="CA8 Twickenham Riverside"/>
    <s v="Y"/>
    <s v="Y"/>
    <x v="0"/>
  </r>
  <r>
    <s v="21/2758/FUL"/>
    <n v="314"/>
    <s v="NEW"/>
    <m/>
    <d v="2022-12-21T00:00:00"/>
    <d v="2025-12-21T00:00:00"/>
    <m/>
    <m/>
    <x v="2"/>
    <s v="Open Market"/>
    <m/>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harf Lane"/>
    <m/>
    <m/>
    <m/>
    <m/>
    <m/>
    <m/>
    <m/>
    <n v="0"/>
    <n v="14"/>
    <n v="10"/>
    <m/>
    <m/>
    <m/>
    <m/>
    <m/>
    <m/>
    <n v="24"/>
    <n v="14"/>
    <n v="10"/>
    <n v="0"/>
    <n v="0"/>
    <n v="0"/>
    <n v="0"/>
    <n v="0"/>
    <n v="0"/>
    <n v="24"/>
    <s v="Y"/>
    <m/>
    <n v="6"/>
    <n v="6"/>
    <n v="6"/>
    <n v="6"/>
    <m/>
    <m/>
    <m/>
    <m/>
    <m/>
    <m/>
    <m/>
    <m/>
    <m/>
    <m/>
    <m/>
    <m/>
    <n v="24"/>
    <n v="24"/>
    <n v="24"/>
    <m/>
    <m/>
    <n v="516311"/>
    <n v="173216"/>
    <s v="Twickenham"/>
    <s v="Twickenham Riverside"/>
    <x v="2"/>
    <x v="0"/>
    <m/>
    <x v="0"/>
    <m/>
    <s v="CA8 Twickenham Riverside"/>
    <s v="Y"/>
    <s v="Y"/>
    <x v="0"/>
  </r>
  <r>
    <s v="22/3400/GPD26"/>
    <n v="315"/>
    <s v="CHU"/>
    <s v="PA"/>
    <d v="2023-01-05T00:00:00"/>
    <d v="2026-01-05T00:00:00"/>
    <m/>
    <m/>
    <x v="2"/>
    <s v="Open Market"/>
    <m/>
    <s v="Application for change of use from Use Class E to Use Class C3._x000d_"/>
    <s v="Land At Myrtle Road Adjacent 1 High Street, Hampton Hill_x000a__x000a_"/>
    <s v="TW12 1NA"/>
    <m/>
    <m/>
    <m/>
    <m/>
    <m/>
    <m/>
    <m/>
    <m/>
    <n v="0"/>
    <n v="4"/>
    <n v="1"/>
    <m/>
    <m/>
    <m/>
    <m/>
    <m/>
    <m/>
    <n v="5"/>
    <n v="4"/>
    <n v="1"/>
    <n v="0"/>
    <n v="0"/>
    <n v="0"/>
    <n v="0"/>
    <n v="0"/>
    <n v="0"/>
    <n v="5"/>
    <m/>
    <m/>
    <n v="1.25"/>
    <n v="1.25"/>
    <n v="1.25"/>
    <n v="1.25"/>
    <m/>
    <m/>
    <m/>
    <m/>
    <m/>
    <m/>
    <m/>
    <m/>
    <m/>
    <m/>
    <m/>
    <m/>
    <n v="5"/>
    <n v="5"/>
    <n v="5"/>
    <m/>
    <m/>
    <n v="514122"/>
    <n v="170560"/>
    <s v="Teddington and the Hamptons"/>
    <s v="Fulwell &amp; Hampton Hill"/>
    <x v="1"/>
    <x v="0"/>
    <m/>
    <x v="0"/>
    <m/>
    <m/>
    <m/>
    <m/>
    <x v="0"/>
  </r>
  <r>
    <s v="22/1575/FUL"/>
    <n v="316"/>
    <s v="NEW"/>
    <m/>
    <d v="2023-01-09T00:00:00"/>
    <d v="2026-01-09T00:00:00"/>
    <m/>
    <m/>
    <x v="2"/>
    <s v="Open Market"/>
    <m/>
    <s v="Proposed two-storey 2-bedroom mews house with accommodation in the roof including parking, bicycle and bin storage and private amenity space"/>
    <s v="Land To Rear Of 177 High Street, Hampton Hill_x000a__x000a_"/>
    <s v="TW12 1NL"/>
    <m/>
    <m/>
    <m/>
    <m/>
    <m/>
    <m/>
    <m/>
    <m/>
    <n v="0"/>
    <m/>
    <n v="1"/>
    <m/>
    <m/>
    <m/>
    <m/>
    <m/>
    <m/>
    <n v="1"/>
    <n v="0"/>
    <n v="1"/>
    <n v="0"/>
    <n v="0"/>
    <n v="0"/>
    <n v="0"/>
    <n v="0"/>
    <n v="0"/>
    <n v="1"/>
    <m/>
    <m/>
    <n v="0.25"/>
    <n v="0.25"/>
    <n v="0.25"/>
    <n v="0.25"/>
    <m/>
    <m/>
    <m/>
    <m/>
    <m/>
    <m/>
    <m/>
    <m/>
    <m/>
    <m/>
    <m/>
    <m/>
    <n v="1"/>
    <n v="1"/>
    <n v="1"/>
    <m/>
    <m/>
    <n v="514429"/>
    <n v="171230"/>
    <s v="Teddington and the Hamptons"/>
    <s v="Fulwell &amp; Hampton Hill"/>
    <x v="1"/>
    <x v="0"/>
    <m/>
    <x v="0"/>
    <m/>
    <m/>
    <m/>
    <s v="Y"/>
    <x v="0"/>
  </r>
  <r>
    <s v="21/1528/FUL"/>
    <n v="317"/>
    <s v="EXT"/>
    <m/>
    <d v="2023-01-13T00:00:00"/>
    <d v="2026-01-13T00:00:00"/>
    <m/>
    <m/>
    <x v="2"/>
    <s v="Open Market"/>
    <m/>
    <s v="Second floor extension to create one additional one bed dwelling, together with car parking, cycle parking and associated landscaping works"/>
    <s v="Junction Court, 127 Station Road, Hampton_x000a__x000a_"/>
    <s v="TW12 2AL"/>
    <m/>
    <m/>
    <m/>
    <m/>
    <m/>
    <m/>
    <m/>
    <m/>
    <n v="0"/>
    <n v="1"/>
    <m/>
    <m/>
    <m/>
    <m/>
    <m/>
    <m/>
    <m/>
    <n v="1"/>
    <n v="1"/>
    <n v="0"/>
    <n v="0"/>
    <n v="0"/>
    <n v="0"/>
    <n v="0"/>
    <n v="0"/>
    <n v="0"/>
    <n v="1"/>
    <m/>
    <m/>
    <n v="0.25"/>
    <n v="0.25"/>
    <n v="0.25"/>
    <n v="0.25"/>
    <m/>
    <m/>
    <m/>
    <m/>
    <m/>
    <m/>
    <m/>
    <m/>
    <m/>
    <m/>
    <m/>
    <m/>
    <n v="1"/>
    <n v="1"/>
    <n v="1"/>
    <m/>
    <m/>
    <n v="513359"/>
    <n v="169765"/>
    <s v="Teddington and the Hamptons"/>
    <s v="Hampton"/>
    <x v="1"/>
    <x v="0"/>
    <m/>
    <x v="0"/>
    <m/>
    <m/>
    <m/>
    <s v="Y"/>
    <x v="0"/>
  </r>
  <r>
    <s v="22/2082/FUL"/>
    <n v="318"/>
    <s v="NEW"/>
    <m/>
    <d v="2023-01-19T00:00:00"/>
    <d v="2026-01-19T00:00:00"/>
    <d v="2023-10-23T00:00:00"/>
    <m/>
    <x v="2"/>
    <s v="Affordable rent"/>
    <m/>
    <s v="Demolition of 17 existing garages and erection of five one-bed single-storey dwellings (almshouses) for the over 65s."/>
    <s v="Garages Rear Of, 20 - 34 St Marys Grove, Richmond"/>
    <s v="TW9 1UY"/>
    <m/>
    <m/>
    <m/>
    <m/>
    <m/>
    <m/>
    <m/>
    <m/>
    <n v="0"/>
    <n v="5"/>
    <m/>
    <m/>
    <m/>
    <m/>
    <m/>
    <m/>
    <m/>
    <n v="5"/>
    <n v="5"/>
    <n v="0"/>
    <n v="0"/>
    <n v="0"/>
    <n v="0"/>
    <n v="0"/>
    <n v="0"/>
    <n v="0"/>
    <n v="5"/>
    <m/>
    <m/>
    <n v="2.5"/>
    <n v="2.5"/>
    <m/>
    <m/>
    <m/>
    <m/>
    <m/>
    <m/>
    <m/>
    <m/>
    <m/>
    <m/>
    <m/>
    <m/>
    <m/>
    <m/>
    <n v="5"/>
    <n v="5"/>
    <n v="5"/>
    <s v="Y"/>
    <m/>
    <n v="518758"/>
    <n v="175172"/>
    <s v="Richmond"/>
    <s v="North Richmond"/>
    <x v="1"/>
    <x v="0"/>
    <m/>
    <x v="0"/>
    <m/>
    <s v="CA31 Sheen Road Richmond"/>
    <s v="Y"/>
    <s v="Y"/>
    <x v="0"/>
  </r>
  <r>
    <s v="22/3652/GPD26"/>
    <n v="319"/>
    <s v="CHU"/>
    <s v="PA"/>
    <d v="2023-01-23T00:00:00"/>
    <d v="2026-01-23T00:00:00"/>
    <m/>
    <m/>
    <x v="2"/>
    <s v="Open Market"/>
    <m/>
    <s v="Addition of mezzanine floor to create 5 residential units."/>
    <s v="12 Park Road, Hampton Wick, Kingston Upon Thames, KT1 4AS"/>
    <s v="KT1 4AS"/>
    <m/>
    <m/>
    <m/>
    <m/>
    <m/>
    <m/>
    <m/>
    <m/>
    <n v="0"/>
    <n v="4"/>
    <n v="1"/>
    <m/>
    <m/>
    <m/>
    <m/>
    <m/>
    <m/>
    <n v="5"/>
    <n v="4"/>
    <n v="1"/>
    <n v="0"/>
    <n v="0"/>
    <n v="0"/>
    <n v="0"/>
    <n v="0"/>
    <n v="0"/>
    <n v="5"/>
    <m/>
    <m/>
    <n v="1.25"/>
    <n v="1.25"/>
    <n v="1.25"/>
    <n v="1.25"/>
    <m/>
    <m/>
    <m/>
    <m/>
    <m/>
    <m/>
    <m/>
    <m/>
    <m/>
    <m/>
    <m/>
    <m/>
    <n v="5"/>
    <n v="5"/>
    <n v="5"/>
    <m/>
    <m/>
    <n v="517458"/>
    <n v="169588"/>
    <s v="Teddington and the Hamptons"/>
    <s v="Hampton Wick &amp; South Teddington"/>
    <x v="1"/>
    <x v="0"/>
    <s v="Hampton Wick"/>
    <x v="1"/>
    <m/>
    <s v="CA18 Hampton Wick"/>
    <s v="Y"/>
    <s v="Y"/>
    <x v="0"/>
  </r>
  <r>
    <s v="21/2282/FUL"/>
    <n v="320"/>
    <s v="NEW"/>
    <m/>
    <d v="2023-01-30T00:00:00"/>
    <d v="2026-01-30T00:00:00"/>
    <m/>
    <m/>
    <x v="2"/>
    <s v="London Living rent"/>
    <m/>
    <s v="Erection of a two-storey building comprising 4 residential apartments ( 3 x 1 bed/1 person units and 1 x 1 bed/1 person M(4)3 unit); landscaping including private amenity space and ecological enhancement; secure cycle and refuse storage structures."/>
    <s v="Land Adjacent 12 Willow Avenue, Barnes, London"/>
    <s v="SW13 0LT"/>
    <m/>
    <m/>
    <m/>
    <m/>
    <m/>
    <m/>
    <m/>
    <m/>
    <n v="0"/>
    <n v="4"/>
    <m/>
    <m/>
    <m/>
    <m/>
    <m/>
    <m/>
    <m/>
    <n v="4"/>
    <n v="4"/>
    <n v="0"/>
    <n v="0"/>
    <n v="0"/>
    <n v="0"/>
    <n v="0"/>
    <n v="0"/>
    <n v="0"/>
    <n v="4"/>
    <m/>
    <m/>
    <n v="1"/>
    <n v="1"/>
    <n v="1"/>
    <n v="1"/>
    <m/>
    <m/>
    <m/>
    <m/>
    <m/>
    <m/>
    <m/>
    <m/>
    <m/>
    <m/>
    <m/>
    <m/>
    <n v="4"/>
    <n v="4"/>
    <n v="4"/>
    <m/>
    <m/>
    <n v="521875"/>
    <n v="176053"/>
    <s v="Barnes and East Sheen"/>
    <s v="Mortlake &amp; Barnes Common"/>
    <x v="1"/>
    <x v="0"/>
    <m/>
    <x v="0"/>
    <m/>
    <m/>
    <m/>
    <s v="Y"/>
    <x v="0"/>
  </r>
  <r>
    <s v="22/1075/FUL"/>
    <n v="321"/>
    <s v="CHU"/>
    <m/>
    <d v="2023-02-07T00:00:00"/>
    <d v="2026-02-07T00:00:00"/>
    <m/>
    <m/>
    <x v="2"/>
    <s v="Open Market"/>
    <m/>
    <s v="Change of use of first floor from self-contained residential flat to office. Internal alterations including, upgrading the fire escape route, refurbishment of the kitchen to a tea room and WC facilities . Painting and decorating all rooms and corridors th"/>
    <s v="First Floor Flat, Teddington District Library, Waldegrave Road, Teddington TW11 8NY_x000a_"/>
    <s v="TW11 8NY"/>
    <m/>
    <m/>
    <n v="1"/>
    <m/>
    <m/>
    <m/>
    <m/>
    <m/>
    <n v="1"/>
    <m/>
    <m/>
    <m/>
    <m/>
    <m/>
    <m/>
    <m/>
    <m/>
    <n v="0"/>
    <n v="0"/>
    <n v="-1"/>
    <n v="0"/>
    <n v="0"/>
    <n v="0"/>
    <n v="0"/>
    <n v="0"/>
    <n v="0"/>
    <n v="-1"/>
    <m/>
    <m/>
    <n v="-0.25"/>
    <n v="-0.25"/>
    <n v="-0.25"/>
    <n v="-0.25"/>
    <m/>
    <m/>
    <m/>
    <m/>
    <m/>
    <m/>
    <m/>
    <m/>
    <m/>
    <m/>
    <m/>
    <m/>
    <n v="-1"/>
    <n v="-1"/>
    <n v="-1"/>
    <m/>
    <m/>
    <n v="515895"/>
    <n v="171171"/>
    <s v="Teddington and the Hamptons"/>
    <s v="Teddington"/>
    <x v="0"/>
    <x v="0"/>
    <m/>
    <x v="0"/>
    <m/>
    <s v="CA37 High Street Teddington"/>
    <s v="Y"/>
    <s v="Y"/>
    <x v="0"/>
  </r>
  <r>
    <s v="22/1453/FUL"/>
    <n v="322"/>
    <s v="NEW"/>
    <m/>
    <d v="2023-02-07T00:00:00"/>
    <d v="2026-02-07T00:00:00"/>
    <m/>
    <m/>
    <x v="2"/>
    <s v="Open Market"/>
    <m/>
    <s v="Proposed four bedroom dwelling house with full wheelchair accessibility to all levels &amp; rooms.  The proposed dwelling is to be built in the side garden of number 47 Nightingale Road."/>
    <s v="47 Nightingale Road, Hampton TW12 3HZ_x000a_"/>
    <s v="TW12 3HZ"/>
    <m/>
    <m/>
    <m/>
    <m/>
    <m/>
    <m/>
    <m/>
    <m/>
    <n v="0"/>
    <m/>
    <m/>
    <m/>
    <n v="1"/>
    <m/>
    <m/>
    <m/>
    <m/>
    <n v="1"/>
    <n v="0"/>
    <n v="0"/>
    <n v="0"/>
    <n v="1"/>
    <n v="0"/>
    <n v="0"/>
    <n v="0"/>
    <n v="0"/>
    <n v="1"/>
    <m/>
    <m/>
    <n v="0.25"/>
    <n v="0.25"/>
    <n v="0.25"/>
    <n v="0.25"/>
    <m/>
    <m/>
    <m/>
    <m/>
    <m/>
    <m/>
    <m/>
    <m/>
    <m/>
    <m/>
    <m/>
    <m/>
    <n v="1"/>
    <n v="1"/>
    <n v="1"/>
    <m/>
    <m/>
    <n v="513293"/>
    <n v="170928"/>
    <s v="Teddington and the Hamptons"/>
    <s v="Hampton North"/>
    <x v="1"/>
    <x v="0"/>
    <m/>
    <x v="0"/>
    <m/>
    <m/>
    <m/>
    <m/>
    <x v="0"/>
  </r>
  <r>
    <s v="22/2843/FUL"/>
    <n v="323"/>
    <s v="NEW"/>
    <m/>
    <d v="2023-02-08T00:00:00"/>
    <d v="2026-02-08T00:00:00"/>
    <m/>
    <m/>
    <x v="2"/>
    <s v="Open Market"/>
    <m/>
    <s v="Demolition of existing dwelling and replacement with a pair of two storey with basement semi-detached dwellings.  Alterations to boundary wall and assoicated hard and soft landscaping, cycle and refuse stores."/>
    <s v="62 Derby Road, East Sheen, London, SW14 7DP"/>
    <s v="SW14 7DP"/>
    <m/>
    <m/>
    <m/>
    <m/>
    <n v="1"/>
    <m/>
    <m/>
    <m/>
    <n v="1"/>
    <m/>
    <m/>
    <n v="2"/>
    <m/>
    <m/>
    <m/>
    <m/>
    <m/>
    <n v="2"/>
    <n v="0"/>
    <n v="0"/>
    <n v="2"/>
    <n v="-1"/>
    <n v="0"/>
    <n v="0"/>
    <n v="0"/>
    <n v="0"/>
    <n v="1"/>
    <m/>
    <m/>
    <n v="0.25"/>
    <n v="0.25"/>
    <n v="0.25"/>
    <n v="0.25"/>
    <m/>
    <m/>
    <m/>
    <m/>
    <m/>
    <m/>
    <m/>
    <m/>
    <m/>
    <m/>
    <m/>
    <m/>
    <n v="1"/>
    <n v="1"/>
    <n v="1"/>
    <m/>
    <m/>
    <n v="519780"/>
    <n v="175098"/>
    <s v="Barnes and East Sheen"/>
    <s v="East Sheen"/>
    <x v="1"/>
    <x v="0"/>
    <m/>
    <x v="0"/>
    <m/>
    <m/>
    <m/>
    <s v="Y"/>
    <x v="1"/>
  </r>
  <r>
    <s v="22/1497/FUL"/>
    <n v="324"/>
    <s v="NEW"/>
    <m/>
    <d v="2023-02-10T00:00:00"/>
    <d v="2026-02-10T00:00:00"/>
    <m/>
    <m/>
    <x v="2"/>
    <s v="Open Market"/>
    <m/>
    <s v="The demolition of the existing dwelling house and 22 garages and the construction of 5 x new residential dwellings (Class C3) with associated hard and soft landscaping, parking and associated infrastructure."/>
    <s v="32 Haverfield Gardens, Kew, Richmond TW9 3DD_x000a_"/>
    <s v="TW9 3DD"/>
    <m/>
    <m/>
    <m/>
    <m/>
    <n v="1"/>
    <m/>
    <m/>
    <m/>
    <n v="1"/>
    <m/>
    <m/>
    <n v="5"/>
    <m/>
    <m/>
    <m/>
    <m/>
    <m/>
    <n v="5"/>
    <n v="0"/>
    <n v="0"/>
    <n v="5"/>
    <n v="-1"/>
    <n v="0"/>
    <n v="0"/>
    <n v="0"/>
    <n v="0"/>
    <n v="4"/>
    <m/>
    <m/>
    <n v="1"/>
    <n v="1"/>
    <n v="1"/>
    <n v="1"/>
    <m/>
    <m/>
    <m/>
    <m/>
    <m/>
    <m/>
    <m/>
    <m/>
    <m/>
    <m/>
    <m/>
    <m/>
    <n v="4"/>
    <n v="4"/>
    <n v="4"/>
    <m/>
    <m/>
    <n v="519166"/>
    <n v="177465"/>
    <s v="Richmond"/>
    <s v="Kew"/>
    <x v="1"/>
    <x v="0"/>
    <m/>
    <x v="0"/>
    <m/>
    <s v="CA2 Kew Green"/>
    <s v="Y"/>
    <s v="Y"/>
    <x v="0"/>
  </r>
  <r>
    <s v="21/3136/FUL"/>
    <n v="325"/>
    <s v="NEW"/>
    <m/>
    <d v="2023-02-28T00:00:00"/>
    <d v="2026-02-28T00:00:00"/>
    <m/>
    <m/>
    <x v="2"/>
    <s v="Affordable rent"/>
    <m/>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8"/>
    <n v="13"/>
    <n v="7"/>
    <m/>
    <m/>
    <m/>
    <m/>
    <m/>
    <n v="28"/>
    <n v="8"/>
    <n v="13"/>
    <n v="7"/>
    <n v="0"/>
    <n v="0"/>
    <n v="0"/>
    <n v="0"/>
    <n v="0"/>
    <n v="28"/>
    <s v="Y"/>
    <m/>
    <m/>
    <m/>
    <n v="28"/>
    <m/>
    <m/>
    <m/>
    <m/>
    <m/>
    <m/>
    <m/>
    <m/>
    <m/>
    <m/>
    <m/>
    <m/>
    <m/>
    <n v="28"/>
    <n v="28"/>
    <n v="28"/>
    <m/>
    <m/>
    <n v="515278"/>
    <n v="173797"/>
    <s v="Twickenham"/>
    <s v="St. Margarets &amp; North Twickenham"/>
    <x v="1"/>
    <x v="0"/>
    <m/>
    <x v="0"/>
    <m/>
    <m/>
    <m/>
    <s v="Y"/>
    <x v="0"/>
  </r>
  <r>
    <s v="21/3136/FUL"/>
    <n v="326"/>
    <s v="NEW"/>
    <m/>
    <d v="2023-02-28T00:00:00"/>
    <d v="2026-02-28T00:00:00"/>
    <m/>
    <m/>
    <x v="2"/>
    <s v="Intermediate"/>
    <m/>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29"/>
    <n v="41"/>
    <n v="10"/>
    <m/>
    <m/>
    <m/>
    <m/>
    <m/>
    <n v="80"/>
    <n v="29"/>
    <n v="41"/>
    <n v="10"/>
    <n v="0"/>
    <n v="0"/>
    <n v="0"/>
    <n v="0"/>
    <n v="0"/>
    <n v="80"/>
    <s v="Y"/>
    <m/>
    <m/>
    <m/>
    <n v="80"/>
    <m/>
    <m/>
    <m/>
    <m/>
    <m/>
    <m/>
    <m/>
    <m/>
    <m/>
    <m/>
    <m/>
    <m/>
    <m/>
    <n v="80"/>
    <n v="80"/>
    <n v="80"/>
    <m/>
    <m/>
    <n v="515278"/>
    <n v="173797"/>
    <s v="Twickenham"/>
    <s v="St. Margarets &amp; North Twickenham"/>
    <x v="1"/>
    <x v="0"/>
    <m/>
    <x v="0"/>
    <m/>
    <m/>
    <m/>
    <s v="Y"/>
    <x v="0"/>
  </r>
  <r>
    <s v="21/3136/FUL"/>
    <n v="327"/>
    <s v="NEW"/>
    <m/>
    <d v="2023-02-28T00:00:00"/>
    <d v="2026-02-28T00:00:00"/>
    <m/>
    <m/>
    <x v="2"/>
    <s v="Open Market"/>
    <m/>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39"/>
    <n v="31"/>
    <n v="26"/>
    <n v="8"/>
    <m/>
    <m/>
    <m/>
    <m/>
    <n v="104"/>
    <n v="39"/>
    <n v="31"/>
    <n v="26"/>
    <n v="8"/>
    <n v="0"/>
    <n v="0"/>
    <n v="0"/>
    <n v="0"/>
    <n v="104"/>
    <s v="Y"/>
    <m/>
    <m/>
    <m/>
    <n v="104"/>
    <m/>
    <m/>
    <m/>
    <m/>
    <m/>
    <m/>
    <m/>
    <m/>
    <m/>
    <m/>
    <m/>
    <m/>
    <m/>
    <n v="104"/>
    <n v="104"/>
    <n v="104"/>
    <m/>
    <m/>
    <n v="515278"/>
    <n v="173797"/>
    <s v="Twickenham"/>
    <s v="St. Margarets &amp; North Twickenham"/>
    <x v="1"/>
    <x v="0"/>
    <m/>
    <x v="0"/>
    <m/>
    <m/>
    <m/>
    <s v="Y"/>
    <x v="0"/>
  </r>
  <r>
    <s v="22/3328/FUL"/>
    <n v="328"/>
    <s v="CHU"/>
    <m/>
    <d v="2023-03-07T00:00:00"/>
    <d v="2026-03-07T00:00:00"/>
    <m/>
    <m/>
    <x v="2"/>
    <s v="Open Market"/>
    <m/>
    <s v="Ground floor conversion from commercial to two 1B1P self-contained dwellings. Single storey rear extension to accommodate one new 2B4P self-contained dwelling."/>
    <s v="3 - 4 New Broadway, Hampton Hill_x000a__x000a_"/>
    <s v="TW12 1JG"/>
    <m/>
    <m/>
    <m/>
    <m/>
    <m/>
    <m/>
    <m/>
    <m/>
    <n v="0"/>
    <n v="2"/>
    <n v="1"/>
    <m/>
    <m/>
    <m/>
    <m/>
    <m/>
    <m/>
    <n v="3"/>
    <n v="2"/>
    <n v="1"/>
    <n v="0"/>
    <n v="0"/>
    <n v="0"/>
    <n v="0"/>
    <n v="0"/>
    <n v="0"/>
    <n v="3"/>
    <m/>
    <m/>
    <n v="0.75"/>
    <n v="0.75"/>
    <n v="0.75"/>
    <n v="0.75"/>
    <m/>
    <m/>
    <m/>
    <m/>
    <m/>
    <m/>
    <m/>
    <m/>
    <m/>
    <m/>
    <m/>
    <m/>
    <n v="3"/>
    <n v="3"/>
    <n v="3"/>
    <m/>
    <m/>
    <n v="514554"/>
    <n v="171263"/>
    <s v="Teddington and the Hamptons"/>
    <s v="Fulwell &amp; Hampton Hill"/>
    <x v="1"/>
    <x v="0"/>
    <s v="High Street, Hampton Hill"/>
    <x v="1"/>
    <m/>
    <m/>
    <m/>
    <s v="Y"/>
    <x v="0"/>
  </r>
  <r>
    <s v="21/4262/FUL"/>
    <n v="329"/>
    <s v="CHU"/>
    <m/>
    <d v="2023-03-13T00:00:00"/>
    <d v="2026-03-13T00:00:00"/>
    <m/>
    <m/>
    <x v="2"/>
    <s v="Open Market"/>
    <m/>
    <s v="A new window opening to the rear and change of use of existing office to C3 (residential) use to provide one bedroom flat"/>
    <s v="41 Barnes High Street, Barnes, London, SW13 9LN"/>
    <s v="SW13 9LN"/>
    <m/>
    <m/>
    <m/>
    <m/>
    <m/>
    <m/>
    <m/>
    <m/>
    <n v="0"/>
    <n v="1"/>
    <m/>
    <m/>
    <m/>
    <m/>
    <m/>
    <m/>
    <m/>
    <n v="1"/>
    <n v="1"/>
    <n v="0"/>
    <n v="0"/>
    <n v="0"/>
    <n v="0"/>
    <n v="0"/>
    <n v="0"/>
    <n v="0"/>
    <n v="1"/>
    <m/>
    <m/>
    <n v="0.25"/>
    <n v="0.25"/>
    <n v="0.25"/>
    <n v="0.25"/>
    <m/>
    <m/>
    <m/>
    <m/>
    <m/>
    <m/>
    <m/>
    <m/>
    <m/>
    <m/>
    <m/>
    <m/>
    <n v="1"/>
    <n v="1"/>
    <n v="1"/>
    <m/>
    <m/>
    <n v="521585"/>
    <n v="176415"/>
    <s v="Barnes and East Sheen"/>
    <s v="Barnes"/>
    <x v="1"/>
    <x v="1"/>
    <s v="High Street, Barnes"/>
    <x v="1"/>
    <m/>
    <s v="CA1 Barnes Green"/>
    <s v="Y"/>
    <s v="Y"/>
    <x v="1"/>
  </r>
  <r>
    <s v="23/0253/GPD26"/>
    <n v="330"/>
    <s v="CHU"/>
    <s v="PA"/>
    <d v="2023-03-13T00:00:00"/>
    <d v="2026-03-13T00:00:00"/>
    <m/>
    <m/>
    <x v="2"/>
    <s v="Open Market"/>
    <m/>
    <s v="Conversion of first floor to two self-contained residential flats"/>
    <s v="26A York Street, Twickenham, TW1 3LJ_x000a_"/>
    <s v="TW1 3LJ"/>
    <m/>
    <m/>
    <m/>
    <m/>
    <m/>
    <m/>
    <m/>
    <m/>
    <n v="0"/>
    <n v="2"/>
    <m/>
    <m/>
    <m/>
    <m/>
    <m/>
    <m/>
    <m/>
    <n v="2"/>
    <n v="2"/>
    <n v="0"/>
    <n v="0"/>
    <n v="0"/>
    <n v="0"/>
    <n v="0"/>
    <n v="0"/>
    <n v="0"/>
    <n v="2"/>
    <m/>
    <m/>
    <n v="0.5"/>
    <n v="0.5"/>
    <n v="0.5"/>
    <n v="0.5"/>
    <m/>
    <m/>
    <m/>
    <m/>
    <m/>
    <m/>
    <m/>
    <m/>
    <m/>
    <m/>
    <m/>
    <m/>
    <n v="2"/>
    <n v="2"/>
    <n v="2"/>
    <m/>
    <m/>
    <n v="516335"/>
    <n v="173355"/>
    <s v="Twickenham"/>
    <s v="Twickenham Riverside"/>
    <x v="2"/>
    <x v="0"/>
    <m/>
    <x v="0"/>
    <m/>
    <s v="CA8 Twickenham Riverside"/>
    <s v="Y"/>
    <s v="Y"/>
    <x v="0"/>
  </r>
  <r>
    <s v="22/1442/FUL"/>
    <n v="331"/>
    <s v="NEW"/>
    <m/>
    <d v="2023-03-22T00:00:00"/>
    <d v="2026-03-22T00:00:00"/>
    <m/>
    <m/>
    <x v="2"/>
    <s v="Affordable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Existing"/>
    <n v="6"/>
    <m/>
    <n v="5"/>
    <m/>
    <m/>
    <m/>
    <m/>
    <n v="11"/>
    <m/>
    <m/>
    <m/>
    <m/>
    <m/>
    <m/>
    <m/>
    <m/>
    <n v="0"/>
    <n v="-6"/>
    <n v="0"/>
    <n v="-5"/>
    <n v="0"/>
    <n v="0"/>
    <n v="0"/>
    <n v="0"/>
    <n v="0"/>
    <n v="-11"/>
    <s v="Y"/>
    <m/>
    <m/>
    <m/>
    <n v="-11"/>
    <m/>
    <m/>
    <m/>
    <m/>
    <m/>
    <m/>
    <m/>
    <m/>
    <m/>
    <m/>
    <m/>
    <m/>
    <m/>
    <n v="-11"/>
    <n v="-11"/>
    <n v="-11"/>
    <m/>
    <m/>
    <n v="517147"/>
    <n v="172448"/>
    <s v="Ham &amp; Petersham"/>
    <s v="Ham, Petersham &amp; Richmond Riverside"/>
    <x v="1"/>
    <x v="0"/>
    <m/>
    <x v="0"/>
    <m/>
    <m/>
    <m/>
    <m/>
    <x v="0"/>
  </r>
  <r>
    <s v="22/1442/FUL"/>
    <n v="332"/>
    <s v="NEW"/>
    <m/>
    <d v="2023-03-22T00:00:00"/>
    <d v="2026-03-22T00:00:00"/>
    <m/>
    <m/>
    <x v="2"/>
    <s v="Affordable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Existing"/>
    <n v="14"/>
    <n v="20"/>
    <n v="3"/>
    <m/>
    <m/>
    <m/>
    <m/>
    <n v="37"/>
    <m/>
    <m/>
    <m/>
    <m/>
    <m/>
    <m/>
    <m/>
    <m/>
    <n v="0"/>
    <n v="-14"/>
    <n v="-20"/>
    <n v="-3"/>
    <n v="0"/>
    <n v="0"/>
    <n v="0"/>
    <n v="0"/>
    <n v="0"/>
    <n v="-37"/>
    <s v="Y"/>
    <m/>
    <m/>
    <m/>
    <m/>
    <n v="-37"/>
    <m/>
    <m/>
    <m/>
    <m/>
    <m/>
    <m/>
    <m/>
    <m/>
    <m/>
    <m/>
    <m/>
    <m/>
    <n v="-37"/>
    <n v="-37"/>
    <n v="-37"/>
    <m/>
    <m/>
    <n v="517147"/>
    <n v="172448"/>
    <s v="Ham &amp; Petersham"/>
    <s v="Ham, Petersham &amp; Richmond Riverside"/>
    <x v="1"/>
    <x v="0"/>
    <m/>
    <x v="0"/>
    <m/>
    <m/>
    <m/>
    <m/>
    <x v="0"/>
  </r>
  <r>
    <s v="22/1442/FUL"/>
    <n v="333"/>
    <s v="NEW"/>
    <m/>
    <d v="2023-03-22T00:00:00"/>
    <d v="2026-03-22T00:00:00"/>
    <m/>
    <m/>
    <x v="2"/>
    <s v="Affordable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Existing"/>
    <n v="70"/>
    <n v="19"/>
    <n v="6"/>
    <m/>
    <m/>
    <m/>
    <m/>
    <n v="95"/>
    <m/>
    <m/>
    <m/>
    <m/>
    <m/>
    <m/>
    <m/>
    <m/>
    <n v="0"/>
    <n v="-70"/>
    <n v="-19"/>
    <n v="-6"/>
    <n v="0"/>
    <n v="0"/>
    <n v="0"/>
    <n v="0"/>
    <n v="0"/>
    <n v="-95"/>
    <s v="Y"/>
    <m/>
    <m/>
    <m/>
    <m/>
    <m/>
    <m/>
    <n v="-95"/>
    <m/>
    <m/>
    <m/>
    <m/>
    <m/>
    <m/>
    <m/>
    <m/>
    <m/>
    <m/>
    <n v="0"/>
    <n v="-95"/>
    <n v="-95"/>
    <m/>
    <m/>
    <n v="517147"/>
    <n v="172448"/>
    <s v="Ham &amp; Petersham"/>
    <s v="Ham, Petersham &amp; Richmond Riverside"/>
    <x v="1"/>
    <x v="0"/>
    <m/>
    <x v="0"/>
    <m/>
    <m/>
    <m/>
    <m/>
    <x v="0"/>
  </r>
  <r>
    <s v="22/1442/FUL"/>
    <n v="334"/>
    <s v="NEW"/>
    <m/>
    <d v="2023-03-22T00:00:00"/>
    <d v="2026-03-22T00:00:00"/>
    <m/>
    <m/>
    <x v="2"/>
    <s v="London Affordable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2"/>
    <m/>
    <m/>
    <m/>
    <m/>
    <m/>
    <m/>
    <m/>
    <n v="2"/>
    <n v="2"/>
    <n v="0"/>
    <n v="0"/>
    <n v="0"/>
    <n v="0"/>
    <n v="0"/>
    <n v="0"/>
    <n v="0"/>
    <n v="2"/>
    <s v="Y"/>
    <m/>
    <m/>
    <m/>
    <m/>
    <m/>
    <n v="2"/>
    <m/>
    <m/>
    <m/>
    <m/>
    <m/>
    <m/>
    <m/>
    <m/>
    <m/>
    <m/>
    <m/>
    <n v="2"/>
    <n v="2"/>
    <n v="2"/>
    <m/>
    <m/>
    <n v="517147"/>
    <n v="172448"/>
    <s v="Ham &amp; Petersham"/>
    <s v="Ham, Petersham &amp; Richmond Riverside"/>
    <x v="1"/>
    <x v="0"/>
    <m/>
    <x v="0"/>
    <m/>
    <m/>
    <m/>
    <m/>
    <x v="0"/>
  </r>
  <r>
    <s v="22/1442/FUL"/>
    <n v="335"/>
    <s v="NEW"/>
    <m/>
    <d v="2023-03-22T00:00:00"/>
    <d v="2026-03-22T00:00:00"/>
    <m/>
    <m/>
    <x v="2"/>
    <s v="London Affordable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6"/>
    <n v="10"/>
    <n v="3"/>
    <m/>
    <m/>
    <m/>
    <m/>
    <m/>
    <n v="19"/>
    <n v="6"/>
    <n v="10"/>
    <n v="3"/>
    <n v="0"/>
    <n v="0"/>
    <n v="0"/>
    <n v="0"/>
    <n v="0"/>
    <n v="19"/>
    <s v="Y"/>
    <m/>
    <m/>
    <m/>
    <m/>
    <m/>
    <m/>
    <m/>
    <m/>
    <n v="19"/>
    <m/>
    <m/>
    <m/>
    <m/>
    <m/>
    <m/>
    <m/>
    <m/>
    <n v="0"/>
    <n v="19"/>
    <n v="19"/>
    <m/>
    <m/>
    <n v="517147"/>
    <n v="172448"/>
    <s v="Ham &amp; Petersham"/>
    <s v="Ham, Petersham &amp; Richmond Riverside"/>
    <x v="1"/>
    <x v="0"/>
    <m/>
    <x v="0"/>
    <m/>
    <m/>
    <m/>
    <m/>
    <x v="0"/>
  </r>
  <r>
    <s v="22/1442/FUL"/>
    <n v="336"/>
    <s v="NEW"/>
    <m/>
    <d v="2023-03-22T00:00:00"/>
    <d v="2026-03-22T00:00:00"/>
    <m/>
    <m/>
    <x v="2"/>
    <s v="London Living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7"/>
    <n v="3"/>
    <m/>
    <m/>
    <m/>
    <m/>
    <m/>
    <m/>
    <n v="10"/>
    <n v="7"/>
    <n v="3"/>
    <n v="0"/>
    <n v="0"/>
    <n v="0"/>
    <n v="0"/>
    <n v="0"/>
    <n v="0"/>
    <n v="10"/>
    <s v="Y"/>
    <m/>
    <m/>
    <m/>
    <m/>
    <m/>
    <m/>
    <m/>
    <m/>
    <n v="10"/>
    <m/>
    <m/>
    <m/>
    <m/>
    <m/>
    <m/>
    <m/>
    <m/>
    <n v="0"/>
    <n v="10"/>
    <n v="10"/>
    <m/>
    <m/>
    <n v="517147"/>
    <n v="172448"/>
    <s v="Ham &amp; Petersham"/>
    <s v="Ham, Petersham &amp; Richmond Riverside"/>
    <x v="1"/>
    <x v="0"/>
    <m/>
    <x v="0"/>
    <m/>
    <m/>
    <m/>
    <m/>
    <x v="0"/>
  </r>
  <r>
    <s v="22/1442/FUL"/>
    <n v="337"/>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Existing"/>
    <m/>
    <m/>
    <n v="1"/>
    <m/>
    <m/>
    <m/>
    <m/>
    <n v="1"/>
    <m/>
    <m/>
    <m/>
    <m/>
    <m/>
    <m/>
    <m/>
    <m/>
    <n v="0"/>
    <n v="0"/>
    <n v="0"/>
    <n v="-1"/>
    <n v="0"/>
    <n v="0"/>
    <n v="0"/>
    <n v="0"/>
    <n v="0"/>
    <n v="-1"/>
    <s v="Y"/>
    <m/>
    <m/>
    <m/>
    <n v="-1"/>
    <m/>
    <m/>
    <m/>
    <m/>
    <m/>
    <m/>
    <m/>
    <m/>
    <m/>
    <m/>
    <m/>
    <m/>
    <m/>
    <n v="-1"/>
    <n v="-1"/>
    <n v="-1"/>
    <m/>
    <m/>
    <n v="517147"/>
    <n v="172448"/>
    <s v="Ham &amp; Petersham"/>
    <s v="Ham, Petersham &amp; Richmond Riverside"/>
    <x v="1"/>
    <x v="0"/>
    <m/>
    <x v="0"/>
    <m/>
    <m/>
    <m/>
    <m/>
    <x v="0"/>
  </r>
  <r>
    <s v="22/1442/FUL"/>
    <n v="338"/>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Existing"/>
    <n v="2"/>
    <n v="8"/>
    <n v="1"/>
    <m/>
    <m/>
    <m/>
    <m/>
    <n v="11"/>
    <m/>
    <m/>
    <m/>
    <m/>
    <m/>
    <m/>
    <m/>
    <m/>
    <n v="0"/>
    <n v="-2"/>
    <n v="-8"/>
    <n v="-1"/>
    <n v="0"/>
    <n v="0"/>
    <n v="0"/>
    <n v="0"/>
    <n v="0"/>
    <n v="-11"/>
    <s v="Y"/>
    <m/>
    <m/>
    <m/>
    <m/>
    <n v="-11"/>
    <m/>
    <m/>
    <m/>
    <m/>
    <m/>
    <m/>
    <m/>
    <m/>
    <m/>
    <m/>
    <m/>
    <m/>
    <n v="-11"/>
    <n v="-11"/>
    <n v="-11"/>
    <m/>
    <m/>
    <n v="517147"/>
    <n v="172448"/>
    <s v="Ham &amp; Petersham"/>
    <s v="Ham, Petersham &amp; Richmond Riverside"/>
    <x v="1"/>
    <x v="0"/>
    <m/>
    <x v="0"/>
    <m/>
    <m/>
    <m/>
    <m/>
    <x v="0"/>
  </r>
  <r>
    <s v="22/1442/FUL"/>
    <n v="339"/>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Existing"/>
    <n v="16"/>
    <n v="16"/>
    <n v="5"/>
    <m/>
    <m/>
    <m/>
    <m/>
    <n v="37"/>
    <m/>
    <m/>
    <m/>
    <m/>
    <m/>
    <m/>
    <m/>
    <m/>
    <n v="0"/>
    <n v="-16"/>
    <n v="-16"/>
    <n v="-5"/>
    <n v="0"/>
    <n v="0"/>
    <n v="0"/>
    <n v="0"/>
    <n v="0"/>
    <n v="-37"/>
    <s v="Y"/>
    <m/>
    <m/>
    <m/>
    <m/>
    <m/>
    <m/>
    <n v="-37"/>
    <m/>
    <m/>
    <m/>
    <m/>
    <m/>
    <m/>
    <m/>
    <m/>
    <m/>
    <m/>
    <n v="0"/>
    <n v="-37"/>
    <n v="-37"/>
    <m/>
    <m/>
    <n v="517147"/>
    <n v="172448"/>
    <s v="Ham &amp; Petersham"/>
    <s v="Ham, Petersham &amp; Richmond Riverside"/>
    <x v="1"/>
    <x v="0"/>
    <m/>
    <x v="0"/>
    <m/>
    <m/>
    <m/>
    <m/>
    <x v="0"/>
  </r>
  <r>
    <s v="22/1442/FUL"/>
    <n v="340"/>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Proposed"/>
    <m/>
    <m/>
    <m/>
    <m/>
    <m/>
    <m/>
    <m/>
    <n v="0"/>
    <n v="2"/>
    <n v="3"/>
    <n v="2"/>
    <m/>
    <m/>
    <m/>
    <m/>
    <m/>
    <n v="7"/>
    <n v="2"/>
    <n v="3"/>
    <n v="2"/>
    <n v="0"/>
    <n v="0"/>
    <n v="0"/>
    <n v="0"/>
    <n v="0"/>
    <n v="7"/>
    <s v="Y"/>
    <m/>
    <m/>
    <m/>
    <n v="7"/>
    <m/>
    <m/>
    <m/>
    <m/>
    <m/>
    <m/>
    <m/>
    <m/>
    <m/>
    <m/>
    <m/>
    <m/>
    <m/>
    <n v="7"/>
    <n v="7"/>
    <n v="7"/>
    <m/>
    <m/>
    <n v="517147"/>
    <n v="172448"/>
    <s v="Ham &amp; Petersham"/>
    <s v="Ham, Petersham &amp; Richmond Riverside"/>
    <x v="1"/>
    <x v="0"/>
    <m/>
    <x v="0"/>
    <m/>
    <m/>
    <m/>
    <m/>
    <x v="0"/>
  </r>
  <r>
    <s v="22/1442/FUL"/>
    <n v="341"/>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50"/>
    <n v="26"/>
    <n v="2"/>
    <m/>
    <m/>
    <m/>
    <m/>
    <m/>
    <n v="78"/>
    <n v="50"/>
    <n v="26"/>
    <n v="2"/>
    <n v="0"/>
    <n v="0"/>
    <n v="0"/>
    <n v="0"/>
    <n v="0"/>
    <n v="78"/>
    <s v="Y"/>
    <m/>
    <m/>
    <m/>
    <m/>
    <m/>
    <n v="78"/>
    <m/>
    <m/>
    <m/>
    <m/>
    <m/>
    <m/>
    <m/>
    <m/>
    <m/>
    <m/>
    <m/>
    <n v="78"/>
    <n v="78"/>
    <n v="78"/>
    <m/>
    <m/>
    <n v="517147"/>
    <n v="172448"/>
    <s v="Ham &amp; Petersham"/>
    <s v="Ham, Petersham &amp; Richmond Riverside"/>
    <x v="1"/>
    <x v="0"/>
    <m/>
    <x v="0"/>
    <m/>
    <m/>
    <m/>
    <m/>
    <x v="0"/>
  </r>
  <r>
    <s v="22/1442/FUL"/>
    <n v="342"/>
    <s v="NEW"/>
    <m/>
    <d v="2023-03-22T00:00:00"/>
    <d v="2026-03-22T00:00:00"/>
    <m/>
    <m/>
    <x v="2"/>
    <s v="Open Marke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42"/>
    <n v="62"/>
    <m/>
    <n v="34"/>
    <n v="8"/>
    <m/>
    <m/>
    <m/>
    <n v="146"/>
    <n v="42"/>
    <n v="62"/>
    <n v="0"/>
    <n v="34"/>
    <n v="8"/>
    <n v="0"/>
    <n v="0"/>
    <n v="0"/>
    <n v="146"/>
    <s v="Y"/>
    <m/>
    <m/>
    <m/>
    <m/>
    <m/>
    <m/>
    <m/>
    <m/>
    <n v="146"/>
    <m/>
    <m/>
    <m/>
    <m/>
    <m/>
    <m/>
    <m/>
    <m/>
    <n v="0"/>
    <n v="146"/>
    <n v="146"/>
    <m/>
    <m/>
    <n v="517147"/>
    <n v="172448"/>
    <s v="Ham &amp; Petersham"/>
    <s v="Ham, Petersham &amp; Richmond Riverside"/>
    <x v="1"/>
    <x v="0"/>
    <m/>
    <x v="0"/>
    <m/>
    <m/>
    <m/>
    <m/>
    <x v="0"/>
  </r>
  <r>
    <s v="22/1442/FUL"/>
    <n v="343"/>
    <s v="NEW"/>
    <m/>
    <d v="2023-03-22T00:00:00"/>
    <d v="2026-03-22T00:00:00"/>
    <m/>
    <m/>
    <x v="2"/>
    <s v="Shared Ownership"/>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22"/>
    <n v="24"/>
    <n v="1"/>
    <m/>
    <m/>
    <m/>
    <m/>
    <m/>
    <n v="47"/>
    <n v="22"/>
    <n v="24"/>
    <n v="1"/>
    <n v="0"/>
    <n v="0"/>
    <n v="0"/>
    <n v="0"/>
    <n v="0"/>
    <n v="47"/>
    <s v="Y"/>
    <m/>
    <m/>
    <m/>
    <m/>
    <m/>
    <m/>
    <m/>
    <m/>
    <n v="47"/>
    <m/>
    <m/>
    <m/>
    <m/>
    <m/>
    <m/>
    <m/>
    <m/>
    <n v="0"/>
    <n v="47"/>
    <n v="47"/>
    <m/>
    <m/>
    <n v="517147"/>
    <n v="172448"/>
    <s v="Ham &amp; Petersham"/>
    <s v="Ham, Petersham &amp; Richmond Riverside"/>
    <x v="1"/>
    <x v="0"/>
    <m/>
    <x v="0"/>
    <m/>
    <m/>
    <m/>
    <m/>
    <x v="0"/>
  </r>
  <r>
    <s v="22/1442/FUL"/>
    <n v="344"/>
    <s v="NEW"/>
    <m/>
    <d v="2023-03-22T00:00:00"/>
    <d v="2026-03-22T00:00:00"/>
    <m/>
    <m/>
    <x v="2"/>
    <s v="Social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Proposed"/>
    <m/>
    <m/>
    <m/>
    <m/>
    <m/>
    <m/>
    <m/>
    <n v="0"/>
    <n v="35"/>
    <n v="18"/>
    <n v="10"/>
    <m/>
    <m/>
    <m/>
    <m/>
    <m/>
    <n v="63"/>
    <n v="35"/>
    <n v="18"/>
    <n v="10"/>
    <n v="0"/>
    <n v="0"/>
    <n v="0"/>
    <n v="0"/>
    <n v="0"/>
    <n v="63"/>
    <s v="Y"/>
    <m/>
    <m/>
    <m/>
    <n v="63"/>
    <m/>
    <m/>
    <m/>
    <m/>
    <m/>
    <m/>
    <m/>
    <m/>
    <m/>
    <m/>
    <m/>
    <m/>
    <m/>
    <n v="63"/>
    <n v="63"/>
    <n v="63"/>
    <m/>
    <m/>
    <n v="517147"/>
    <n v="172448"/>
    <s v="Ham &amp; Petersham"/>
    <s v="Ham, Petersham &amp; Richmond Riverside"/>
    <x v="1"/>
    <x v="0"/>
    <m/>
    <x v="0"/>
    <m/>
    <m/>
    <m/>
    <m/>
    <x v="0"/>
  </r>
  <r>
    <s v="22/1442/FUL"/>
    <n v="345"/>
    <s v="NEW"/>
    <m/>
    <d v="2023-03-22T00:00:00"/>
    <d v="2026-03-22T00:00:00"/>
    <m/>
    <m/>
    <x v="2"/>
    <s v="Social Rent"/>
    <s v="Ham Close"/>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58"/>
    <n v="19"/>
    <n v="3"/>
    <m/>
    <m/>
    <m/>
    <m/>
    <m/>
    <n v="80"/>
    <n v="58"/>
    <n v="19"/>
    <n v="3"/>
    <n v="0"/>
    <n v="0"/>
    <n v="0"/>
    <n v="0"/>
    <n v="0"/>
    <n v="80"/>
    <s v="Y"/>
    <m/>
    <m/>
    <m/>
    <m/>
    <m/>
    <n v="80"/>
    <m/>
    <m/>
    <m/>
    <m/>
    <m/>
    <m/>
    <m/>
    <m/>
    <m/>
    <m/>
    <m/>
    <n v="80"/>
    <n v="80"/>
    <n v="80"/>
    <m/>
    <m/>
    <n v="517147"/>
    <n v="172448"/>
    <s v="Ham &amp; Petersham"/>
    <s v="Ham, Petersham &amp; Richmond Riverside"/>
    <x v="1"/>
    <x v="0"/>
    <m/>
    <x v="0"/>
    <m/>
    <m/>
    <m/>
    <m/>
    <x v="0"/>
  </r>
  <r>
    <s v="Site Allocation"/>
    <n v="346"/>
    <s v="NEW"/>
    <m/>
    <m/>
    <m/>
    <m/>
    <m/>
    <x v="3"/>
    <s v="Open Market / Affordable"/>
    <s v="Sainsbury’s, Manor Road"/>
    <m/>
    <s v="Sainsbury’s, Lower Richmond Road"/>
    <m/>
    <m/>
    <m/>
    <m/>
    <m/>
    <m/>
    <m/>
    <m/>
    <m/>
    <m/>
    <m/>
    <m/>
    <m/>
    <m/>
    <m/>
    <m/>
    <m/>
    <m/>
    <m/>
    <m/>
    <m/>
    <m/>
    <m/>
    <m/>
    <m/>
    <m/>
    <m/>
    <n v="250"/>
    <s v="Y"/>
    <m/>
    <n v="0"/>
    <n v="0"/>
    <n v="0"/>
    <n v="0"/>
    <n v="0"/>
    <n v="50"/>
    <n v="50"/>
    <n v="50"/>
    <n v="50"/>
    <n v="50"/>
    <m/>
    <m/>
    <m/>
    <m/>
    <m/>
    <m/>
    <n v="0"/>
    <n v="250"/>
    <n v="250"/>
    <m/>
    <m/>
    <n v="519125"/>
    <n v="175579"/>
    <s v="Richmond"/>
    <s v="North Richmond"/>
    <x v="1"/>
    <x v="0"/>
    <m/>
    <x v="0"/>
    <m/>
    <m/>
    <m/>
    <s v="Y"/>
    <x v="0"/>
  </r>
  <r>
    <s v="Site Allocation"/>
    <n v="347"/>
    <s v="NEW"/>
    <m/>
    <m/>
    <m/>
    <m/>
    <m/>
    <x v="3"/>
    <s v="Open Market / Affordable"/>
    <s v="Teddington Telephone Exchange"/>
    <m/>
    <s v="Telephone Exchange, 88 High Street, Teddington, TW1 18JD"/>
    <m/>
    <m/>
    <m/>
    <m/>
    <m/>
    <m/>
    <m/>
    <m/>
    <m/>
    <m/>
    <m/>
    <m/>
    <m/>
    <m/>
    <m/>
    <m/>
    <m/>
    <m/>
    <m/>
    <m/>
    <m/>
    <m/>
    <m/>
    <m/>
    <m/>
    <m/>
    <m/>
    <n v="20"/>
    <s v="Y"/>
    <m/>
    <n v="0"/>
    <n v="0"/>
    <n v="0"/>
    <n v="0"/>
    <n v="0"/>
    <n v="0"/>
    <n v="5"/>
    <n v="5"/>
    <n v="5"/>
    <n v="5"/>
    <m/>
    <m/>
    <m/>
    <m/>
    <m/>
    <m/>
    <n v="0"/>
    <n v="20"/>
    <n v="20"/>
    <m/>
    <m/>
    <n v="516258"/>
    <n v="171100"/>
    <s v="Teddington and the Hamptons"/>
    <s v="Teddington"/>
    <x v="0"/>
    <x v="0"/>
    <m/>
    <x v="0"/>
    <m/>
    <s v="CA37 High Street Teddington"/>
    <s v="Y"/>
    <s v="Y"/>
    <x v="0"/>
  </r>
  <r>
    <s v="22/2204/FUL"/>
    <n v="348"/>
    <s v="NEW"/>
    <m/>
    <m/>
    <m/>
    <m/>
    <m/>
    <x v="4"/>
    <s v="Open Market / Affordable"/>
    <s v="St Clares Business Park "/>
    <s v="Demolition of existing buildings and erection of 1no. mixed use building between three and five storeys plus basement in height, comprising 86no. residential flats (Class C3) and 1,311.2sq.m of commercial floorspace (Class E); 1no.two storey building comprising 595sq.m of commercial floorspace (Class E); 14no. residential houses (Class C3); and, associated access, external landscaping and car parking."/>
    <s v="St Clare Business Park And 7 - 11 Windmill Road Hampton Hill"/>
    <m/>
    <m/>
    <m/>
    <m/>
    <m/>
    <m/>
    <m/>
    <m/>
    <m/>
    <m/>
    <m/>
    <m/>
    <m/>
    <m/>
    <m/>
    <m/>
    <m/>
    <m/>
    <m/>
    <m/>
    <m/>
    <m/>
    <m/>
    <m/>
    <m/>
    <m/>
    <m/>
    <n v="100"/>
    <s v="Y"/>
    <m/>
    <m/>
    <m/>
    <m/>
    <n v="50"/>
    <n v="50"/>
    <m/>
    <m/>
    <m/>
    <m/>
    <m/>
    <m/>
    <m/>
    <m/>
    <m/>
    <m/>
    <m/>
    <n v="100"/>
    <n v="100"/>
    <n v="100"/>
    <m/>
    <m/>
    <n v="514199"/>
    <n v="170906"/>
    <s v="Teddington and the Hamptons"/>
    <s v="Fulwell &amp; Hampton Hill"/>
    <x v="1"/>
    <x v="0"/>
    <s v="High Street, Hampton Hill"/>
    <x v="1"/>
    <m/>
    <m/>
    <m/>
    <m/>
    <x v="0"/>
  </r>
  <r>
    <s v="23/0260/FUL"/>
    <n v="349"/>
    <s v="NEW"/>
    <m/>
    <m/>
    <m/>
    <m/>
    <m/>
    <x v="4"/>
    <s v="Open Market / Affordable"/>
    <s v="Mereway Centre"/>
    <s v="The erection of 7 part single, part two-storey residential dwellings; 8 car parking spaces (including 1 disabled parking space); landscaping incorporating communal amenity space and ecological enhancement area; secure cycle and refuse storage."/>
    <s v="The Mereway Centre Mereway Road Twickenham"/>
    <m/>
    <m/>
    <m/>
    <m/>
    <m/>
    <m/>
    <m/>
    <m/>
    <m/>
    <m/>
    <m/>
    <m/>
    <m/>
    <m/>
    <m/>
    <m/>
    <m/>
    <m/>
    <m/>
    <m/>
    <m/>
    <m/>
    <m/>
    <m/>
    <m/>
    <m/>
    <m/>
    <n v="7"/>
    <m/>
    <m/>
    <m/>
    <m/>
    <n v="7"/>
    <m/>
    <m/>
    <m/>
    <m/>
    <m/>
    <m/>
    <m/>
    <m/>
    <m/>
    <m/>
    <m/>
    <m/>
    <m/>
    <n v="7"/>
    <n v="7"/>
    <n v="7"/>
    <m/>
    <m/>
    <n v="515032"/>
    <n v="173280"/>
    <s v="Twickenham"/>
    <s v="South Twickenham"/>
    <x v="1"/>
    <x v="0"/>
    <m/>
    <x v="0"/>
    <m/>
    <m/>
    <m/>
    <s v="Y"/>
    <x v="0"/>
  </r>
  <r>
    <s v="19/0510/FUL"/>
    <n v="350"/>
    <s v="NEW"/>
    <m/>
    <m/>
    <m/>
    <m/>
    <m/>
    <x v="4"/>
    <s v="Open Market / Affordable"/>
    <s v="Homebase, Manor Road"/>
    <s v="Demolition of existing buildings and structures and comprehensive phased residential-led redevelopment to provide 453 residential units (of which 173 units will be affordable), flexible retail, community and office uses, provision of car and cycle parking, landscaping, public and private open spaces and all other necessary enabling works"/>
    <s v="Homebase, 84 Manor Road Richmond TW9 1YB"/>
    <m/>
    <m/>
    <m/>
    <m/>
    <m/>
    <m/>
    <m/>
    <m/>
    <m/>
    <m/>
    <m/>
    <m/>
    <m/>
    <m/>
    <m/>
    <m/>
    <m/>
    <m/>
    <m/>
    <m/>
    <m/>
    <m/>
    <m/>
    <m/>
    <m/>
    <m/>
    <m/>
    <n v="385"/>
    <s v="Y"/>
    <m/>
    <n v="0"/>
    <n v="0"/>
    <n v="0"/>
    <n v="0"/>
    <n v="96.25"/>
    <n v="96.25"/>
    <n v="96.25"/>
    <n v="96.25"/>
    <n v="0"/>
    <n v="0"/>
    <m/>
    <m/>
    <m/>
    <m/>
    <m/>
    <m/>
    <n v="96.25"/>
    <n v="385"/>
    <n v="385"/>
    <m/>
    <m/>
    <n v="518920"/>
    <n v="175418"/>
    <s v="Richmond"/>
    <s v="North Richmond"/>
    <x v="1"/>
    <x v="0"/>
    <m/>
    <x v="0"/>
    <m/>
    <m/>
    <m/>
    <s v="Y"/>
    <x v="0"/>
  </r>
  <r>
    <s v="22/3112/FUL"/>
    <n v="351"/>
    <s v="NEW"/>
    <m/>
    <m/>
    <m/>
    <m/>
    <m/>
    <x v="4"/>
    <s v="Affordable"/>
    <s v="Meadows Hall"/>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n v="12"/>
    <s v="Y"/>
    <m/>
    <n v="0"/>
    <n v="0"/>
    <n v="12"/>
    <n v="0"/>
    <n v="0"/>
    <n v="0"/>
    <n v="0"/>
    <n v="0"/>
    <n v="0"/>
    <n v="0"/>
    <m/>
    <m/>
    <m/>
    <m/>
    <m/>
    <m/>
    <n v="12"/>
    <n v="12"/>
    <n v="12"/>
    <m/>
    <m/>
    <n v="518385"/>
    <n v="174928"/>
    <s v="Richmond"/>
    <s v="South Richmond"/>
    <x v="1"/>
    <x v="0"/>
    <m/>
    <x v="0"/>
    <m/>
    <s v="CA30 St Matthias Richmond"/>
    <s v="Y"/>
    <s v="Y"/>
    <x v="0"/>
  </r>
  <r>
    <s v="22/0900/OUT"/>
    <n v="352"/>
    <s v="MIX"/>
    <m/>
    <m/>
    <m/>
    <m/>
    <m/>
    <x v="4"/>
    <s v="Open Market / Affordable"/>
    <s v="Stag Brewery"/>
    <m/>
    <s v="The Stag Brewery Lower Richmond Road Mortlake London SW14 7ET"/>
    <m/>
    <m/>
    <m/>
    <m/>
    <m/>
    <m/>
    <m/>
    <m/>
    <m/>
    <m/>
    <m/>
    <m/>
    <m/>
    <m/>
    <m/>
    <m/>
    <m/>
    <m/>
    <m/>
    <m/>
    <m/>
    <m/>
    <m/>
    <m/>
    <m/>
    <m/>
    <m/>
    <n v="550"/>
    <s v="Y"/>
    <m/>
    <n v="0"/>
    <n v="0"/>
    <n v="0"/>
    <n v="0"/>
    <n v="150"/>
    <n v="80"/>
    <n v="80"/>
    <n v="80"/>
    <n v="80"/>
    <n v="80"/>
    <n v="87"/>
    <n v="87"/>
    <n v="87"/>
    <n v="87"/>
    <n v="87"/>
    <n v="87"/>
    <n v="150"/>
    <n v="550"/>
    <n v="1072"/>
    <m/>
    <m/>
    <n v="520502"/>
    <n v="175950"/>
    <s v="Barnes and East Sheen"/>
    <s v="Mortlake &amp; Barnes Common"/>
    <x v="1"/>
    <x v="0"/>
    <s v="Mortlake"/>
    <x v="1"/>
    <m/>
    <s v="CA33 Mortlake"/>
    <s v="Y"/>
    <s v="Y"/>
    <x v="0"/>
  </r>
  <r>
    <s v="Site Allocation"/>
    <n v="353"/>
    <s v="MIX"/>
    <m/>
    <m/>
    <m/>
    <m/>
    <m/>
    <x v="5"/>
    <s v="Open Market / Affordable"/>
    <s v="Teddington Police Station"/>
    <m/>
    <s v="Teddington Police Station"/>
    <m/>
    <m/>
    <m/>
    <m/>
    <m/>
    <m/>
    <m/>
    <m/>
    <m/>
    <m/>
    <m/>
    <m/>
    <m/>
    <m/>
    <m/>
    <m/>
    <m/>
    <m/>
    <m/>
    <m/>
    <m/>
    <m/>
    <m/>
    <m/>
    <m/>
    <m/>
    <m/>
    <n v="20"/>
    <s v="Y"/>
    <m/>
    <n v="0"/>
    <n v="0"/>
    <n v="0"/>
    <n v="0"/>
    <n v="20"/>
    <n v="0"/>
    <n v="0"/>
    <n v="0"/>
    <n v="0"/>
    <n v="0"/>
    <m/>
    <m/>
    <m/>
    <m/>
    <m/>
    <m/>
    <n v="20"/>
    <n v="20"/>
    <n v="20"/>
    <m/>
    <m/>
    <n v="515852"/>
    <n v="170855"/>
    <s v="Teddington and the Hamptons"/>
    <s v="Teddington"/>
    <x v="0"/>
    <x v="0"/>
    <m/>
    <x v="0"/>
    <m/>
    <s v="CA22 Park Road Teddington"/>
    <s v="Y"/>
    <s v="Y"/>
    <x v="0"/>
  </r>
  <r>
    <s v="Site Allocation"/>
    <n v="354"/>
    <s v="NEW"/>
    <m/>
    <m/>
    <m/>
    <m/>
    <m/>
    <x v="5"/>
    <s v="Open Market / Affordable"/>
    <s v="Twickenham Telephone Exchange"/>
    <m/>
    <s v="Telephone Exchange, Garfield Road, Twickenham"/>
    <m/>
    <m/>
    <m/>
    <m/>
    <m/>
    <m/>
    <m/>
    <m/>
    <m/>
    <m/>
    <m/>
    <m/>
    <m/>
    <m/>
    <m/>
    <m/>
    <m/>
    <m/>
    <m/>
    <m/>
    <m/>
    <m/>
    <m/>
    <m/>
    <m/>
    <m/>
    <m/>
    <n v="20"/>
    <s v="Y"/>
    <m/>
    <n v="0"/>
    <n v="0"/>
    <n v="0"/>
    <n v="10"/>
    <n v="10"/>
    <n v="0"/>
    <n v="0"/>
    <n v="0"/>
    <n v="0"/>
    <n v="0"/>
    <m/>
    <m/>
    <m/>
    <m/>
    <m/>
    <m/>
    <n v="20"/>
    <n v="20"/>
    <n v="20"/>
    <m/>
    <m/>
    <n v="516325"/>
    <n v="173426"/>
    <s v="Twickenham"/>
    <s v="Twickenham Riverside"/>
    <x v="2"/>
    <x v="0"/>
    <m/>
    <x v="0"/>
    <m/>
    <m/>
    <m/>
    <s v="Y"/>
    <x v="0"/>
  </r>
  <r>
    <s v="Site Allocation"/>
    <n v="355"/>
    <s v="NEW"/>
    <m/>
    <m/>
    <m/>
    <m/>
    <m/>
    <x v="5"/>
    <s v="Open Market / Affordable"/>
    <s v="Whitton Telephone Exchange"/>
    <m/>
    <s v="Telephone Exchange, Ashdale Close, Whitton, TW1 7BE"/>
    <m/>
    <m/>
    <m/>
    <m/>
    <m/>
    <m/>
    <m/>
    <m/>
    <m/>
    <m/>
    <m/>
    <m/>
    <m/>
    <m/>
    <m/>
    <m/>
    <m/>
    <m/>
    <m/>
    <m/>
    <m/>
    <m/>
    <m/>
    <m/>
    <m/>
    <m/>
    <m/>
    <n v="20"/>
    <s v="Y"/>
    <m/>
    <n v="0"/>
    <n v="0"/>
    <n v="0"/>
    <n v="10"/>
    <n v="10"/>
    <n v="0"/>
    <n v="0"/>
    <n v="0"/>
    <n v="0"/>
    <n v="0"/>
    <m/>
    <m/>
    <m/>
    <m/>
    <m/>
    <m/>
    <n v="20"/>
    <n v="20"/>
    <n v="20"/>
    <m/>
    <m/>
    <n v="514055"/>
    <n v="173847"/>
    <s v="Whitton"/>
    <s v="Whitton"/>
    <x v="5"/>
    <x v="0"/>
    <m/>
    <x v="0"/>
    <m/>
    <m/>
    <m/>
    <s v="Y"/>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7">
  <r>
    <s v="09/0382/FUL"/>
    <n v="1"/>
    <x v="0"/>
    <x v="0"/>
    <d v="2012-06-19T00:00:00"/>
    <d v="2015-08-03T00:00:00"/>
    <d v="2013-01-01T00:00:00"/>
    <d v="2022-05-31T00:00:00"/>
    <x v="0"/>
    <x v="0"/>
    <x v="0"/>
    <s v="Loft conversion with dormer, two storey rear extension and conversion into 6 studios and 1no. two bedroom flat with bicycle parking"/>
    <s v="30 Broad Street_x000d_Teddington_x000d_Middlesex_x000d_TW11 8RF"/>
    <s v="_x000a_TW11 8RF"/>
    <m/>
    <m/>
    <m/>
    <m/>
    <n v="1"/>
    <m/>
    <m/>
    <m/>
    <n v="1"/>
    <n v="6"/>
    <n v="1"/>
    <m/>
    <m/>
    <m/>
    <m/>
    <m/>
    <m/>
    <n v="7"/>
    <n v="6"/>
    <n v="1"/>
    <n v="0"/>
    <n v="-1"/>
    <n v="0"/>
    <n v="0"/>
    <n v="0"/>
    <n v="0"/>
    <n v="6"/>
    <x v="0"/>
    <n v="6"/>
    <m/>
    <m/>
    <m/>
    <m/>
    <m/>
    <m/>
    <m/>
    <m/>
    <m/>
    <m/>
    <m/>
    <m/>
    <m/>
    <m/>
    <m/>
    <m/>
    <n v="0"/>
    <n v="0"/>
    <n v="0"/>
    <m/>
    <m/>
    <n v="515626"/>
    <n v="170961"/>
    <s v="Teddington and the Hamptons"/>
    <x v="0"/>
    <s v="Teddington"/>
    <m/>
    <m/>
    <m/>
    <m/>
    <s v="CA84 Broad Street"/>
    <x v="0"/>
    <s v="Y"/>
    <m/>
  </r>
  <r>
    <s v="14/0599/P3JPA"/>
    <n v="2"/>
    <x v="1"/>
    <x v="0"/>
    <d v="2014-04-08T00:00:00"/>
    <d v="2019-04-08T00:00:00"/>
    <d v="2014-09-01T00:00:00"/>
    <d v="2023-03-31T00:00:00"/>
    <x v="0"/>
    <x v="0"/>
    <x v="0"/>
    <s v="Change of use of ground floor offices (B1) to residential (C3)"/>
    <s v="9 Hanworth Road, Hampton TW12 3DH"/>
    <s v="TW12 3DH"/>
    <m/>
    <m/>
    <m/>
    <m/>
    <m/>
    <m/>
    <m/>
    <m/>
    <n v="0"/>
    <n v="1"/>
    <m/>
    <m/>
    <m/>
    <m/>
    <m/>
    <m/>
    <m/>
    <n v="1"/>
    <n v="1"/>
    <n v="0"/>
    <n v="0"/>
    <n v="0"/>
    <n v="0"/>
    <n v="0"/>
    <n v="0"/>
    <n v="0"/>
    <n v="1"/>
    <x v="0"/>
    <n v="1"/>
    <m/>
    <m/>
    <m/>
    <m/>
    <m/>
    <m/>
    <m/>
    <m/>
    <m/>
    <m/>
    <m/>
    <m/>
    <m/>
    <m/>
    <m/>
    <m/>
    <n v="0"/>
    <n v="0"/>
    <n v="0"/>
    <m/>
    <m/>
    <n v="513841"/>
    <n v="170798"/>
    <s v="Teddington and the Hamptons"/>
    <x v="1"/>
    <m/>
    <m/>
    <m/>
    <m/>
    <m/>
    <m/>
    <x v="1"/>
    <m/>
    <m/>
  </r>
  <r>
    <s v="15/3072/FUL"/>
    <n v="3"/>
    <x v="1"/>
    <x v="0"/>
    <d v="2016-10-07T00:00:00"/>
    <d v="2019-10-07T00:00:00"/>
    <d v="2018-03-01T00:00:00"/>
    <d v="2022-05-10T00:00:00"/>
    <x v="0"/>
    <x v="0"/>
    <x v="0"/>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_x000a__x000a_"/>
    <s v="TW11"/>
    <m/>
    <m/>
    <m/>
    <m/>
    <m/>
    <m/>
    <m/>
    <m/>
    <n v="0"/>
    <m/>
    <n v="6"/>
    <m/>
    <m/>
    <m/>
    <m/>
    <m/>
    <m/>
    <n v="6"/>
    <n v="0"/>
    <n v="6"/>
    <n v="0"/>
    <n v="0"/>
    <n v="0"/>
    <n v="0"/>
    <n v="0"/>
    <n v="0"/>
    <n v="6"/>
    <x v="0"/>
    <n v="6"/>
    <m/>
    <m/>
    <m/>
    <m/>
    <m/>
    <m/>
    <m/>
    <m/>
    <m/>
    <m/>
    <m/>
    <m/>
    <m/>
    <m/>
    <m/>
    <m/>
    <n v="0"/>
    <n v="0"/>
    <n v="0"/>
    <m/>
    <m/>
    <n v="516013"/>
    <n v="171023"/>
    <s v="Teddington and the Hamptons"/>
    <x v="0"/>
    <m/>
    <m/>
    <m/>
    <m/>
    <m/>
    <s v="CA37 High Street Teddington"/>
    <x v="0"/>
    <s v="Y"/>
    <m/>
  </r>
  <r>
    <s v="16/2306/FUL"/>
    <n v="4"/>
    <x v="2"/>
    <x v="0"/>
    <d v="2016-08-17T00:00:00"/>
    <d v="2019-08-17T00:00:00"/>
    <d v="2019-01-14T00:00:00"/>
    <d v="2022-06-01T00:00:00"/>
    <x v="0"/>
    <x v="0"/>
    <x v="0"/>
    <s v="Conversion of the building into one family house, plus an additional apartment at basement level to the front."/>
    <s v="112 Richmond Hill, Richmond_x000a__x000a_"/>
    <m/>
    <m/>
    <n v="2"/>
    <n v="2"/>
    <n v="1"/>
    <m/>
    <m/>
    <m/>
    <m/>
    <n v="5"/>
    <n v="1"/>
    <m/>
    <m/>
    <n v="1"/>
    <m/>
    <m/>
    <m/>
    <m/>
    <n v="2"/>
    <n v="-1"/>
    <n v="-2"/>
    <n v="-1"/>
    <n v="1"/>
    <n v="0"/>
    <n v="0"/>
    <n v="0"/>
    <n v="0"/>
    <n v="-3"/>
    <x v="0"/>
    <n v="-3"/>
    <m/>
    <m/>
    <m/>
    <m/>
    <m/>
    <m/>
    <m/>
    <m/>
    <m/>
    <m/>
    <m/>
    <m/>
    <m/>
    <m/>
    <m/>
    <m/>
    <n v="0"/>
    <n v="0"/>
    <n v="0"/>
    <m/>
    <m/>
    <n v="518294"/>
    <n v="174078"/>
    <s v="Ham &amp; Petersham"/>
    <x v="2"/>
    <m/>
    <s v="Thames Policy Area"/>
    <m/>
    <m/>
    <m/>
    <s v="CA5 Richmond Hill"/>
    <x v="0"/>
    <s v="Y"/>
    <m/>
  </r>
  <r>
    <s v="16/4890/FUL"/>
    <n v="5"/>
    <x v="3"/>
    <x v="0"/>
    <d v="2017-09-08T00:00:00"/>
    <d v="2020-09-08T00:00:00"/>
    <d v="2019-03-30T00:00:00"/>
    <d v="2022-10-19T00:00:00"/>
    <x v="0"/>
    <x v="0"/>
    <x v="0"/>
    <s v="Redevelopment of site to provide for a mixed use development of 535m2 of commercial space (B1 (a), (b) and (c) and B8 use) and 20 residential units, together with car parking and landscaping"/>
    <s v="1 - 9 Sandycombe Road, Richmond_x000a__x000a_"/>
    <s v="TW9 2EP"/>
    <m/>
    <m/>
    <m/>
    <m/>
    <m/>
    <m/>
    <m/>
    <m/>
    <n v="0"/>
    <n v="9"/>
    <n v="7"/>
    <n v="4"/>
    <m/>
    <m/>
    <m/>
    <m/>
    <m/>
    <n v="20"/>
    <n v="9"/>
    <n v="7"/>
    <n v="4"/>
    <n v="0"/>
    <n v="0"/>
    <n v="0"/>
    <n v="0"/>
    <n v="0"/>
    <n v="20"/>
    <x v="1"/>
    <n v="20"/>
    <m/>
    <m/>
    <m/>
    <m/>
    <m/>
    <m/>
    <m/>
    <m/>
    <m/>
    <m/>
    <m/>
    <m/>
    <m/>
    <m/>
    <m/>
    <m/>
    <n v="0"/>
    <n v="0"/>
    <n v="0"/>
    <m/>
    <m/>
    <n v="519012"/>
    <n v="175761"/>
    <s v="Richmond"/>
    <x v="3"/>
    <m/>
    <m/>
    <m/>
    <m/>
    <m/>
    <m/>
    <x v="1"/>
    <s v="Y"/>
    <m/>
  </r>
  <r>
    <s v="19/0551/FUL"/>
    <n v="6"/>
    <x v="2"/>
    <x v="0"/>
    <d v="2019-08-21T00:00:00"/>
    <d v="2022-08-21T00:00:00"/>
    <d v="2019-11-04T00:00:00"/>
    <d v="2022-06-01T00:00:00"/>
    <x v="0"/>
    <x v="0"/>
    <x v="0"/>
    <s v="Convert 2 flats back to one family house. Proposed pitched side infill extension adjacent neighbouring infill extension with glazed rooflight. Proposed loft conversion with full width rear dormer, partial dormer to outrigger and rooflights."/>
    <s v="32 Selwyn Avenue, Richmond TW9 2HA_x000a_"/>
    <s v="TW9 2HA"/>
    <m/>
    <n v="1"/>
    <n v="1"/>
    <m/>
    <m/>
    <m/>
    <m/>
    <m/>
    <n v="2"/>
    <m/>
    <m/>
    <m/>
    <m/>
    <n v="1"/>
    <m/>
    <m/>
    <m/>
    <n v="1"/>
    <n v="-1"/>
    <n v="-1"/>
    <n v="0"/>
    <n v="0"/>
    <n v="1"/>
    <n v="0"/>
    <n v="0"/>
    <n v="0"/>
    <n v="-1"/>
    <x v="0"/>
    <n v="-1"/>
    <m/>
    <m/>
    <m/>
    <m/>
    <m/>
    <m/>
    <m/>
    <m/>
    <m/>
    <m/>
    <m/>
    <m/>
    <m/>
    <m/>
    <m/>
    <m/>
    <n v="0"/>
    <n v="0"/>
    <n v="0"/>
    <m/>
    <m/>
    <n v="518458"/>
    <n v="175501"/>
    <s v="Richmond"/>
    <x v="4"/>
    <m/>
    <m/>
    <m/>
    <m/>
    <m/>
    <m/>
    <x v="1"/>
    <s v="Y"/>
    <m/>
  </r>
  <r>
    <s v="17/4014/FUL"/>
    <n v="7"/>
    <x v="1"/>
    <x v="0"/>
    <d v="2019-03-19T00:00:00"/>
    <d v="2022-03-19T00:00:00"/>
    <d v="2020-04-01T00:00:00"/>
    <d v="2022-04-01T00:00:00"/>
    <x v="0"/>
    <x v="0"/>
    <x v="0"/>
    <s v="Change of use of part front ground floor A5(hot food takeaways) use to C3(residential) use to facilitate the conversion of existing 3 bed maisonette above shop into 2 x 2 bed (2B3P) flats. _x000d_Change of use of part rear ground floor rear from A5(retail) to C"/>
    <s v="126 Heath Road, Twickenham, TW1 4BN"/>
    <s v="TW1 4BN"/>
    <m/>
    <m/>
    <m/>
    <n v="1"/>
    <m/>
    <m/>
    <m/>
    <m/>
    <n v="1"/>
    <n v="1"/>
    <n v="2"/>
    <m/>
    <m/>
    <m/>
    <m/>
    <m/>
    <m/>
    <n v="3"/>
    <n v="1"/>
    <n v="2"/>
    <n v="-1"/>
    <n v="0"/>
    <n v="0"/>
    <n v="0"/>
    <n v="0"/>
    <n v="0"/>
    <n v="2"/>
    <x v="0"/>
    <n v="2"/>
    <m/>
    <m/>
    <m/>
    <m/>
    <m/>
    <m/>
    <m/>
    <m/>
    <m/>
    <m/>
    <m/>
    <m/>
    <m/>
    <m/>
    <m/>
    <m/>
    <n v="0"/>
    <n v="0"/>
    <n v="0"/>
    <m/>
    <m/>
    <n v="515746"/>
    <n v="173156"/>
    <s v="Twickenham"/>
    <x v="5"/>
    <s v="Twickenham"/>
    <m/>
    <m/>
    <m/>
    <m/>
    <m/>
    <x v="1"/>
    <s v="Y"/>
    <m/>
  </r>
  <r>
    <s v="18/0723/FUL"/>
    <n v="8"/>
    <x v="3"/>
    <x v="0"/>
    <d v="2018-10-04T00:00:00"/>
    <d v="2021-10-04T00:00:00"/>
    <d v="2020-06-23T00:00:00"/>
    <d v="2022-04-26T00:00:00"/>
    <x v="0"/>
    <x v="0"/>
    <x v="0"/>
    <s v="Demolition of existing dwelling and the erection of a replacement two storey, 4 bedroom dwelling"/>
    <s v="3 Queens Rise, Richmond TW10 6HL"/>
    <s v="TW10 6HL"/>
    <m/>
    <m/>
    <m/>
    <m/>
    <n v="1"/>
    <m/>
    <m/>
    <m/>
    <n v="1"/>
    <m/>
    <m/>
    <m/>
    <n v="1"/>
    <m/>
    <m/>
    <m/>
    <m/>
    <n v="1"/>
    <n v="0"/>
    <n v="0"/>
    <n v="0"/>
    <n v="0"/>
    <n v="0"/>
    <n v="0"/>
    <n v="0"/>
    <n v="0"/>
    <n v="0"/>
    <x v="0"/>
    <n v="0"/>
    <m/>
    <m/>
    <m/>
    <m/>
    <m/>
    <m/>
    <m/>
    <m/>
    <m/>
    <m/>
    <m/>
    <m/>
    <m/>
    <m/>
    <m/>
    <m/>
    <n v="0"/>
    <n v="0"/>
    <n v="0"/>
    <m/>
    <m/>
    <n v="518695"/>
    <n v="174476"/>
    <s v="Richmond"/>
    <x v="6"/>
    <m/>
    <m/>
    <m/>
    <m/>
    <m/>
    <m/>
    <x v="1"/>
    <s v="Y"/>
    <m/>
  </r>
  <r>
    <s v="19/0171/GPD15"/>
    <n v="9"/>
    <x v="1"/>
    <x v="1"/>
    <d v="2019-03-19T00:00:00"/>
    <d v="2022-03-19T00:00:00"/>
    <d v="2020-07-01T00:00:00"/>
    <d v="2022-07-04T00:00:00"/>
    <x v="0"/>
    <x v="0"/>
    <x v="0"/>
    <s v="Change of use from B1 (Offices) to C3(a) (Dwellings) (2 x 2 bed)."/>
    <s v="62 Glentham Road, Barnes, London SW13 9JJ_x000a_"/>
    <s v="SW13 9JJ"/>
    <m/>
    <m/>
    <m/>
    <m/>
    <m/>
    <m/>
    <m/>
    <m/>
    <n v="0"/>
    <m/>
    <n v="2"/>
    <m/>
    <m/>
    <m/>
    <m/>
    <m/>
    <m/>
    <n v="2"/>
    <n v="0"/>
    <n v="2"/>
    <n v="0"/>
    <n v="0"/>
    <n v="0"/>
    <n v="0"/>
    <n v="0"/>
    <n v="0"/>
    <n v="2"/>
    <x v="0"/>
    <n v="2"/>
    <m/>
    <m/>
    <m/>
    <m/>
    <m/>
    <m/>
    <m/>
    <m/>
    <m/>
    <m/>
    <m/>
    <m/>
    <m/>
    <m/>
    <m/>
    <m/>
    <n v="0"/>
    <n v="0"/>
    <n v="0"/>
    <m/>
    <m/>
    <n v="522531"/>
    <n v="177884"/>
    <s v="Barnes and East Sheen"/>
    <x v="7"/>
    <m/>
    <m/>
    <m/>
    <m/>
    <m/>
    <s v="CA25 Castelnau"/>
    <x v="0"/>
    <s v="Y"/>
    <m/>
  </r>
  <r>
    <s v="20/0384/GPD15"/>
    <n v="10"/>
    <x v="1"/>
    <x v="1"/>
    <d v="2020-04-01T00:00:00"/>
    <d v="2023-04-01T00:00:00"/>
    <d v="2020-09-01T00:00:00"/>
    <d v="2023-03-31T00:00:00"/>
    <x v="0"/>
    <x v="0"/>
    <x v="0"/>
    <s v="Change of use of part of first floor level from B1(a) office unit C3 (dwelling house) to form one x 4 bed self-contained apartment."/>
    <s v="21 Station Road, Barnes, London, SW13 0LF_x000a_"/>
    <s v="SW13 0LF"/>
    <m/>
    <m/>
    <m/>
    <m/>
    <m/>
    <m/>
    <m/>
    <m/>
    <n v="0"/>
    <m/>
    <m/>
    <m/>
    <n v="1"/>
    <m/>
    <m/>
    <m/>
    <m/>
    <n v="1"/>
    <n v="0"/>
    <n v="0"/>
    <n v="0"/>
    <n v="1"/>
    <n v="0"/>
    <n v="0"/>
    <n v="0"/>
    <n v="0"/>
    <n v="1"/>
    <x v="0"/>
    <n v="1"/>
    <m/>
    <m/>
    <m/>
    <m/>
    <m/>
    <m/>
    <m/>
    <m/>
    <m/>
    <m/>
    <m/>
    <m/>
    <m/>
    <m/>
    <m/>
    <m/>
    <n v="0"/>
    <n v="0"/>
    <n v="0"/>
    <m/>
    <m/>
    <n v="521854"/>
    <n v="176284"/>
    <s v="Barnes and East Sheen"/>
    <x v="8"/>
    <m/>
    <m/>
    <m/>
    <m/>
    <m/>
    <s v="CA1 Barnes Green"/>
    <x v="0"/>
    <s v="Y"/>
    <m/>
  </r>
  <r>
    <s v="20/2757/VRC"/>
    <n v="11"/>
    <x v="3"/>
    <x v="0"/>
    <d v="2020-12-21T00:00:00"/>
    <d v="2023-12-21T00:00:00"/>
    <d v="2020-09-21T00:00:00"/>
    <d v="2023-03-31T00:00:00"/>
    <x v="0"/>
    <x v="0"/>
    <x v="0"/>
    <s v="Variation of Condition 2 (Approved Drawings) of application 19/2753/FUL to allow for 1) the alterations to Unit 6 comprising the enlargement of balcony and change from a 1 bed flat to a 2 bed flat; 2) removal of lifts in the North Block and redesigned sta"/>
    <s v="63 Sandycombe Road, Richmond, TW9 2EP"/>
    <s v="TW9 2EP"/>
    <m/>
    <m/>
    <m/>
    <m/>
    <m/>
    <m/>
    <m/>
    <m/>
    <n v="0"/>
    <n v="5"/>
    <n v="3"/>
    <m/>
    <m/>
    <m/>
    <m/>
    <m/>
    <m/>
    <n v="8"/>
    <n v="5"/>
    <n v="3"/>
    <n v="0"/>
    <n v="0"/>
    <n v="0"/>
    <n v="0"/>
    <n v="0"/>
    <n v="0"/>
    <n v="8"/>
    <x v="0"/>
    <n v="8"/>
    <m/>
    <m/>
    <m/>
    <m/>
    <m/>
    <m/>
    <m/>
    <m/>
    <m/>
    <m/>
    <m/>
    <m/>
    <m/>
    <m/>
    <m/>
    <m/>
    <n v="0"/>
    <n v="0"/>
    <n v="0"/>
    <m/>
    <m/>
    <n v="519026"/>
    <n v="175926"/>
    <s v="Richmond"/>
    <x v="3"/>
    <m/>
    <m/>
    <m/>
    <m/>
    <m/>
    <m/>
    <x v="1"/>
    <s v="Y"/>
    <m/>
  </r>
  <r>
    <s v="20/0361/FUL"/>
    <n v="12"/>
    <x v="1"/>
    <x v="0"/>
    <d v="2020-07-31T00:00:00"/>
    <d v="2023-07-31T00:00:00"/>
    <d v="2020-10-01T00:00:00"/>
    <d v="2023-03-31T00:00:00"/>
    <x v="0"/>
    <x v="0"/>
    <x v="0"/>
    <s v="Enlargement of existing dormer on rear roof, replacement shopfront, replacement windows to front and rear, removel of exisitng lean to at rear first floor level to facilitate change of use of part ground floor, first, second and third floors from A4 to C3"/>
    <s v="26 - 28 York Street, Twickenham TW1 3LJ_x000a_"/>
    <s v="TW1 3LJ"/>
    <m/>
    <m/>
    <n v="1"/>
    <m/>
    <m/>
    <m/>
    <m/>
    <m/>
    <n v="1"/>
    <n v="2"/>
    <n v="1"/>
    <m/>
    <m/>
    <m/>
    <m/>
    <m/>
    <m/>
    <n v="3"/>
    <n v="2"/>
    <n v="0"/>
    <n v="0"/>
    <n v="0"/>
    <n v="0"/>
    <n v="0"/>
    <n v="0"/>
    <n v="0"/>
    <n v="2"/>
    <x v="0"/>
    <n v="2"/>
    <m/>
    <m/>
    <m/>
    <m/>
    <m/>
    <m/>
    <m/>
    <m/>
    <m/>
    <m/>
    <m/>
    <m/>
    <m/>
    <m/>
    <m/>
    <m/>
    <n v="0"/>
    <n v="0"/>
    <n v="0"/>
    <m/>
    <m/>
    <n v="516334"/>
    <n v="173358"/>
    <s v="Twickenham"/>
    <x v="9"/>
    <s v="Twickenham"/>
    <m/>
    <m/>
    <m/>
    <m/>
    <s v="CA8 Twickenham Riverside"/>
    <x v="0"/>
    <s v="Y"/>
    <m/>
  </r>
  <r>
    <s v="16/4384/FUL"/>
    <n v="13"/>
    <x v="3"/>
    <x v="0"/>
    <d v="2017-10-27T00:00:00"/>
    <d v="2020-10-27T00:00:00"/>
    <d v="2020-10-26T00:00:00"/>
    <d v="2022-11-15T00:00:00"/>
    <x v="0"/>
    <x v="0"/>
    <x v="0"/>
    <s v="Demolition of the existing garage and erection of a new partially sunken one-bedroom, single-storey dwelling, and provision of a new boundary wall and entrance gate."/>
    <s v="Land Junction Of North Worple Way And Wrights Walk Rear Of 31 Alder Road, Mortlake, London_x000a__x000a_"/>
    <s v="SW14"/>
    <m/>
    <m/>
    <m/>
    <m/>
    <m/>
    <m/>
    <m/>
    <m/>
    <n v="0"/>
    <n v="1"/>
    <m/>
    <m/>
    <m/>
    <m/>
    <m/>
    <m/>
    <m/>
    <n v="1"/>
    <n v="1"/>
    <n v="0"/>
    <n v="0"/>
    <n v="0"/>
    <n v="0"/>
    <n v="0"/>
    <n v="0"/>
    <n v="0"/>
    <n v="1"/>
    <x v="0"/>
    <n v="1"/>
    <m/>
    <m/>
    <m/>
    <m/>
    <m/>
    <m/>
    <m/>
    <m/>
    <m/>
    <m/>
    <m/>
    <m/>
    <m/>
    <m/>
    <m/>
    <m/>
    <n v="0"/>
    <n v="0"/>
    <n v="0"/>
    <m/>
    <m/>
    <n v="520624"/>
    <n v="175780"/>
    <s v="Barnes and East Sheen"/>
    <x v="8"/>
    <m/>
    <m/>
    <m/>
    <m/>
    <m/>
    <s v="CA33 Mortlake"/>
    <x v="0"/>
    <s v="Y"/>
    <m/>
  </r>
  <r>
    <s v="19/2725/GPD15"/>
    <n v="14"/>
    <x v="1"/>
    <x v="1"/>
    <d v="2019-11-11T00:00:00"/>
    <d v="2022-11-11T00:00:00"/>
    <d v="2021-01-04T00:00:00"/>
    <d v="2022-09-06T00:00:00"/>
    <x v="0"/>
    <x v="0"/>
    <x v="0"/>
    <s v="Change of use of first, second and third floor from B1(a) offices to C3 residential to provide 3 x flats (2 x 1 bed and 1 x studio)."/>
    <s v="7A York Street, Twickenham_x000a__x000a_"/>
    <s v="TW1"/>
    <m/>
    <m/>
    <m/>
    <m/>
    <m/>
    <m/>
    <m/>
    <m/>
    <n v="0"/>
    <n v="3"/>
    <m/>
    <m/>
    <m/>
    <m/>
    <m/>
    <m/>
    <m/>
    <n v="3"/>
    <n v="3"/>
    <n v="0"/>
    <n v="0"/>
    <n v="0"/>
    <n v="0"/>
    <n v="0"/>
    <n v="0"/>
    <n v="0"/>
    <n v="3"/>
    <x v="0"/>
    <n v="3"/>
    <m/>
    <m/>
    <m/>
    <m/>
    <m/>
    <m/>
    <m/>
    <m/>
    <m/>
    <m/>
    <m/>
    <m/>
    <m/>
    <m/>
    <m/>
    <m/>
    <n v="0"/>
    <n v="0"/>
    <n v="0"/>
    <m/>
    <m/>
    <n v="516291"/>
    <n v="173345"/>
    <s v="Twickenham"/>
    <x v="9"/>
    <s v="Twickenham"/>
    <m/>
    <m/>
    <m/>
    <m/>
    <s v="CA8 Twickenham Riverside"/>
    <x v="0"/>
    <s v="Y"/>
    <m/>
  </r>
  <r>
    <s v="20/2490/FUL"/>
    <n v="15"/>
    <x v="1"/>
    <x v="0"/>
    <d v="2020-11-09T00:00:00"/>
    <d v="2023-11-09T00:00:00"/>
    <d v="2021-01-05T00:00:00"/>
    <d v="2022-11-22T00:00:00"/>
    <x v="0"/>
    <x v="0"/>
    <x v="0"/>
    <s v="Conversion of the first and second floor c3 single dwelling  (ex-HMO) into 2no. Self contained flats. Consisting of two 2 bedroom 3 person flats. Provision for external bin &amp; cycle storage to the rear."/>
    <s v="112A Heath Road, Twickenham TW1 4BW"/>
    <s v="TW1 4BW"/>
    <m/>
    <m/>
    <m/>
    <m/>
    <n v="1"/>
    <m/>
    <m/>
    <m/>
    <n v="1"/>
    <m/>
    <n v="2"/>
    <m/>
    <m/>
    <m/>
    <m/>
    <m/>
    <m/>
    <n v="2"/>
    <n v="0"/>
    <n v="2"/>
    <n v="0"/>
    <n v="-1"/>
    <n v="0"/>
    <n v="0"/>
    <n v="0"/>
    <n v="0"/>
    <n v="1"/>
    <x v="0"/>
    <n v="1"/>
    <m/>
    <m/>
    <m/>
    <m/>
    <m/>
    <m/>
    <m/>
    <m/>
    <m/>
    <m/>
    <m/>
    <m/>
    <m/>
    <m/>
    <m/>
    <m/>
    <n v="0"/>
    <n v="0"/>
    <n v="0"/>
    <m/>
    <m/>
    <n v="515798"/>
    <n v="173148"/>
    <s v="Twickenham"/>
    <x v="5"/>
    <s v="Twickenham"/>
    <m/>
    <m/>
    <m/>
    <m/>
    <m/>
    <x v="1"/>
    <s v="Y"/>
    <m/>
  </r>
  <r>
    <s v="18/4183/FUL"/>
    <n v="16"/>
    <x v="3"/>
    <x v="0"/>
    <d v="2019-07-25T00:00:00"/>
    <d v="2022-07-25T00:00:00"/>
    <d v="2021-01-28T00:00:00"/>
    <d v="2022-06-14T00:00:00"/>
    <x v="0"/>
    <x v="0"/>
    <x v="0"/>
    <s v="Demolition of existing garage compound and erection of one detached dwelling with 2 parking spaces, turning area, landscaping and tree planting."/>
    <s v="Garage Site, Rosslyn Avenue/Treen Avenue, Barnes, London SW13 0JT"/>
    <s v="SW13 0JT"/>
    <m/>
    <m/>
    <m/>
    <m/>
    <m/>
    <m/>
    <m/>
    <m/>
    <n v="0"/>
    <m/>
    <m/>
    <n v="1"/>
    <m/>
    <m/>
    <m/>
    <m/>
    <m/>
    <n v="1"/>
    <n v="0"/>
    <n v="0"/>
    <n v="1"/>
    <n v="0"/>
    <n v="0"/>
    <n v="0"/>
    <n v="0"/>
    <n v="0"/>
    <n v="1"/>
    <x v="0"/>
    <n v="1"/>
    <m/>
    <m/>
    <m/>
    <m/>
    <m/>
    <m/>
    <m/>
    <m/>
    <m/>
    <m/>
    <m/>
    <m/>
    <m/>
    <m/>
    <m/>
    <m/>
    <n v="0"/>
    <n v="0"/>
    <n v="0"/>
    <m/>
    <m/>
    <n v="521611"/>
    <n v="175705"/>
    <s v="Barnes and East Sheen"/>
    <x v="8"/>
    <m/>
    <m/>
    <m/>
    <m/>
    <m/>
    <m/>
    <x v="1"/>
    <s v="Y"/>
    <m/>
  </r>
  <r>
    <s v="17/1550/NMA1"/>
    <n v="17"/>
    <x v="3"/>
    <x v="0"/>
    <d v="2023-02-13T00:00:00"/>
    <d v="2026-02-13T00:00:00"/>
    <d v="2021-02-01T00:00:00"/>
    <d v="2022-05-25T00:00:00"/>
    <x v="0"/>
    <x v="0"/>
    <x v="0"/>
    <s v="Non material amendment to planning approval 17/1550/FUL to allow for revision to the description of development to remove the words new basement level to facilitate provision of underground parking as previously approved and a revision to remove reference"/>
    <s v="The Firs, Church Grove, Hampton Wick, Kingston Upon Thames KT1 4AL_x000a_"/>
    <s v="KT1 4AL"/>
    <m/>
    <m/>
    <m/>
    <n v="1"/>
    <m/>
    <m/>
    <m/>
    <m/>
    <n v="1"/>
    <n v="3"/>
    <n v="4"/>
    <n v="1"/>
    <m/>
    <m/>
    <m/>
    <m/>
    <m/>
    <n v="8"/>
    <n v="3"/>
    <n v="4"/>
    <n v="0"/>
    <n v="0"/>
    <n v="0"/>
    <n v="0"/>
    <n v="0"/>
    <n v="0"/>
    <n v="7"/>
    <x v="0"/>
    <n v="7"/>
    <m/>
    <m/>
    <m/>
    <m/>
    <m/>
    <m/>
    <m/>
    <m/>
    <m/>
    <m/>
    <m/>
    <m/>
    <m/>
    <m/>
    <m/>
    <m/>
    <n v="0"/>
    <n v="0"/>
    <n v="0"/>
    <m/>
    <m/>
    <n v="517393"/>
    <n v="169491"/>
    <s v="Teddington and the Hamptons"/>
    <x v="10"/>
    <m/>
    <m/>
    <m/>
    <m/>
    <m/>
    <s v="CA18 Hampton Wick"/>
    <x v="0"/>
    <s v="Y"/>
    <m/>
  </r>
  <r>
    <s v="19/3672/FUL"/>
    <n v="18"/>
    <x v="4"/>
    <x v="0"/>
    <d v="2020-05-06T00:00:00"/>
    <d v="2023-05-06T00:00:00"/>
    <d v="2021-03-01T00:00:00"/>
    <d v="2022-09-13T00:00:00"/>
    <x v="0"/>
    <x v="0"/>
    <x v="0"/>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m/>
    <n v="1"/>
    <m/>
    <m/>
    <n v="1"/>
    <m/>
    <m/>
    <n v="2"/>
    <m/>
    <m/>
    <m/>
    <m/>
    <n v="1"/>
    <m/>
    <m/>
    <m/>
    <n v="1"/>
    <n v="0"/>
    <n v="-1"/>
    <n v="0"/>
    <n v="0"/>
    <n v="0"/>
    <n v="0"/>
    <n v="0"/>
    <n v="0"/>
    <n v="-1"/>
    <x v="0"/>
    <n v="-1"/>
    <m/>
    <m/>
    <m/>
    <m/>
    <m/>
    <m/>
    <m/>
    <m/>
    <m/>
    <m/>
    <m/>
    <m/>
    <m/>
    <m/>
    <m/>
    <m/>
    <n v="0"/>
    <n v="0"/>
    <n v="0"/>
    <m/>
    <m/>
    <n v="518373"/>
    <n v="174608"/>
    <s v="Richmond"/>
    <x v="6"/>
    <m/>
    <m/>
    <m/>
    <m/>
    <m/>
    <s v="CA30 St Matthias Richmond"/>
    <x v="0"/>
    <s v="Y"/>
    <m/>
  </r>
  <r>
    <s v="20/0136/FUL"/>
    <n v="19"/>
    <x v="3"/>
    <x v="0"/>
    <d v="2020-03-26T00:00:00"/>
    <d v="2023-03-26T00:00:00"/>
    <d v="2021-03-01T00:00:00"/>
    <d v="2023-01-06T00:00:00"/>
    <x v="0"/>
    <x v="0"/>
    <x v="0"/>
    <s v="Demolition of the existing house and reconstruction of replacement 2 storey with basement and accommodation in the roof single family home and associated parking, hard and soft landscaping."/>
    <s v="2 Belgrave Road, Barnes, London SW13 9NS"/>
    <s v="SW13 9NS"/>
    <m/>
    <m/>
    <m/>
    <n v="1"/>
    <m/>
    <m/>
    <m/>
    <m/>
    <n v="1"/>
    <m/>
    <m/>
    <m/>
    <n v="1"/>
    <m/>
    <m/>
    <m/>
    <m/>
    <n v="1"/>
    <n v="0"/>
    <n v="0"/>
    <n v="-1"/>
    <n v="1"/>
    <n v="0"/>
    <n v="0"/>
    <n v="0"/>
    <n v="0"/>
    <n v="0"/>
    <x v="0"/>
    <n v="0"/>
    <m/>
    <m/>
    <m/>
    <m/>
    <m/>
    <m/>
    <m/>
    <m/>
    <m/>
    <m/>
    <m/>
    <m/>
    <m/>
    <m/>
    <m/>
    <m/>
    <n v="0"/>
    <n v="0"/>
    <n v="0"/>
    <m/>
    <m/>
    <n v="521893"/>
    <n v="177129"/>
    <s v="Barnes and East Sheen"/>
    <x v="7"/>
    <m/>
    <m/>
    <m/>
    <m/>
    <m/>
    <m/>
    <x v="1"/>
    <m/>
    <m/>
  </r>
  <r>
    <s v="19/2860/FUL"/>
    <n v="20"/>
    <x v="1"/>
    <x v="0"/>
    <d v="2020-05-07T00:00:00"/>
    <d v="2023-05-07T00:00:00"/>
    <d v="2021-03-31T00:00:00"/>
    <d v="2022-07-22T00:00:00"/>
    <x v="0"/>
    <x v="0"/>
    <x v="0"/>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n v="0"/>
    <m/>
    <m/>
    <n v="5"/>
    <m/>
    <m/>
    <m/>
    <m/>
    <m/>
    <n v="5"/>
    <n v="0"/>
    <n v="0"/>
    <n v="5"/>
    <n v="0"/>
    <n v="0"/>
    <n v="0"/>
    <n v="0"/>
    <n v="0"/>
    <n v="5"/>
    <x v="0"/>
    <n v="5"/>
    <m/>
    <m/>
    <m/>
    <m/>
    <m/>
    <m/>
    <m/>
    <m/>
    <m/>
    <m/>
    <m/>
    <m/>
    <m/>
    <m/>
    <m/>
    <m/>
    <n v="0"/>
    <n v="0"/>
    <n v="0"/>
    <m/>
    <m/>
    <n v="515028"/>
    <n v="172768"/>
    <s v="Twickenham"/>
    <x v="11"/>
    <m/>
    <m/>
    <m/>
    <m/>
    <m/>
    <m/>
    <x v="1"/>
    <s v="Y"/>
    <m/>
  </r>
  <r>
    <s v="19/3419/FUL"/>
    <n v="21"/>
    <x v="3"/>
    <x v="0"/>
    <d v="2020-03-11T00:00:00"/>
    <d v="2023-03-11T00:00:00"/>
    <d v="2021-03-31T00:00:00"/>
    <d v="2023-01-15T00:00:00"/>
    <x v="0"/>
    <x v="0"/>
    <x v="0"/>
    <s v="Demolition of existing dwellinghouse and erection of detached two storey dwellinghouse, associated hard and soft landscaping"/>
    <s v="8 Sandy Lane, Petersham, Richmond TW10 7EN_x000a_"/>
    <s v="TW10 7EN"/>
    <m/>
    <m/>
    <m/>
    <m/>
    <n v="1"/>
    <m/>
    <m/>
    <m/>
    <n v="1"/>
    <m/>
    <m/>
    <m/>
    <m/>
    <n v="1"/>
    <m/>
    <m/>
    <m/>
    <n v="1"/>
    <n v="0"/>
    <n v="0"/>
    <n v="0"/>
    <n v="-1"/>
    <n v="1"/>
    <n v="0"/>
    <n v="0"/>
    <n v="0"/>
    <n v="0"/>
    <x v="0"/>
    <n v="0"/>
    <m/>
    <m/>
    <m/>
    <m/>
    <m/>
    <m/>
    <m/>
    <m/>
    <m/>
    <m/>
    <m/>
    <m/>
    <m/>
    <m/>
    <m/>
    <m/>
    <n v="0"/>
    <n v="0"/>
    <n v="0"/>
    <m/>
    <m/>
    <n v="517948"/>
    <n v="172696"/>
    <s v="Ham &amp; Petersham"/>
    <x v="2"/>
    <m/>
    <m/>
    <m/>
    <m/>
    <m/>
    <m/>
    <x v="1"/>
    <m/>
    <m/>
  </r>
  <r>
    <s v="20/1484/FUL"/>
    <n v="22"/>
    <x v="3"/>
    <x v="0"/>
    <d v="2020-08-10T00:00:00"/>
    <d v="2023-08-10T00:00:00"/>
    <d v="2021-03-31T00:00:00"/>
    <d v="2023-01-20T00:00:00"/>
    <x v="0"/>
    <x v="0"/>
    <x v="0"/>
    <s v="Demolition of garage and erection of Coach House style dwelling."/>
    <s v="Land To The Rear Of 178A - 184 Kingston Lane, Teddington TW11 9HD"/>
    <s v="TW11 9HD"/>
    <m/>
    <m/>
    <m/>
    <m/>
    <m/>
    <m/>
    <m/>
    <m/>
    <n v="0"/>
    <n v="1"/>
    <m/>
    <m/>
    <m/>
    <m/>
    <m/>
    <m/>
    <m/>
    <n v="1"/>
    <n v="1"/>
    <n v="0"/>
    <n v="0"/>
    <n v="0"/>
    <n v="0"/>
    <n v="0"/>
    <n v="0"/>
    <n v="0"/>
    <n v="1"/>
    <x v="0"/>
    <n v="1"/>
    <m/>
    <m/>
    <m/>
    <m/>
    <m/>
    <m/>
    <m/>
    <m/>
    <m/>
    <m/>
    <m/>
    <m/>
    <m/>
    <m/>
    <m/>
    <m/>
    <n v="0"/>
    <n v="0"/>
    <n v="0"/>
    <m/>
    <m/>
    <n v="516812"/>
    <n v="170692"/>
    <s v="Teddington and the Hamptons"/>
    <x v="10"/>
    <m/>
    <m/>
    <m/>
    <m/>
    <m/>
    <m/>
    <x v="1"/>
    <s v="Y"/>
    <m/>
  </r>
  <r>
    <s v="20/2505/FUL"/>
    <n v="23"/>
    <x v="3"/>
    <x v="0"/>
    <d v="2021-02-24T00:00:00"/>
    <d v="2024-02-24T00:00:00"/>
    <d v="2021-03-31T00:00:00"/>
    <d v="2022-04-19T00:00:00"/>
    <x v="0"/>
    <x v="0"/>
    <x v="0"/>
    <s v="Demolition of an existing garage and creation of a new 4-bedroom house with associated parking, refuse, recycling, cycle storage, landscaping and amenity space."/>
    <s v="1 Derwent Road, Twickenham TW2 7HQ"/>
    <s v="TW2 7HQ"/>
    <m/>
    <m/>
    <m/>
    <m/>
    <m/>
    <m/>
    <m/>
    <m/>
    <n v="0"/>
    <m/>
    <m/>
    <m/>
    <n v="1"/>
    <m/>
    <m/>
    <m/>
    <m/>
    <n v="1"/>
    <n v="0"/>
    <n v="0"/>
    <n v="0"/>
    <n v="1"/>
    <n v="0"/>
    <n v="0"/>
    <n v="0"/>
    <n v="0"/>
    <n v="1"/>
    <x v="0"/>
    <n v="1"/>
    <m/>
    <m/>
    <m/>
    <m/>
    <m/>
    <m/>
    <m/>
    <m/>
    <m/>
    <m/>
    <m/>
    <m/>
    <m/>
    <m/>
    <m/>
    <m/>
    <n v="0"/>
    <n v="0"/>
    <n v="0"/>
    <m/>
    <m/>
    <n v="513900"/>
    <n v="174312"/>
    <s v="Whitton"/>
    <x v="12"/>
    <m/>
    <m/>
    <m/>
    <m/>
    <m/>
    <m/>
    <x v="1"/>
    <s v="Y"/>
    <m/>
  </r>
  <r>
    <s v="20/0373/PS192"/>
    <n v="24"/>
    <x v="1"/>
    <x v="0"/>
    <d v="2020-02-18T00:00:00"/>
    <d v="2023-02-18T00:00:00"/>
    <d v="2021-05-01T00:00:00"/>
    <d v="2022-06-30T00:00:00"/>
    <x v="0"/>
    <x v="0"/>
    <x v="0"/>
    <s v="Change of use of part ground and upper floors from A2 (Financial Services) use class into C3 (Residential)."/>
    <s v="347 Upper Richmond Road West, East Sheen, London SW14 8RH"/>
    <s v="SW14 8RH"/>
    <m/>
    <m/>
    <m/>
    <m/>
    <m/>
    <m/>
    <m/>
    <m/>
    <n v="0"/>
    <m/>
    <n v="2"/>
    <m/>
    <m/>
    <m/>
    <m/>
    <m/>
    <m/>
    <n v="2"/>
    <n v="0"/>
    <n v="2"/>
    <n v="0"/>
    <n v="0"/>
    <n v="0"/>
    <n v="0"/>
    <n v="0"/>
    <n v="0"/>
    <n v="2"/>
    <x v="0"/>
    <n v="2"/>
    <m/>
    <m/>
    <m/>
    <m/>
    <m/>
    <m/>
    <m/>
    <m/>
    <m/>
    <m/>
    <m/>
    <m/>
    <m/>
    <m/>
    <m/>
    <m/>
    <n v="0"/>
    <n v="0"/>
    <n v="0"/>
    <m/>
    <m/>
    <n v="520577"/>
    <n v="175397"/>
    <s v="Barnes and East Sheen"/>
    <x v="13"/>
    <s v="East Sheen"/>
    <m/>
    <m/>
    <m/>
    <m/>
    <m/>
    <x v="1"/>
    <s v="Y"/>
    <m/>
  </r>
  <r>
    <s v="20/2987/FUL"/>
    <n v="25"/>
    <x v="3"/>
    <x v="0"/>
    <d v="2021-05-17T00:00:00"/>
    <d v="2024-05-17T00:00:00"/>
    <d v="2021-06-01T00:00:00"/>
    <d v="2022-08-12T00:00:00"/>
    <x v="0"/>
    <x v="0"/>
    <x v="0"/>
    <s v="Demolition of existing bungalow and erection of 3no. new residential units comprising 3 x 3 bedroom terraced houses, together with associated landscaping and parking."/>
    <s v="27 Blandford Road, Teddington TW11 0LF"/>
    <s v="TW11 0LF"/>
    <m/>
    <m/>
    <m/>
    <n v="1"/>
    <m/>
    <m/>
    <m/>
    <m/>
    <n v="1"/>
    <m/>
    <m/>
    <n v="3"/>
    <m/>
    <m/>
    <m/>
    <m/>
    <m/>
    <n v="3"/>
    <n v="0"/>
    <n v="0"/>
    <n v="2"/>
    <n v="0"/>
    <n v="0"/>
    <n v="0"/>
    <n v="0"/>
    <n v="0"/>
    <n v="2"/>
    <x v="0"/>
    <n v="2"/>
    <m/>
    <m/>
    <m/>
    <m/>
    <m/>
    <m/>
    <m/>
    <m/>
    <m/>
    <m/>
    <m/>
    <m/>
    <m/>
    <m/>
    <m/>
    <m/>
    <n v="0"/>
    <n v="0"/>
    <n v="0"/>
    <m/>
    <m/>
    <n v="515086"/>
    <n v="171011"/>
    <s v="Teddington and the Hamptons"/>
    <x v="14"/>
    <m/>
    <m/>
    <m/>
    <m/>
    <m/>
    <m/>
    <x v="1"/>
    <s v="Y"/>
    <m/>
  </r>
  <r>
    <s v="15/3296/FUL"/>
    <n v="26"/>
    <x v="3"/>
    <x v="0"/>
    <d v="2019-08-13T00:00:00"/>
    <d v="2022-08-13T00:00:00"/>
    <d v="2021-06-08T00:00:00"/>
    <d v="2022-08-17T00:00:00"/>
    <x v="0"/>
    <x v="1"/>
    <x v="0"/>
    <s v="SITE A:-Removal of 40 garages Create a short terrace of high quality two storey houses consisting of three x  three-bedroom houses and two x  four-bedroom houses. Provision of 16 parking spaces in a shared surface courtyard"/>
    <s v="Garages Site A, Bucklands Road, Teddington_x000a__x000a_"/>
    <s v="TW11"/>
    <m/>
    <m/>
    <m/>
    <m/>
    <m/>
    <m/>
    <m/>
    <m/>
    <n v="0"/>
    <m/>
    <m/>
    <n v="3"/>
    <n v="2"/>
    <m/>
    <m/>
    <m/>
    <m/>
    <n v="5"/>
    <n v="0"/>
    <n v="0"/>
    <n v="3"/>
    <n v="2"/>
    <n v="0"/>
    <n v="0"/>
    <n v="0"/>
    <n v="0"/>
    <n v="5"/>
    <x v="0"/>
    <n v="5"/>
    <m/>
    <m/>
    <m/>
    <m/>
    <m/>
    <m/>
    <m/>
    <m/>
    <m/>
    <m/>
    <m/>
    <m/>
    <m/>
    <m/>
    <m/>
    <m/>
    <n v="0"/>
    <n v="0"/>
    <n v="0"/>
    <m/>
    <m/>
    <n v="517328"/>
    <n v="170954"/>
    <s v="Teddington and the Hamptons"/>
    <x v="10"/>
    <m/>
    <m/>
    <m/>
    <m/>
    <m/>
    <m/>
    <x v="1"/>
    <s v="Y"/>
    <m/>
  </r>
  <r>
    <s v="18/3952/FUL"/>
    <n v="27"/>
    <x v="3"/>
    <x v="0"/>
    <d v="2019-04-01T00:00:00"/>
    <d v="2022-04-01T00:00:00"/>
    <d v="2021-07-01T00:00:00"/>
    <d v="2023-03-31T00:00:00"/>
    <x v="0"/>
    <x v="0"/>
    <x v="0"/>
    <s v="Replacement of existing dwelling with 1 no. 2 storey with accommodation in the roof (5B10P) dwellinghouse and new pedestrian gate."/>
    <s v="45 Ormond Crescent, Hampton, TW12 2TJ"/>
    <s v="TW12 2TJ"/>
    <m/>
    <m/>
    <m/>
    <m/>
    <m/>
    <n v="1"/>
    <m/>
    <m/>
    <n v="1"/>
    <m/>
    <m/>
    <m/>
    <m/>
    <n v="1"/>
    <m/>
    <m/>
    <m/>
    <n v="1"/>
    <n v="0"/>
    <n v="0"/>
    <n v="0"/>
    <n v="0"/>
    <n v="0"/>
    <n v="0"/>
    <n v="0"/>
    <n v="0"/>
    <n v="0"/>
    <x v="0"/>
    <n v="0"/>
    <m/>
    <m/>
    <m/>
    <m/>
    <m/>
    <m/>
    <m/>
    <m/>
    <m/>
    <m/>
    <m/>
    <m/>
    <m/>
    <m/>
    <m/>
    <m/>
    <n v="0"/>
    <n v="0"/>
    <n v="0"/>
    <m/>
    <m/>
    <n v="513943"/>
    <n v="170016"/>
    <s v="Teddington and the Hamptons"/>
    <x v="15"/>
    <m/>
    <m/>
    <m/>
    <m/>
    <m/>
    <m/>
    <x v="1"/>
    <s v="Y"/>
    <m/>
  </r>
  <r>
    <s v="15/2204/FUL"/>
    <n v="28"/>
    <x v="3"/>
    <x v="0"/>
    <d v="2018-07-03T00:00:00"/>
    <d v="2021-07-03T00:00:00"/>
    <d v="2021-07-03T00:00:00"/>
    <d v="2023-02-01T00:00:00"/>
    <x v="0"/>
    <x v="0"/>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n v="1"/>
    <m/>
    <m/>
    <m/>
    <m/>
    <m/>
    <m/>
    <n v="1"/>
    <n v="0"/>
    <n v="1"/>
    <n v="0"/>
    <n v="0"/>
    <n v="0"/>
    <n v="0"/>
    <n v="0"/>
    <n v="0"/>
    <n v="1"/>
    <x v="0"/>
    <n v="1"/>
    <m/>
    <m/>
    <m/>
    <m/>
    <m/>
    <m/>
    <m/>
    <m/>
    <m/>
    <m/>
    <m/>
    <m/>
    <m/>
    <m/>
    <m/>
    <m/>
    <n v="0"/>
    <n v="0"/>
    <n v="0"/>
    <m/>
    <m/>
    <n v="514174"/>
    <n v="174381"/>
    <s v="Whitton"/>
    <x v="12"/>
    <m/>
    <m/>
    <m/>
    <m/>
    <m/>
    <m/>
    <x v="1"/>
    <s v="Y"/>
    <m/>
  </r>
  <r>
    <s v="20/1025/FUL"/>
    <n v="29"/>
    <x v="3"/>
    <x v="0"/>
    <d v="2021-01-13T00:00:00"/>
    <d v="2024-01-13T00:00:00"/>
    <d v="2021-08-01T00:00:00"/>
    <d v="2023-02-01T00:00:00"/>
    <x v="0"/>
    <x v="0"/>
    <x v="0"/>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Rosehill, Hampton TW12 2AA"/>
    <s v="TW12 2AA"/>
    <m/>
    <m/>
    <m/>
    <m/>
    <m/>
    <m/>
    <m/>
    <m/>
    <n v="0"/>
    <m/>
    <m/>
    <m/>
    <n v="6"/>
    <m/>
    <m/>
    <m/>
    <m/>
    <n v="6"/>
    <n v="0"/>
    <n v="0"/>
    <n v="0"/>
    <n v="6"/>
    <n v="0"/>
    <n v="0"/>
    <n v="0"/>
    <n v="0"/>
    <n v="6"/>
    <x v="0"/>
    <n v="6"/>
    <m/>
    <m/>
    <m/>
    <m/>
    <m/>
    <m/>
    <m/>
    <m/>
    <m/>
    <m/>
    <m/>
    <m/>
    <m/>
    <m/>
    <m/>
    <m/>
    <n v="0"/>
    <n v="0"/>
    <n v="0"/>
    <m/>
    <m/>
    <n v="513446"/>
    <n v="169655"/>
    <s v="Teddington and the Hamptons"/>
    <x v="15"/>
    <m/>
    <m/>
    <m/>
    <m/>
    <m/>
    <s v="CA12 Hampton Village"/>
    <x v="0"/>
    <s v="Y"/>
    <m/>
  </r>
  <r>
    <s v="20/2238/FUL"/>
    <n v="30"/>
    <x v="3"/>
    <x v="0"/>
    <d v="2021-02-05T00:00:00"/>
    <d v="2024-02-05T00:00:00"/>
    <d v="2021-08-01T00:00:00"/>
    <d v="2023-02-22T00:00:00"/>
    <x v="0"/>
    <x v="0"/>
    <x v="0"/>
    <s v="One new, single storey, 3 bedroom house (C3a) with associated parking off Southfield Gardens and amenity space."/>
    <s v="11 - 12 Cusack Close, Twickenham_x000a__x000a_"/>
    <s v="TW1"/>
    <m/>
    <m/>
    <m/>
    <m/>
    <m/>
    <m/>
    <m/>
    <m/>
    <n v="0"/>
    <m/>
    <m/>
    <n v="1"/>
    <m/>
    <m/>
    <m/>
    <m/>
    <m/>
    <n v="1"/>
    <n v="0"/>
    <n v="0"/>
    <n v="1"/>
    <n v="0"/>
    <n v="0"/>
    <n v="0"/>
    <n v="0"/>
    <n v="0"/>
    <n v="1"/>
    <x v="0"/>
    <n v="1"/>
    <m/>
    <m/>
    <m/>
    <m/>
    <m/>
    <m/>
    <m/>
    <m/>
    <m/>
    <m/>
    <m/>
    <m/>
    <m/>
    <m/>
    <m/>
    <m/>
    <n v="0"/>
    <n v="0"/>
    <n v="0"/>
    <m/>
    <m/>
    <n v="515563"/>
    <n v="171846"/>
    <s v="Twickenham"/>
    <x v="5"/>
    <m/>
    <m/>
    <m/>
    <m/>
    <m/>
    <m/>
    <x v="1"/>
    <s v="Y"/>
    <m/>
  </r>
  <r>
    <s v="19/1663/FUL"/>
    <n v="31"/>
    <x v="1"/>
    <x v="0"/>
    <d v="2021-03-01T00:00:00"/>
    <d v="2024-03-01T00:00:00"/>
    <d v="2021-08-02T00:00:00"/>
    <d v="2022-07-05T00:00:00"/>
    <x v="0"/>
    <x v="0"/>
    <x v="0"/>
    <s v="Conversion and extension of workshop building Use Class E(g) - light industrial (formerly B1c and B1a lightl) to form a one-storey, 3 bedroom dwelling with accomodation in the roof Use Class C3 residential."/>
    <s v="Workshop Rear Of 8 High Street, Hampton TW12 2SJ"/>
    <s v="TW12 2SJ"/>
    <m/>
    <m/>
    <m/>
    <m/>
    <m/>
    <m/>
    <m/>
    <m/>
    <n v="0"/>
    <m/>
    <m/>
    <n v="1"/>
    <m/>
    <m/>
    <m/>
    <m/>
    <m/>
    <n v="1"/>
    <n v="0"/>
    <n v="0"/>
    <n v="1"/>
    <n v="0"/>
    <n v="0"/>
    <n v="0"/>
    <n v="0"/>
    <n v="0"/>
    <n v="1"/>
    <x v="0"/>
    <n v="1"/>
    <m/>
    <m/>
    <m/>
    <m/>
    <m/>
    <m/>
    <m/>
    <m/>
    <m/>
    <m/>
    <m/>
    <m/>
    <m/>
    <m/>
    <m/>
    <m/>
    <n v="0"/>
    <n v="0"/>
    <n v="0"/>
    <m/>
    <m/>
    <n v="513992"/>
    <n v="169525"/>
    <s v="Teddington and the Hamptons"/>
    <x v="15"/>
    <m/>
    <m/>
    <s v="Thames Street, Hampton"/>
    <s v="Y"/>
    <m/>
    <s v="CA12 Hampton Village"/>
    <x v="0"/>
    <s v="Y"/>
    <m/>
  </r>
  <r>
    <s v="19/3652/FUL"/>
    <n v="32"/>
    <x v="2"/>
    <x v="0"/>
    <d v="2021-02-26T00:00:00"/>
    <d v="2024-02-26T00:00:00"/>
    <d v="2021-08-02T00:00:00"/>
    <d v="2022-06-01T00:00:00"/>
    <x v="0"/>
    <x v="0"/>
    <x v="0"/>
    <s v="Single-storey rear extension and replacement window arrangement in side dormer and conversion of a dwelling house into two flats."/>
    <s v="600 Hanworth Road, Whitton, Hounslow TW4 5LJ_x000a_"/>
    <s v="TW4 5LJ"/>
    <m/>
    <m/>
    <m/>
    <n v="1"/>
    <m/>
    <m/>
    <m/>
    <m/>
    <n v="1"/>
    <m/>
    <n v="1"/>
    <n v="1"/>
    <m/>
    <m/>
    <m/>
    <m/>
    <m/>
    <n v="2"/>
    <n v="0"/>
    <n v="1"/>
    <n v="0"/>
    <n v="0"/>
    <n v="0"/>
    <n v="0"/>
    <n v="0"/>
    <n v="0"/>
    <n v="1"/>
    <x v="0"/>
    <n v="1"/>
    <m/>
    <m/>
    <m/>
    <m/>
    <m/>
    <m/>
    <m/>
    <m/>
    <m/>
    <m/>
    <m/>
    <m/>
    <m/>
    <m/>
    <m/>
    <m/>
    <n v="0"/>
    <n v="0"/>
    <n v="0"/>
    <m/>
    <m/>
    <n v="512962"/>
    <n v="173989"/>
    <s v="Whitton"/>
    <x v="16"/>
    <m/>
    <m/>
    <m/>
    <m/>
    <m/>
    <m/>
    <x v="1"/>
    <m/>
    <m/>
  </r>
  <r>
    <s v="20/0899/GPD15"/>
    <n v="33"/>
    <x v="1"/>
    <x v="1"/>
    <d v="2020-05-20T00:00:00"/>
    <d v="2023-05-20T00:00:00"/>
    <d v="2021-08-02T00:00:00"/>
    <d v="2023-03-31T00:00:00"/>
    <x v="0"/>
    <x v="0"/>
    <x v="0"/>
    <s v="Change of use from office B1 (a) to residential (C3) in the form of 5 no. units"/>
    <s v="The Coach House, 273A Sandycombe Road, Richmond TW9 3LU_x000a_"/>
    <s v="TW9 3LU"/>
    <m/>
    <m/>
    <m/>
    <m/>
    <m/>
    <m/>
    <m/>
    <m/>
    <n v="0"/>
    <n v="5"/>
    <m/>
    <m/>
    <m/>
    <m/>
    <m/>
    <m/>
    <m/>
    <n v="5"/>
    <n v="5"/>
    <n v="0"/>
    <n v="0"/>
    <n v="0"/>
    <n v="0"/>
    <n v="0"/>
    <n v="0"/>
    <n v="0"/>
    <n v="5"/>
    <x v="0"/>
    <n v="5"/>
    <m/>
    <m/>
    <m/>
    <m/>
    <m/>
    <m/>
    <m/>
    <m/>
    <m/>
    <m/>
    <m/>
    <m/>
    <m/>
    <m/>
    <m/>
    <m/>
    <n v="0"/>
    <n v="0"/>
    <n v="0"/>
    <m/>
    <m/>
    <n v="519113"/>
    <n v="176411"/>
    <s v="Richmond"/>
    <x v="3"/>
    <m/>
    <m/>
    <m/>
    <m/>
    <m/>
    <s v="CA15 Kew Gardens Kew"/>
    <x v="0"/>
    <s v="Y"/>
    <m/>
  </r>
  <r>
    <s v="19/1098/FUL"/>
    <n v="34"/>
    <x v="3"/>
    <x v="0"/>
    <d v="2019-08-27T00:00:00"/>
    <d v="2022-08-27T00:00:00"/>
    <d v="2021-08-16T00:00:00"/>
    <d v="2022-11-01T00:00:00"/>
    <x v="0"/>
    <x v="0"/>
    <x v="0"/>
    <s v="Demolition of detached house, construction of four classrooms and a multi use hall complete with change of use from residential to education."/>
    <s v="190 Sheen Lane, East Sheen, London SW14 8LF_x000a_"/>
    <s v="SW14 8LF"/>
    <m/>
    <m/>
    <m/>
    <n v="1"/>
    <m/>
    <m/>
    <m/>
    <m/>
    <n v="1"/>
    <m/>
    <m/>
    <m/>
    <m/>
    <m/>
    <m/>
    <m/>
    <m/>
    <n v="0"/>
    <n v="0"/>
    <n v="0"/>
    <n v="-1"/>
    <n v="0"/>
    <n v="0"/>
    <n v="0"/>
    <n v="0"/>
    <n v="0"/>
    <n v="-1"/>
    <x v="0"/>
    <n v="-1"/>
    <m/>
    <m/>
    <m/>
    <m/>
    <m/>
    <m/>
    <m/>
    <m/>
    <m/>
    <m/>
    <m/>
    <m/>
    <m/>
    <m/>
    <m/>
    <m/>
    <n v="0"/>
    <n v="0"/>
    <n v="0"/>
    <m/>
    <m/>
    <n v="520394"/>
    <n v="175127"/>
    <s v="Barnes and East Sheen"/>
    <x v="13"/>
    <m/>
    <m/>
    <m/>
    <m/>
    <m/>
    <s v="CA64 Sheen Lane East Sheen"/>
    <x v="0"/>
    <s v="Y"/>
    <m/>
  </r>
  <r>
    <s v="18/3285/FUL"/>
    <n v="35"/>
    <x v="3"/>
    <x v="0"/>
    <d v="2019-03-18T00:00:00"/>
    <d v="2022-03-18T00:00:00"/>
    <d v="2021-09-01T00:00:00"/>
    <d v="2023-03-31T00:00:00"/>
    <x v="0"/>
    <x v="0"/>
    <x v="0"/>
    <s v="Demolition of existing house and construction of a new 5 bed house with basement"/>
    <s v="74 Lowther Road, Barnes, London SW13 9NU"/>
    <s v="SW13 9NU"/>
    <m/>
    <m/>
    <m/>
    <m/>
    <n v="1"/>
    <m/>
    <m/>
    <m/>
    <n v="1"/>
    <m/>
    <m/>
    <m/>
    <m/>
    <n v="1"/>
    <m/>
    <m/>
    <m/>
    <n v="1"/>
    <n v="0"/>
    <n v="0"/>
    <n v="0"/>
    <n v="-1"/>
    <n v="1"/>
    <n v="0"/>
    <n v="0"/>
    <n v="0"/>
    <n v="0"/>
    <x v="0"/>
    <n v="0"/>
    <m/>
    <m/>
    <m/>
    <m/>
    <m/>
    <m/>
    <m/>
    <m/>
    <m/>
    <m/>
    <m/>
    <m/>
    <m/>
    <m/>
    <m/>
    <m/>
    <n v="0"/>
    <n v="0"/>
    <n v="0"/>
    <m/>
    <m/>
    <n v="521978"/>
    <n v="177062"/>
    <s v="Barnes and East Sheen"/>
    <x v="7"/>
    <m/>
    <m/>
    <m/>
    <m/>
    <m/>
    <m/>
    <x v="1"/>
    <m/>
    <m/>
  </r>
  <r>
    <s v="20/0256/FUL"/>
    <n v="36"/>
    <x v="0"/>
    <x v="0"/>
    <d v="2020-11-09T00:00:00"/>
    <d v="2023-11-09T00:00:00"/>
    <d v="2021-09-01T00:00:00"/>
    <d v="2022-06-30T00:00:00"/>
    <x v="0"/>
    <x v="0"/>
    <x v="0"/>
    <s v="Alterations to existing shopfront to create new entrance door, part change of use of ground floor, 2 rooflights on front roof slope, rear dormer roof extension to rear roof slope and roof to outrigger to facilitate the conversion of upper floors into C3 ("/>
    <s v="195 Upper Richmond Road West, East Sheen, London SW14 8QT_x000a_"/>
    <s v="SW14 8QT"/>
    <m/>
    <m/>
    <n v="1"/>
    <m/>
    <m/>
    <m/>
    <m/>
    <m/>
    <n v="1"/>
    <n v="1"/>
    <n v="1"/>
    <m/>
    <m/>
    <m/>
    <m/>
    <m/>
    <m/>
    <n v="2"/>
    <n v="1"/>
    <n v="0"/>
    <n v="0"/>
    <n v="0"/>
    <n v="0"/>
    <n v="0"/>
    <n v="0"/>
    <n v="0"/>
    <n v="1"/>
    <x v="0"/>
    <n v="1"/>
    <m/>
    <m/>
    <m/>
    <m/>
    <m/>
    <m/>
    <m/>
    <m/>
    <m/>
    <m/>
    <m/>
    <m/>
    <m/>
    <m/>
    <m/>
    <m/>
    <n v="0"/>
    <n v="0"/>
    <n v="0"/>
    <m/>
    <m/>
    <n v="520903"/>
    <n v="175430"/>
    <s v="Barnes and East Sheen"/>
    <x v="13"/>
    <s v="East Sheen"/>
    <m/>
    <m/>
    <m/>
    <m/>
    <m/>
    <x v="1"/>
    <s v="Y"/>
    <m/>
  </r>
  <r>
    <s v="20/0857/GPD15"/>
    <n v="37"/>
    <x v="1"/>
    <x v="1"/>
    <d v="2021-01-27T00:00:00"/>
    <d v="2024-01-27T00:00:00"/>
    <d v="2021-09-01T00:00:00"/>
    <d v="2022-09-28T00:00:00"/>
    <x v="0"/>
    <x v="0"/>
    <x v="0"/>
    <s v="Change of Use of B1(a) (Office) accommodation to provide 3 no. self-contained flats (C3 Residential) and associated refuse, recycling and cycle parking."/>
    <s v="2B Claremont Road, Teddington TW11 8DG_x000a_"/>
    <s v="TW11 8DG"/>
    <m/>
    <m/>
    <m/>
    <m/>
    <m/>
    <m/>
    <m/>
    <m/>
    <n v="0"/>
    <n v="1"/>
    <n v="2"/>
    <m/>
    <m/>
    <m/>
    <m/>
    <m/>
    <m/>
    <n v="3"/>
    <n v="1"/>
    <n v="2"/>
    <n v="0"/>
    <n v="0"/>
    <n v="0"/>
    <n v="0"/>
    <n v="0"/>
    <n v="0"/>
    <n v="3"/>
    <x v="0"/>
    <n v="3"/>
    <m/>
    <m/>
    <m/>
    <m/>
    <m/>
    <m/>
    <m/>
    <m/>
    <m/>
    <m/>
    <m/>
    <m/>
    <m/>
    <m/>
    <m/>
    <m/>
    <n v="0"/>
    <n v="0"/>
    <n v="0"/>
    <m/>
    <m/>
    <n v="515781"/>
    <n v="171435"/>
    <s v="Teddington and the Hamptons"/>
    <x v="0"/>
    <m/>
    <m/>
    <m/>
    <m/>
    <m/>
    <m/>
    <x v="1"/>
    <s v="Y"/>
    <m/>
  </r>
  <r>
    <s v="20/3144/FUL"/>
    <n v="38"/>
    <x v="3"/>
    <x v="0"/>
    <d v="2021-03-02T00:00:00"/>
    <d v="2024-03-02T00:00:00"/>
    <d v="2021-09-01T00:00:00"/>
    <d v="2022-10-07T00:00:00"/>
    <x v="0"/>
    <x v="0"/>
    <x v="0"/>
    <s v="Demolition of existing dwelling and garage and erection of new detached dwelling and outbuilding following previous approval."/>
    <s v="8 St Albans Gardens, Teddington TW11 8AE"/>
    <s v="TW11 8AE"/>
    <m/>
    <m/>
    <n v="1"/>
    <m/>
    <m/>
    <m/>
    <m/>
    <m/>
    <n v="1"/>
    <m/>
    <m/>
    <m/>
    <n v="1"/>
    <m/>
    <m/>
    <m/>
    <m/>
    <n v="1"/>
    <n v="0"/>
    <n v="-1"/>
    <n v="0"/>
    <n v="1"/>
    <n v="0"/>
    <n v="0"/>
    <n v="0"/>
    <n v="0"/>
    <n v="0"/>
    <x v="0"/>
    <n v="0"/>
    <m/>
    <m/>
    <m/>
    <m/>
    <m/>
    <m/>
    <m/>
    <m/>
    <m/>
    <m/>
    <m/>
    <m/>
    <m/>
    <m/>
    <m/>
    <m/>
    <n v="0"/>
    <n v="0"/>
    <n v="0"/>
    <m/>
    <m/>
    <n v="516412"/>
    <n v="171302"/>
    <s v="Teddington and the Hamptons"/>
    <x v="0"/>
    <m/>
    <m/>
    <m/>
    <m/>
    <m/>
    <m/>
    <x v="1"/>
    <s v="Y"/>
    <m/>
  </r>
  <r>
    <s v="20/2691/FUL"/>
    <n v="39"/>
    <x v="3"/>
    <x v="0"/>
    <d v="2020-12-21T00:00:00"/>
    <d v="2023-12-21T00:00:00"/>
    <d v="2021-10-01T00:00:00"/>
    <d v="2022-07-20T00:00:00"/>
    <x v="0"/>
    <x v="0"/>
    <x v="0"/>
    <s v="Replacement two storey dwellinghouse with accommodation in the roof and associated cycle and refuse stores"/>
    <s v="51 Howsman Road, Barnes, London SW13 9AW"/>
    <s v="SW13 9AW"/>
    <m/>
    <m/>
    <m/>
    <n v="1"/>
    <m/>
    <m/>
    <m/>
    <m/>
    <n v="1"/>
    <m/>
    <m/>
    <m/>
    <n v="1"/>
    <m/>
    <m/>
    <m/>
    <m/>
    <n v="1"/>
    <n v="0"/>
    <n v="0"/>
    <n v="-1"/>
    <n v="1"/>
    <n v="0"/>
    <n v="0"/>
    <n v="0"/>
    <n v="0"/>
    <n v="0"/>
    <x v="0"/>
    <n v="0"/>
    <m/>
    <m/>
    <m/>
    <m/>
    <m/>
    <m/>
    <m/>
    <m/>
    <m/>
    <m/>
    <m/>
    <m/>
    <m/>
    <m/>
    <m/>
    <m/>
    <n v="0"/>
    <n v="0"/>
    <n v="0"/>
    <m/>
    <m/>
    <n v="522113"/>
    <n v="177588"/>
    <s v="Barnes and East Sheen"/>
    <x v="7"/>
    <m/>
    <m/>
    <m/>
    <m/>
    <m/>
    <m/>
    <x v="1"/>
    <m/>
    <m/>
  </r>
  <r>
    <s v="20/3688/FUL"/>
    <n v="40"/>
    <x v="1"/>
    <x v="0"/>
    <d v="2021-08-02T00:00:00"/>
    <d v="2024-08-02T00:00:00"/>
    <d v="2021-10-01T00:00:00"/>
    <d v="2022-04-01T00:00:00"/>
    <x v="0"/>
    <x v="0"/>
    <x v="0"/>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_x000a_"/>
    <s v="TW2 6EF"/>
    <m/>
    <m/>
    <m/>
    <m/>
    <n v="1"/>
    <m/>
    <m/>
    <m/>
    <n v="1"/>
    <m/>
    <m/>
    <m/>
    <m/>
    <m/>
    <m/>
    <m/>
    <m/>
    <n v="0"/>
    <n v="0"/>
    <n v="0"/>
    <n v="0"/>
    <n v="-1"/>
    <n v="0"/>
    <n v="0"/>
    <n v="0"/>
    <n v="0"/>
    <n v="-1"/>
    <x v="0"/>
    <n v="-1"/>
    <m/>
    <m/>
    <m/>
    <m/>
    <m/>
    <m/>
    <m/>
    <m/>
    <m/>
    <m/>
    <m/>
    <m/>
    <m/>
    <m/>
    <m/>
    <m/>
    <n v="0"/>
    <n v="0"/>
    <n v="0"/>
    <m/>
    <m/>
    <n v="513502"/>
    <n v="173048"/>
    <s v="Whitton"/>
    <x v="16"/>
    <m/>
    <m/>
    <m/>
    <m/>
    <m/>
    <m/>
    <x v="1"/>
    <m/>
    <m/>
  </r>
  <r>
    <s v="20/3754/FUL"/>
    <n v="41"/>
    <x v="4"/>
    <x v="0"/>
    <d v="2021-03-29T00:00:00"/>
    <d v="2024-03-29T00:00:00"/>
    <d v="2021-10-01T00:00:00"/>
    <d v="2022-07-29T00:00:00"/>
    <x v="0"/>
    <x v="0"/>
    <x v="0"/>
    <s v="Roof extension to provide a self contained studio flat and replacement shopfront"/>
    <s v="241 Sandycombe Road, Richmond TW9 2EW"/>
    <s v="TW9 2EW"/>
    <m/>
    <m/>
    <m/>
    <m/>
    <m/>
    <m/>
    <m/>
    <m/>
    <n v="0"/>
    <n v="1"/>
    <m/>
    <m/>
    <m/>
    <m/>
    <m/>
    <m/>
    <m/>
    <n v="1"/>
    <n v="1"/>
    <n v="0"/>
    <n v="0"/>
    <n v="0"/>
    <n v="0"/>
    <n v="0"/>
    <n v="0"/>
    <n v="0"/>
    <n v="1"/>
    <x v="0"/>
    <n v="1"/>
    <m/>
    <m/>
    <m/>
    <m/>
    <m/>
    <m/>
    <m/>
    <m/>
    <m/>
    <m/>
    <m/>
    <m/>
    <m/>
    <m/>
    <m/>
    <m/>
    <n v="0"/>
    <n v="0"/>
    <n v="0"/>
    <m/>
    <m/>
    <n v="519103"/>
    <n v="176286"/>
    <s v="Richmond"/>
    <x v="3"/>
    <m/>
    <m/>
    <s v="Sandycombe Road South"/>
    <s v="Y"/>
    <m/>
    <m/>
    <x v="1"/>
    <s v="Y"/>
    <m/>
  </r>
  <r>
    <s v="20/1080/FUL"/>
    <n v="42"/>
    <x v="3"/>
    <x v="0"/>
    <d v="2020-11-02T00:00:00"/>
    <d v="2023-11-02T00:00:00"/>
    <d v="2021-10-04T00:00:00"/>
    <d v="2022-09-13T00:00:00"/>
    <x v="0"/>
    <x v="0"/>
    <x v="0"/>
    <s v="Subdivision of existing plot and erection of a 2 bedroom detached dwelling with associated landscaping and shared front parking"/>
    <s v="1 Butts Crescent, Hanworth, Feltham TW13 6HU_x000a_"/>
    <s v="TW13 6HU"/>
    <m/>
    <m/>
    <m/>
    <m/>
    <m/>
    <m/>
    <m/>
    <m/>
    <n v="0"/>
    <m/>
    <n v="1"/>
    <m/>
    <m/>
    <m/>
    <m/>
    <m/>
    <m/>
    <n v="1"/>
    <n v="0"/>
    <n v="1"/>
    <n v="0"/>
    <n v="0"/>
    <n v="0"/>
    <n v="0"/>
    <n v="0"/>
    <n v="0"/>
    <n v="1"/>
    <x v="0"/>
    <n v="1"/>
    <m/>
    <m/>
    <m/>
    <m/>
    <m/>
    <m/>
    <m/>
    <m/>
    <m/>
    <m/>
    <m/>
    <m/>
    <m/>
    <m/>
    <m/>
    <m/>
    <n v="0"/>
    <n v="0"/>
    <n v="0"/>
    <m/>
    <m/>
    <n v="513119"/>
    <n v="172196"/>
    <s v="Twickenham"/>
    <x v="11"/>
    <m/>
    <m/>
    <m/>
    <m/>
    <m/>
    <m/>
    <x v="1"/>
    <m/>
    <s v="Y"/>
  </r>
  <r>
    <s v="19/2729/FUL"/>
    <n v="43"/>
    <x v="0"/>
    <x v="0"/>
    <d v="2020-07-24T00:00:00"/>
    <d v="2023-07-24T00:00:00"/>
    <d v="2021-11-01T00:00:00"/>
    <d v="2023-03-31T00:00:00"/>
    <x v="0"/>
    <x v="0"/>
    <x v="0"/>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n v="0"/>
    <m/>
    <n v="1"/>
    <m/>
    <m/>
    <m/>
    <m/>
    <m/>
    <m/>
    <n v="1"/>
    <n v="0"/>
    <n v="1"/>
    <n v="0"/>
    <n v="0"/>
    <n v="0"/>
    <n v="0"/>
    <n v="0"/>
    <n v="0"/>
    <n v="1"/>
    <x v="0"/>
    <n v="1"/>
    <m/>
    <m/>
    <m/>
    <m/>
    <m/>
    <m/>
    <m/>
    <m/>
    <m/>
    <m/>
    <m/>
    <m/>
    <m/>
    <m/>
    <m/>
    <m/>
    <n v="0"/>
    <n v="0"/>
    <n v="0"/>
    <m/>
    <m/>
    <n v="521330"/>
    <n v="175807"/>
    <s v="Barnes and East Sheen"/>
    <x v="8"/>
    <m/>
    <m/>
    <s v="White Hart lane, Barnes"/>
    <s v="Y"/>
    <m/>
    <s v="CA33 Mortlake"/>
    <x v="0"/>
    <s v="Y"/>
    <m/>
  </r>
  <r>
    <s v="20/1417/GPD15"/>
    <n v="44"/>
    <x v="1"/>
    <x v="1"/>
    <d v="2020-08-19T00:00:00"/>
    <d v="2023-08-19T00:00:00"/>
    <d v="2021-11-01T00:00:00"/>
    <d v="2022-11-08T00:00:00"/>
    <x v="0"/>
    <x v="0"/>
    <x v="0"/>
    <s v="Change of use of office (B1a) to dwelling (C3)"/>
    <s v="112 Shacklegate Lane, Teddington TW11 8SH_x000a_"/>
    <s v="TW11 8SH"/>
    <m/>
    <m/>
    <m/>
    <m/>
    <m/>
    <m/>
    <m/>
    <m/>
    <n v="0"/>
    <n v="1"/>
    <m/>
    <m/>
    <m/>
    <m/>
    <m/>
    <m/>
    <m/>
    <n v="1"/>
    <n v="1"/>
    <n v="0"/>
    <n v="0"/>
    <n v="0"/>
    <n v="0"/>
    <n v="0"/>
    <n v="0"/>
    <n v="0"/>
    <n v="1"/>
    <x v="0"/>
    <n v="1"/>
    <m/>
    <m/>
    <m/>
    <m/>
    <m/>
    <m/>
    <m/>
    <m/>
    <m/>
    <m/>
    <m/>
    <m/>
    <m/>
    <m/>
    <m/>
    <m/>
    <n v="0"/>
    <n v="0"/>
    <n v="0"/>
    <m/>
    <m/>
    <n v="515402"/>
    <n v="171660"/>
    <s v="Teddington and the Hamptons"/>
    <x v="14"/>
    <m/>
    <m/>
    <m/>
    <m/>
    <m/>
    <m/>
    <x v="1"/>
    <s v="Y"/>
    <m/>
  </r>
  <r>
    <s v="19/2765/FUL"/>
    <n v="45"/>
    <x v="3"/>
    <x v="0"/>
    <d v="2020-08-20T00:00:00"/>
    <d v="2023-08-20T00:00:00"/>
    <d v="2021-12-07T00:00:00"/>
    <d v="2023-01-12T00:00:00"/>
    <x v="0"/>
    <x v="1"/>
    <x v="0"/>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_x000a__x000a_"/>
    <s v="TW4 5QE"/>
    <m/>
    <m/>
    <m/>
    <m/>
    <m/>
    <m/>
    <m/>
    <m/>
    <n v="0"/>
    <m/>
    <n v="5"/>
    <n v="4"/>
    <m/>
    <m/>
    <m/>
    <m/>
    <m/>
    <n v="9"/>
    <n v="0"/>
    <n v="5"/>
    <n v="4"/>
    <n v="0"/>
    <n v="0"/>
    <n v="0"/>
    <n v="0"/>
    <n v="0"/>
    <n v="9"/>
    <x v="0"/>
    <n v="9"/>
    <m/>
    <m/>
    <m/>
    <m/>
    <m/>
    <m/>
    <m/>
    <m/>
    <m/>
    <m/>
    <m/>
    <m/>
    <m/>
    <m/>
    <m/>
    <m/>
    <n v="0"/>
    <n v="0"/>
    <n v="0"/>
    <m/>
    <m/>
    <n v="512878"/>
    <n v="174040"/>
    <s v="Whitton"/>
    <x v="16"/>
    <m/>
    <m/>
    <m/>
    <m/>
    <m/>
    <m/>
    <x v="1"/>
    <m/>
    <m/>
  </r>
  <r>
    <s v="20/3483/FUL"/>
    <n v="46"/>
    <x v="1"/>
    <x v="0"/>
    <d v="2021-07-14T00:00:00"/>
    <d v="2024-07-14T00:00:00"/>
    <d v="2021-12-13T00:00:00"/>
    <d v="2023-03-31T00:00:00"/>
    <x v="0"/>
    <x v="0"/>
    <x v="0"/>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
    <s v="9-10 George Street, Richmond, TW9 1JY"/>
    <s v="TW9 1JY"/>
    <m/>
    <m/>
    <m/>
    <m/>
    <m/>
    <m/>
    <m/>
    <m/>
    <n v="0"/>
    <n v="5"/>
    <n v="1"/>
    <m/>
    <m/>
    <m/>
    <m/>
    <m/>
    <m/>
    <n v="6"/>
    <n v="5"/>
    <n v="1"/>
    <n v="0"/>
    <n v="0"/>
    <n v="0"/>
    <n v="0"/>
    <n v="0"/>
    <n v="0"/>
    <n v="6"/>
    <x v="0"/>
    <n v="6"/>
    <m/>
    <m/>
    <m/>
    <m/>
    <m/>
    <m/>
    <m/>
    <m/>
    <m/>
    <m/>
    <m/>
    <m/>
    <m/>
    <m/>
    <m/>
    <m/>
    <n v="0"/>
    <n v="0"/>
    <n v="0"/>
    <m/>
    <m/>
    <n v="517806"/>
    <n v="174802"/>
    <s v="Richmond"/>
    <x v="6"/>
    <s v="Richmond"/>
    <m/>
    <m/>
    <m/>
    <m/>
    <s v="CA17 Central Richmond"/>
    <x v="0"/>
    <s v="Y"/>
    <m/>
  </r>
  <r>
    <s v="20/2352/FUL"/>
    <n v="47"/>
    <x v="3"/>
    <x v="0"/>
    <d v="2021-06-01T00:00:00"/>
    <d v="2024-06-01T00:00:00"/>
    <d v="2022-01-24T00:00:00"/>
    <d v="2023-03-01T00:00:00"/>
    <x v="0"/>
    <x v="0"/>
    <x v="0"/>
    <s v="New detached 2 storey house at northern end of property plot, new single storey detached garage, new driveway off Cardinal's Walk. Existing house retained to Manor Gardens, sub division of plot."/>
    <s v="2 Manor Gardens, Hampton, TW12 2TU"/>
    <s v="TW12 2TU"/>
    <m/>
    <m/>
    <m/>
    <m/>
    <m/>
    <m/>
    <m/>
    <m/>
    <n v="0"/>
    <m/>
    <m/>
    <n v="1"/>
    <m/>
    <m/>
    <m/>
    <m/>
    <m/>
    <n v="1"/>
    <n v="0"/>
    <n v="0"/>
    <n v="1"/>
    <n v="0"/>
    <n v="0"/>
    <n v="0"/>
    <n v="0"/>
    <n v="0"/>
    <n v="1"/>
    <x v="0"/>
    <n v="1"/>
    <m/>
    <m/>
    <m/>
    <m/>
    <m/>
    <m/>
    <m/>
    <m/>
    <m/>
    <m/>
    <m/>
    <m/>
    <m/>
    <m/>
    <m/>
    <m/>
    <n v="0"/>
    <n v="0"/>
    <n v="0"/>
    <m/>
    <m/>
    <n v="514133"/>
    <n v="170165"/>
    <s v="Teddington and the Hamptons"/>
    <x v="15"/>
    <m/>
    <m/>
    <m/>
    <m/>
    <m/>
    <m/>
    <x v="1"/>
    <m/>
    <m/>
  </r>
  <r>
    <s v="21/2217/GPD15"/>
    <n v="48"/>
    <x v="1"/>
    <x v="1"/>
    <d v="2021-08-12T00:00:00"/>
    <d v="2024-08-12T00:00:00"/>
    <d v="2022-02-01T00:00:00"/>
    <d v="2022-06-23T00:00:00"/>
    <x v="0"/>
    <x v="0"/>
    <x v="0"/>
    <s v="Conversion of the first floor offices accommodation to a two bedroom flat"/>
    <s v="2 Tudor Road, Hampton TW12 2NQ_x000a_"/>
    <s v="TW12 2NQ"/>
    <m/>
    <m/>
    <m/>
    <m/>
    <m/>
    <m/>
    <m/>
    <m/>
    <n v="0"/>
    <m/>
    <n v="1"/>
    <m/>
    <m/>
    <m/>
    <m/>
    <m/>
    <m/>
    <n v="1"/>
    <n v="0"/>
    <n v="1"/>
    <n v="0"/>
    <n v="0"/>
    <n v="0"/>
    <n v="0"/>
    <n v="0"/>
    <n v="0"/>
    <n v="1"/>
    <x v="0"/>
    <n v="1"/>
    <m/>
    <m/>
    <m/>
    <m/>
    <m/>
    <m/>
    <m/>
    <m/>
    <m/>
    <m/>
    <m/>
    <m/>
    <m/>
    <m/>
    <m/>
    <m/>
    <n v="0"/>
    <n v="0"/>
    <n v="0"/>
    <m/>
    <m/>
    <n v="513441"/>
    <n v="169949"/>
    <s v="Teddington and the Hamptons"/>
    <x v="15"/>
    <m/>
    <m/>
    <s v="Wensleydale Road, Hampton"/>
    <s v="Y"/>
    <m/>
    <m/>
    <x v="1"/>
    <s v="Y"/>
    <m/>
  </r>
  <r>
    <s v="21/2400/GPD15"/>
    <n v="49"/>
    <x v="1"/>
    <x v="1"/>
    <d v="2021-08-25T00:00:00"/>
    <d v="2024-08-25T00:00:00"/>
    <d v="2022-02-01T00:00:00"/>
    <d v="2022-08-01T00:00:00"/>
    <x v="0"/>
    <x v="0"/>
    <x v="0"/>
    <s v="Change of use of first floor from B1(a)(Offices) to C3 (residential) use to provide 2 x 1 bed flats_x000d_"/>
    <s v="95 South Worple Way, East Sheen, London"/>
    <s v="SW14 8ND"/>
    <m/>
    <m/>
    <m/>
    <m/>
    <m/>
    <m/>
    <m/>
    <m/>
    <n v="0"/>
    <n v="2"/>
    <m/>
    <m/>
    <m/>
    <m/>
    <m/>
    <m/>
    <m/>
    <n v="2"/>
    <n v="2"/>
    <n v="0"/>
    <n v="0"/>
    <n v="0"/>
    <n v="0"/>
    <n v="0"/>
    <n v="0"/>
    <n v="0"/>
    <n v="2"/>
    <x v="0"/>
    <n v="2"/>
    <m/>
    <m/>
    <m/>
    <m/>
    <m/>
    <m/>
    <m/>
    <m/>
    <m/>
    <m/>
    <m/>
    <m/>
    <m/>
    <m/>
    <m/>
    <m/>
    <n v="0"/>
    <n v="0"/>
    <n v="0"/>
    <m/>
    <m/>
    <n v="520540"/>
    <n v="175748"/>
    <s v="Barnes and East Sheen"/>
    <x v="13"/>
    <s v="East Sheen"/>
    <m/>
    <m/>
    <m/>
    <m/>
    <m/>
    <x v="1"/>
    <s v="Y"/>
    <m/>
  </r>
  <r>
    <s v="21/1438/GPD15"/>
    <n v="50"/>
    <x v="1"/>
    <x v="1"/>
    <d v="2021-05-26T00:00:00"/>
    <d v="2024-05-26T00:00:00"/>
    <d v="2022-03-01T00:00:00"/>
    <d v="2022-04-05T00:00:00"/>
    <x v="0"/>
    <x v="0"/>
    <x v="0"/>
    <s v="Prior approval for the change of use from B1(a) (Office) to C3 (Residential) to provide a self contained flat."/>
    <s v="375 Upper Richmond Road West, East Sheen, London SW14 7NX_x000a_"/>
    <s v="SW14 7NX"/>
    <m/>
    <m/>
    <m/>
    <m/>
    <m/>
    <m/>
    <m/>
    <m/>
    <n v="0"/>
    <m/>
    <n v="1"/>
    <m/>
    <m/>
    <m/>
    <m/>
    <m/>
    <m/>
    <n v="1"/>
    <n v="0"/>
    <n v="1"/>
    <n v="0"/>
    <n v="0"/>
    <n v="0"/>
    <n v="0"/>
    <n v="0"/>
    <n v="0"/>
    <n v="1"/>
    <x v="0"/>
    <n v="1"/>
    <m/>
    <m/>
    <m/>
    <m/>
    <m/>
    <m/>
    <m/>
    <m/>
    <m/>
    <m/>
    <m/>
    <m/>
    <m/>
    <m/>
    <m/>
    <m/>
    <n v="0"/>
    <n v="0"/>
    <n v="0"/>
    <m/>
    <m/>
    <n v="520455"/>
    <n v="175362"/>
    <s v="Barnes and East Sheen"/>
    <x v="13"/>
    <s v="East Sheen"/>
    <m/>
    <m/>
    <m/>
    <m/>
    <m/>
    <x v="1"/>
    <s v="Y"/>
    <m/>
  </r>
  <r>
    <s v="21/1521/FUL"/>
    <n v="51"/>
    <x v="1"/>
    <x v="0"/>
    <d v="2021-11-09T00:00:00"/>
    <d v="2024-11-09T00:00:00"/>
    <d v="2022-03-01T00:00:00"/>
    <d v="2022-12-22T00:00:00"/>
    <x v="0"/>
    <x v="0"/>
    <x v="0"/>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n v="0"/>
    <n v="7"/>
    <n v="1"/>
    <m/>
    <m/>
    <m/>
    <m/>
    <m/>
    <m/>
    <n v="8"/>
    <n v="7"/>
    <n v="1"/>
    <n v="0"/>
    <n v="0"/>
    <n v="0"/>
    <n v="0"/>
    <n v="0"/>
    <n v="0"/>
    <n v="8"/>
    <x v="0"/>
    <n v="8"/>
    <m/>
    <m/>
    <m/>
    <m/>
    <m/>
    <m/>
    <m/>
    <m/>
    <m/>
    <m/>
    <m/>
    <m/>
    <m/>
    <m/>
    <m/>
    <m/>
    <n v="0"/>
    <n v="0"/>
    <n v="0"/>
    <m/>
    <m/>
    <n v="517861"/>
    <n v="174904"/>
    <s v="Richmond"/>
    <x v="6"/>
    <s v="Richmond"/>
    <m/>
    <m/>
    <m/>
    <m/>
    <s v="CA17 Central Richmond"/>
    <x v="0"/>
    <s v="Y"/>
    <m/>
  </r>
  <r>
    <s v="21/2391/FUL"/>
    <n v="52"/>
    <x v="2"/>
    <x v="0"/>
    <d v="2021-10-13T00:00:00"/>
    <d v="2024-10-13T00:00:00"/>
    <d v="2022-03-01T00:00:00"/>
    <d v="2023-03-31T00:00:00"/>
    <x v="0"/>
    <x v="0"/>
    <x v="0"/>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_x000a__x000a_"/>
    <s v="TW10 6JQ"/>
    <m/>
    <m/>
    <n v="1"/>
    <n v="1"/>
    <m/>
    <m/>
    <m/>
    <m/>
    <n v="2"/>
    <m/>
    <m/>
    <m/>
    <m/>
    <m/>
    <n v="1"/>
    <m/>
    <m/>
    <n v="1"/>
    <n v="0"/>
    <n v="-1"/>
    <n v="-1"/>
    <n v="0"/>
    <n v="0"/>
    <n v="1"/>
    <n v="0"/>
    <n v="0"/>
    <n v="-1"/>
    <x v="0"/>
    <n v="-1"/>
    <m/>
    <m/>
    <m/>
    <m/>
    <m/>
    <m/>
    <m/>
    <m/>
    <m/>
    <m/>
    <m/>
    <m/>
    <m/>
    <m/>
    <m/>
    <m/>
    <n v="0"/>
    <n v="0"/>
    <n v="0"/>
    <m/>
    <m/>
    <n v="518740"/>
    <n v="174094"/>
    <s v="Richmond"/>
    <x v="6"/>
    <m/>
    <m/>
    <m/>
    <m/>
    <m/>
    <s v="CA5 Richmond Hill"/>
    <x v="0"/>
    <m/>
    <m/>
  </r>
  <r>
    <s v="21/3971/GPD26"/>
    <n v="53"/>
    <x v="1"/>
    <x v="1"/>
    <d v="2022-01-20T00:00:00"/>
    <d v="2025-01-25T00:00:00"/>
    <d v="2022-03-01T00:00:00"/>
    <d v="2022-12-14T00:00:00"/>
    <x v="0"/>
    <x v="0"/>
    <x v="0"/>
    <s v="Conversion from restaurant use class E (B) (formerly A3) to 4 x self contained residential units"/>
    <s v="117 London Road, Twickenham TW1 1EE_x000a_"/>
    <s v="TW1 1EE"/>
    <m/>
    <m/>
    <m/>
    <m/>
    <m/>
    <m/>
    <m/>
    <m/>
    <n v="0"/>
    <n v="3"/>
    <n v="1"/>
    <m/>
    <m/>
    <m/>
    <m/>
    <m/>
    <m/>
    <n v="4"/>
    <n v="3"/>
    <n v="1"/>
    <n v="0"/>
    <n v="0"/>
    <n v="0"/>
    <n v="0"/>
    <n v="0"/>
    <n v="0"/>
    <n v="4"/>
    <x v="0"/>
    <n v="4"/>
    <m/>
    <m/>
    <m/>
    <m/>
    <m/>
    <m/>
    <m/>
    <m/>
    <m/>
    <m/>
    <m/>
    <m/>
    <m/>
    <m/>
    <m/>
    <m/>
    <n v="0"/>
    <n v="0"/>
    <n v="0"/>
    <m/>
    <m/>
    <n v="516015"/>
    <n v="173773"/>
    <s v="Twickenham"/>
    <x v="17"/>
    <m/>
    <m/>
    <m/>
    <m/>
    <m/>
    <m/>
    <x v="1"/>
    <s v="Y"/>
    <m/>
  </r>
  <r>
    <s v="19/0823/GPD13"/>
    <n v="54"/>
    <x v="1"/>
    <x v="1"/>
    <d v="2019-05-07T00:00:00"/>
    <d v="2022-05-07T00:00:00"/>
    <d v="2022-03-30T00:00:00"/>
    <d v="2022-11-28T00:00:00"/>
    <x v="0"/>
    <x v="0"/>
    <x v="0"/>
    <s v="Conversion of commercial unit to self-contained 2no. bedroom unit"/>
    <s v="203 Sandycombe Road, Richmond TW9 2EW_x000a_"/>
    <s v="TW9 2EW"/>
    <m/>
    <m/>
    <m/>
    <m/>
    <m/>
    <m/>
    <m/>
    <m/>
    <n v="0"/>
    <m/>
    <n v="1"/>
    <m/>
    <m/>
    <m/>
    <m/>
    <m/>
    <m/>
    <n v="1"/>
    <n v="0"/>
    <n v="1"/>
    <n v="0"/>
    <n v="0"/>
    <n v="0"/>
    <n v="0"/>
    <n v="0"/>
    <n v="0"/>
    <n v="1"/>
    <x v="0"/>
    <n v="1"/>
    <m/>
    <m/>
    <m/>
    <m/>
    <m/>
    <m/>
    <m/>
    <m/>
    <m/>
    <m/>
    <m/>
    <m/>
    <m/>
    <m/>
    <m/>
    <m/>
    <n v="0"/>
    <n v="0"/>
    <n v="0"/>
    <m/>
    <m/>
    <n v="519091"/>
    <n v="176195"/>
    <s v="Richmond"/>
    <x v="3"/>
    <m/>
    <m/>
    <m/>
    <m/>
    <m/>
    <m/>
    <x v="1"/>
    <s v="Y"/>
    <m/>
  </r>
  <r>
    <s v="21/1600/GPD15"/>
    <n v="55"/>
    <x v="1"/>
    <x v="1"/>
    <d v="2021-06-23T00:00:00"/>
    <d v="2024-06-23T00:00:00"/>
    <d v="2022-03-31T00:00:00"/>
    <d v="2022-12-23T00:00:00"/>
    <x v="0"/>
    <x v="0"/>
    <x v="0"/>
    <s v="Change of use of the office building (Use Class E) to 1No. one-bed and 2No. two-bed residential units"/>
    <s v="Unit 5, The Mews, 53 High Street, Hampton Hill_x000a__x000a_"/>
    <s v="TW12 1NH"/>
    <m/>
    <m/>
    <m/>
    <m/>
    <m/>
    <m/>
    <m/>
    <m/>
    <n v="0"/>
    <n v="1"/>
    <n v="2"/>
    <m/>
    <m/>
    <m/>
    <m/>
    <m/>
    <m/>
    <n v="3"/>
    <n v="1"/>
    <n v="2"/>
    <n v="0"/>
    <n v="0"/>
    <n v="0"/>
    <n v="0"/>
    <n v="0"/>
    <n v="0"/>
    <n v="3"/>
    <x v="0"/>
    <n v="3"/>
    <m/>
    <m/>
    <m/>
    <m/>
    <m/>
    <m/>
    <m/>
    <m/>
    <m/>
    <m/>
    <m/>
    <m/>
    <m/>
    <m/>
    <m/>
    <m/>
    <n v="0"/>
    <n v="0"/>
    <n v="0"/>
    <m/>
    <m/>
    <n v="514225"/>
    <n v="170812"/>
    <s v="Teddington and the Hamptons"/>
    <x v="14"/>
    <m/>
    <m/>
    <s v="High Street, Hampton Hill"/>
    <s v="Y"/>
    <m/>
    <s v="CA38 High Street Hampton Hill"/>
    <x v="0"/>
    <m/>
    <m/>
  </r>
  <r>
    <s v="22/0429/GPD26"/>
    <n v="56"/>
    <x v="1"/>
    <x v="1"/>
    <d v="2022-03-21T00:00:00"/>
    <d v="2025-03-21T00:00:00"/>
    <d v="2022-03-31T00:00:00"/>
    <d v="2022-09-09T00:00:00"/>
    <x v="0"/>
    <x v="0"/>
    <x v="0"/>
    <s v="Change of use of a commercial office building in to 5 no. 1 bedrooms flats"/>
    <s v="3 Mount Mews, Hampton TW12 2SH_x000a_"/>
    <s v="TW12 2SH"/>
    <m/>
    <m/>
    <m/>
    <m/>
    <m/>
    <m/>
    <m/>
    <m/>
    <n v="0"/>
    <n v="5"/>
    <m/>
    <m/>
    <m/>
    <m/>
    <m/>
    <m/>
    <m/>
    <n v="5"/>
    <n v="5"/>
    <n v="0"/>
    <n v="0"/>
    <n v="0"/>
    <n v="0"/>
    <n v="0"/>
    <n v="0"/>
    <n v="0"/>
    <n v="5"/>
    <x v="0"/>
    <n v="5"/>
    <m/>
    <m/>
    <m/>
    <m/>
    <m/>
    <m/>
    <m/>
    <m/>
    <m/>
    <m/>
    <m/>
    <m/>
    <m/>
    <m/>
    <m/>
    <m/>
    <n v="0"/>
    <n v="0"/>
    <n v="0"/>
    <m/>
    <m/>
    <n v="513957"/>
    <n v="169583"/>
    <s v="Teddington and the Hamptons"/>
    <x v="15"/>
    <m/>
    <m/>
    <m/>
    <m/>
    <m/>
    <s v="CA12 Hampton Village"/>
    <x v="0"/>
    <s v="Y"/>
    <m/>
  </r>
  <r>
    <s v="20/0915/GPD15"/>
    <n v="57"/>
    <x v="1"/>
    <x v="1"/>
    <d v="2021-02-02T00:00:00"/>
    <d v="2024-02-02T00:00:00"/>
    <d v="2022-04-08T00:00:00"/>
    <d v="2023-03-01T00:00:00"/>
    <x v="0"/>
    <x v="0"/>
    <x v="0"/>
    <s v="Conversion of existing ground and first floor office to 2no. residential units"/>
    <s v="2 Mount Mews, Hampton TW12 2SH_x000a_"/>
    <s v="TW12 2SH"/>
    <m/>
    <m/>
    <m/>
    <m/>
    <m/>
    <m/>
    <m/>
    <m/>
    <n v="0"/>
    <n v="2"/>
    <m/>
    <m/>
    <m/>
    <m/>
    <m/>
    <m/>
    <m/>
    <n v="2"/>
    <n v="2"/>
    <n v="0"/>
    <n v="0"/>
    <n v="0"/>
    <n v="0"/>
    <n v="0"/>
    <n v="0"/>
    <n v="0"/>
    <n v="2"/>
    <x v="0"/>
    <n v="2"/>
    <m/>
    <m/>
    <m/>
    <m/>
    <m/>
    <m/>
    <m/>
    <m/>
    <m/>
    <m/>
    <m/>
    <m/>
    <m/>
    <m/>
    <m/>
    <m/>
    <n v="0"/>
    <n v="0"/>
    <n v="0"/>
    <m/>
    <m/>
    <n v="513964"/>
    <n v="169580"/>
    <s v="Teddington and the Hamptons"/>
    <x v="15"/>
    <m/>
    <m/>
    <m/>
    <m/>
    <m/>
    <s v="CA12 Hampton Village"/>
    <x v="0"/>
    <s v="Y"/>
    <m/>
  </r>
  <r>
    <s v="22/1129/ES191"/>
    <n v="58"/>
    <x v="2"/>
    <x v="0"/>
    <d v="2022-05-27T00:00:00"/>
    <d v="2025-05-27T00:00:00"/>
    <d v="2022-05-27T00:00:00"/>
    <d v="2022-05-27T00:00:00"/>
    <x v="0"/>
    <x v="0"/>
    <x v="0"/>
    <s v="Use of property as 3No. self-contained flats"/>
    <s v="72 Gordon Avenue, Twickenham TW1 1NQ_x000a_"/>
    <s v="TW1 1NQ"/>
    <m/>
    <m/>
    <m/>
    <m/>
    <n v="1"/>
    <m/>
    <m/>
    <m/>
    <n v="1"/>
    <n v="3"/>
    <m/>
    <m/>
    <m/>
    <m/>
    <m/>
    <m/>
    <m/>
    <n v="3"/>
    <n v="3"/>
    <n v="0"/>
    <n v="0"/>
    <n v="-1"/>
    <n v="0"/>
    <n v="0"/>
    <n v="0"/>
    <n v="0"/>
    <n v="2"/>
    <x v="0"/>
    <n v="2"/>
    <m/>
    <m/>
    <m/>
    <m/>
    <m/>
    <m/>
    <m/>
    <m/>
    <m/>
    <m/>
    <m/>
    <m/>
    <m/>
    <m/>
    <m/>
    <m/>
    <n v="0"/>
    <n v="0"/>
    <n v="0"/>
    <m/>
    <m/>
    <n v="516399"/>
    <n v="174745"/>
    <s v="Twickenham"/>
    <x v="17"/>
    <m/>
    <m/>
    <m/>
    <m/>
    <m/>
    <m/>
    <x v="1"/>
    <s v="Y"/>
    <m/>
  </r>
  <r>
    <s v="19/2665/FUL"/>
    <n v="59"/>
    <x v="1"/>
    <x v="0"/>
    <d v="2021-09-24T00:00:00"/>
    <d v="2024-09-24T00:00:00"/>
    <d v="2022-06-01T00:00:00"/>
    <d v="2022-09-30T00:00:00"/>
    <x v="0"/>
    <x v="0"/>
    <x v="0"/>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East Molesey, KT8 9BZ"/>
    <s v="KT8 9BZ"/>
    <m/>
    <m/>
    <m/>
    <m/>
    <m/>
    <m/>
    <m/>
    <m/>
    <n v="0"/>
    <m/>
    <m/>
    <n v="1"/>
    <m/>
    <m/>
    <m/>
    <m/>
    <m/>
    <n v="1"/>
    <n v="0"/>
    <n v="0"/>
    <n v="1"/>
    <n v="0"/>
    <n v="0"/>
    <n v="0"/>
    <n v="0"/>
    <n v="0"/>
    <n v="1"/>
    <x v="0"/>
    <n v="1"/>
    <m/>
    <m/>
    <m/>
    <m/>
    <m/>
    <m/>
    <m/>
    <m/>
    <m/>
    <m/>
    <m/>
    <m/>
    <m/>
    <m/>
    <m/>
    <m/>
    <n v="0"/>
    <n v="0"/>
    <n v="0"/>
    <m/>
    <m/>
    <n v="515782"/>
    <n v="168844"/>
    <s v="Teddington and the Hamptons"/>
    <x v="15"/>
    <m/>
    <m/>
    <m/>
    <m/>
    <s v="Bushy Park"/>
    <s v="CA11 Hampton Court Green"/>
    <x v="0"/>
    <s v="Y"/>
    <m/>
  </r>
  <r>
    <s v="21/3443/FUL"/>
    <n v="60"/>
    <x v="2"/>
    <x v="0"/>
    <d v="2022-06-29T00:00:00"/>
    <d v="2025-06-29T00:00:00"/>
    <d v="2022-06-29T00:00:00"/>
    <d v="2022-12-30T00:00:00"/>
    <x v="0"/>
    <x v="0"/>
    <x v="0"/>
    <s v="Single storey side/rear extension to facilitate the reinstatement of 2 flats to a single dwellinghouse. Alterations to front boundary wall and associated cycle and refuse stores, hard and soft landscaping."/>
    <s v="36 Sydney Road, Richmond TW9 1UB_x000a_"/>
    <s v="TW9 1UB"/>
    <m/>
    <m/>
    <n v="2"/>
    <m/>
    <m/>
    <m/>
    <m/>
    <m/>
    <n v="2"/>
    <m/>
    <m/>
    <m/>
    <n v="1"/>
    <m/>
    <m/>
    <m/>
    <m/>
    <n v="1"/>
    <n v="0"/>
    <n v="-2"/>
    <n v="0"/>
    <n v="1"/>
    <n v="0"/>
    <n v="0"/>
    <n v="0"/>
    <n v="0"/>
    <n v="-1"/>
    <x v="0"/>
    <n v="-1"/>
    <m/>
    <m/>
    <m/>
    <m/>
    <m/>
    <m/>
    <m/>
    <m/>
    <m/>
    <m/>
    <m/>
    <m/>
    <m/>
    <m/>
    <m/>
    <m/>
    <n v="0"/>
    <n v="0"/>
    <n v="0"/>
    <m/>
    <m/>
    <n v="518347"/>
    <n v="175061"/>
    <s v="Richmond"/>
    <x v="6"/>
    <m/>
    <m/>
    <m/>
    <m/>
    <m/>
    <s v="CA31 Sheen Road Richmond"/>
    <x v="0"/>
    <s v="Y"/>
    <s v="Y"/>
  </r>
  <r>
    <s v="19/0495/FUL"/>
    <n v="61"/>
    <x v="3"/>
    <x v="0"/>
    <d v="2020-09-04T00:00:00"/>
    <d v="2023-09-04T00:00:00"/>
    <d v="2022-07-01T00:00:00"/>
    <d v="2023-03-31T00:00:00"/>
    <x v="0"/>
    <x v="0"/>
    <x v="0"/>
    <s v="Demolition of the existing dwelling and the erection of a pair of semi-detached dwellings with associated hard and soft landscaping and refuse store."/>
    <s v="1 Curtis Road, Whitton, Hounslow TW4 5PU_x000a_"/>
    <s v="TW4 5PU"/>
    <m/>
    <m/>
    <m/>
    <n v="1"/>
    <m/>
    <m/>
    <m/>
    <m/>
    <n v="1"/>
    <m/>
    <n v="2"/>
    <m/>
    <m/>
    <m/>
    <m/>
    <m/>
    <m/>
    <n v="2"/>
    <n v="0"/>
    <n v="2"/>
    <n v="-1"/>
    <n v="0"/>
    <n v="0"/>
    <n v="0"/>
    <n v="0"/>
    <n v="0"/>
    <n v="1"/>
    <x v="0"/>
    <n v="1"/>
    <m/>
    <m/>
    <m/>
    <m/>
    <m/>
    <m/>
    <m/>
    <m/>
    <m/>
    <m/>
    <m/>
    <m/>
    <m/>
    <m/>
    <m/>
    <m/>
    <n v="0"/>
    <n v="0"/>
    <n v="0"/>
    <m/>
    <m/>
    <n v="512568"/>
    <n v="173521"/>
    <s v="Whitton"/>
    <x v="16"/>
    <m/>
    <m/>
    <m/>
    <m/>
    <m/>
    <m/>
    <x v="1"/>
    <m/>
    <m/>
  </r>
  <r>
    <s v="22/0190/ES191"/>
    <n v="62"/>
    <x v="2"/>
    <x v="0"/>
    <d v="2022-07-12T00:00:00"/>
    <d v="2022-07-12T00:00:00"/>
    <d v="2022-07-12T00:00:00"/>
    <d v="2022-07-12T00:00:00"/>
    <x v="0"/>
    <x v="0"/>
    <x v="0"/>
    <s v="An existing dwelling house that has been divided to form two separate dwelling houses."/>
    <s v="6 Gilpin Crescent, Twickenham TW2 7BP_x000a_"/>
    <s v="TW2 7BP"/>
    <m/>
    <m/>
    <m/>
    <m/>
    <m/>
    <m/>
    <n v="1"/>
    <m/>
    <n v="1"/>
    <m/>
    <n v="1"/>
    <m/>
    <n v="1"/>
    <m/>
    <m/>
    <m/>
    <m/>
    <n v="2"/>
    <n v="0"/>
    <n v="1"/>
    <n v="0"/>
    <n v="1"/>
    <n v="0"/>
    <n v="-1"/>
    <n v="0"/>
    <n v="0"/>
    <n v="1"/>
    <x v="0"/>
    <n v="1"/>
    <m/>
    <m/>
    <m/>
    <m/>
    <m/>
    <m/>
    <m/>
    <m/>
    <m/>
    <m/>
    <m/>
    <m/>
    <m/>
    <m/>
    <m/>
    <m/>
    <n v="0"/>
    <n v="0"/>
    <n v="0"/>
    <m/>
    <m/>
    <n v="513608"/>
    <n v="173951"/>
    <s v="Whitton"/>
    <x v="12"/>
    <m/>
    <m/>
    <m/>
    <m/>
    <m/>
    <m/>
    <x v="1"/>
    <s v="Y"/>
    <m/>
  </r>
  <r>
    <s v="22/1721/FUL"/>
    <n v="63"/>
    <x v="1"/>
    <x v="0"/>
    <d v="2022-08-04T00:00:00"/>
    <d v="2025-08-04T00:00:00"/>
    <d v="2022-08-04T00:00:00"/>
    <d v="2022-08-04T00:00:00"/>
    <x v="0"/>
    <x v="0"/>
    <x v="0"/>
    <s v="Change of use of a 6-bedroom house in multiple occupation (C4 class) to a 7-bedroom house in multiple occupation (Sui Generis)."/>
    <s v="145 Constance Road, Twickenham TW2 7HX"/>
    <s v="TW2 7HX"/>
    <m/>
    <m/>
    <m/>
    <m/>
    <m/>
    <m/>
    <n v="1"/>
    <m/>
    <n v="1"/>
    <m/>
    <m/>
    <m/>
    <m/>
    <m/>
    <m/>
    <m/>
    <m/>
    <n v="0"/>
    <n v="0"/>
    <n v="0"/>
    <n v="0"/>
    <n v="0"/>
    <n v="0"/>
    <n v="-1"/>
    <n v="0"/>
    <n v="0"/>
    <n v="-1"/>
    <x v="0"/>
    <n v="-1"/>
    <m/>
    <m/>
    <m/>
    <m/>
    <m/>
    <m/>
    <m/>
    <m/>
    <m/>
    <m/>
    <m/>
    <m/>
    <m/>
    <m/>
    <m/>
    <m/>
    <n v="0"/>
    <n v="0"/>
    <n v="0"/>
    <m/>
    <m/>
    <n v="513695"/>
    <n v="173838"/>
    <s v="Whitton"/>
    <x v="12"/>
    <m/>
    <m/>
    <m/>
    <m/>
    <m/>
    <m/>
    <x v="1"/>
    <s v="Y"/>
    <m/>
  </r>
  <r>
    <s v="22/1706/ES191"/>
    <n v="64"/>
    <x v="1"/>
    <x v="0"/>
    <d v="2022-08-12T00:00:00"/>
    <d v="2025-08-12T00:00:00"/>
    <d v="2022-08-12T00:00:00"/>
    <d v="2022-08-12T00:00:00"/>
    <x v="0"/>
    <x v="0"/>
    <x v="0"/>
    <s v="Use of existing outbuilding as an independent self-contained dwellinghouse."/>
    <s v="361 Sandycombe Road, Richmond TW9 3PR_x000a_"/>
    <s v="TW9 3PR"/>
    <m/>
    <m/>
    <m/>
    <m/>
    <m/>
    <m/>
    <m/>
    <m/>
    <n v="0"/>
    <n v="1"/>
    <m/>
    <m/>
    <m/>
    <m/>
    <m/>
    <m/>
    <m/>
    <n v="1"/>
    <n v="1"/>
    <n v="0"/>
    <n v="0"/>
    <n v="0"/>
    <n v="0"/>
    <n v="0"/>
    <n v="0"/>
    <n v="0"/>
    <n v="1"/>
    <x v="0"/>
    <n v="1"/>
    <m/>
    <m/>
    <m/>
    <m/>
    <m/>
    <m/>
    <m/>
    <m/>
    <m/>
    <m/>
    <m/>
    <m/>
    <m/>
    <m/>
    <m/>
    <m/>
    <n v="0"/>
    <n v="0"/>
    <n v="0"/>
    <m/>
    <m/>
    <n v="519098"/>
    <n v="176672"/>
    <s v="Richmond"/>
    <x v="3"/>
    <m/>
    <m/>
    <m/>
    <m/>
    <m/>
    <s v="CA15 Kew Gardens Kew"/>
    <x v="0"/>
    <s v="Y"/>
    <m/>
  </r>
  <r>
    <s v="21/2864/FUL"/>
    <n v="65"/>
    <x v="2"/>
    <x v="0"/>
    <d v="2021-12-22T00:00:00"/>
    <d v="2024-12-22T00:00:00"/>
    <d v="2022-08-17T00:00:00"/>
    <d v="2023-03-31T00:00:00"/>
    <x v="0"/>
    <x v="0"/>
    <x v="0"/>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2"/>
    <m/>
    <m/>
    <m/>
    <m/>
    <n v="1"/>
    <m/>
    <n v="3"/>
    <m/>
    <m/>
    <m/>
    <m/>
    <m/>
    <n v="1"/>
    <m/>
    <m/>
    <n v="1"/>
    <n v="-2"/>
    <n v="0"/>
    <n v="0"/>
    <n v="0"/>
    <n v="0"/>
    <n v="0"/>
    <n v="0"/>
    <n v="0"/>
    <n v="-2"/>
    <x v="0"/>
    <n v="-2"/>
    <m/>
    <m/>
    <m/>
    <m/>
    <m/>
    <m/>
    <m/>
    <m/>
    <m/>
    <m/>
    <m/>
    <m/>
    <m/>
    <m/>
    <m/>
    <m/>
    <n v="0"/>
    <n v="0"/>
    <n v="0"/>
    <m/>
    <m/>
    <n v="522706"/>
    <n v="177845"/>
    <s v="Barnes and East Sheen"/>
    <x v="7"/>
    <m/>
    <m/>
    <m/>
    <m/>
    <m/>
    <s v="CA25 Castelnau"/>
    <x v="0"/>
    <s v="Y"/>
    <m/>
  </r>
  <r>
    <s v="22/1953/GPD26"/>
    <n v="66"/>
    <x v="1"/>
    <x v="1"/>
    <d v="2022-08-22T00:00:00"/>
    <d v="2025-04-22T00:00:00"/>
    <d v="2022-08-22T00:00:00"/>
    <d v="2022-11-07T00:00:00"/>
    <x v="0"/>
    <x v="0"/>
    <x v="0"/>
    <s v="Change of use from retail (Class E) to residential (Class C3) to provide one dwelling"/>
    <s v="123 Station Road, Hampton TW12 2AL_x000a_"/>
    <s v="TW12 2AL"/>
    <m/>
    <m/>
    <m/>
    <m/>
    <m/>
    <m/>
    <m/>
    <m/>
    <n v="0"/>
    <n v="1"/>
    <m/>
    <m/>
    <m/>
    <m/>
    <m/>
    <m/>
    <m/>
    <n v="1"/>
    <n v="1"/>
    <n v="0"/>
    <n v="0"/>
    <n v="0"/>
    <n v="0"/>
    <n v="0"/>
    <n v="0"/>
    <n v="0"/>
    <n v="1"/>
    <x v="0"/>
    <n v="1"/>
    <m/>
    <m/>
    <m/>
    <m/>
    <m/>
    <m/>
    <m/>
    <m/>
    <m/>
    <m/>
    <m/>
    <m/>
    <m/>
    <m/>
    <m/>
    <m/>
    <n v="0"/>
    <n v="0"/>
    <n v="0"/>
    <m/>
    <m/>
    <n v="513416"/>
    <n v="169771"/>
    <s v="Teddington and the Hamptons"/>
    <x v="15"/>
    <m/>
    <m/>
    <s v="Oldfield Road, Hampton"/>
    <s v="Y"/>
    <m/>
    <s v="CA12 Hampton Village"/>
    <x v="0"/>
    <s v="Y"/>
    <m/>
  </r>
  <r>
    <s v="20/3707/FUL"/>
    <n v="67"/>
    <x v="3"/>
    <x v="0"/>
    <d v="2021-06-07T00:00:00"/>
    <d v="2024-06-07T00:00:00"/>
    <d v="2022-09-01T00:00:00"/>
    <d v="2023-03-31T00:00:00"/>
    <x v="0"/>
    <x v="0"/>
    <x v="0"/>
    <s v="Erection of 1 x residential flat with associated access, cycle and bin store."/>
    <s v="63 Sandycombe Road, Richmond, TW9 2EP"/>
    <s v="TW9 2EP"/>
    <m/>
    <m/>
    <m/>
    <m/>
    <m/>
    <m/>
    <m/>
    <m/>
    <n v="0"/>
    <n v="1"/>
    <m/>
    <m/>
    <m/>
    <m/>
    <m/>
    <m/>
    <m/>
    <n v="1"/>
    <n v="1"/>
    <n v="0"/>
    <n v="0"/>
    <n v="0"/>
    <n v="0"/>
    <n v="0"/>
    <n v="0"/>
    <n v="0"/>
    <n v="1"/>
    <x v="0"/>
    <n v="1"/>
    <m/>
    <m/>
    <m/>
    <m/>
    <m/>
    <m/>
    <m/>
    <m/>
    <m/>
    <m/>
    <m/>
    <m/>
    <m/>
    <m/>
    <m/>
    <m/>
    <n v="0"/>
    <n v="0"/>
    <n v="0"/>
    <m/>
    <m/>
    <n v="519026"/>
    <n v="175926"/>
    <s v="Richmond"/>
    <x v="3"/>
    <m/>
    <m/>
    <m/>
    <m/>
    <m/>
    <m/>
    <x v="1"/>
    <s v="Y"/>
    <m/>
  </r>
  <r>
    <s v="20/0618/FUL"/>
    <n v="68"/>
    <x v="1"/>
    <x v="0"/>
    <d v="2020-06-09T00:00:00"/>
    <d v="2024-08-23T00:00:00"/>
    <d v="2022-09-15T00:00:00"/>
    <d v="2023-03-31T00:00:00"/>
    <x v="0"/>
    <x v="0"/>
    <x v="0"/>
    <s v="Proposed conversion of existing office to 2 bedroom apartment."/>
    <s v="2 Heron Court, 3 - 5 High Street, Hampton, TW12 2SQ"/>
    <s v="TW12 2SQ"/>
    <m/>
    <m/>
    <m/>
    <m/>
    <m/>
    <m/>
    <m/>
    <m/>
    <n v="0"/>
    <m/>
    <n v="1"/>
    <m/>
    <m/>
    <m/>
    <m/>
    <m/>
    <m/>
    <n v="1"/>
    <n v="0"/>
    <n v="1"/>
    <n v="0"/>
    <n v="0"/>
    <n v="0"/>
    <n v="0"/>
    <n v="0"/>
    <n v="0"/>
    <n v="1"/>
    <x v="0"/>
    <n v="1"/>
    <m/>
    <m/>
    <m/>
    <m/>
    <m/>
    <m/>
    <m/>
    <m/>
    <m/>
    <m/>
    <m/>
    <m/>
    <m/>
    <m/>
    <m/>
    <m/>
    <n v="0"/>
    <n v="0"/>
    <n v="0"/>
    <m/>
    <m/>
    <n v="513948"/>
    <n v="169533"/>
    <s v="Teddington and the Hamptons"/>
    <x v="15"/>
    <m/>
    <m/>
    <s v="Thames Street, Hampton"/>
    <s v="Y"/>
    <m/>
    <s v="CA12 Hampton Village"/>
    <x v="0"/>
    <s v="Y"/>
    <m/>
  </r>
  <r>
    <s v="21/3415/FUL"/>
    <n v="69"/>
    <x v="2"/>
    <x v="0"/>
    <d v="2022-02-01T00:00:00"/>
    <d v="2025-09-27T00:00:00"/>
    <d v="2022-09-18T00:00:00"/>
    <d v="2022-10-01T00:00:00"/>
    <x v="0"/>
    <x v="0"/>
    <x v="0"/>
    <s v="Reversion of existing building to 1No. single family dwelling from 3Nos. self-contained flats"/>
    <s v="18 Twickenham Road, Teddington TW11 8AG"/>
    <s v="TW11 8AG"/>
    <m/>
    <n v="3"/>
    <m/>
    <m/>
    <m/>
    <m/>
    <m/>
    <m/>
    <n v="3"/>
    <m/>
    <m/>
    <m/>
    <n v="1"/>
    <m/>
    <m/>
    <m/>
    <m/>
    <n v="1"/>
    <n v="-3"/>
    <n v="0"/>
    <n v="0"/>
    <n v="1"/>
    <n v="0"/>
    <n v="0"/>
    <n v="0"/>
    <n v="0"/>
    <n v="-2"/>
    <x v="0"/>
    <n v="-2"/>
    <m/>
    <m/>
    <m/>
    <m/>
    <m/>
    <m/>
    <m/>
    <m/>
    <m/>
    <m/>
    <m/>
    <m/>
    <m/>
    <m/>
    <m/>
    <m/>
    <n v="0"/>
    <n v="0"/>
    <n v="0"/>
    <m/>
    <m/>
    <n v="516473"/>
    <n v="171389"/>
    <s v="Teddington and the Hamptons"/>
    <x v="0"/>
    <m/>
    <m/>
    <m/>
    <m/>
    <m/>
    <m/>
    <x v="1"/>
    <s v="Y"/>
    <m/>
  </r>
  <r>
    <s v="21/3975/GPD26"/>
    <n v="70"/>
    <x v="1"/>
    <x v="1"/>
    <d v="2022-01-10T00:00:00"/>
    <d v="2025-01-10T00:00:00"/>
    <d v="2022-09-20T00:00:00"/>
    <d v="2023-03-14T00:00:00"/>
    <x v="0"/>
    <x v="0"/>
    <x v="0"/>
    <s v="Change of use of part ground floor and all of first floor at 14 Eton Street from commercial, business and service (Class E) to residential (Class C3) to provide 1 no. studio flat_x000d_"/>
    <s v="14 Eton Street, Richmond TW9 1EE_x000a_"/>
    <s v="TW9 1EE"/>
    <m/>
    <m/>
    <m/>
    <m/>
    <m/>
    <m/>
    <m/>
    <m/>
    <n v="0"/>
    <n v="1"/>
    <m/>
    <m/>
    <m/>
    <m/>
    <m/>
    <m/>
    <m/>
    <n v="1"/>
    <n v="1"/>
    <n v="0"/>
    <n v="0"/>
    <n v="0"/>
    <n v="0"/>
    <n v="0"/>
    <n v="0"/>
    <n v="0"/>
    <n v="1"/>
    <x v="0"/>
    <n v="1"/>
    <m/>
    <m/>
    <m/>
    <m/>
    <m/>
    <m/>
    <m/>
    <m/>
    <m/>
    <m/>
    <m/>
    <m/>
    <m/>
    <m/>
    <m/>
    <m/>
    <n v="0"/>
    <n v="0"/>
    <n v="0"/>
    <m/>
    <m/>
    <n v="518039"/>
    <n v="174890"/>
    <s v="Richmond"/>
    <x v="6"/>
    <s v="Richmond"/>
    <m/>
    <m/>
    <m/>
    <m/>
    <s v="CA17 Central Richmond"/>
    <x v="0"/>
    <s v="Y"/>
    <m/>
  </r>
  <r>
    <s v="21/4328/FUL"/>
    <n v="71"/>
    <x v="2"/>
    <x v="0"/>
    <d v="2022-09-12T00:00:00"/>
    <d v="2025-09-12T00:00:00"/>
    <d v="2022-09-30T00:00:00"/>
    <d v="2023-03-31T00:00:00"/>
    <x v="0"/>
    <x v="0"/>
    <x v="0"/>
    <s v="The proposal is to revert the building from two flats back into a single residential dwellinghouse"/>
    <s v="17 Elmers Drive, Teddington"/>
    <s v="TW11 9JB"/>
    <m/>
    <m/>
    <n v="1"/>
    <n v="1"/>
    <m/>
    <m/>
    <m/>
    <m/>
    <n v="2"/>
    <m/>
    <m/>
    <m/>
    <n v="1"/>
    <m/>
    <m/>
    <m/>
    <m/>
    <n v="1"/>
    <n v="0"/>
    <n v="-1"/>
    <n v="-1"/>
    <n v="1"/>
    <n v="0"/>
    <n v="0"/>
    <n v="0"/>
    <n v="0"/>
    <n v="-1"/>
    <x v="0"/>
    <n v="-1"/>
    <m/>
    <m/>
    <m/>
    <m/>
    <m/>
    <m/>
    <m/>
    <m/>
    <m/>
    <m/>
    <m/>
    <m/>
    <m/>
    <m/>
    <m/>
    <m/>
    <n v="0"/>
    <n v="0"/>
    <n v="0"/>
    <m/>
    <m/>
    <n v="516882"/>
    <n v="170581"/>
    <s v="Teddington and the Hamptons"/>
    <x v="10"/>
    <m/>
    <m/>
    <m/>
    <m/>
    <m/>
    <m/>
    <x v="1"/>
    <s v="Y"/>
    <m/>
  </r>
  <r>
    <s v="20/2000/FUL"/>
    <n v="72"/>
    <x v="1"/>
    <x v="0"/>
    <d v="2020-12-14T00:00:00"/>
    <d v="2023-12-14T00:00:00"/>
    <d v="2022-11-01T00:00:00"/>
    <d v="2023-03-31T00:00:00"/>
    <x v="0"/>
    <x v="0"/>
    <x v="0"/>
    <s v="Change of use of existing financial and professional services to C3 (Residential) to create 1 two bed flat, rear extension, fenestration alterations and insertion of rooflight to single storey front projection."/>
    <s v="192 Heath Road, Twickenham, TW2 5TX"/>
    <s v="TW2 5TX"/>
    <m/>
    <m/>
    <m/>
    <m/>
    <m/>
    <m/>
    <m/>
    <m/>
    <n v="0"/>
    <m/>
    <n v="1"/>
    <m/>
    <m/>
    <m/>
    <m/>
    <m/>
    <m/>
    <n v="1"/>
    <n v="0"/>
    <n v="1"/>
    <n v="0"/>
    <n v="0"/>
    <n v="0"/>
    <n v="0"/>
    <n v="0"/>
    <n v="0"/>
    <n v="1"/>
    <x v="0"/>
    <n v="1"/>
    <m/>
    <m/>
    <m/>
    <m/>
    <m/>
    <m/>
    <m/>
    <m/>
    <m/>
    <m/>
    <m/>
    <m/>
    <m/>
    <m/>
    <m/>
    <m/>
    <n v="0"/>
    <n v="0"/>
    <n v="0"/>
    <m/>
    <m/>
    <n v="515502"/>
    <n v="173093"/>
    <s v="Twickenham"/>
    <x v="5"/>
    <m/>
    <m/>
    <s v="Twickenham Green"/>
    <s v="Y"/>
    <m/>
    <s v="CA9 Twickenham Green"/>
    <x v="0"/>
    <s v="Y"/>
    <m/>
  </r>
  <r>
    <s v="22/1464/GPD26"/>
    <n v="73"/>
    <x v="1"/>
    <x v="1"/>
    <d v="2022-07-04T00:00:00"/>
    <d v="2025-07-04T00:00:00"/>
    <d v="2022-11-01T00:00:00"/>
    <d v="2023-03-31T00:00:00"/>
    <x v="0"/>
    <x v="0"/>
    <x v="0"/>
    <s v="Change of use to single dwelling house."/>
    <s v="Unit B, Causer Buildings, 16A Crown Road, Twickenham, TW1 3EE"/>
    <s v="TW1 3EE"/>
    <m/>
    <m/>
    <m/>
    <m/>
    <m/>
    <m/>
    <m/>
    <m/>
    <n v="0"/>
    <n v="1"/>
    <m/>
    <m/>
    <m/>
    <m/>
    <m/>
    <m/>
    <m/>
    <n v="1"/>
    <n v="1"/>
    <n v="0"/>
    <n v="0"/>
    <n v="0"/>
    <n v="0"/>
    <n v="0"/>
    <n v="0"/>
    <n v="0"/>
    <n v="1"/>
    <x v="0"/>
    <n v="1"/>
    <m/>
    <m/>
    <m/>
    <m/>
    <m/>
    <m/>
    <m/>
    <m/>
    <m/>
    <m/>
    <m/>
    <m/>
    <m/>
    <m/>
    <m/>
    <m/>
    <n v="0"/>
    <n v="0"/>
    <n v="0"/>
    <m/>
    <m/>
    <n v="516818"/>
    <n v="174159"/>
    <s v="Twickenham"/>
    <x v="17"/>
    <m/>
    <m/>
    <s v="St Margarets"/>
    <s v="Y"/>
    <m/>
    <m/>
    <x v="1"/>
    <s v="Y"/>
    <m/>
  </r>
  <r>
    <s v="22/2954/GPD26"/>
    <n v="74"/>
    <x v="1"/>
    <x v="1"/>
    <d v="2022-11-07T00:00:00"/>
    <d v="2025-07-07T00:00:00"/>
    <d v="2022-11-07T00:00:00"/>
    <d v="2022-11-07T00:00:00"/>
    <x v="0"/>
    <x v="0"/>
    <x v="0"/>
    <s v="CLASS MA Prior Approval Application for change of use to single dwelling"/>
    <s v="1 High Street, Hampton Hill, Hampton TW12 1NA"/>
    <s v="TW12 1NA"/>
    <m/>
    <m/>
    <m/>
    <m/>
    <m/>
    <m/>
    <m/>
    <m/>
    <n v="0"/>
    <m/>
    <m/>
    <m/>
    <n v="1"/>
    <m/>
    <m/>
    <m/>
    <m/>
    <n v="1"/>
    <n v="0"/>
    <n v="0"/>
    <n v="0"/>
    <n v="1"/>
    <n v="0"/>
    <n v="0"/>
    <n v="0"/>
    <n v="0"/>
    <n v="1"/>
    <x v="0"/>
    <n v="1"/>
    <m/>
    <m/>
    <m/>
    <m/>
    <m/>
    <m/>
    <m/>
    <m/>
    <m/>
    <m/>
    <m/>
    <m/>
    <m/>
    <m/>
    <m/>
    <m/>
    <n v="0"/>
    <n v="0"/>
    <n v="0"/>
    <m/>
    <m/>
    <n v="514191"/>
    <n v="170553"/>
    <s v="Teddington and the Hamptons"/>
    <x v="14"/>
    <m/>
    <m/>
    <m/>
    <m/>
    <m/>
    <s v="CA38 High Street Hampton Hill"/>
    <x v="0"/>
    <m/>
    <m/>
  </r>
  <r>
    <s v="22/2041/ES191"/>
    <n v="75"/>
    <x v="2"/>
    <x v="0"/>
    <d v="2022-11-14T00:00:00"/>
    <d v="2025-11-14T00:00:00"/>
    <d v="2022-11-14T00:00:00"/>
    <d v="2022-11-14T00:00:00"/>
    <x v="0"/>
    <x v="0"/>
    <x v="0"/>
    <s v="Established use of the property as one single family dwelling house."/>
    <s v="93 Waldegrave Road, Teddington TW11 8LA_x000a_"/>
    <s v="TW11 8LA"/>
    <m/>
    <m/>
    <n v="2"/>
    <m/>
    <m/>
    <m/>
    <m/>
    <m/>
    <n v="2"/>
    <m/>
    <m/>
    <m/>
    <n v="1"/>
    <m/>
    <m/>
    <m/>
    <m/>
    <n v="1"/>
    <n v="0"/>
    <n v="-2"/>
    <n v="0"/>
    <n v="1"/>
    <n v="0"/>
    <n v="0"/>
    <n v="0"/>
    <n v="0"/>
    <n v="-1"/>
    <x v="0"/>
    <n v="-1"/>
    <m/>
    <m/>
    <m/>
    <m/>
    <m/>
    <m/>
    <m/>
    <m/>
    <m/>
    <m/>
    <m/>
    <m/>
    <m/>
    <m/>
    <m/>
    <m/>
    <n v="0"/>
    <n v="0"/>
    <n v="0"/>
    <m/>
    <m/>
    <n v="515797"/>
    <n v="171286"/>
    <s v="Teddington and the Hamptons"/>
    <x v="0"/>
    <m/>
    <m/>
    <m/>
    <m/>
    <m/>
    <m/>
    <x v="1"/>
    <s v="Y"/>
    <m/>
  </r>
  <r>
    <s v="22/2821/ES191"/>
    <n v="76"/>
    <x v="2"/>
    <x v="0"/>
    <d v="2023-01-05T00:00:00"/>
    <d v="2026-01-05T00:00:00"/>
    <d v="2023-01-05T00:00:00"/>
    <d v="2023-01-05T00:00:00"/>
    <x v="0"/>
    <x v="0"/>
    <x v="0"/>
    <s v="Use of coach house annexe as a self-contained dwelling unit."/>
    <s v="Coach House Annexe, 69 Lonsdale Road, Barnes, London SW13 9JR_x000a_"/>
    <s v="SW13 9BY"/>
    <m/>
    <m/>
    <m/>
    <m/>
    <m/>
    <m/>
    <m/>
    <m/>
    <n v="0"/>
    <m/>
    <n v="1"/>
    <m/>
    <m/>
    <m/>
    <m/>
    <m/>
    <m/>
    <n v="1"/>
    <n v="0"/>
    <n v="1"/>
    <n v="0"/>
    <n v="0"/>
    <n v="0"/>
    <n v="0"/>
    <n v="0"/>
    <n v="0"/>
    <n v="1"/>
    <x v="0"/>
    <n v="1"/>
    <m/>
    <m/>
    <m/>
    <m/>
    <m/>
    <m/>
    <m/>
    <m/>
    <m/>
    <m/>
    <m/>
    <m/>
    <m/>
    <m/>
    <m/>
    <m/>
    <n v="0"/>
    <n v="0"/>
    <n v="0"/>
    <m/>
    <m/>
    <n v="522238"/>
    <n v="177717"/>
    <s v="Barnes and East Sheen"/>
    <x v="7"/>
    <m/>
    <m/>
    <m/>
    <m/>
    <m/>
    <m/>
    <x v="1"/>
    <m/>
    <m/>
  </r>
  <r>
    <s v="22/3714/ES191"/>
    <n v="77"/>
    <x v="1"/>
    <x v="0"/>
    <d v="2023-02-09T00:00:00"/>
    <d v="2023-02-09T00:00:00"/>
    <d v="2023-02-09T00:00:00"/>
    <d v="2023-02-09T00:00:00"/>
    <x v="0"/>
    <x v="0"/>
    <x v="0"/>
    <s v="Existing use of the dwelling as a 6 bedroom House in Multiple Occupation (Use Class C4)"/>
    <s v="47 Hounslow Road, Twickenham TW2 7BZ_x000a_"/>
    <s v="TW2 7BZ"/>
    <m/>
    <m/>
    <m/>
    <m/>
    <n v="1"/>
    <m/>
    <m/>
    <m/>
    <n v="1"/>
    <m/>
    <m/>
    <m/>
    <m/>
    <m/>
    <n v="1"/>
    <m/>
    <m/>
    <n v="1"/>
    <n v="0"/>
    <n v="0"/>
    <n v="0"/>
    <n v="-1"/>
    <n v="0"/>
    <n v="1"/>
    <n v="0"/>
    <n v="0"/>
    <n v="0"/>
    <x v="0"/>
    <n v="0"/>
    <m/>
    <m/>
    <m/>
    <m/>
    <m/>
    <m/>
    <m/>
    <m/>
    <m/>
    <m/>
    <m/>
    <m/>
    <m/>
    <m/>
    <m/>
    <m/>
    <n v="0"/>
    <n v="0"/>
    <n v="0"/>
    <m/>
    <m/>
    <n v="514098"/>
    <n v="174152"/>
    <s v="Whitton"/>
    <x v="12"/>
    <m/>
    <m/>
    <m/>
    <m/>
    <m/>
    <m/>
    <x v="1"/>
    <s v="Y"/>
    <m/>
  </r>
  <r>
    <s v="23/0180/ES191"/>
    <n v="78"/>
    <x v="2"/>
    <x v="0"/>
    <d v="2023-03-06T00:00:00"/>
    <d v="2023-03-06T00:00:00"/>
    <d v="2023-03-06T00:00:00"/>
    <d v="2023-03-06T00:00:00"/>
    <x v="0"/>
    <x v="0"/>
    <x v="0"/>
    <s v="house has been in use as a separate, self-contained dwelling for a continuous period of at least 4 years"/>
    <s v="5A Kentwode Green, Barnes, London SW13 9AD_x000a_"/>
    <s v="SW13 9AD"/>
    <m/>
    <m/>
    <m/>
    <m/>
    <m/>
    <m/>
    <m/>
    <m/>
    <n v="0"/>
    <m/>
    <n v="1"/>
    <m/>
    <m/>
    <m/>
    <m/>
    <m/>
    <m/>
    <n v="1"/>
    <n v="0"/>
    <n v="1"/>
    <n v="0"/>
    <n v="0"/>
    <n v="0"/>
    <n v="0"/>
    <n v="0"/>
    <n v="0"/>
    <n v="1"/>
    <x v="0"/>
    <n v="1"/>
    <m/>
    <m/>
    <m/>
    <m/>
    <m/>
    <m/>
    <m/>
    <m/>
    <m/>
    <m/>
    <m/>
    <m/>
    <m/>
    <m/>
    <m/>
    <m/>
    <n v="0"/>
    <n v="0"/>
    <n v="0"/>
    <m/>
    <m/>
    <n v="522218"/>
    <n v="177354"/>
    <s v="Barnes and East Sheen"/>
    <x v="7"/>
    <m/>
    <m/>
    <m/>
    <m/>
    <m/>
    <m/>
    <x v="1"/>
    <m/>
    <m/>
  </r>
  <r>
    <s v="21/3223/FUL"/>
    <n v="79"/>
    <x v="1"/>
    <x v="0"/>
    <d v="2023-03-07T00:00:00"/>
    <d v="2026-03-07T00:00:00"/>
    <d v="2023-03-07T00:00:00"/>
    <d v="2023-03-07T00:00:00"/>
    <x v="0"/>
    <x v="0"/>
    <x v="0"/>
    <s v="Conversion of two flats back to a single family dwelling-house."/>
    <s v="14 Warwick Road, Hampton Wick"/>
    <s v="KT1 4DW"/>
    <m/>
    <n v="2"/>
    <m/>
    <m/>
    <m/>
    <m/>
    <m/>
    <m/>
    <n v="2"/>
    <m/>
    <m/>
    <n v="1"/>
    <m/>
    <m/>
    <m/>
    <m/>
    <m/>
    <n v="1"/>
    <n v="-2"/>
    <n v="0"/>
    <n v="1"/>
    <n v="0"/>
    <n v="0"/>
    <n v="0"/>
    <n v="0"/>
    <n v="0"/>
    <n v="-1"/>
    <x v="0"/>
    <n v="-1"/>
    <m/>
    <m/>
    <m/>
    <m/>
    <m/>
    <m/>
    <m/>
    <m/>
    <m/>
    <m/>
    <m/>
    <m/>
    <m/>
    <m/>
    <m/>
    <m/>
    <n v="0"/>
    <n v="0"/>
    <n v="0"/>
    <m/>
    <m/>
    <n v="517317"/>
    <n v="169900"/>
    <s v="Teddington and the Hamptons"/>
    <x v="10"/>
    <m/>
    <m/>
    <s v="Hampton Wick"/>
    <s v="Y"/>
    <m/>
    <m/>
    <x v="1"/>
    <s v="Y"/>
    <m/>
  </r>
  <r>
    <s v="23/0392/ES191"/>
    <n v="80"/>
    <x v="2"/>
    <x v="0"/>
    <d v="2023-03-29T00:00:00"/>
    <d v="2023-03-29T00:00:00"/>
    <d v="2023-03-29T00:00:00"/>
    <d v="2023-03-29T00:00:00"/>
    <x v="0"/>
    <x v="0"/>
    <x v="0"/>
    <s v="Establish use of property as two bedroom flat (C3)"/>
    <s v="Ground Floor Flat, 18 Water Lane, Richmond TW9 1TJ_x000a_"/>
    <s v="TW9 1TJ"/>
    <m/>
    <n v="2"/>
    <m/>
    <m/>
    <m/>
    <m/>
    <m/>
    <m/>
    <n v="2"/>
    <m/>
    <n v="1"/>
    <m/>
    <m/>
    <m/>
    <m/>
    <m/>
    <m/>
    <n v="1"/>
    <n v="-2"/>
    <n v="1"/>
    <n v="0"/>
    <n v="0"/>
    <n v="0"/>
    <n v="0"/>
    <n v="0"/>
    <n v="0"/>
    <n v="-1"/>
    <x v="0"/>
    <n v="-1"/>
    <m/>
    <m/>
    <m/>
    <m/>
    <m/>
    <m/>
    <m/>
    <m/>
    <m/>
    <m/>
    <m/>
    <m/>
    <m/>
    <m/>
    <m/>
    <m/>
    <n v="0"/>
    <n v="0"/>
    <n v="0"/>
    <m/>
    <m/>
    <n v="517679"/>
    <n v="174711"/>
    <s v="Richmond"/>
    <x v="6"/>
    <s v="Richmond"/>
    <s v="Thames Policy Area"/>
    <m/>
    <m/>
    <m/>
    <s v="CA4 Richmond Riverside"/>
    <x v="0"/>
    <s v="Y"/>
    <m/>
  </r>
  <r>
    <s v="23/0349/ES191"/>
    <n v="81"/>
    <x v="2"/>
    <x v="0"/>
    <d v="2023-03-30T00:00:00"/>
    <d v="2023-03-30T00:00:00"/>
    <d v="2023-03-30T00:00:00"/>
    <d v="2023-03-30T00:00:00"/>
    <x v="0"/>
    <x v="0"/>
    <x v="0"/>
    <s v="Certificate of lawfulness existing for use of first floor as 2 self-contained flats."/>
    <s v="70A White Hart Lane, Barnes, London SW13 0PZ_x000a_"/>
    <s v="SW13 0PZ"/>
    <m/>
    <m/>
    <m/>
    <n v="1"/>
    <m/>
    <m/>
    <m/>
    <m/>
    <n v="1"/>
    <n v="2"/>
    <m/>
    <m/>
    <m/>
    <m/>
    <m/>
    <m/>
    <m/>
    <n v="2"/>
    <n v="2"/>
    <n v="0"/>
    <n v="-1"/>
    <n v="0"/>
    <n v="0"/>
    <n v="0"/>
    <n v="0"/>
    <n v="0"/>
    <n v="1"/>
    <x v="0"/>
    <n v="1"/>
    <m/>
    <m/>
    <m/>
    <m/>
    <m/>
    <m/>
    <m/>
    <m/>
    <m/>
    <m/>
    <m/>
    <m/>
    <m/>
    <m/>
    <m/>
    <m/>
    <n v="0"/>
    <n v="0"/>
    <n v="0"/>
    <m/>
    <m/>
    <n v="521325"/>
    <n v="175815"/>
    <s v="Barnes and East Sheen"/>
    <x v="8"/>
    <m/>
    <m/>
    <s v="White Hart lane, Barnes"/>
    <s v="Y"/>
    <m/>
    <s v="CA33 Mortlake"/>
    <x v="0"/>
    <s v="Y"/>
    <m/>
  </r>
  <r>
    <s v="04/1020/FUL"/>
    <n v="82"/>
    <x v="1"/>
    <x v="0"/>
    <d v="2004-07-26T00:00:00"/>
    <d v="2009-07-23T00:00:00"/>
    <d v="2009-07-01T00:00:00"/>
    <m/>
    <x v="1"/>
    <x v="0"/>
    <x v="0"/>
    <s v="Erection Of One And Half Storey Rear Extension To Create Self Contained Dwelling"/>
    <s v="83 High Street, Hampton Wick"/>
    <m/>
    <m/>
    <m/>
    <m/>
    <m/>
    <m/>
    <m/>
    <m/>
    <m/>
    <n v="0"/>
    <n v="1"/>
    <m/>
    <m/>
    <m/>
    <m/>
    <m/>
    <m/>
    <m/>
    <n v="1"/>
    <n v="1"/>
    <n v="0"/>
    <n v="0"/>
    <n v="0"/>
    <n v="0"/>
    <n v="0"/>
    <n v="0"/>
    <n v="0"/>
    <n v="1"/>
    <x v="0"/>
    <m/>
    <n v="0.5"/>
    <n v="0.5"/>
    <m/>
    <m/>
    <m/>
    <m/>
    <m/>
    <m/>
    <m/>
    <m/>
    <m/>
    <m/>
    <m/>
    <m/>
    <m/>
    <m/>
    <n v="1"/>
    <n v="1"/>
    <n v="1"/>
    <m/>
    <m/>
    <n v="517419"/>
    <n v="169715"/>
    <s v="Teddington and the Hamptons"/>
    <x v="10"/>
    <m/>
    <m/>
    <s v="Hampton Wick"/>
    <s v="Y"/>
    <m/>
    <s v="CA18 Hampton Wick"/>
    <x v="0"/>
    <s v="Y"/>
    <m/>
  </r>
  <r>
    <s v="07/3512/FUL"/>
    <n v="83"/>
    <x v="3"/>
    <x v="0"/>
    <d v="2008-01-30T00:00:00"/>
    <d v="2011-01-30T00:00:00"/>
    <d v="2011-01-25T00:00:00"/>
    <m/>
    <x v="1"/>
    <x v="0"/>
    <x v="0"/>
    <s v="Demolition of an existing bungalow and construction of two new residential units. Separate entrance will be provided to both dwellings. The developments two main levels: above lower ground and a built out roof area underneath a pitch roof."/>
    <s v="64 Ormond Avenue, Hampton TW12 2RX_x000a_"/>
    <m/>
    <m/>
    <m/>
    <m/>
    <n v="1"/>
    <m/>
    <m/>
    <m/>
    <m/>
    <n v="1"/>
    <n v="1"/>
    <m/>
    <m/>
    <n v="1"/>
    <m/>
    <m/>
    <m/>
    <m/>
    <n v="2"/>
    <n v="1"/>
    <n v="0"/>
    <n v="-1"/>
    <n v="1"/>
    <n v="0"/>
    <n v="0"/>
    <n v="0"/>
    <n v="0"/>
    <n v="1"/>
    <x v="0"/>
    <m/>
    <n v="0.5"/>
    <n v="0.5"/>
    <m/>
    <m/>
    <m/>
    <m/>
    <m/>
    <m/>
    <m/>
    <m/>
    <m/>
    <m/>
    <m/>
    <m/>
    <m/>
    <m/>
    <n v="1"/>
    <n v="1"/>
    <n v="1"/>
    <m/>
    <m/>
    <n v="513713"/>
    <n v="169858"/>
    <s v="Teddington and the Hamptons"/>
    <x v="15"/>
    <m/>
    <m/>
    <m/>
    <m/>
    <m/>
    <m/>
    <x v="1"/>
    <s v="Y"/>
    <m/>
  </r>
  <r>
    <s v="11/0468/PS192"/>
    <n v="84"/>
    <x v="3"/>
    <x v="0"/>
    <d v="2011-03-07T00:00:00"/>
    <d v="2014-03-07T00:00:00"/>
    <d v="2011-03-07T00:00:00"/>
    <m/>
    <x v="1"/>
    <x v="0"/>
    <x v="0"/>
    <s v="Continuing construction of block of 11 flats on site of Osbourne House under permission 07/2991/FUL after 28/02/2011 (when the permission would otherwise have expired) will be lawful."/>
    <s v="Becketts Wharf And Osbourne House, Becketts Place, Hampton Wick_x000a__x000a_"/>
    <m/>
    <m/>
    <m/>
    <m/>
    <m/>
    <m/>
    <m/>
    <m/>
    <m/>
    <n v="0"/>
    <n v="4"/>
    <n v="7"/>
    <m/>
    <m/>
    <m/>
    <m/>
    <m/>
    <m/>
    <n v="11"/>
    <n v="4"/>
    <n v="7"/>
    <n v="0"/>
    <n v="0"/>
    <n v="0"/>
    <n v="0"/>
    <n v="0"/>
    <n v="0"/>
    <n v="11"/>
    <x v="0"/>
    <m/>
    <n v="5.5"/>
    <n v="5.5"/>
    <m/>
    <m/>
    <m/>
    <m/>
    <m/>
    <m/>
    <m/>
    <m/>
    <m/>
    <m/>
    <m/>
    <m/>
    <m/>
    <m/>
    <n v="11"/>
    <n v="11"/>
    <n v="11"/>
    <m/>
    <m/>
    <n v="517650"/>
    <n v="169624"/>
    <s v="Teddington and the Hamptons"/>
    <x v="10"/>
    <m/>
    <s v="Thames Policy Area"/>
    <s v="Hampton Wick"/>
    <s v="Y"/>
    <m/>
    <s v="CA18 Hampton Wick"/>
    <x v="0"/>
    <s v="Y"/>
    <m/>
  </r>
  <r>
    <s v="16/0680/FUL"/>
    <n v="85"/>
    <x v="4"/>
    <x v="0"/>
    <d v="2016-04-19T00:00:00"/>
    <d v="2019-04-19T00:00:00"/>
    <d v="2016-07-01T00:00:00"/>
    <m/>
    <x v="1"/>
    <x v="0"/>
    <x v="0"/>
    <s v="Part demolition of single dwelling house and formation of two semi-detached houses."/>
    <s v="2 Firs Avenue, East Sheen, London SW14 7NZ_x000a_"/>
    <m/>
    <m/>
    <m/>
    <m/>
    <m/>
    <n v="1"/>
    <m/>
    <m/>
    <m/>
    <n v="1"/>
    <m/>
    <m/>
    <m/>
    <n v="2"/>
    <m/>
    <m/>
    <m/>
    <m/>
    <n v="2"/>
    <n v="0"/>
    <n v="0"/>
    <n v="0"/>
    <n v="1"/>
    <n v="0"/>
    <n v="0"/>
    <n v="0"/>
    <n v="0"/>
    <n v="1"/>
    <x v="0"/>
    <m/>
    <n v="0.5"/>
    <n v="0.5"/>
    <m/>
    <m/>
    <m/>
    <m/>
    <m/>
    <m/>
    <m/>
    <m/>
    <m/>
    <m/>
    <m/>
    <m/>
    <m/>
    <m/>
    <n v="1"/>
    <n v="1"/>
    <n v="1"/>
    <m/>
    <m/>
    <n v="520343"/>
    <n v="175141"/>
    <s v="Barnes and East Sheen"/>
    <x v="13"/>
    <m/>
    <m/>
    <m/>
    <m/>
    <m/>
    <m/>
    <x v="1"/>
    <s v="Y"/>
    <m/>
  </r>
  <r>
    <s v="13/1327/FUL"/>
    <n v="86"/>
    <x v="1"/>
    <x v="0"/>
    <d v="2013-09-03T00:00:00"/>
    <d v="2016-09-03T00:00:00"/>
    <d v="2016-08-19T00:00:00"/>
    <m/>
    <x v="1"/>
    <x v="0"/>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_x000a__x000a_"/>
    <m/>
    <m/>
    <m/>
    <m/>
    <m/>
    <n v="2"/>
    <m/>
    <m/>
    <m/>
    <n v="2"/>
    <m/>
    <m/>
    <m/>
    <n v="1"/>
    <m/>
    <m/>
    <m/>
    <m/>
    <n v="1"/>
    <n v="0"/>
    <n v="0"/>
    <n v="0"/>
    <n v="-1"/>
    <n v="0"/>
    <n v="0"/>
    <n v="0"/>
    <n v="0"/>
    <n v="-1"/>
    <x v="0"/>
    <m/>
    <n v="-0.5"/>
    <n v="-0.5"/>
    <m/>
    <m/>
    <m/>
    <m/>
    <m/>
    <m/>
    <m/>
    <m/>
    <m/>
    <m/>
    <m/>
    <m/>
    <m/>
    <m/>
    <n v="-1"/>
    <n v="-1"/>
    <n v="-1"/>
    <m/>
    <m/>
    <n v="518397"/>
    <n v="173968"/>
    <s v="Ham &amp; Petersham"/>
    <x v="2"/>
    <m/>
    <s v="Thames Policy Area"/>
    <m/>
    <m/>
    <m/>
    <s v="CA5 Richmond Hill"/>
    <x v="0"/>
    <s v="Y"/>
    <m/>
  </r>
  <r>
    <s v="14/2797/P3JPA"/>
    <n v="87"/>
    <x v="1"/>
    <x v="0"/>
    <d v="2014-08-20T00:00:00"/>
    <d v="2017-11-27T00:00:00"/>
    <d v="2017-06-30T00:00:00"/>
    <m/>
    <x v="1"/>
    <x v="0"/>
    <x v="0"/>
    <s v="Proposed change of use of part of an existing two storey office block (B1a Use Class) to Residential (C3 Use Class) creating 6 No.flats (comprising 1 x 1-bed unit and 5 x 2-bed units)."/>
    <s v="Crane Mews, 32 Gould Road, Twickenham_x000a__x000a_"/>
    <s v="TW2 6RS"/>
    <m/>
    <m/>
    <m/>
    <m/>
    <m/>
    <m/>
    <m/>
    <m/>
    <n v="0"/>
    <n v="1"/>
    <n v="5"/>
    <m/>
    <m/>
    <m/>
    <m/>
    <m/>
    <m/>
    <n v="6"/>
    <n v="1"/>
    <n v="5"/>
    <n v="0"/>
    <n v="0"/>
    <n v="0"/>
    <n v="0"/>
    <n v="0"/>
    <n v="0"/>
    <n v="6"/>
    <x v="0"/>
    <m/>
    <n v="3"/>
    <n v="3"/>
    <m/>
    <m/>
    <m/>
    <m/>
    <m/>
    <m/>
    <m/>
    <m/>
    <m/>
    <m/>
    <m/>
    <m/>
    <m/>
    <m/>
    <n v="6"/>
    <n v="6"/>
    <n v="6"/>
    <m/>
    <m/>
    <n v="515206"/>
    <n v="173341"/>
    <s v="Twickenham"/>
    <x v="5"/>
    <m/>
    <m/>
    <m/>
    <m/>
    <m/>
    <m/>
    <x v="1"/>
    <s v="Y"/>
    <m/>
  </r>
  <r>
    <s v="14/5284/FUL"/>
    <n v="88"/>
    <x v="2"/>
    <x v="0"/>
    <d v="2015-02-16T00:00:00"/>
    <d v="2018-02-16T00:00:00"/>
    <d v="2018-02-16T00:00:00"/>
    <m/>
    <x v="1"/>
    <x v="0"/>
    <x v="0"/>
    <s v="The reversion of a Building of Townscape Merit from two self-contained flats (1x1 and 1x3 beds) to a single-family dwelling (Use Class C3: Dwelling Houses) including a rear side infill extension with associated works."/>
    <s v="46 Halford Road, Richmond_x000a__x000a_"/>
    <s v="TW10 6AP"/>
    <m/>
    <n v="1"/>
    <m/>
    <n v="1"/>
    <m/>
    <m/>
    <m/>
    <m/>
    <n v="2"/>
    <m/>
    <m/>
    <m/>
    <n v="1"/>
    <m/>
    <m/>
    <m/>
    <m/>
    <n v="1"/>
    <n v="-1"/>
    <n v="0"/>
    <n v="-1"/>
    <n v="1"/>
    <n v="0"/>
    <n v="0"/>
    <n v="0"/>
    <n v="0"/>
    <n v="-1"/>
    <x v="0"/>
    <m/>
    <n v="-0.5"/>
    <n v="-0.5"/>
    <m/>
    <m/>
    <m/>
    <m/>
    <m/>
    <m/>
    <m/>
    <m/>
    <m/>
    <m/>
    <m/>
    <m/>
    <m/>
    <m/>
    <n v="-1"/>
    <n v="-1"/>
    <n v="-1"/>
    <m/>
    <m/>
    <n v="518090"/>
    <n v="174701"/>
    <s v="Richmond"/>
    <x v="6"/>
    <m/>
    <m/>
    <m/>
    <m/>
    <m/>
    <s v="CA5 Richmond Hill"/>
    <x v="0"/>
    <s v="Y"/>
    <m/>
  </r>
  <r>
    <s v="16/3625/FUL"/>
    <n v="89"/>
    <x v="3"/>
    <x v="0"/>
    <d v="2017-11-30T00:00:00"/>
    <d v="2020-11-30T00:00:00"/>
    <d v="2018-09-01T00:00:00"/>
    <m/>
    <x v="1"/>
    <x v="0"/>
    <x v="0"/>
    <s v="Demolition of existing car repair workshop and replacement with 1 no. ground floor B1(a) commercial unit and 1 no. 2 bed residential unit with associated landscaping, car and cycle parking."/>
    <s v="65 Holly Road, Twickenham TW1 4HF_x000a_"/>
    <s v="TW1 4HF"/>
    <m/>
    <m/>
    <m/>
    <m/>
    <m/>
    <m/>
    <m/>
    <m/>
    <n v="0"/>
    <m/>
    <n v="1"/>
    <m/>
    <m/>
    <m/>
    <m/>
    <m/>
    <m/>
    <n v="1"/>
    <n v="0"/>
    <n v="1"/>
    <n v="0"/>
    <n v="0"/>
    <n v="0"/>
    <n v="0"/>
    <n v="0"/>
    <n v="0"/>
    <n v="1"/>
    <x v="0"/>
    <m/>
    <n v="0.5"/>
    <n v="0.5"/>
    <m/>
    <m/>
    <m/>
    <m/>
    <m/>
    <m/>
    <m/>
    <m/>
    <m/>
    <m/>
    <m/>
    <m/>
    <m/>
    <m/>
    <n v="1"/>
    <n v="1"/>
    <n v="1"/>
    <m/>
    <m/>
    <n v="516115"/>
    <n v="173199"/>
    <s v="Twickenham"/>
    <x v="9"/>
    <s v="Twickenham"/>
    <m/>
    <m/>
    <m/>
    <m/>
    <m/>
    <x v="1"/>
    <s v="Y"/>
    <m/>
  </r>
  <r>
    <s v="16/0058/FUL"/>
    <n v="90"/>
    <x v="1"/>
    <x v="0"/>
    <d v="2016-07-14T00:00:00"/>
    <d v="2019-07-14T00:00:00"/>
    <d v="2019-07-10T00:00:00"/>
    <m/>
    <x v="1"/>
    <x v="0"/>
    <x v="0"/>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_x000a_"/>
    <m/>
    <m/>
    <m/>
    <m/>
    <m/>
    <m/>
    <m/>
    <m/>
    <m/>
    <n v="0"/>
    <n v="9"/>
    <m/>
    <m/>
    <m/>
    <m/>
    <m/>
    <m/>
    <m/>
    <n v="9"/>
    <n v="9"/>
    <n v="0"/>
    <n v="0"/>
    <n v="0"/>
    <n v="0"/>
    <n v="0"/>
    <n v="0"/>
    <n v="0"/>
    <n v="9"/>
    <x v="0"/>
    <m/>
    <n v="4.5"/>
    <n v="4.5"/>
    <m/>
    <m/>
    <m/>
    <m/>
    <m/>
    <m/>
    <m/>
    <m/>
    <m/>
    <m/>
    <m/>
    <m/>
    <m/>
    <m/>
    <n v="9"/>
    <n v="9"/>
    <n v="9"/>
    <m/>
    <m/>
    <n v="517924"/>
    <n v="174891"/>
    <s v="Richmond"/>
    <x v="6"/>
    <s v="Richmond"/>
    <m/>
    <m/>
    <m/>
    <m/>
    <s v="CA17 Central Richmond"/>
    <x v="0"/>
    <s v="Y"/>
    <m/>
  </r>
  <r>
    <s v="16/3506/FUL"/>
    <n v="91"/>
    <x v="3"/>
    <x v="0"/>
    <d v="2018-10-11T00:00:00"/>
    <d v="2021-10-11T00:00:00"/>
    <d v="2019-10-14T00:00:00"/>
    <m/>
    <x v="1"/>
    <x v="2"/>
    <x v="0"/>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m/>
    <m/>
    <m/>
    <m/>
    <m/>
    <m/>
    <m/>
    <n v="0"/>
    <n v="19"/>
    <m/>
    <m/>
    <m/>
    <m/>
    <m/>
    <m/>
    <m/>
    <n v="19"/>
    <n v="19"/>
    <n v="0"/>
    <n v="0"/>
    <n v="0"/>
    <n v="0"/>
    <n v="0"/>
    <n v="0"/>
    <n v="0"/>
    <n v="19"/>
    <x v="1"/>
    <m/>
    <n v="19"/>
    <m/>
    <m/>
    <m/>
    <m/>
    <m/>
    <m/>
    <m/>
    <m/>
    <m/>
    <m/>
    <m/>
    <m/>
    <m/>
    <m/>
    <m/>
    <n v="19"/>
    <n v="19"/>
    <n v="19"/>
    <s v="Y"/>
    <s v="Y"/>
    <n v="513257"/>
    <n v="174057"/>
    <s v="Whitton"/>
    <x v="12"/>
    <m/>
    <m/>
    <m/>
    <m/>
    <m/>
    <m/>
    <x v="1"/>
    <s v="Y"/>
    <m/>
  </r>
  <r>
    <s v="16/3506/FUL"/>
    <n v="92"/>
    <x v="3"/>
    <x v="0"/>
    <d v="2018-10-11T00:00:00"/>
    <d v="2021-10-11T00:00:00"/>
    <d v="2019-10-14T00:00:00"/>
    <m/>
    <x v="1"/>
    <x v="3"/>
    <x v="0"/>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m/>
    <m/>
    <m/>
    <m/>
    <m/>
    <m/>
    <m/>
    <n v="0"/>
    <n v="5"/>
    <m/>
    <m/>
    <m/>
    <m/>
    <m/>
    <m/>
    <m/>
    <n v="5"/>
    <n v="5"/>
    <n v="0"/>
    <n v="0"/>
    <n v="0"/>
    <n v="0"/>
    <n v="0"/>
    <n v="0"/>
    <n v="0"/>
    <n v="5"/>
    <x v="1"/>
    <m/>
    <n v="5"/>
    <m/>
    <m/>
    <m/>
    <m/>
    <m/>
    <m/>
    <m/>
    <m/>
    <m/>
    <m/>
    <m/>
    <m/>
    <m/>
    <m/>
    <m/>
    <n v="5"/>
    <n v="5"/>
    <n v="5"/>
    <s v="Y"/>
    <s v="Y"/>
    <n v="513257"/>
    <n v="174057"/>
    <s v="Whitton"/>
    <x v="12"/>
    <m/>
    <m/>
    <m/>
    <m/>
    <m/>
    <m/>
    <x v="1"/>
    <s v="Y"/>
    <m/>
  </r>
  <r>
    <s v="16/3506/FUL"/>
    <n v="93"/>
    <x v="3"/>
    <x v="0"/>
    <d v="2018-10-11T00:00:00"/>
    <d v="2021-10-11T00:00:00"/>
    <d v="2019-10-14T00:00:00"/>
    <m/>
    <x v="1"/>
    <x v="4"/>
    <x v="0"/>
    <s v="Demolition of the existing building and erection of 2 buildings at single-storey and three-stories to provide 24 affordable residential units (sheltered accommodation for older people of the minimum age of 55) with associated external amenities, communal"/>
    <s v="Somerville House, 1 Rodney Road, Twickenham_x000a__x000a_"/>
    <s v="TW2 7AL"/>
    <m/>
    <n v="29"/>
    <n v="1"/>
    <m/>
    <m/>
    <m/>
    <m/>
    <m/>
    <n v="30"/>
    <m/>
    <m/>
    <m/>
    <m/>
    <m/>
    <m/>
    <m/>
    <m/>
    <n v="0"/>
    <n v="-29"/>
    <n v="-1"/>
    <n v="0"/>
    <n v="0"/>
    <n v="0"/>
    <n v="0"/>
    <n v="0"/>
    <n v="0"/>
    <n v="-30"/>
    <x v="1"/>
    <m/>
    <n v="-30"/>
    <m/>
    <m/>
    <m/>
    <m/>
    <m/>
    <m/>
    <m/>
    <m/>
    <m/>
    <m/>
    <m/>
    <m/>
    <m/>
    <m/>
    <m/>
    <n v="-30"/>
    <n v="-30"/>
    <n v="-30"/>
    <s v="Y"/>
    <s v="Y"/>
    <n v="513257"/>
    <n v="174057"/>
    <s v="Whitton"/>
    <x v="12"/>
    <m/>
    <m/>
    <m/>
    <m/>
    <m/>
    <m/>
    <x v="1"/>
    <s v="Y"/>
    <m/>
  </r>
  <r>
    <s v="18/0216/FUL"/>
    <n v="94"/>
    <x v="2"/>
    <x v="0"/>
    <d v="2018-12-05T00:00:00"/>
    <d v="2021-12-05T00:00:00"/>
    <d v="2019-11-11T00:00:00"/>
    <m/>
    <x v="1"/>
    <x v="0"/>
    <x v="0"/>
    <s v="The division of the existing single dwelling on the upper floors into two dwellings. Rear dormer and roof lights to the front roofslope."/>
    <s v="34 Colston Road, East Sheen, London SW14 7PG"/>
    <s v="SW14 7PG"/>
    <m/>
    <m/>
    <m/>
    <m/>
    <n v="1"/>
    <m/>
    <m/>
    <m/>
    <n v="1"/>
    <n v="1"/>
    <m/>
    <n v="1"/>
    <m/>
    <m/>
    <m/>
    <m/>
    <m/>
    <n v="2"/>
    <n v="1"/>
    <n v="0"/>
    <n v="1"/>
    <n v="-1"/>
    <n v="0"/>
    <n v="0"/>
    <n v="0"/>
    <n v="0"/>
    <n v="1"/>
    <x v="0"/>
    <m/>
    <n v="0.5"/>
    <n v="0.5"/>
    <m/>
    <m/>
    <m/>
    <m/>
    <m/>
    <m/>
    <m/>
    <m/>
    <m/>
    <m/>
    <m/>
    <m/>
    <m/>
    <m/>
    <n v="1"/>
    <n v="1"/>
    <n v="1"/>
    <m/>
    <m/>
    <n v="520283"/>
    <n v="175305"/>
    <s v="Barnes and East Sheen"/>
    <x v="13"/>
    <s v="East Sheen"/>
    <m/>
    <m/>
    <m/>
    <m/>
    <m/>
    <x v="1"/>
    <s v="Y"/>
    <m/>
  </r>
  <r>
    <s v="18/3768/FUL"/>
    <n v="95"/>
    <x v="1"/>
    <x v="0"/>
    <d v="2019-03-26T00:00:00"/>
    <d v="2022-03-26T00:00:00"/>
    <d v="2020-01-13T00:00:00"/>
    <m/>
    <x v="1"/>
    <x v="0"/>
    <x v="0"/>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n v="0"/>
    <m/>
    <m/>
    <m/>
    <m/>
    <n v="2"/>
    <m/>
    <m/>
    <m/>
    <n v="2"/>
    <n v="0"/>
    <n v="0"/>
    <n v="0"/>
    <n v="0"/>
    <n v="2"/>
    <n v="0"/>
    <n v="0"/>
    <n v="0"/>
    <n v="2"/>
    <x v="0"/>
    <m/>
    <n v="1"/>
    <n v="1"/>
    <m/>
    <m/>
    <m/>
    <m/>
    <m/>
    <m/>
    <m/>
    <m/>
    <m/>
    <m/>
    <m/>
    <m/>
    <m/>
    <m/>
    <n v="2"/>
    <n v="2"/>
    <n v="2"/>
    <m/>
    <m/>
    <n v="513264"/>
    <n v="169738"/>
    <s v="Teddington and the Hamptons"/>
    <x v="15"/>
    <m/>
    <m/>
    <m/>
    <m/>
    <m/>
    <m/>
    <x v="1"/>
    <s v="Y"/>
    <m/>
  </r>
  <r>
    <s v="19/2377/GPD15"/>
    <n v="96"/>
    <x v="1"/>
    <x v="1"/>
    <d v="2019-09-30T00:00:00"/>
    <d v="2022-09-30T00:00:00"/>
    <d v="2020-02-17T00:00:00"/>
    <m/>
    <x v="1"/>
    <x v="0"/>
    <x v="0"/>
    <s v="Partial change of use from office to residential (4 No flats)."/>
    <s v="122 - 124 St Margarets Road, Twickenham"/>
    <s v="TW1 2LH"/>
    <m/>
    <m/>
    <m/>
    <m/>
    <m/>
    <m/>
    <m/>
    <m/>
    <n v="0"/>
    <m/>
    <n v="4"/>
    <m/>
    <m/>
    <m/>
    <m/>
    <m/>
    <m/>
    <n v="4"/>
    <n v="0"/>
    <n v="4"/>
    <n v="0"/>
    <n v="0"/>
    <n v="0"/>
    <n v="0"/>
    <n v="0"/>
    <n v="0"/>
    <n v="4"/>
    <x v="0"/>
    <m/>
    <n v="2"/>
    <n v="2"/>
    <m/>
    <m/>
    <m/>
    <m/>
    <m/>
    <m/>
    <m/>
    <m/>
    <m/>
    <m/>
    <m/>
    <m/>
    <m/>
    <m/>
    <n v="4"/>
    <n v="4"/>
    <n v="4"/>
    <m/>
    <m/>
    <n v="516843"/>
    <n v="174266"/>
    <s v="Twickenham"/>
    <x v="17"/>
    <m/>
    <m/>
    <s v="St Margarets"/>
    <s v="Y"/>
    <m/>
    <s v="CA49 Crown Road St Margarets"/>
    <x v="0"/>
    <s v="Y"/>
    <m/>
  </r>
  <r>
    <s v="16/0905/FUL"/>
    <n v="97"/>
    <x v="3"/>
    <x v="0"/>
    <d v="2017-02-23T00:00:00"/>
    <d v="2020-02-23T00:00:00"/>
    <d v="2020-02-19T00:00:00"/>
    <m/>
    <x v="1"/>
    <x v="0"/>
    <x v="0"/>
    <s v="Demolition of the existing hall and the erection of a new community facility building and 6 flats"/>
    <s v="275 Sandycombe Road, Richmond TW9 3LU_x000a_"/>
    <m/>
    <m/>
    <m/>
    <m/>
    <m/>
    <m/>
    <m/>
    <m/>
    <m/>
    <n v="0"/>
    <n v="4"/>
    <n v="2"/>
    <m/>
    <m/>
    <m/>
    <m/>
    <m/>
    <m/>
    <n v="6"/>
    <n v="4"/>
    <n v="2"/>
    <n v="0"/>
    <n v="0"/>
    <n v="0"/>
    <n v="0"/>
    <n v="0"/>
    <n v="0"/>
    <n v="6"/>
    <x v="0"/>
    <m/>
    <n v="3"/>
    <n v="3"/>
    <m/>
    <m/>
    <m/>
    <m/>
    <m/>
    <m/>
    <m/>
    <m/>
    <m/>
    <m/>
    <m/>
    <m/>
    <m/>
    <m/>
    <n v="6"/>
    <n v="6"/>
    <n v="6"/>
    <m/>
    <m/>
    <n v="519126"/>
    <n v="176420"/>
    <s v="Richmond"/>
    <x v="3"/>
    <m/>
    <m/>
    <s v="Sandycombe Road North"/>
    <s v="Y"/>
    <m/>
    <s v="CA15 Kew Gardens Kew"/>
    <x v="0"/>
    <s v="Y"/>
    <m/>
  </r>
  <r>
    <s v="16/4635/FUL"/>
    <n v="98"/>
    <x v="3"/>
    <x v="0"/>
    <d v="2017-03-07T00:00:00"/>
    <d v="2020-03-07T00:00:00"/>
    <d v="2020-03-01T00:00:00"/>
    <m/>
    <x v="1"/>
    <x v="0"/>
    <x v="0"/>
    <s v="Construction of a three bedroom single storey dwelling with associated hard and soft landscaping, parking and access road (bollard lit)"/>
    <s v="Land Rear Of 12 To 36 Vincam Close, Twickenham_x000a__x000a_"/>
    <m/>
    <m/>
    <m/>
    <m/>
    <m/>
    <m/>
    <m/>
    <m/>
    <m/>
    <n v="0"/>
    <m/>
    <m/>
    <n v="1"/>
    <m/>
    <m/>
    <m/>
    <m/>
    <m/>
    <n v="1"/>
    <n v="0"/>
    <n v="0"/>
    <n v="1"/>
    <n v="0"/>
    <n v="0"/>
    <n v="0"/>
    <n v="0"/>
    <n v="0"/>
    <n v="1"/>
    <x v="0"/>
    <m/>
    <n v="0.5"/>
    <n v="0.5"/>
    <m/>
    <m/>
    <m/>
    <m/>
    <m/>
    <m/>
    <m/>
    <m/>
    <m/>
    <m/>
    <m/>
    <m/>
    <m/>
    <m/>
    <n v="1"/>
    <n v="1"/>
    <n v="1"/>
    <m/>
    <m/>
    <n v="513432"/>
    <n v="173849"/>
    <s v="Whitton"/>
    <x v="12"/>
    <m/>
    <m/>
    <m/>
    <m/>
    <m/>
    <m/>
    <x v="1"/>
    <s v="Y"/>
    <m/>
  </r>
  <r>
    <s v="19/0111/FUL"/>
    <n v="99"/>
    <x v="0"/>
    <x v="0"/>
    <d v="2019-12-12T00:00:00"/>
    <d v="2022-12-12T00:00:00"/>
    <d v="2020-03-30T00:00:00"/>
    <m/>
    <x v="1"/>
    <x v="1"/>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m/>
    <n v="0"/>
    <m/>
    <m/>
    <m/>
    <m/>
    <m/>
    <m/>
    <n v="0"/>
    <n v="3"/>
    <n v="3"/>
    <m/>
    <m/>
    <m/>
    <m/>
    <m/>
    <m/>
    <n v="6"/>
    <n v="3"/>
    <n v="3"/>
    <n v="0"/>
    <n v="0"/>
    <n v="0"/>
    <n v="0"/>
    <n v="0"/>
    <n v="0"/>
    <n v="6"/>
    <x v="1"/>
    <m/>
    <n v="3"/>
    <n v="3"/>
    <m/>
    <m/>
    <m/>
    <m/>
    <m/>
    <m/>
    <m/>
    <m/>
    <m/>
    <m/>
    <m/>
    <m/>
    <m/>
    <m/>
    <n v="6"/>
    <n v="6"/>
    <n v="6"/>
    <m/>
    <m/>
    <n v="517598"/>
    <n v="169722"/>
    <s v="Teddington and the Hamptons"/>
    <x v="10"/>
    <m/>
    <m/>
    <m/>
    <m/>
    <m/>
    <s v="CA18 Hampton Wick"/>
    <x v="0"/>
    <s v="Y"/>
    <m/>
  </r>
  <r>
    <s v="19/0111/FUL"/>
    <n v="100"/>
    <x v="0"/>
    <x v="0"/>
    <d v="2019-12-12T00:00:00"/>
    <d v="2022-12-12T00:00:00"/>
    <d v="2020-03-30T00:00:00"/>
    <m/>
    <x v="1"/>
    <x v="0"/>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m/>
    <n v="7"/>
    <m/>
    <m/>
    <m/>
    <m/>
    <m/>
    <m/>
    <n v="7"/>
    <n v="2"/>
    <n v="4"/>
    <m/>
    <m/>
    <m/>
    <m/>
    <m/>
    <m/>
    <n v="6"/>
    <n v="-5"/>
    <n v="4"/>
    <n v="0"/>
    <n v="0"/>
    <n v="0"/>
    <n v="0"/>
    <n v="0"/>
    <n v="0"/>
    <n v="-1"/>
    <x v="1"/>
    <m/>
    <n v="-0.5"/>
    <n v="-0.5"/>
    <m/>
    <m/>
    <m/>
    <m/>
    <m/>
    <m/>
    <m/>
    <m/>
    <m/>
    <m/>
    <m/>
    <m/>
    <m/>
    <m/>
    <n v="-1"/>
    <n v="-1"/>
    <n v="-1"/>
    <m/>
    <m/>
    <n v="517598"/>
    <n v="169722"/>
    <s v="Teddington and the Hamptons"/>
    <x v="10"/>
    <m/>
    <m/>
    <m/>
    <m/>
    <m/>
    <s v="CA18 Hampton Wick"/>
    <x v="0"/>
    <s v="Y"/>
    <m/>
  </r>
  <r>
    <s v="19/0111/FUL"/>
    <n v="101"/>
    <x v="0"/>
    <x v="0"/>
    <d v="2019-12-12T00:00:00"/>
    <d v="2022-12-12T00:00:00"/>
    <d v="2020-03-30T00:00:00"/>
    <m/>
    <x v="1"/>
    <x v="0"/>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 Lower Teddington Road, Hampton Wick_x000a__x000a_"/>
    <s v="KT1"/>
    <s v="23-27 Lower Teddington Road"/>
    <n v="0"/>
    <m/>
    <m/>
    <m/>
    <m/>
    <m/>
    <m/>
    <n v="0"/>
    <m/>
    <m/>
    <m/>
    <m/>
    <m/>
    <m/>
    <m/>
    <m/>
    <n v="0"/>
    <n v="0"/>
    <n v="0"/>
    <n v="0"/>
    <n v="0"/>
    <n v="0"/>
    <n v="0"/>
    <n v="0"/>
    <n v="0"/>
    <n v="0"/>
    <x v="1"/>
    <m/>
    <m/>
    <n v="0"/>
    <m/>
    <m/>
    <m/>
    <m/>
    <m/>
    <m/>
    <m/>
    <m/>
    <m/>
    <m/>
    <m/>
    <m/>
    <m/>
    <m/>
    <n v="0"/>
    <n v="0"/>
    <n v="0"/>
    <m/>
    <m/>
    <n v="517598"/>
    <n v="169722"/>
    <s v="Teddington and the Hamptons"/>
    <x v="10"/>
    <m/>
    <m/>
    <m/>
    <m/>
    <m/>
    <s v="CA18 Hampton Wick"/>
    <x v="0"/>
    <s v="Y"/>
    <m/>
  </r>
  <r>
    <s v="19/1065/VRC"/>
    <n v="102"/>
    <x v="3"/>
    <x v="0"/>
    <d v="2019-07-10T00:00:00"/>
    <d v="2022-07-10T00:00:00"/>
    <d v="2020-05-21T00:00:00"/>
    <m/>
    <x v="1"/>
    <x v="0"/>
    <x v="0"/>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_x000a_"/>
    <s v="SW13 9JT"/>
    <m/>
    <n v="8"/>
    <n v="2"/>
    <n v="4"/>
    <n v="2"/>
    <m/>
    <m/>
    <m/>
    <n v="16"/>
    <n v="7"/>
    <n v="5"/>
    <n v="6"/>
    <m/>
    <m/>
    <m/>
    <m/>
    <m/>
    <n v="18"/>
    <n v="-1"/>
    <n v="3"/>
    <n v="2"/>
    <n v="-2"/>
    <n v="0"/>
    <n v="0"/>
    <n v="0"/>
    <n v="0"/>
    <n v="2"/>
    <x v="0"/>
    <m/>
    <n v="1"/>
    <n v="1"/>
    <m/>
    <m/>
    <m/>
    <m/>
    <m/>
    <m/>
    <m/>
    <m/>
    <m/>
    <m/>
    <m/>
    <m/>
    <m/>
    <m/>
    <n v="2"/>
    <n v="2"/>
    <n v="2"/>
    <m/>
    <m/>
    <n v="522473"/>
    <n v="178000"/>
    <s v="Barnes and East Sheen"/>
    <x v="7"/>
    <m/>
    <s v="Thames Policy Area"/>
    <m/>
    <m/>
    <m/>
    <m/>
    <x v="1"/>
    <s v="Y"/>
    <m/>
  </r>
  <r>
    <s v="18/1248/FUL"/>
    <n v="103"/>
    <x v="1"/>
    <x v="0"/>
    <d v="2018-12-21T00:00:00"/>
    <d v="2021-12-21T00:00:00"/>
    <d v="2020-09-01T00:00:00"/>
    <m/>
    <x v="1"/>
    <x v="0"/>
    <x v="0"/>
    <s v="Conversion, refurbishment and extension of existing tyre shop with maisonette above (C3) into two self-contained one bedroom flats (C3)."/>
    <s v="1 Trinity Road, Richmond TW9 2LD"/>
    <s v="TW9 2LD"/>
    <m/>
    <n v="1"/>
    <m/>
    <m/>
    <m/>
    <m/>
    <m/>
    <m/>
    <n v="1"/>
    <n v="2"/>
    <m/>
    <m/>
    <m/>
    <m/>
    <m/>
    <m/>
    <m/>
    <n v="2"/>
    <n v="1"/>
    <n v="0"/>
    <n v="0"/>
    <n v="0"/>
    <n v="0"/>
    <n v="0"/>
    <n v="0"/>
    <n v="0"/>
    <n v="1"/>
    <x v="0"/>
    <m/>
    <n v="0.5"/>
    <n v="0.5"/>
    <m/>
    <m/>
    <m/>
    <m/>
    <m/>
    <m/>
    <m/>
    <m/>
    <m/>
    <m/>
    <m/>
    <m/>
    <m/>
    <m/>
    <n v="1"/>
    <n v="1"/>
    <n v="1"/>
    <m/>
    <m/>
    <n v="518862"/>
    <n v="175562"/>
    <s v="Richmond"/>
    <x v="4"/>
    <m/>
    <m/>
    <m/>
    <m/>
    <m/>
    <m/>
    <x v="1"/>
    <s v="Y"/>
    <m/>
  </r>
  <r>
    <s v="20/0773/FUL"/>
    <n v="104"/>
    <x v="3"/>
    <x v="0"/>
    <d v="2020-07-08T00:00:00"/>
    <d v="2023-07-08T00:00:00"/>
    <d v="2020-09-08T00:00:00"/>
    <m/>
    <x v="1"/>
    <x v="0"/>
    <x v="0"/>
    <s v="Erection of 1no. single storey 2 bed dwellinghouse with associated cycle and refuse stores"/>
    <s v="Land At Railway Side, Barnes, London_x000a__x000a_"/>
    <s v="SW13 0AL"/>
    <m/>
    <m/>
    <m/>
    <m/>
    <m/>
    <m/>
    <m/>
    <m/>
    <n v="0"/>
    <m/>
    <n v="1"/>
    <m/>
    <m/>
    <m/>
    <m/>
    <m/>
    <m/>
    <n v="1"/>
    <n v="0"/>
    <n v="1"/>
    <n v="0"/>
    <n v="0"/>
    <n v="0"/>
    <n v="0"/>
    <n v="0"/>
    <n v="0"/>
    <n v="1"/>
    <x v="0"/>
    <m/>
    <n v="0.5"/>
    <n v="0.5"/>
    <m/>
    <m/>
    <m/>
    <m/>
    <m/>
    <m/>
    <m/>
    <m/>
    <m/>
    <m/>
    <m/>
    <m/>
    <m/>
    <m/>
    <n v="1"/>
    <n v="1"/>
    <n v="1"/>
    <m/>
    <m/>
    <n v="521729"/>
    <n v="176011"/>
    <s v="Barnes and East Sheen"/>
    <x v="8"/>
    <m/>
    <m/>
    <m/>
    <m/>
    <m/>
    <s v="CA16 Thorne Passage Mortlake"/>
    <x v="0"/>
    <s v="Y"/>
    <m/>
  </r>
  <r>
    <s v="19/1162/FUL"/>
    <n v="105"/>
    <x v="0"/>
    <x v="0"/>
    <d v="2020-03-20T00:00:00"/>
    <d v="2023-03-20T00:00:00"/>
    <d v="2020-10-01T00:00:00"/>
    <m/>
    <x v="1"/>
    <x v="0"/>
    <x v="0"/>
    <s v="Part change of use of ground floor and rear garden from A1 to C3 (residential use) and replacement window on ground floor rear elevation to facilitate the conversion of existing 1 x 3 bed flat into 2 x 2 bed flats and associated cycle and refuse stores (R"/>
    <s v="82 - 84 Hill Rise, Richmond_x000a__x000a_"/>
    <s v="TW10 6UB"/>
    <m/>
    <m/>
    <m/>
    <n v="1"/>
    <m/>
    <m/>
    <m/>
    <m/>
    <n v="1"/>
    <m/>
    <n v="2"/>
    <m/>
    <m/>
    <m/>
    <m/>
    <m/>
    <m/>
    <n v="2"/>
    <n v="0"/>
    <n v="2"/>
    <n v="-1"/>
    <n v="0"/>
    <n v="0"/>
    <n v="0"/>
    <n v="0"/>
    <n v="0"/>
    <n v="1"/>
    <x v="0"/>
    <m/>
    <n v="0.5"/>
    <n v="0.5"/>
    <m/>
    <m/>
    <m/>
    <m/>
    <m/>
    <m/>
    <m/>
    <m/>
    <m/>
    <m/>
    <m/>
    <m/>
    <m/>
    <m/>
    <n v="1"/>
    <n v="1"/>
    <n v="1"/>
    <m/>
    <m/>
    <n v="517949"/>
    <n v="174506"/>
    <s v="Richmond"/>
    <x v="6"/>
    <s v="Richmond"/>
    <m/>
    <m/>
    <m/>
    <m/>
    <s v="CA5 Richmond Hill"/>
    <x v="0"/>
    <s v="Y"/>
    <m/>
  </r>
  <r>
    <s v="19/0175/FUL"/>
    <n v="106"/>
    <x v="3"/>
    <x v="0"/>
    <d v="2019-05-09T00:00:00"/>
    <d v="2022-05-09T00:00:00"/>
    <d v="2020-11-20T00:00:00"/>
    <m/>
    <x v="1"/>
    <x v="0"/>
    <x v="0"/>
    <s v="Demolition of existing one-bedroom, two-storey dwelling and construction of one-bedroom, one-person single-storey dwelling."/>
    <s v="The Haven, Eel Pie Island, Twickenham TW1 3DY"/>
    <s v="TW1 3DY"/>
    <m/>
    <n v="1"/>
    <m/>
    <m/>
    <m/>
    <m/>
    <m/>
    <m/>
    <n v="1"/>
    <n v="1"/>
    <m/>
    <m/>
    <m/>
    <m/>
    <m/>
    <m/>
    <m/>
    <n v="1"/>
    <n v="0"/>
    <n v="0"/>
    <n v="0"/>
    <n v="0"/>
    <n v="0"/>
    <n v="0"/>
    <n v="0"/>
    <n v="0"/>
    <n v="0"/>
    <x v="0"/>
    <m/>
    <n v="0"/>
    <n v="0"/>
    <m/>
    <m/>
    <m/>
    <m/>
    <m/>
    <m/>
    <m/>
    <m/>
    <m/>
    <m/>
    <m/>
    <m/>
    <m/>
    <m/>
    <n v="0"/>
    <n v="0"/>
    <n v="0"/>
    <m/>
    <m/>
    <n v="516414"/>
    <n v="173065"/>
    <s v="Twickenham"/>
    <x v="9"/>
    <m/>
    <s v="Thames Policy Area"/>
    <m/>
    <m/>
    <m/>
    <s v="CA8 Twickenham Riverside"/>
    <x v="0"/>
    <s v="Y"/>
    <m/>
  </r>
  <r>
    <s v="17/0323/FUL"/>
    <n v="107"/>
    <x v="3"/>
    <x v="0"/>
    <d v="2018-03-23T00:00:00"/>
    <d v="2021-03-23T00:00:00"/>
    <d v="2021-01-04T00:00:00"/>
    <m/>
    <x v="1"/>
    <x v="0"/>
    <x v="0"/>
    <s v="Erection of a three-storey building to provide  4 two-bedroom residential units (Class C3) separate refuse facilities and altered parking layout."/>
    <s v="Courtyard Apartments, 70B Hampton Road, Teddington_x000a__x000a_"/>
    <s v="TW11 0JX"/>
    <m/>
    <m/>
    <m/>
    <m/>
    <m/>
    <m/>
    <m/>
    <m/>
    <n v="0"/>
    <m/>
    <n v="4"/>
    <m/>
    <m/>
    <m/>
    <m/>
    <m/>
    <m/>
    <n v="4"/>
    <n v="0"/>
    <n v="4"/>
    <n v="0"/>
    <n v="0"/>
    <n v="0"/>
    <n v="0"/>
    <n v="0"/>
    <n v="0"/>
    <n v="4"/>
    <x v="0"/>
    <m/>
    <n v="2"/>
    <n v="2"/>
    <m/>
    <m/>
    <m/>
    <m/>
    <m/>
    <m/>
    <m/>
    <m/>
    <m/>
    <m/>
    <m/>
    <m/>
    <m/>
    <m/>
    <n v="4"/>
    <n v="4"/>
    <n v="4"/>
    <m/>
    <m/>
    <n v="514687"/>
    <n v="171290"/>
    <s v="Teddington and the Hamptons"/>
    <x v="14"/>
    <m/>
    <m/>
    <m/>
    <m/>
    <m/>
    <m/>
    <x v="1"/>
    <s v="Y"/>
    <m/>
  </r>
  <r>
    <s v="17/0788/FUL"/>
    <n v="108"/>
    <x v="3"/>
    <x v="0"/>
    <d v="2018-01-08T00:00:00"/>
    <d v="2021-01-08T00:00:00"/>
    <d v="2021-01-07T00:00:00"/>
    <m/>
    <x v="1"/>
    <x v="0"/>
    <x v="0"/>
    <s v="Demolition of lock up garages to provide 1 no. detached 4 bedroom dwellinghouse with associated parking, cycle and refuse stores, new boundary fence and hard and soft landscaping."/>
    <s v="High Wigsell, 35 Twickenham Road, Teddington"/>
    <s v="TW11"/>
    <m/>
    <m/>
    <m/>
    <m/>
    <m/>
    <m/>
    <m/>
    <m/>
    <n v="0"/>
    <m/>
    <m/>
    <m/>
    <n v="1"/>
    <m/>
    <m/>
    <m/>
    <m/>
    <n v="1"/>
    <n v="0"/>
    <n v="0"/>
    <n v="0"/>
    <n v="1"/>
    <n v="0"/>
    <n v="0"/>
    <n v="0"/>
    <n v="0"/>
    <n v="1"/>
    <x v="0"/>
    <m/>
    <n v="0.5"/>
    <n v="0.5"/>
    <m/>
    <m/>
    <m/>
    <m/>
    <m/>
    <m/>
    <m/>
    <m/>
    <m/>
    <m/>
    <m/>
    <m/>
    <m/>
    <m/>
    <n v="1"/>
    <n v="1"/>
    <n v="1"/>
    <m/>
    <m/>
    <n v="516399"/>
    <n v="171470"/>
    <s v="Teddington and the Hamptons"/>
    <x v="0"/>
    <m/>
    <m/>
    <m/>
    <m/>
    <m/>
    <m/>
    <x v="1"/>
    <s v="Y"/>
    <m/>
  </r>
  <r>
    <s v="17/4292/FUL"/>
    <n v="109"/>
    <x v="4"/>
    <x v="0"/>
    <d v="2018-01-25T00:00:00"/>
    <d v="2021-01-25T00:00:00"/>
    <d v="2021-01-20T00:00:00"/>
    <m/>
    <x v="1"/>
    <x v="0"/>
    <x v="0"/>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s v="TW9 2JX"/>
    <m/>
    <m/>
    <m/>
    <m/>
    <m/>
    <m/>
    <m/>
    <m/>
    <n v="0"/>
    <n v="1"/>
    <n v="2"/>
    <m/>
    <m/>
    <m/>
    <m/>
    <m/>
    <m/>
    <n v="3"/>
    <n v="1"/>
    <n v="2"/>
    <n v="0"/>
    <n v="0"/>
    <n v="0"/>
    <n v="0"/>
    <n v="0"/>
    <n v="0"/>
    <n v="3"/>
    <x v="0"/>
    <m/>
    <n v="1.5"/>
    <n v="1.5"/>
    <m/>
    <m/>
    <m/>
    <m/>
    <m/>
    <m/>
    <m/>
    <m/>
    <m/>
    <m/>
    <m/>
    <m/>
    <m/>
    <m/>
    <n v="3"/>
    <n v="3"/>
    <n v="3"/>
    <m/>
    <m/>
    <n v="518831"/>
    <n v="175436"/>
    <s v="Richmond"/>
    <x v="4"/>
    <m/>
    <m/>
    <m/>
    <m/>
    <m/>
    <m/>
    <x v="1"/>
    <s v="Y"/>
    <m/>
  </r>
  <r>
    <s v="20/0714/FUL"/>
    <n v="110"/>
    <x v="3"/>
    <x v="0"/>
    <d v="2020-07-20T00:00:00"/>
    <d v="2023-07-20T00:00:00"/>
    <d v="2021-02-01T00:00:00"/>
    <m/>
    <x v="1"/>
    <x v="0"/>
    <x v="0"/>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m/>
    <n v="1"/>
    <m/>
    <n v="1"/>
    <m/>
    <m/>
    <m/>
    <m/>
    <n v="1"/>
    <m/>
    <m/>
    <m/>
    <n v="1"/>
    <n v="0"/>
    <n v="0"/>
    <n v="0"/>
    <n v="0"/>
    <n v="1"/>
    <n v="-1"/>
    <n v="0"/>
    <n v="0"/>
    <n v="0"/>
    <x v="0"/>
    <m/>
    <n v="0"/>
    <m/>
    <m/>
    <m/>
    <m/>
    <m/>
    <m/>
    <m/>
    <m/>
    <m/>
    <m/>
    <m/>
    <m/>
    <m/>
    <m/>
    <m/>
    <n v="0"/>
    <n v="0"/>
    <n v="0"/>
    <m/>
    <m/>
    <n v="521978"/>
    <n v="176841"/>
    <s v="Barnes and East Sheen"/>
    <x v="7"/>
    <m/>
    <m/>
    <m/>
    <m/>
    <m/>
    <m/>
    <x v="1"/>
    <m/>
    <m/>
  </r>
  <r>
    <s v="18/3950/FUL"/>
    <n v="111"/>
    <x v="1"/>
    <x v="0"/>
    <d v="2019-07-15T00:00:00"/>
    <d v="2022-07-15T00:00:00"/>
    <d v="2021-02-22T00:00:00"/>
    <m/>
    <x v="1"/>
    <x v="2"/>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s v="East Wing"/>
    <m/>
    <m/>
    <m/>
    <m/>
    <m/>
    <m/>
    <m/>
    <n v="0"/>
    <n v="7"/>
    <n v="3"/>
    <n v="1"/>
    <m/>
    <m/>
    <m/>
    <m/>
    <m/>
    <n v="11"/>
    <n v="7"/>
    <n v="3"/>
    <n v="1"/>
    <n v="0"/>
    <n v="0"/>
    <n v="0"/>
    <n v="0"/>
    <n v="0"/>
    <n v="11"/>
    <x v="1"/>
    <m/>
    <m/>
    <n v="11"/>
    <m/>
    <m/>
    <m/>
    <m/>
    <m/>
    <m/>
    <m/>
    <m/>
    <m/>
    <m/>
    <m/>
    <m/>
    <m/>
    <m/>
    <n v="11"/>
    <n v="11"/>
    <n v="11"/>
    <m/>
    <m/>
    <n v="518144"/>
    <n v="175553"/>
    <s v="Richmond"/>
    <x v="4"/>
    <m/>
    <m/>
    <m/>
    <m/>
    <m/>
    <s v="CA36 Kew Foot Road"/>
    <x v="0"/>
    <s v="Y"/>
    <m/>
  </r>
  <r>
    <s v="18/3950/FUL"/>
    <n v="112"/>
    <x v="1"/>
    <x v="0"/>
    <d v="2019-07-15T00:00:00"/>
    <d v="2022-07-15T00:00:00"/>
    <d v="2021-02-22T00:00:00"/>
    <m/>
    <x v="1"/>
    <x v="5"/>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s v="East Wing"/>
    <m/>
    <m/>
    <m/>
    <m/>
    <m/>
    <m/>
    <m/>
    <n v="0"/>
    <n v="4"/>
    <m/>
    <m/>
    <m/>
    <m/>
    <m/>
    <m/>
    <m/>
    <n v="4"/>
    <n v="4"/>
    <n v="0"/>
    <n v="0"/>
    <n v="0"/>
    <n v="0"/>
    <n v="0"/>
    <n v="0"/>
    <n v="0"/>
    <n v="4"/>
    <x v="1"/>
    <m/>
    <m/>
    <n v="4"/>
    <m/>
    <m/>
    <m/>
    <m/>
    <m/>
    <m/>
    <m/>
    <m/>
    <m/>
    <m/>
    <m/>
    <m/>
    <m/>
    <m/>
    <n v="4"/>
    <n v="4"/>
    <n v="4"/>
    <m/>
    <m/>
    <n v="518144"/>
    <n v="175553"/>
    <s v="Richmond"/>
    <x v="4"/>
    <m/>
    <m/>
    <m/>
    <m/>
    <m/>
    <s v="CA36 Kew Foot Road"/>
    <x v="0"/>
    <s v="Y"/>
    <s v="Y"/>
  </r>
  <r>
    <s v="18/3950/FUL"/>
    <n v="113"/>
    <x v="1"/>
    <x v="0"/>
    <d v="2019-07-15T00:00:00"/>
    <d v="2022-07-15T00:00:00"/>
    <d v="2021-02-22T00:00:00"/>
    <m/>
    <x v="1"/>
    <x v="0"/>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_x000a_"/>
    <s v="TW9 2TE"/>
    <m/>
    <m/>
    <m/>
    <m/>
    <m/>
    <m/>
    <m/>
    <m/>
    <n v="0"/>
    <n v="22"/>
    <n v="30"/>
    <n v="2"/>
    <n v="2"/>
    <m/>
    <m/>
    <m/>
    <m/>
    <n v="56"/>
    <n v="22"/>
    <n v="30"/>
    <n v="2"/>
    <n v="2"/>
    <n v="0"/>
    <n v="0"/>
    <n v="0"/>
    <n v="0"/>
    <n v="56"/>
    <x v="1"/>
    <m/>
    <m/>
    <n v="56"/>
    <m/>
    <m/>
    <m/>
    <m/>
    <m/>
    <m/>
    <m/>
    <m/>
    <m/>
    <m/>
    <m/>
    <m/>
    <m/>
    <m/>
    <n v="56"/>
    <n v="56"/>
    <n v="56"/>
    <m/>
    <m/>
    <n v="518144"/>
    <n v="175553"/>
    <s v="Richmond"/>
    <x v="4"/>
    <m/>
    <m/>
    <m/>
    <m/>
    <m/>
    <s v="CA36 Kew Foot Road"/>
    <x v="0"/>
    <s v="Y"/>
    <s v="Y"/>
  </r>
  <r>
    <s v="20/2721/FUL"/>
    <n v="114"/>
    <x v="2"/>
    <x v="0"/>
    <d v="2021-02-15T00:00:00"/>
    <d v="2024-02-15T00:00:00"/>
    <d v="2021-03-01T00:00:00"/>
    <m/>
    <x v="1"/>
    <x v="0"/>
    <x v="0"/>
    <s v="Change of use of the building into 2no. flats and reduction and retention of outbuilding"/>
    <s v="54 Percy Road, Hampton TW12 2JR"/>
    <s v="TW12 2JR"/>
    <m/>
    <m/>
    <m/>
    <m/>
    <m/>
    <m/>
    <n v="1"/>
    <m/>
    <n v="1"/>
    <m/>
    <n v="1"/>
    <n v="1"/>
    <m/>
    <m/>
    <m/>
    <m/>
    <m/>
    <n v="2"/>
    <n v="0"/>
    <n v="1"/>
    <n v="1"/>
    <n v="0"/>
    <n v="0"/>
    <n v="-1"/>
    <n v="0"/>
    <n v="0"/>
    <n v="1"/>
    <x v="0"/>
    <m/>
    <n v="0.5"/>
    <n v="0.5"/>
    <m/>
    <m/>
    <m/>
    <m/>
    <m/>
    <m/>
    <m/>
    <m/>
    <m/>
    <m/>
    <m/>
    <m/>
    <m/>
    <m/>
    <n v="1"/>
    <n v="1"/>
    <n v="1"/>
    <m/>
    <m/>
    <n v="513178"/>
    <n v="170142"/>
    <s v="Teddington and the Hamptons"/>
    <x v="15"/>
    <m/>
    <m/>
    <m/>
    <m/>
    <m/>
    <m/>
    <x v="1"/>
    <s v="Y"/>
    <m/>
  </r>
  <r>
    <s v="17/3667/FUL"/>
    <n v="115"/>
    <x v="3"/>
    <x v="0"/>
    <d v="2018-04-25T00:00:00"/>
    <d v="2021-04-25T00:00:00"/>
    <d v="2021-03-15T00:00:00"/>
    <m/>
    <x v="1"/>
    <x v="0"/>
    <x v="0"/>
    <s v="Demolition of existing staff accommodation caravans and storage barn and erection of replacement grooms accommodation."/>
    <s v="Manor Farm Riding School, Petersham Road, Petersham, Richmond TW10 7AH_x000a_"/>
    <s v="TW10 7AH"/>
    <m/>
    <m/>
    <m/>
    <m/>
    <m/>
    <m/>
    <m/>
    <m/>
    <n v="0"/>
    <m/>
    <m/>
    <n v="1"/>
    <m/>
    <m/>
    <m/>
    <m/>
    <m/>
    <n v="1"/>
    <n v="0"/>
    <n v="0"/>
    <n v="1"/>
    <n v="0"/>
    <n v="0"/>
    <n v="0"/>
    <n v="0"/>
    <n v="0"/>
    <n v="1"/>
    <x v="0"/>
    <m/>
    <n v="1"/>
    <m/>
    <m/>
    <m/>
    <m/>
    <m/>
    <m/>
    <m/>
    <m/>
    <m/>
    <m/>
    <m/>
    <m/>
    <m/>
    <m/>
    <m/>
    <n v="1"/>
    <n v="1"/>
    <n v="1"/>
    <m/>
    <m/>
    <n v="517808"/>
    <n v="173353"/>
    <s v="Ham &amp; Petersham"/>
    <x v="2"/>
    <m/>
    <s v="Thames Policy Area"/>
    <m/>
    <m/>
    <s v="Petersham Lodge"/>
    <s v="CA6 Petersham"/>
    <x v="0"/>
    <m/>
    <m/>
  </r>
  <r>
    <s v="15/3297/FUL"/>
    <n v="116"/>
    <x v="3"/>
    <x v="0"/>
    <d v="2019-08-13T00:00:00"/>
    <d v="2022-08-13T00:00:00"/>
    <d v="2021-03-31T00:00:00"/>
    <d v="2023-07-18T00:00:00"/>
    <x v="1"/>
    <x v="1"/>
    <x v="0"/>
    <s v="SITE B_x000d_The site is currently an open parking court of approximately 28 spaces accessed from Bucklands Road. Create a pair of semi-detached high quality four-bedroom houses._x000d_-Provision of 24 car parking spaces"/>
    <s v="Garage Site B, Bucklands Road, Teddington_x000a__x000a_"/>
    <s v="TW11"/>
    <m/>
    <m/>
    <m/>
    <m/>
    <m/>
    <m/>
    <m/>
    <m/>
    <n v="0"/>
    <m/>
    <m/>
    <m/>
    <n v="2"/>
    <m/>
    <m/>
    <m/>
    <m/>
    <n v="2"/>
    <n v="0"/>
    <n v="0"/>
    <n v="0"/>
    <n v="2"/>
    <n v="0"/>
    <n v="0"/>
    <n v="0"/>
    <n v="0"/>
    <n v="2"/>
    <x v="0"/>
    <m/>
    <n v="2"/>
    <m/>
    <m/>
    <m/>
    <m/>
    <m/>
    <m/>
    <m/>
    <m/>
    <m/>
    <m/>
    <m/>
    <m/>
    <m/>
    <m/>
    <m/>
    <n v="2"/>
    <n v="2"/>
    <n v="2"/>
    <m/>
    <m/>
    <n v="517351"/>
    <n v="170884"/>
    <s v="Teddington and the Hamptons"/>
    <x v="10"/>
    <m/>
    <m/>
    <m/>
    <m/>
    <m/>
    <m/>
    <x v="1"/>
    <s v="Y"/>
    <m/>
  </r>
  <r>
    <s v="17/3001/GPD16"/>
    <n v="117"/>
    <x v="1"/>
    <x v="1"/>
    <d v="2017-09-27T00:00:00"/>
    <d v="2021-06-07T00:00:00"/>
    <d v="2021-03-31T00:00:00"/>
    <m/>
    <x v="1"/>
    <x v="0"/>
    <x v="0"/>
    <s v="Change of use from B8 (storage) to C3 (residential use) to create a 1 bedroom unit."/>
    <s v="Unit 3, Plough Lane, Teddington_x000a__x000a_"/>
    <s v="TW11 9BN"/>
    <m/>
    <m/>
    <m/>
    <m/>
    <m/>
    <m/>
    <m/>
    <m/>
    <n v="0"/>
    <n v="1"/>
    <m/>
    <m/>
    <m/>
    <m/>
    <m/>
    <m/>
    <m/>
    <n v="1"/>
    <n v="1"/>
    <n v="0"/>
    <n v="0"/>
    <n v="0"/>
    <n v="0"/>
    <n v="0"/>
    <n v="0"/>
    <n v="0"/>
    <n v="1"/>
    <x v="0"/>
    <m/>
    <n v="0.5"/>
    <n v="0.5"/>
    <m/>
    <m/>
    <m/>
    <m/>
    <m/>
    <m/>
    <m/>
    <m/>
    <m/>
    <m/>
    <m/>
    <m/>
    <m/>
    <m/>
    <n v="1"/>
    <n v="1"/>
    <n v="1"/>
    <m/>
    <m/>
    <n v="516215"/>
    <n v="171077"/>
    <s v="Teddington and the Hamptons"/>
    <x v="0"/>
    <s v="Teddington"/>
    <m/>
    <m/>
    <m/>
    <m/>
    <m/>
    <x v="1"/>
    <s v="Y"/>
    <m/>
  </r>
  <r>
    <s v="17/3003/GPD16"/>
    <n v="118"/>
    <x v="1"/>
    <x v="1"/>
    <d v="2017-09-27T00:00:00"/>
    <d v="2021-06-07T00:00:00"/>
    <d v="2021-03-31T00:00:00"/>
    <m/>
    <x v="1"/>
    <x v="0"/>
    <x v="0"/>
    <s v="Change of use from B8 (storage) to C3 (residential) to create 2 Studio units."/>
    <s v="Unit 4 To 5A, Plough Lane, Teddington_x000a__x000a_"/>
    <s v="TW11 9BN"/>
    <m/>
    <m/>
    <m/>
    <m/>
    <m/>
    <m/>
    <m/>
    <m/>
    <n v="0"/>
    <n v="2"/>
    <m/>
    <m/>
    <m/>
    <m/>
    <m/>
    <m/>
    <m/>
    <n v="2"/>
    <n v="2"/>
    <n v="0"/>
    <n v="0"/>
    <n v="0"/>
    <n v="0"/>
    <n v="0"/>
    <n v="0"/>
    <n v="0"/>
    <n v="2"/>
    <x v="0"/>
    <m/>
    <n v="1"/>
    <n v="1"/>
    <m/>
    <m/>
    <m/>
    <m/>
    <m/>
    <m/>
    <m/>
    <m/>
    <m/>
    <m/>
    <m/>
    <m/>
    <m/>
    <m/>
    <n v="2"/>
    <n v="2"/>
    <n v="2"/>
    <m/>
    <m/>
    <n v="516224"/>
    <n v="171078"/>
    <s v="Teddington and the Hamptons"/>
    <x v="0"/>
    <s v="Teddington"/>
    <m/>
    <m/>
    <m/>
    <m/>
    <m/>
    <x v="1"/>
    <s v="Y"/>
    <m/>
  </r>
  <r>
    <s v="19/3568/FUL"/>
    <n v="119"/>
    <x v="3"/>
    <x v="0"/>
    <d v="2020-06-10T00:00:00"/>
    <d v="2023-06-10T00:00:00"/>
    <d v="2021-03-31T00:00:00"/>
    <m/>
    <x v="1"/>
    <x v="0"/>
    <x v="0"/>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m/>
    <n v="1"/>
    <m/>
    <m/>
    <m/>
    <m/>
    <m/>
    <n v="1"/>
    <m/>
    <m/>
    <m/>
    <m/>
    <n v="2"/>
    <m/>
    <m/>
    <m/>
    <n v="2"/>
    <n v="0"/>
    <n v="-1"/>
    <n v="0"/>
    <n v="0"/>
    <n v="2"/>
    <n v="0"/>
    <n v="0"/>
    <n v="0"/>
    <n v="1"/>
    <x v="0"/>
    <m/>
    <n v="1"/>
    <m/>
    <m/>
    <m/>
    <m/>
    <m/>
    <m/>
    <m/>
    <m/>
    <m/>
    <m/>
    <m/>
    <m/>
    <m/>
    <m/>
    <m/>
    <n v="1"/>
    <n v="1"/>
    <n v="1"/>
    <m/>
    <m/>
    <n v="514203"/>
    <n v="169911"/>
    <s v="Teddington and the Hamptons"/>
    <x v="15"/>
    <m/>
    <m/>
    <m/>
    <m/>
    <m/>
    <s v="CA12 Hampton Village"/>
    <x v="0"/>
    <m/>
    <m/>
  </r>
  <r>
    <s v="16/0606/FUL"/>
    <n v="120"/>
    <x v="0"/>
    <x v="0"/>
    <d v="2017-09-05T00:00:00"/>
    <d v="2020-09-05T00:00:00"/>
    <d v="2021-04-26T00:00:00"/>
    <m/>
    <x v="1"/>
    <x v="0"/>
    <x v="0"/>
    <s v="Retention of former police station building with partial demolition of the rear wings of the police station and demolition of the rear garages and the construction of 28 residential units (4 x 1 bedroom, 12 x 2 bedroom, 10 x 3 bedroom and 2 x 4 bedroom) and associated access, servicing, cycle parking and landscaping (The proposal has been amended to include setting back the top floor away from the eastern boundary of the site; roof design on Plots 24 to 28 amended; and amendments to unit mix)."/>
    <s v="Police Station, 60 - 68 Station Road, Hampton_x000a__x000a_"/>
    <s v="TW12 2AX"/>
    <m/>
    <m/>
    <m/>
    <m/>
    <m/>
    <m/>
    <m/>
    <m/>
    <n v="0"/>
    <n v="4"/>
    <n v="12"/>
    <n v="10"/>
    <n v="2"/>
    <m/>
    <m/>
    <m/>
    <m/>
    <n v="28"/>
    <n v="4"/>
    <n v="12"/>
    <n v="10"/>
    <n v="2"/>
    <n v="0"/>
    <n v="0"/>
    <n v="0"/>
    <n v="0"/>
    <m/>
    <x v="1"/>
    <m/>
    <m/>
    <m/>
    <m/>
    <m/>
    <m/>
    <m/>
    <m/>
    <m/>
    <m/>
    <m/>
    <m/>
    <m/>
    <m/>
    <m/>
    <m/>
    <m/>
    <n v="0"/>
    <n v="0"/>
    <n v="0"/>
    <m/>
    <m/>
    <n v="513766"/>
    <n v="169736"/>
    <s v="Teddington and the Hamptons"/>
    <x v="15"/>
    <m/>
    <m/>
    <s v="Station Road, Hampton"/>
    <s v="Y"/>
    <m/>
    <s v="CA12 Hampton Village"/>
    <x v="0"/>
    <s v="Y"/>
    <m/>
  </r>
  <r>
    <s v="20/3740/FUL"/>
    <n v="121"/>
    <x v="3"/>
    <x v="0"/>
    <d v="2022-06-15T00:00:00"/>
    <d v="2025-06-15T00:00:00"/>
    <d v="2021-04-30T00:00:00"/>
    <m/>
    <x v="1"/>
    <x v="0"/>
    <x v="0"/>
    <s v="Erection of two semi detached houses with associated landscaping and parking"/>
    <s v="86 Ormond Drive, Hampton, TW12 2TN"/>
    <s v="TW12 2TN"/>
    <m/>
    <m/>
    <m/>
    <m/>
    <n v="1"/>
    <m/>
    <m/>
    <m/>
    <n v="1"/>
    <m/>
    <m/>
    <m/>
    <n v="2"/>
    <m/>
    <m/>
    <m/>
    <m/>
    <n v="2"/>
    <n v="0"/>
    <n v="0"/>
    <n v="0"/>
    <n v="1"/>
    <n v="0"/>
    <n v="0"/>
    <n v="0"/>
    <n v="0"/>
    <n v="1"/>
    <x v="0"/>
    <m/>
    <n v="1"/>
    <m/>
    <m/>
    <m/>
    <m/>
    <m/>
    <m/>
    <m/>
    <m/>
    <m/>
    <m/>
    <m/>
    <m/>
    <m/>
    <m/>
    <m/>
    <n v="1"/>
    <n v="1"/>
    <n v="1"/>
    <m/>
    <m/>
    <n v="513837"/>
    <n v="170102"/>
    <s v="Teddington and the Hamptons"/>
    <x v="15"/>
    <m/>
    <m/>
    <m/>
    <m/>
    <m/>
    <m/>
    <x v="1"/>
    <s v="Y"/>
    <m/>
  </r>
  <r>
    <s v="19/1703/FUL"/>
    <n v="122"/>
    <x v="1"/>
    <x v="0"/>
    <d v="2019-08-12T00:00:00"/>
    <d v="2022-12-27T00:00:00"/>
    <d v="2021-05-24T00:00:00"/>
    <m/>
    <x v="1"/>
    <x v="0"/>
    <x v="0"/>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m/>
    <n v="1"/>
    <m/>
    <m/>
    <m/>
    <m/>
    <n v="1"/>
    <n v="1"/>
    <m/>
    <n v="1"/>
    <m/>
    <m/>
    <m/>
    <m/>
    <m/>
    <n v="2"/>
    <n v="1"/>
    <n v="0"/>
    <n v="0"/>
    <n v="0"/>
    <n v="0"/>
    <n v="0"/>
    <n v="0"/>
    <n v="0"/>
    <n v="1"/>
    <x v="0"/>
    <m/>
    <n v="0.5"/>
    <n v="0.5"/>
    <m/>
    <m/>
    <m/>
    <m/>
    <m/>
    <m/>
    <m/>
    <m/>
    <m/>
    <m/>
    <m/>
    <m/>
    <m/>
    <m/>
    <n v="1"/>
    <n v="1"/>
    <n v="1"/>
    <m/>
    <m/>
    <n v="514733"/>
    <n v="172125"/>
    <s v="Twickenham"/>
    <x v="11"/>
    <m/>
    <m/>
    <m/>
    <m/>
    <m/>
    <m/>
    <x v="1"/>
    <s v="Y"/>
    <m/>
  </r>
  <r>
    <s v="16/0510/FUL"/>
    <n v="123"/>
    <x v="1"/>
    <x v="0"/>
    <d v="2018-07-19T00:00:00"/>
    <d v="2021-07-19T00:00:00"/>
    <d v="2021-07-05T00:00:00"/>
    <m/>
    <x v="1"/>
    <x v="0"/>
    <x v="0"/>
    <s v="Alterations including construction of a new rear ground floor extension and change of use to commercial space and two 2-bedroom self-contained flats."/>
    <s v="Shanklin House, 70 Sheen Road, Richmond TW9 1UF"/>
    <s v="TW9 1UF"/>
    <m/>
    <m/>
    <m/>
    <m/>
    <m/>
    <m/>
    <m/>
    <m/>
    <n v="0"/>
    <m/>
    <n v="2"/>
    <m/>
    <m/>
    <m/>
    <m/>
    <m/>
    <m/>
    <n v="2"/>
    <n v="0"/>
    <n v="2"/>
    <n v="0"/>
    <n v="0"/>
    <n v="0"/>
    <n v="0"/>
    <n v="0"/>
    <n v="0"/>
    <n v="2"/>
    <x v="0"/>
    <m/>
    <n v="1"/>
    <n v="1"/>
    <m/>
    <m/>
    <m/>
    <m/>
    <m/>
    <m/>
    <m/>
    <m/>
    <m/>
    <m/>
    <m/>
    <m/>
    <m/>
    <m/>
    <n v="2"/>
    <n v="2"/>
    <n v="2"/>
    <m/>
    <m/>
    <n v="518392"/>
    <n v="175032"/>
    <s v="Richmond"/>
    <x v="6"/>
    <m/>
    <m/>
    <s v="Sheen Road"/>
    <s v="Y"/>
    <m/>
    <s v="CA31 Sheen Road Richmond"/>
    <x v="0"/>
    <s v="Y"/>
    <m/>
  </r>
  <r>
    <s v="19/0954/VRC"/>
    <n v="124"/>
    <x v="3"/>
    <x v="0"/>
    <d v="2019-10-16T00:00:00"/>
    <d v="2022-10-16T00:00:00"/>
    <d v="2021-07-06T00:00:00"/>
    <m/>
    <x v="1"/>
    <x v="0"/>
    <x v="0"/>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_x000a_"/>
    <s v="TW10 6AS"/>
    <m/>
    <m/>
    <n v="2"/>
    <n v="1"/>
    <m/>
    <m/>
    <m/>
    <m/>
    <n v="3"/>
    <m/>
    <m/>
    <m/>
    <n v="3"/>
    <m/>
    <m/>
    <m/>
    <m/>
    <n v="3"/>
    <n v="0"/>
    <n v="-2"/>
    <n v="-1"/>
    <n v="3"/>
    <n v="0"/>
    <n v="0"/>
    <n v="0"/>
    <n v="0"/>
    <n v="0"/>
    <x v="0"/>
    <m/>
    <n v="0"/>
    <m/>
    <m/>
    <m/>
    <m/>
    <m/>
    <m/>
    <m/>
    <m/>
    <m/>
    <m/>
    <m/>
    <m/>
    <m/>
    <m/>
    <m/>
    <n v="0"/>
    <n v="0"/>
    <n v="0"/>
    <m/>
    <m/>
    <n v="518209"/>
    <n v="174625"/>
    <s v="Richmond"/>
    <x v="6"/>
    <m/>
    <m/>
    <m/>
    <m/>
    <m/>
    <s v="CA30 St Matthias Richmond"/>
    <x v="0"/>
    <s v="Y"/>
    <m/>
  </r>
  <r>
    <s v="17/3590/FUL"/>
    <n v="125"/>
    <x v="3"/>
    <x v="0"/>
    <d v="2018-07-26T00:00:00"/>
    <d v="2021-07-26T00:00:00"/>
    <d v="2021-07-23T00:00:00"/>
    <m/>
    <x v="1"/>
    <x v="0"/>
    <x v="0"/>
    <s v="Demolition of the existing garages. Erection of 1 x 2 bed single storey house and 1 x 3 bed single storey house with basement with associated hard and soft landscaping, refuse and cycle stores."/>
    <s v="Garages Rear Of 48-52 Anlaby Road, Teddington_x000a__x000a_"/>
    <s v="TW11 0PP"/>
    <m/>
    <m/>
    <m/>
    <m/>
    <m/>
    <m/>
    <m/>
    <m/>
    <n v="0"/>
    <m/>
    <n v="1"/>
    <n v="1"/>
    <m/>
    <m/>
    <m/>
    <m/>
    <m/>
    <n v="2"/>
    <n v="0"/>
    <n v="1"/>
    <n v="1"/>
    <n v="0"/>
    <n v="0"/>
    <n v="0"/>
    <n v="0"/>
    <n v="0"/>
    <n v="2"/>
    <x v="0"/>
    <m/>
    <n v="2"/>
    <m/>
    <m/>
    <m/>
    <m/>
    <m/>
    <m/>
    <m/>
    <m/>
    <m/>
    <m/>
    <m/>
    <m/>
    <m/>
    <m/>
    <m/>
    <n v="2"/>
    <n v="2"/>
    <n v="2"/>
    <m/>
    <m/>
    <n v="514975"/>
    <n v="171285"/>
    <s v="Teddington and the Hamptons"/>
    <x v="14"/>
    <m/>
    <m/>
    <m/>
    <m/>
    <m/>
    <m/>
    <x v="1"/>
    <s v="Y"/>
    <m/>
  </r>
  <r>
    <s v="20/2500/FUL"/>
    <n v="126"/>
    <x v="3"/>
    <x v="0"/>
    <d v="2021-01-06T00:00:00"/>
    <d v="2024-01-06T00:00:00"/>
    <d v="2021-08-16T00:00:00"/>
    <m/>
    <x v="1"/>
    <x v="0"/>
    <x v="0"/>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s v="TW12 2LY"/>
    <m/>
    <m/>
    <m/>
    <m/>
    <m/>
    <m/>
    <m/>
    <m/>
    <n v="0"/>
    <m/>
    <m/>
    <m/>
    <m/>
    <n v="2"/>
    <m/>
    <m/>
    <m/>
    <n v="2"/>
    <n v="0"/>
    <n v="0"/>
    <n v="0"/>
    <n v="0"/>
    <n v="2"/>
    <n v="0"/>
    <n v="0"/>
    <n v="0"/>
    <n v="2"/>
    <x v="0"/>
    <m/>
    <n v="2"/>
    <m/>
    <m/>
    <m/>
    <m/>
    <m/>
    <m/>
    <m/>
    <m/>
    <m/>
    <m/>
    <m/>
    <m/>
    <m/>
    <m/>
    <m/>
    <n v="2"/>
    <n v="2"/>
    <n v="2"/>
    <m/>
    <m/>
    <n v="513454"/>
    <n v="170508"/>
    <s v="Teddington and the Hamptons"/>
    <x v="15"/>
    <m/>
    <m/>
    <m/>
    <m/>
    <m/>
    <m/>
    <x v="1"/>
    <s v="Y"/>
    <m/>
  </r>
  <r>
    <s v="18/1442/FUL"/>
    <n v="127"/>
    <x v="3"/>
    <x v="0"/>
    <d v="2019-01-07T00:00:00"/>
    <d v="2022-01-07T00:00:00"/>
    <d v="2021-09-16T00:00:00"/>
    <m/>
    <x v="1"/>
    <x v="0"/>
    <x v="0"/>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_x000a__x000a_"/>
    <s v="TW2 5ER"/>
    <m/>
    <m/>
    <m/>
    <m/>
    <m/>
    <m/>
    <m/>
    <m/>
    <n v="0"/>
    <m/>
    <n v="1"/>
    <m/>
    <m/>
    <m/>
    <m/>
    <m/>
    <m/>
    <n v="1"/>
    <n v="0"/>
    <n v="1"/>
    <n v="0"/>
    <n v="0"/>
    <n v="0"/>
    <n v="0"/>
    <n v="0"/>
    <n v="0"/>
    <n v="1"/>
    <x v="0"/>
    <m/>
    <n v="1"/>
    <m/>
    <m/>
    <m/>
    <m/>
    <m/>
    <m/>
    <m/>
    <m/>
    <m/>
    <m/>
    <m/>
    <m/>
    <m/>
    <m/>
    <m/>
    <n v="1"/>
    <n v="1"/>
    <n v="1"/>
    <m/>
    <m/>
    <n v="514703"/>
    <n v="172701"/>
    <s v="Twickenham"/>
    <x v="11"/>
    <m/>
    <m/>
    <m/>
    <m/>
    <m/>
    <m/>
    <x v="1"/>
    <m/>
    <m/>
  </r>
  <r>
    <s v="17/4015/FUL"/>
    <n v="128"/>
    <x v="3"/>
    <x v="0"/>
    <d v="2018-10-03T00:00:00"/>
    <d v="2021-10-03T00:00:00"/>
    <d v="2021-09-27T00:00:00"/>
    <m/>
    <x v="1"/>
    <x v="0"/>
    <x v="0"/>
    <s v="Erection of 2no. dwellings with associated cycle parking and refuse storage."/>
    <s v="Land To Rear Of 34 - 40 The Quadrant, Richmond_x000a__x000a_"/>
    <s v="TW9 1DN"/>
    <m/>
    <m/>
    <m/>
    <m/>
    <m/>
    <m/>
    <m/>
    <m/>
    <n v="0"/>
    <m/>
    <n v="2"/>
    <m/>
    <m/>
    <m/>
    <m/>
    <m/>
    <m/>
    <n v="2"/>
    <n v="0"/>
    <n v="2"/>
    <n v="0"/>
    <n v="0"/>
    <n v="0"/>
    <n v="0"/>
    <n v="0"/>
    <n v="0"/>
    <n v="2"/>
    <x v="0"/>
    <m/>
    <n v="2"/>
    <m/>
    <m/>
    <m/>
    <m/>
    <m/>
    <m/>
    <m/>
    <m/>
    <m/>
    <m/>
    <m/>
    <m/>
    <m/>
    <m/>
    <m/>
    <n v="2"/>
    <n v="2"/>
    <n v="2"/>
    <m/>
    <m/>
    <n v="518028"/>
    <n v="175050"/>
    <s v="Richmond"/>
    <x v="6"/>
    <s v="Richmond"/>
    <m/>
    <m/>
    <m/>
    <m/>
    <s v="CA17 Central Richmond"/>
    <x v="0"/>
    <s v="Y"/>
    <m/>
  </r>
  <r>
    <s v="19/1033/GPD23"/>
    <n v="129"/>
    <x v="1"/>
    <x v="1"/>
    <d v="2019-06-05T00:00:00"/>
    <d v="2022-06-05T00:00:00"/>
    <d v="2021-10-01T00:00:00"/>
    <m/>
    <x v="1"/>
    <x v="0"/>
    <x v="0"/>
    <s v="Change of use from premises in light industrial use (Class B1(c)) to one dwelling house (Class C3)."/>
    <s v="Unit 1 Hampton Works Rear Of 119 Sheen Lane, East Sheen, London_x000a__x000a_"/>
    <s v="SW14 8AE"/>
    <m/>
    <m/>
    <m/>
    <m/>
    <m/>
    <m/>
    <m/>
    <m/>
    <n v="0"/>
    <m/>
    <n v="1"/>
    <m/>
    <m/>
    <m/>
    <m/>
    <m/>
    <m/>
    <n v="1"/>
    <n v="0"/>
    <n v="1"/>
    <n v="0"/>
    <n v="0"/>
    <n v="0"/>
    <n v="0"/>
    <n v="0"/>
    <n v="0"/>
    <n v="1"/>
    <x v="0"/>
    <m/>
    <n v="0.5"/>
    <n v="0.5"/>
    <m/>
    <m/>
    <m/>
    <m/>
    <m/>
    <m/>
    <m/>
    <m/>
    <m/>
    <m/>
    <m/>
    <m/>
    <m/>
    <m/>
    <n v="1"/>
    <n v="1"/>
    <n v="1"/>
    <m/>
    <m/>
    <n v="520517"/>
    <n v="175507"/>
    <s v="Barnes and East Sheen"/>
    <x v="13"/>
    <s v="East Sheen"/>
    <m/>
    <m/>
    <m/>
    <m/>
    <s v="CA70 Sheen Lane Mortlake"/>
    <x v="0"/>
    <s v="Y"/>
    <m/>
  </r>
  <r>
    <s v="20/1461/FUL"/>
    <n v="130"/>
    <x v="2"/>
    <x v="0"/>
    <d v="2020-10-02T00:00:00"/>
    <d v="2023-10-02T00:00:00"/>
    <d v="2021-12-01T00:00:00"/>
    <m/>
    <x v="1"/>
    <x v="0"/>
    <x v="0"/>
    <s v="Replacement door.  Change of use from C3 residential to Flexible Non-Residential Institutions or office use.  External cycle racks."/>
    <s v="3 Cedar Terrace, Richmond, TW9 2JE"/>
    <s v="TW9 2JE"/>
    <m/>
    <m/>
    <m/>
    <m/>
    <n v="1"/>
    <m/>
    <m/>
    <m/>
    <n v="1"/>
    <m/>
    <m/>
    <m/>
    <m/>
    <m/>
    <m/>
    <m/>
    <m/>
    <n v="0"/>
    <n v="0"/>
    <n v="0"/>
    <n v="0"/>
    <n v="-1"/>
    <n v="0"/>
    <n v="0"/>
    <n v="0"/>
    <n v="0"/>
    <n v="-1"/>
    <x v="0"/>
    <m/>
    <n v="-0.5"/>
    <n v="-0.5"/>
    <m/>
    <m/>
    <m/>
    <m/>
    <m/>
    <m/>
    <m/>
    <m/>
    <m/>
    <m/>
    <m/>
    <m/>
    <m/>
    <m/>
    <n v="-1"/>
    <n v="-1"/>
    <n v="-1"/>
    <m/>
    <m/>
    <n v="518472"/>
    <n v="175425"/>
    <s v="Richmond"/>
    <x v="4"/>
    <m/>
    <m/>
    <m/>
    <m/>
    <m/>
    <m/>
    <x v="1"/>
    <s v="Y"/>
    <m/>
  </r>
  <r>
    <s v="21/0129/PS192"/>
    <n v="131"/>
    <x v="1"/>
    <x v="0"/>
    <d v="2021-02-16T00:00:00"/>
    <d v="2024-02-16T00:00:00"/>
    <d v="2021-12-01T00:00:00"/>
    <m/>
    <x v="1"/>
    <x v="0"/>
    <x v="0"/>
    <s v="Conversion of the existing 4-storey Use Class A2 unit to mixed-use, comprising an A2 unit at ground floor and two residential flats above on the second, third, and fourth floors."/>
    <s v="1 London Road, Twickenham TW1 3SX"/>
    <s v="TW1 3SX"/>
    <m/>
    <m/>
    <m/>
    <m/>
    <m/>
    <m/>
    <m/>
    <m/>
    <n v="0"/>
    <n v="1"/>
    <n v="1"/>
    <m/>
    <m/>
    <m/>
    <m/>
    <m/>
    <m/>
    <n v="2"/>
    <n v="1"/>
    <n v="1"/>
    <n v="0"/>
    <n v="0"/>
    <n v="0"/>
    <n v="0"/>
    <n v="0"/>
    <n v="0"/>
    <n v="2"/>
    <x v="0"/>
    <m/>
    <n v="1"/>
    <n v="1"/>
    <m/>
    <m/>
    <m/>
    <m/>
    <m/>
    <m/>
    <m/>
    <m/>
    <m/>
    <m/>
    <m/>
    <m/>
    <m/>
    <m/>
    <n v="2"/>
    <n v="2"/>
    <n v="2"/>
    <m/>
    <m/>
    <n v="516260"/>
    <n v="173296"/>
    <s v="Twickenham"/>
    <x v="9"/>
    <s v="Twickenham"/>
    <m/>
    <m/>
    <m/>
    <m/>
    <s v="CA8 Twickenham Riverside"/>
    <x v="0"/>
    <s v="Y"/>
    <m/>
  </r>
  <r>
    <s v="21/3676/GPD26"/>
    <n v="132"/>
    <x v="1"/>
    <x v="1"/>
    <d v="2021-12-10T00:00:00"/>
    <d v="2024-12-10T00:00:00"/>
    <d v="2021-12-13T00:00:00"/>
    <m/>
    <x v="1"/>
    <x v="0"/>
    <x v="0"/>
    <s v="Change of use from Doctors Surgery (Class E) to a Single Family/Household Dwellinghouse (C3)"/>
    <s v="224 London Road, Twickenham TW1 1EU_x000a_"/>
    <s v="TW1 1EU"/>
    <m/>
    <m/>
    <m/>
    <m/>
    <m/>
    <m/>
    <m/>
    <m/>
    <n v="0"/>
    <m/>
    <m/>
    <m/>
    <m/>
    <n v="1"/>
    <m/>
    <m/>
    <m/>
    <n v="1"/>
    <n v="0"/>
    <n v="0"/>
    <n v="0"/>
    <n v="0"/>
    <n v="1"/>
    <n v="0"/>
    <n v="0"/>
    <n v="0"/>
    <n v="1"/>
    <x v="0"/>
    <m/>
    <n v="0.5"/>
    <n v="0.5"/>
    <m/>
    <m/>
    <m/>
    <m/>
    <m/>
    <m/>
    <m/>
    <m/>
    <m/>
    <m/>
    <m/>
    <m/>
    <m/>
    <m/>
    <n v="1"/>
    <n v="1"/>
    <n v="1"/>
    <m/>
    <m/>
    <n v="516107"/>
    <n v="174400"/>
    <s v="Twickenham"/>
    <x v="17"/>
    <m/>
    <m/>
    <m/>
    <m/>
    <m/>
    <m/>
    <x v="1"/>
    <s v="Y"/>
    <m/>
  </r>
  <r>
    <s v="21/0754/GPD15"/>
    <n v="133"/>
    <x v="1"/>
    <x v="1"/>
    <d v="2021-04-12T00:00:00"/>
    <d v="2024-04-12T00:00:00"/>
    <d v="2022-01-17T00:00:00"/>
    <m/>
    <x v="1"/>
    <x v="0"/>
    <x v="0"/>
    <s v="Change of use from existing offices in building of 63-65 High Street to 12 residential flats (including retention of 3 existing self-contained flats on second floor)"/>
    <s v="63 - 65 High Street, Hampton Hill_x000a__x000a_"/>
    <s v="TW12 1NH"/>
    <m/>
    <m/>
    <m/>
    <m/>
    <m/>
    <m/>
    <m/>
    <m/>
    <n v="0"/>
    <n v="4"/>
    <n v="8"/>
    <m/>
    <m/>
    <m/>
    <m/>
    <m/>
    <m/>
    <n v="12"/>
    <n v="4"/>
    <n v="8"/>
    <n v="0"/>
    <n v="0"/>
    <n v="0"/>
    <n v="0"/>
    <n v="0"/>
    <n v="0"/>
    <n v="12"/>
    <x v="0"/>
    <m/>
    <n v="6"/>
    <n v="6"/>
    <m/>
    <m/>
    <m/>
    <m/>
    <m/>
    <m/>
    <m/>
    <m/>
    <m/>
    <m/>
    <m/>
    <m/>
    <m/>
    <m/>
    <n v="12"/>
    <n v="12"/>
    <n v="12"/>
    <m/>
    <m/>
    <n v="514247"/>
    <n v="170821"/>
    <s v="Teddington and the Hamptons"/>
    <x v="14"/>
    <m/>
    <m/>
    <s v="High Street, Hampton Hill"/>
    <s v="Y"/>
    <m/>
    <s v="CA38 High Street Hampton Hill"/>
    <x v="0"/>
    <m/>
    <m/>
  </r>
  <r>
    <s v="20/1986/FUL"/>
    <n v="134"/>
    <x v="3"/>
    <x v="0"/>
    <d v="2020-11-06T00:00:00"/>
    <d v="2023-11-06T00:00:00"/>
    <d v="2022-01-26T00:00:00"/>
    <m/>
    <x v="1"/>
    <x v="0"/>
    <x v="0"/>
    <s v="Replacement of the dwelling and garages with a new build dwelling and garage. Demolition of the existing dwelling and garages. Uses as existing"/>
    <s v="17A Strawberry Hill Road, Twickenham TW1 4QB"/>
    <s v="TW1 4QB"/>
    <m/>
    <m/>
    <m/>
    <m/>
    <m/>
    <n v="1"/>
    <m/>
    <m/>
    <n v="1"/>
    <m/>
    <m/>
    <m/>
    <m/>
    <n v="1"/>
    <m/>
    <m/>
    <m/>
    <n v="1"/>
    <n v="0"/>
    <n v="0"/>
    <n v="0"/>
    <n v="0"/>
    <n v="0"/>
    <n v="0"/>
    <n v="0"/>
    <n v="0"/>
    <n v="0"/>
    <x v="0"/>
    <m/>
    <n v="0"/>
    <m/>
    <m/>
    <m/>
    <m/>
    <m/>
    <m/>
    <m/>
    <m/>
    <m/>
    <m/>
    <m/>
    <m/>
    <m/>
    <m/>
    <m/>
    <n v="0"/>
    <n v="0"/>
    <n v="0"/>
    <m/>
    <m/>
    <n v="515689"/>
    <n v="172252"/>
    <s v="Twickenham"/>
    <x v="5"/>
    <m/>
    <m/>
    <m/>
    <m/>
    <m/>
    <s v="CA43 Strawberry Hill Road"/>
    <x v="0"/>
    <s v="Y"/>
    <m/>
  </r>
  <r>
    <s v="19/3905/FUL"/>
    <n v="135"/>
    <x v="4"/>
    <x v="0"/>
    <d v="2020-10-22T00:00:00"/>
    <d v="2023-10-22T00:00:00"/>
    <d v="2022-02-01T00:00:00"/>
    <m/>
    <x v="1"/>
    <x v="0"/>
    <x v="0"/>
    <s v="Replacement shopfront, replacement windows, 2 no. rooflights on front roof slope, new basement level with lightwells and rear staircase ground floor side/rear extension and 3 rear dormer roof extension to facilitate the provision of 1 no. retail unit and"/>
    <s v="422 Upper Richmond Road West, East Sheen, London"/>
    <s v="TW10 5DY"/>
    <m/>
    <m/>
    <m/>
    <n v="1"/>
    <m/>
    <m/>
    <m/>
    <m/>
    <n v="1"/>
    <n v="7"/>
    <m/>
    <m/>
    <m/>
    <m/>
    <m/>
    <m/>
    <m/>
    <n v="7"/>
    <n v="7"/>
    <n v="0"/>
    <n v="-1"/>
    <n v="0"/>
    <n v="0"/>
    <n v="0"/>
    <n v="0"/>
    <n v="0"/>
    <n v="6"/>
    <x v="0"/>
    <m/>
    <n v="3"/>
    <n v="3"/>
    <m/>
    <m/>
    <m/>
    <m/>
    <m/>
    <m/>
    <m/>
    <m/>
    <m/>
    <m/>
    <m/>
    <m/>
    <m/>
    <m/>
    <n v="6"/>
    <n v="6"/>
    <n v="6"/>
    <m/>
    <m/>
    <n v="519849"/>
    <n v="175357"/>
    <s v="Richmond"/>
    <x v="4"/>
    <m/>
    <m/>
    <m/>
    <m/>
    <m/>
    <m/>
    <x v="1"/>
    <s v="Y"/>
    <m/>
  </r>
  <r>
    <s v="20/0222/FUL"/>
    <n v="136"/>
    <x v="3"/>
    <x v="0"/>
    <d v="2021-05-04T00:00:00"/>
    <d v="2024-05-04T00:00:00"/>
    <d v="2022-02-01T00:00:00"/>
    <d v="2023-08-22T00:00:00"/>
    <x v="1"/>
    <x v="6"/>
    <x v="0"/>
    <s v="Erection of a two storey residential building with accommodation within the roof to provide 14 flats (11 x 1 bed &amp; 3 x 2 bed units) with associated car parking and landscaping."/>
    <s v="Land Ajacent To 38 - 42 Hampton Road, Teddington_x000a__x000a_"/>
    <s v="TW11 0JE"/>
    <m/>
    <m/>
    <m/>
    <m/>
    <m/>
    <m/>
    <m/>
    <m/>
    <n v="0"/>
    <n v="6"/>
    <m/>
    <m/>
    <m/>
    <m/>
    <m/>
    <m/>
    <m/>
    <n v="6"/>
    <n v="6"/>
    <n v="0"/>
    <n v="0"/>
    <n v="0"/>
    <n v="0"/>
    <n v="0"/>
    <n v="0"/>
    <n v="0"/>
    <n v="6"/>
    <x v="0"/>
    <m/>
    <n v="6"/>
    <m/>
    <m/>
    <m/>
    <m/>
    <m/>
    <m/>
    <m/>
    <m/>
    <m/>
    <m/>
    <m/>
    <m/>
    <m/>
    <m/>
    <m/>
    <n v="6"/>
    <n v="6"/>
    <n v="6"/>
    <m/>
    <m/>
    <n v="515045"/>
    <n v="171153"/>
    <s v="Teddington and the Hamptons"/>
    <x v="14"/>
    <m/>
    <m/>
    <m/>
    <m/>
    <m/>
    <m/>
    <x v="1"/>
    <s v="Y"/>
    <m/>
  </r>
  <r>
    <s v="20/0222/FUL"/>
    <n v="137"/>
    <x v="3"/>
    <x v="0"/>
    <d v="2021-05-04T00:00:00"/>
    <d v="2024-05-04T00:00:00"/>
    <d v="2022-02-01T00:00:00"/>
    <d v="2023-08-22T00:00:00"/>
    <x v="1"/>
    <x v="3"/>
    <x v="0"/>
    <s v="Erection of a two storey residential building with accommodation within the roof to provide 14 flats (11 x 1 bed &amp; 3 x 2 bed units) with associated car parking and landscaping."/>
    <s v="Land Ajacent To 38 - 42 Hampton Road, Teddington_x000a__x000a_"/>
    <s v="TW11 0JE"/>
    <m/>
    <m/>
    <m/>
    <m/>
    <m/>
    <m/>
    <m/>
    <m/>
    <n v="0"/>
    <n v="5"/>
    <n v="3"/>
    <m/>
    <m/>
    <m/>
    <m/>
    <m/>
    <m/>
    <n v="8"/>
    <n v="5"/>
    <n v="3"/>
    <n v="0"/>
    <n v="0"/>
    <n v="0"/>
    <n v="0"/>
    <n v="0"/>
    <n v="0"/>
    <n v="8"/>
    <x v="0"/>
    <m/>
    <n v="8"/>
    <m/>
    <m/>
    <m/>
    <m/>
    <m/>
    <m/>
    <m/>
    <m/>
    <m/>
    <m/>
    <m/>
    <m/>
    <m/>
    <m/>
    <m/>
    <n v="8"/>
    <n v="8"/>
    <n v="8"/>
    <m/>
    <m/>
    <n v="515045"/>
    <n v="171153"/>
    <s v="Teddington and the Hamptons"/>
    <x v="14"/>
    <m/>
    <m/>
    <m/>
    <m/>
    <m/>
    <m/>
    <x v="1"/>
    <s v="Y"/>
    <m/>
  </r>
  <r>
    <s v="20/3641/FUL"/>
    <n v="138"/>
    <x v="3"/>
    <x v="0"/>
    <d v="2021-05-12T00:00:00"/>
    <d v="2024-05-12T00:00:00"/>
    <d v="2022-02-01T00:00:00"/>
    <m/>
    <x v="1"/>
    <x v="0"/>
    <x v="0"/>
    <s v="Demolition of existing semi-detached bungalow and garage replacement detached dwelling house (Class C3) comprising ground, first floor and accommodation within the roof space."/>
    <s v="2 Chestnut Avenue, Hampton, TW12 2NU"/>
    <s v="TW12 2NU"/>
    <m/>
    <m/>
    <n v="1"/>
    <m/>
    <m/>
    <m/>
    <m/>
    <m/>
    <n v="1"/>
    <m/>
    <m/>
    <m/>
    <m/>
    <n v="1"/>
    <m/>
    <m/>
    <m/>
    <n v="1"/>
    <n v="0"/>
    <n v="-1"/>
    <n v="0"/>
    <n v="0"/>
    <n v="1"/>
    <n v="0"/>
    <n v="0"/>
    <n v="0"/>
    <n v="0"/>
    <x v="0"/>
    <m/>
    <n v="0"/>
    <m/>
    <m/>
    <m/>
    <m/>
    <m/>
    <m/>
    <m/>
    <m/>
    <m/>
    <m/>
    <m/>
    <m/>
    <m/>
    <m/>
    <m/>
    <n v="0"/>
    <n v="0"/>
    <n v="0"/>
    <m/>
    <m/>
    <n v="513278"/>
    <n v="170135"/>
    <s v="Teddington and the Hamptons"/>
    <x v="15"/>
    <m/>
    <m/>
    <m/>
    <m/>
    <m/>
    <m/>
    <x v="1"/>
    <s v="Y"/>
    <m/>
  </r>
  <r>
    <s v="21/3152/FUL"/>
    <n v="139"/>
    <x v="3"/>
    <x v="0"/>
    <d v="2021-11-24T00:00:00"/>
    <d v="2024-11-24T00:00:00"/>
    <d v="2022-02-01T00:00:00"/>
    <m/>
    <x v="1"/>
    <x v="0"/>
    <x v="0"/>
    <s v="Demolition of existing house and construction of detached 2-storey dwelling house with basement and accomodation in roof space and associated hard and soft landscaping"/>
    <s v="2 Fife Road, East Sheen, London SW14 7EP_x000a_"/>
    <s v="SW14 7EP"/>
    <m/>
    <m/>
    <m/>
    <m/>
    <n v="1"/>
    <m/>
    <m/>
    <m/>
    <n v="1"/>
    <m/>
    <m/>
    <m/>
    <m/>
    <n v="1"/>
    <m/>
    <m/>
    <m/>
    <n v="1"/>
    <n v="0"/>
    <n v="0"/>
    <n v="0"/>
    <n v="-1"/>
    <n v="1"/>
    <n v="0"/>
    <n v="0"/>
    <n v="0"/>
    <n v="0"/>
    <x v="0"/>
    <m/>
    <n v="0"/>
    <m/>
    <m/>
    <m/>
    <m/>
    <m/>
    <m/>
    <m/>
    <m/>
    <m/>
    <m/>
    <m/>
    <m/>
    <m/>
    <m/>
    <m/>
    <n v="0"/>
    <n v="0"/>
    <n v="0"/>
    <m/>
    <m/>
    <n v="520008"/>
    <n v="174808"/>
    <s v="Barnes and East Sheen"/>
    <x v="13"/>
    <m/>
    <m/>
    <m/>
    <m/>
    <m/>
    <s v="CA13 Christchurch Road East Sheen"/>
    <x v="0"/>
    <s v="Y"/>
    <m/>
  </r>
  <r>
    <s v="17/1390/FUL"/>
    <n v="140"/>
    <x v="3"/>
    <x v="0"/>
    <d v="2018-11-15T00:00:00"/>
    <d v="2022-05-14T00:00:00"/>
    <d v="2022-03-01T00:00:00"/>
    <m/>
    <x v="1"/>
    <x v="0"/>
    <x v="0"/>
    <s v="Demolition of builders storage building and erection of one bedroomed  2 storey detached dwellinghouse with basement."/>
    <s v="Land Adjacent To No 1, South Western Road, Twickenham"/>
    <s v="TW1 1LG"/>
    <m/>
    <m/>
    <m/>
    <m/>
    <m/>
    <m/>
    <m/>
    <m/>
    <n v="0"/>
    <n v="1"/>
    <m/>
    <m/>
    <m/>
    <m/>
    <m/>
    <m/>
    <m/>
    <n v="1"/>
    <n v="1"/>
    <n v="0"/>
    <n v="0"/>
    <n v="0"/>
    <n v="0"/>
    <n v="0"/>
    <n v="0"/>
    <n v="0"/>
    <n v="1"/>
    <x v="0"/>
    <m/>
    <n v="1"/>
    <m/>
    <m/>
    <m/>
    <m/>
    <m/>
    <m/>
    <m/>
    <m/>
    <m/>
    <m/>
    <m/>
    <m/>
    <m/>
    <m/>
    <m/>
    <n v="1"/>
    <n v="1"/>
    <n v="1"/>
    <m/>
    <m/>
    <n v="516598"/>
    <n v="174330"/>
    <s v="Twickenham"/>
    <x v="17"/>
    <m/>
    <m/>
    <m/>
    <m/>
    <m/>
    <m/>
    <x v="1"/>
    <s v="Y"/>
    <m/>
  </r>
  <r>
    <s v="20/1870/FUL"/>
    <n v="141"/>
    <x v="1"/>
    <x v="0"/>
    <d v="2021-08-19T00:00:00"/>
    <d v="2024-08-19T00:00:00"/>
    <d v="2022-03-01T00:00:00"/>
    <m/>
    <x v="1"/>
    <x v="0"/>
    <x v="0"/>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n v="0"/>
    <n v="2"/>
    <n v="4"/>
    <m/>
    <m/>
    <m/>
    <m/>
    <m/>
    <m/>
    <n v="6"/>
    <n v="2"/>
    <n v="4"/>
    <n v="0"/>
    <n v="0"/>
    <n v="0"/>
    <n v="0"/>
    <n v="0"/>
    <n v="0"/>
    <n v="6"/>
    <x v="0"/>
    <m/>
    <n v="3"/>
    <n v="3"/>
    <m/>
    <m/>
    <m/>
    <m/>
    <m/>
    <m/>
    <m/>
    <m/>
    <m/>
    <m/>
    <m/>
    <m/>
    <m/>
    <m/>
    <n v="6"/>
    <n v="6"/>
    <n v="6"/>
    <m/>
    <m/>
    <n v="516610"/>
    <n v="175362"/>
    <s v="Twickenham"/>
    <x v="17"/>
    <m/>
    <m/>
    <m/>
    <m/>
    <m/>
    <s v="CA19 St Margarets"/>
    <x v="0"/>
    <m/>
    <s v="Y"/>
  </r>
  <r>
    <s v="16/2537/FUL"/>
    <n v="142"/>
    <x v="3"/>
    <x v="0"/>
    <d v="2019-04-03T00:00:00"/>
    <d v="2022-04-03T00:00:00"/>
    <d v="2022-03-16T00:00:00"/>
    <m/>
    <x v="1"/>
    <x v="0"/>
    <x v="0"/>
    <s v="Demolition of the existing building, and redevelopment of the site for 8 residential units (1 x 1 bed, 7 x 2 bed units) with associated car and cycle parking, amenity space, refuse and recycling storage."/>
    <s v="1D Becketts Place, Hampton Wick_x000a__x000a_"/>
    <s v="KT1 4EW"/>
    <m/>
    <n v="3"/>
    <m/>
    <m/>
    <m/>
    <m/>
    <m/>
    <m/>
    <n v="3"/>
    <n v="1"/>
    <n v="7"/>
    <m/>
    <m/>
    <m/>
    <m/>
    <m/>
    <m/>
    <n v="8"/>
    <n v="-2"/>
    <n v="7"/>
    <n v="0"/>
    <n v="0"/>
    <n v="0"/>
    <n v="0"/>
    <n v="0"/>
    <n v="0"/>
    <n v="5"/>
    <x v="0"/>
    <m/>
    <n v="5"/>
    <m/>
    <m/>
    <m/>
    <m/>
    <m/>
    <m/>
    <m/>
    <m/>
    <m/>
    <m/>
    <m/>
    <m/>
    <m/>
    <m/>
    <m/>
    <n v="5"/>
    <n v="5"/>
    <n v="5"/>
    <m/>
    <m/>
    <n v="517622"/>
    <n v="169605"/>
    <s v="Teddington and the Hamptons"/>
    <x v="10"/>
    <m/>
    <s v="Thames Policy Area"/>
    <s v="Hampton Wick"/>
    <s v="Y"/>
    <m/>
    <s v="CA18 Hampton Wick"/>
    <x v="0"/>
    <s v="Y"/>
    <m/>
  </r>
  <r>
    <s v="20/1499/FUL"/>
    <n v="143"/>
    <x v="3"/>
    <x v="0"/>
    <d v="2020-09-29T00:00:00"/>
    <d v="2024-03-04T00:00:00"/>
    <d v="2022-03-31T00:00:00"/>
    <m/>
    <x v="1"/>
    <x v="0"/>
    <x v="0"/>
    <s v="Demolition of existing buildings and the erection of a replacement building to contain 9no. flats (Use Class C3), with associated works including landscaping and parking."/>
    <s v="Boundaries, 1 St James's Road, Hampton Hill, Hampton TW12 1DH_x000a_"/>
    <s v="TW12 1DH"/>
    <m/>
    <m/>
    <m/>
    <m/>
    <n v="1"/>
    <m/>
    <m/>
    <m/>
    <n v="1"/>
    <n v="1"/>
    <n v="7"/>
    <n v="1"/>
    <m/>
    <m/>
    <m/>
    <m/>
    <m/>
    <n v="9"/>
    <n v="1"/>
    <n v="7"/>
    <n v="1"/>
    <n v="-1"/>
    <n v="0"/>
    <n v="0"/>
    <n v="0"/>
    <n v="0"/>
    <n v="8"/>
    <x v="0"/>
    <m/>
    <n v="8"/>
    <m/>
    <m/>
    <m/>
    <m/>
    <m/>
    <m/>
    <m/>
    <m/>
    <m/>
    <m/>
    <m/>
    <m/>
    <m/>
    <m/>
    <m/>
    <n v="8"/>
    <n v="8"/>
    <n v="8"/>
    <m/>
    <m/>
    <n v="513824"/>
    <n v="171219"/>
    <s v="Teddington and the Hamptons"/>
    <x v="1"/>
    <m/>
    <m/>
    <m/>
    <m/>
    <m/>
    <m/>
    <x v="1"/>
    <m/>
    <s v="Y"/>
  </r>
  <r>
    <s v="19/1890/FUL"/>
    <n v="144"/>
    <x v="3"/>
    <x v="0"/>
    <d v="2020-06-08T00:00:00"/>
    <d v="2023-06-08T00:00:00"/>
    <d v="2022-04-16T00:00:00"/>
    <m/>
    <x v="1"/>
    <x v="0"/>
    <x v="0"/>
    <s v="Erection of two pairs of semi-detached 4 bedroom dwellings and associated parking and landscaping following the demolition of the existing property."/>
    <s v="224 Hospital Bridge Road, Twickenham, TW2 6LF"/>
    <s v="TW2 6LF"/>
    <m/>
    <m/>
    <m/>
    <n v="1"/>
    <m/>
    <m/>
    <m/>
    <m/>
    <n v="1"/>
    <m/>
    <m/>
    <m/>
    <n v="4"/>
    <m/>
    <m/>
    <m/>
    <m/>
    <n v="4"/>
    <n v="0"/>
    <n v="0"/>
    <n v="-1"/>
    <n v="4"/>
    <n v="0"/>
    <n v="0"/>
    <n v="0"/>
    <n v="0"/>
    <n v="3"/>
    <x v="0"/>
    <m/>
    <n v="3"/>
    <m/>
    <m/>
    <m/>
    <m/>
    <m/>
    <m/>
    <m/>
    <m/>
    <m/>
    <m/>
    <m/>
    <m/>
    <m/>
    <m/>
    <m/>
    <n v="3"/>
    <n v="3"/>
    <n v="3"/>
    <m/>
    <m/>
    <n v="513614"/>
    <n v="173545"/>
    <s v="Whitton"/>
    <x v="16"/>
    <m/>
    <m/>
    <m/>
    <m/>
    <m/>
    <m/>
    <x v="1"/>
    <s v="Y"/>
    <s v="Y"/>
  </r>
  <r>
    <s v="20/0997/FUL"/>
    <n v="145"/>
    <x v="2"/>
    <x v="0"/>
    <d v="2020-12-04T00:00:00"/>
    <d v="2023-12-04T00:00:00"/>
    <d v="2022-04-19T00:00:00"/>
    <m/>
    <x v="1"/>
    <x v="0"/>
    <x v="0"/>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m/>
    <n v="1"/>
    <m/>
    <m/>
    <m/>
    <m/>
    <n v="1"/>
    <n v="2"/>
    <m/>
    <m/>
    <m/>
    <m/>
    <m/>
    <m/>
    <m/>
    <n v="2"/>
    <n v="2"/>
    <n v="0"/>
    <n v="-1"/>
    <n v="0"/>
    <n v="0"/>
    <n v="0"/>
    <n v="0"/>
    <n v="0"/>
    <n v="1"/>
    <x v="0"/>
    <m/>
    <n v="0.5"/>
    <n v="0.5"/>
    <m/>
    <m/>
    <m/>
    <m/>
    <m/>
    <m/>
    <m/>
    <m/>
    <m/>
    <m/>
    <m/>
    <m/>
    <m/>
    <m/>
    <n v="1"/>
    <n v="1"/>
    <n v="1"/>
    <m/>
    <m/>
    <n v="520166"/>
    <n v="175305"/>
    <s v="Barnes and East Sheen"/>
    <x v="13"/>
    <s v="East Sheen"/>
    <m/>
    <m/>
    <m/>
    <m/>
    <m/>
    <x v="1"/>
    <s v="Y"/>
    <m/>
  </r>
  <r>
    <s v="20/2358/FUL"/>
    <n v="146"/>
    <x v="1"/>
    <x v="0"/>
    <d v="2020-10-30T00:00:00"/>
    <d v="2024-09-23T00:00:00"/>
    <d v="2022-05-01T00:00:00"/>
    <m/>
    <x v="1"/>
    <x v="0"/>
    <x v="0"/>
    <s v="Change of use for conversion of an office designed as a live work one-bedroom residential property to a two-bedroom residential property, with associated landscaping."/>
    <s v="19 Thames Street, Hampton, TW12 2EW"/>
    <s v="TW12 2EW"/>
    <m/>
    <n v="1"/>
    <m/>
    <m/>
    <m/>
    <m/>
    <m/>
    <m/>
    <n v="1"/>
    <m/>
    <n v="1"/>
    <m/>
    <m/>
    <m/>
    <m/>
    <m/>
    <m/>
    <n v="1"/>
    <n v="-1"/>
    <n v="1"/>
    <n v="0"/>
    <n v="0"/>
    <n v="0"/>
    <n v="0"/>
    <n v="0"/>
    <n v="0"/>
    <n v="0"/>
    <x v="0"/>
    <m/>
    <n v="0"/>
    <m/>
    <m/>
    <m/>
    <m/>
    <m/>
    <m/>
    <m/>
    <m/>
    <m/>
    <m/>
    <m/>
    <m/>
    <m/>
    <m/>
    <m/>
    <n v="0"/>
    <n v="0"/>
    <n v="0"/>
    <m/>
    <m/>
    <n v="513893"/>
    <n v="169502"/>
    <s v="Teddington and the Hamptons"/>
    <x v="15"/>
    <m/>
    <s v="Thames Policy Area"/>
    <s v="Thames Street, Hampton"/>
    <s v="Y"/>
    <m/>
    <s v="CA12 Hampton Village"/>
    <x v="0"/>
    <s v="Y"/>
    <m/>
  </r>
  <r>
    <s v="19/0338/FUL"/>
    <n v="147"/>
    <x v="3"/>
    <x v="0"/>
    <d v="2019-05-24T00:00:00"/>
    <d v="2022-05-24T00:00:00"/>
    <d v="2022-05-28T00:00:00"/>
    <m/>
    <x v="1"/>
    <x v="0"/>
    <x v="0"/>
    <s v="Demolition of existing 3-bedroom bungalow and erection of a new 3-bedroom detached house with basement level."/>
    <s v="48 Fourth Cross Road, Twickenham TW2 5EL"/>
    <s v="TW2 5EL"/>
    <m/>
    <m/>
    <m/>
    <n v="1"/>
    <m/>
    <m/>
    <m/>
    <m/>
    <n v="1"/>
    <m/>
    <m/>
    <n v="1"/>
    <m/>
    <m/>
    <m/>
    <m/>
    <m/>
    <n v="1"/>
    <n v="0"/>
    <n v="0"/>
    <n v="0"/>
    <n v="0"/>
    <n v="0"/>
    <n v="0"/>
    <n v="0"/>
    <n v="0"/>
    <n v="0"/>
    <x v="0"/>
    <m/>
    <n v="0"/>
    <m/>
    <m/>
    <m/>
    <m/>
    <m/>
    <m/>
    <m/>
    <m/>
    <m/>
    <m/>
    <m/>
    <m/>
    <m/>
    <m/>
    <m/>
    <n v="0"/>
    <n v="0"/>
    <n v="0"/>
    <m/>
    <m/>
    <n v="514720"/>
    <n v="172712"/>
    <s v="Twickenham"/>
    <x v="11"/>
    <m/>
    <m/>
    <m/>
    <m/>
    <m/>
    <m/>
    <x v="1"/>
    <m/>
    <m/>
  </r>
  <r>
    <s v="18/1889/FUL"/>
    <n v="148"/>
    <x v="3"/>
    <x v="0"/>
    <d v="2018-11-29T00:00:00"/>
    <d v="2022-09-10T00:00:00"/>
    <d v="2022-06-06T00:00:00"/>
    <m/>
    <x v="1"/>
    <x v="0"/>
    <x v="0"/>
    <s v="Erection of a pair of 2 storey semi-detached 2 bed (1 x 2B4P and 1 x 2B3P) dwellinghouses with associated hard and soft landscaping and parking."/>
    <s v="Land To The Side Of 61 Acacia Road, Hampton TW12 3DP_x000a_"/>
    <s v="TW12 3DP"/>
    <m/>
    <m/>
    <m/>
    <m/>
    <m/>
    <m/>
    <m/>
    <m/>
    <n v="0"/>
    <m/>
    <n v="2"/>
    <m/>
    <m/>
    <m/>
    <m/>
    <m/>
    <m/>
    <n v="2"/>
    <n v="0"/>
    <n v="2"/>
    <n v="0"/>
    <n v="0"/>
    <n v="0"/>
    <n v="0"/>
    <n v="0"/>
    <n v="0"/>
    <n v="2"/>
    <x v="0"/>
    <m/>
    <n v="2"/>
    <m/>
    <m/>
    <m/>
    <m/>
    <m/>
    <m/>
    <m/>
    <m/>
    <m/>
    <m/>
    <m/>
    <m/>
    <m/>
    <m/>
    <m/>
    <n v="2"/>
    <n v="2"/>
    <n v="2"/>
    <m/>
    <m/>
    <n v="513221"/>
    <n v="170897"/>
    <s v="Teddington and the Hamptons"/>
    <x v="1"/>
    <m/>
    <m/>
    <m/>
    <m/>
    <m/>
    <m/>
    <x v="1"/>
    <m/>
    <m/>
  </r>
  <r>
    <s v="22/3588/GPD26"/>
    <n v="149"/>
    <x v="1"/>
    <x v="1"/>
    <d v="2023-01-26T00:00:00"/>
    <d v="2025-01-26T00:00:00"/>
    <d v="2022-08-01T00:00:00"/>
    <m/>
    <x v="1"/>
    <x v="0"/>
    <x v="0"/>
    <s v="Conversion of first floor office unit into 1 x two-bedroom self-contained flat."/>
    <s v="Unit 23 Station Point, 121 Sandycombe Road, Richmond TW9 2AD_x000a_"/>
    <s v="TW9 2AD"/>
    <m/>
    <m/>
    <m/>
    <m/>
    <m/>
    <m/>
    <m/>
    <m/>
    <n v="0"/>
    <m/>
    <n v="1"/>
    <m/>
    <m/>
    <m/>
    <m/>
    <m/>
    <m/>
    <n v="1"/>
    <n v="0"/>
    <n v="1"/>
    <n v="0"/>
    <n v="0"/>
    <n v="0"/>
    <n v="0"/>
    <n v="0"/>
    <n v="0"/>
    <n v="1"/>
    <x v="0"/>
    <m/>
    <n v="0.5"/>
    <n v="0.5"/>
    <m/>
    <m/>
    <m/>
    <m/>
    <m/>
    <m/>
    <m/>
    <m/>
    <m/>
    <m/>
    <m/>
    <m/>
    <m/>
    <m/>
    <n v="1"/>
    <n v="1"/>
    <n v="1"/>
    <m/>
    <m/>
    <n v="519074"/>
    <n v="176043"/>
    <s v="Richmond"/>
    <x v="3"/>
    <m/>
    <m/>
    <m/>
    <m/>
    <m/>
    <m/>
    <x v="1"/>
    <s v="Y"/>
    <m/>
  </r>
  <r>
    <s v="20/2345/FUL"/>
    <n v="150"/>
    <x v="3"/>
    <x v="0"/>
    <d v="2021-08-02T00:00:00"/>
    <d v="2024-08-02T00:00:00"/>
    <d v="2022-08-31T00:00:00"/>
    <m/>
    <x v="1"/>
    <x v="0"/>
    <x v="0"/>
    <s v="Erection of a new 3 bedroom disabled dwelling with mezzanine, dormer room and carers' accommodation and retrospective permission for the demolition of fire destroyed bungalow."/>
    <s v="31A Whitton Waye, Whitton, Hounslow, TW3 2LT"/>
    <s v="TW3 2LT"/>
    <m/>
    <m/>
    <m/>
    <n v="1"/>
    <m/>
    <m/>
    <m/>
    <m/>
    <n v="1"/>
    <m/>
    <m/>
    <m/>
    <m/>
    <n v="1"/>
    <m/>
    <m/>
    <m/>
    <n v="1"/>
    <n v="0"/>
    <n v="0"/>
    <n v="-1"/>
    <n v="0"/>
    <n v="1"/>
    <n v="0"/>
    <n v="0"/>
    <n v="0"/>
    <n v="0"/>
    <x v="0"/>
    <m/>
    <n v="0"/>
    <m/>
    <m/>
    <m/>
    <m/>
    <m/>
    <m/>
    <m/>
    <m/>
    <m/>
    <m/>
    <m/>
    <m/>
    <m/>
    <m/>
    <m/>
    <n v="0"/>
    <n v="0"/>
    <n v="0"/>
    <m/>
    <m/>
    <n v="513403"/>
    <n v="174165"/>
    <s v="Whitton"/>
    <x v="12"/>
    <m/>
    <m/>
    <m/>
    <m/>
    <m/>
    <m/>
    <x v="1"/>
    <s v="Y"/>
    <m/>
  </r>
  <r>
    <s v="20/2393/FUL"/>
    <n v="151"/>
    <x v="1"/>
    <x v="0"/>
    <d v="2021-07-30T00:00:00"/>
    <d v="2024-07-30T00:00:00"/>
    <d v="2022-08-31T00:00:00"/>
    <m/>
    <x v="1"/>
    <x v="0"/>
    <x v="0"/>
    <s v="Conversion of Upper Floors to No. 104 (House of Multiple Occupation) to two self contained Flats, with new ground floor pedestrian access."/>
    <s v="102-104 Heath Road, Twickenham TW1 4BW"/>
    <s v="TW1 4BW"/>
    <m/>
    <m/>
    <m/>
    <m/>
    <m/>
    <n v="1"/>
    <m/>
    <m/>
    <n v="1"/>
    <n v="2"/>
    <m/>
    <m/>
    <m/>
    <m/>
    <m/>
    <m/>
    <m/>
    <n v="2"/>
    <n v="2"/>
    <n v="0"/>
    <n v="0"/>
    <n v="0"/>
    <n v="-1"/>
    <n v="0"/>
    <n v="0"/>
    <n v="0"/>
    <n v="1"/>
    <x v="0"/>
    <m/>
    <n v="1"/>
    <m/>
    <m/>
    <m/>
    <m/>
    <m/>
    <m/>
    <m/>
    <m/>
    <m/>
    <m/>
    <m/>
    <m/>
    <m/>
    <m/>
    <m/>
    <n v="1"/>
    <n v="1"/>
    <n v="1"/>
    <m/>
    <m/>
    <n v="515822"/>
    <n v="173145"/>
    <s v="Twickenham"/>
    <x v="5"/>
    <s v="Twickenham"/>
    <m/>
    <m/>
    <m/>
    <m/>
    <m/>
    <x v="1"/>
    <s v="Y"/>
    <m/>
  </r>
  <r>
    <s v="19/1731/FUL"/>
    <n v="152"/>
    <x v="3"/>
    <x v="0"/>
    <d v="2019-08-21T00:00:00"/>
    <d v="2022-08-21T00:00:00"/>
    <d v="2022-09-01T00:00:00"/>
    <m/>
    <x v="1"/>
    <x v="0"/>
    <x v="0"/>
    <s v="Demolition of existing dwellinghouse and erection of replacement two storey 4 bedroom dwellinghouse with associated hard and soft landscaping and cycle and refuse store. Replacement boundary fence/gates."/>
    <s v="17A Tower Road, Twickenham TW1 4PD"/>
    <s v="TW1 4PD"/>
    <m/>
    <m/>
    <n v="1"/>
    <m/>
    <m/>
    <m/>
    <m/>
    <m/>
    <n v="1"/>
    <m/>
    <m/>
    <m/>
    <n v="1"/>
    <m/>
    <m/>
    <m/>
    <m/>
    <n v="1"/>
    <n v="0"/>
    <n v="-1"/>
    <n v="0"/>
    <n v="1"/>
    <n v="0"/>
    <n v="0"/>
    <n v="0"/>
    <n v="0"/>
    <n v="0"/>
    <x v="0"/>
    <m/>
    <n v="0"/>
    <m/>
    <m/>
    <m/>
    <m/>
    <m/>
    <m/>
    <m/>
    <m/>
    <m/>
    <m/>
    <m/>
    <m/>
    <m/>
    <m/>
    <m/>
    <n v="0"/>
    <n v="0"/>
    <n v="0"/>
    <m/>
    <m/>
    <n v="515806"/>
    <n v="172455"/>
    <s v="Twickenham"/>
    <x v="5"/>
    <m/>
    <m/>
    <m/>
    <m/>
    <m/>
    <m/>
    <x v="1"/>
    <s v="Y"/>
    <m/>
  </r>
  <r>
    <s v="21/2441/FUL"/>
    <n v="153"/>
    <x v="1"/>
    <x v="0"/>
    <d v="2022-08-23T00:00:00"/>
    <d v="2025-08-23T00:00:00"/>
    <d v="2022-09-01T00:00:00"/>
    <m/>
    <x v="1"/>
    <x v="0"/>
    <x v="0"/>
    <s v="Change of use (to C3) of former Royal Oak Public House. Alterations and extension to ground floor, and alterations to existing facades to create 1 x 3 bedroom dwellinghouse with 2 x off-street parking spaces and associated cycle parking."/>
    <s v="The Royal Oak, Ham Street, Ham, Richmond, TW10 7HN"/>
    <s v="TW10 7HN"/>
    <m/>
    <m/>
    <m/>
    <m/>
    <m/>
    <m/>
    <m/>
    <m/>
    <n v="0"/>
    <m/>
    <m/>
    <n v="1"/>
    <m/>
    <m/>
    <m/>
    <m/>
    <m/>
    <n v="1"/>
    <n v="0"/>
    <n v="0"/>
    <n v="1"/>
    <n v="0"/>
    <n v="0"/>
    <n v="0"/>
    <n v="0"/>
    <n v="0"/>
    <n v="1"/>
    <x v="0"/>
    <m/>
    <n v="0.5"/>
    <n v="0.5"/>
    <m/>
    <m/>
    <m/>
    <m/>
    <m/>
    <m/>
    <m/>
    <m/>
    <m/>
    <m/>
    <m/>
    <m/>
    <m/>
    <m/>
    <n v="1"/>
    <n v="1"/>
    <n v="1"/>
    <m/>
    <m/>
    <n v="517302"/>
    <n v="172517"/>
    <s v="Ham &amp; Petersham"/>
    <x v="2"/>
    <m/>
    <m/>
    <m/>
    <m/>
    <s v="The Manor House Ham"/>
    <s v="CA23 Ham House"/>
    <x v="0"/>
    <m/>
    <m/>
  </r>
  <r>
    <s v="21/2646/FUL"/>
    <n v="154"/>
    <x v="2"/>
    <x v="0"/>
    <d v="2021-12-07T00:00:00"/>
    <d v="2024-12-07T00:00:00"/>
    <d v="2022-09-01T00:00:00"/>
    <d v="2023-09-25T00:00:00"/>
    <x v="1"/>
    <x v="0"/>
    <x v="0"/>
    <s v="Two storey side extension to facilitate the conversion of the existing house into two flats. Associated cycle and refuse stores. Solar panels on rear roofslope and side roofslope to outrigger."/>
    <s v="39 Gainsborough Road, Richmond, TW9 2DZ"/>
    <s v="TW9 2DZ"/>
    <m/>
    <m/>
    <m/>
    <n v="1"/>
    <m/>
    <m/>
    <m/>
    <m/>
    <n v="1"/>
    <m/>
    <n v="2"/>
    <m/>
    <m/>
    <m/>
    <m/>
    <m/>
    <m/>
    <n v="2"/>
    <n v="0"/>
    <n v="2"/>
    <n v="-1"/>
    <n v="0"/>
    <n v="0"/>
    <n v="0"/>
    <n v="0"/>
    <n v="0"/>
    <n v="1"/>
    <x v="0"/>
    <m/>
    <n v="1"/>
    <m/>
    <m/>
    <m/>
    <m/>
    <m/>
    <m/>
    <m/>
    <m/>
    <m/>
    <m/>
    <m/>
    <m/>
    <m/>
    <m/>
    <m/>
    <n v="1"/>
    <n v="1"/>
    <n v="1"/>
    <m/>
    <m/>
    <n v="518834"/>
    <n v="175928"/>
    <s v="Richmond"/>
    <x v="3"/>
    <m/>
    <m/>
    <m/>
    <m/>
    <m/>
    <m/>
    <x v="1"/>
    <s v="Y"/>
    <m/>
  </r>
  <r>
    <s v="21/3498/FUL"/>
    <n v="155"/>
    <x v="2"/>
    <x v="0"/>
    <d v="2022-03-07T00:00:00"/>
    <d v="2025-03-07T00:00:00"/>
    <d v="2022-09-01T00:00:00"/>
    <m/>
    <x v="1"/>
    <x v="0"/>
    <x v="0"/>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London"/>
    <s v="SW13 0BU"/>
    <m/>
    <m/>
    <n v="2"/>
    <m/>
    <m/>
    <m/>
    <m/>
    <m/>
    <n v="2"/>
    <m/>
    <m/>
    <m/>
    <n v="1"/>
    <m/>
    <m/>
    <m/>
    <m/>
    <n v="1"/>
    <n v="0"/>
    <n v="-2"/>
    <n v="0"/>
    <n v="1"/>
    <n v="0"/>
    <n v="0"/>
    <n v="0"/>
    <n v="0"/>
    <n v="-1"/>
    <x v="0"/>
    <m/>
    <n v="-0.5"/>
    <n v="-0.5"/>
    <m/>
    <m/>
    <m/>
    <m/>
    <m/>
    <m/>
    <m/>
    <m/>
    <m/>
    <m/>
    <m/>
    <m/>
    <m/>
    <m/>
    <n v="-1"/>
    <n v="-1"/>
    <n v="-1"/>
    <m/>
    <m/>
    <n v="522359"/>
    <n v="176498"/>
    <s v="Barnes and East Sheen"/>
    <x v="7"/>
    <m/>
    <m/>
    <m/>
    <m/>
    <m/>
    <s v="CA32 Barnes Common"/>
    <x v="0"/>
    <s v="Y"/>
    <m/>
  </r>
  <r>
    <s v="22/0229/GPD26"/>
    <n v="156"/>
    <x v="1"/>
    <x v="1"/>
    <d v="2022-03-24T00:00:00"/>
    <d v="2025-03-24T00:00:00"/>
    <d v="2022-09-01T00:00:00"/>
    <d v="2023-07-05T00:00:00"/>
    <x v="1"/>
    <x v="0"/>
    <x v="0"/>
    <s v="Change of use from offices to dwelling houses to create 2 self contained flats (3b 6p, 5b 8p)"/>
    <s v="32 Candler Mews, Twickenham, TW1 3JF"/>
    <s v="TW1 3JF"/>
    <m/>
    <m/>
    <m/>
    <m/>
    <m/>
    <m/>
    <m/>
    <m/>
    <n v="0"/>
    <m/>
    <m/>
    <n v="1"/>
    <m/>
    <n v="1"/>
    <m/>
    <m/>
    <m/>
    <n v="2"/>
    <n v="0"/>
    <n v="0"/>
    <n v="1"/>
    <n v="0"/>
    <n v="1"/>
    <n v="0"/>
    <n v="0"/>
    <n v="0"/>
    <n v="2"/>
    <x v="0"/>
    <m/>
    <n v="2"/>
    <m/>
    <m/>
    <m/>
    <m/>
    <m/>
    <m/>
    <m/>
    <m/>
    <m/>
    <m/>
    <m/>
    <m/>
    <m/>
    <m/>
    <m/>
    <n v="2"/>
    <n v="2"/>
    <n v="2"/>
    <m/>
    <m/>
    <n v="516346"/>
    <n v="173774"/>
    <s v="Twickenham"/>
    <x v="9"/>
    <m/>
    <m/>
    <m/>
    <m/>
    <m/>
    <m/>
    <x v="1"/>
    <s v="Y"/>
    <m/>
  </r>
  <r>
    <s v="19/2235/FUL"/>
    <n v="157"/>
    <x v="3"/>
    <x v="0"/>
    <d v="2020-07-31T00:00:00"/>
    <d v="2023-07-31T00:00:00"/>
    <d v="2022-09-05T00:00:00"/>
    <m/>
    <x v="1"/>
    <x v="0"/>
    <x v="0"/>
    <s v="Demolition of existing dwelling and the erection of two 4-bedroom semi-detached dwellings with associated access and car parking."/>
    <s v="10 Broad Lane, Hampton, TW12 3AW"/>
    <s v="TW12 3AW"/>
    <m/>
    <m/>
    <m/>
    <n v="1"/>
    <m/>
    <m/>
    <m/>
    <m/>
    <n v="1"/>
    <m/>
    <m/>
    <m/>
    <n v="2"/>
    <m/>
    <m/>
    <m/>
    <m/>
    <n v="2"/>
    <n v="0"/>
    <n v="0"/>
    <n v="-1"/>
    <n v="2"/>
    <n v="0"/>
    <n v="0"/>
    <n v="0"/>
    <n v="0"/>
    <n v="1"/>
    <x v="0"/>
    <m/>
    <n v="1"/>
    <m/>
    <m/>
    <m/>
    <m/>
    <m/>
    <m/>
    <m/>
    <m/>
    <m/>
    <m/>
    <m/>
    <m/>
    <m/>
    <m/>
    <m/>
    <n v="1"/>
    <n v="1"/>
    <n v="1"/>
    <m/>
    <m/>
    <n v="513725"/>
    <n v="170629"/>
    <s v="Teddington and the Hamptons"/>
    <x v="1"/>
    <m/>
    <m/>
    <m/>
    <m/>
    <m/>
    <m/>
    <x v="1"/>
    <m/>
    <m/>
  </r>
  <r>
    <s v="18/3930/FUL"/>
    <n v="158"/>
    <x v="3"/>
    <x v="0"/>
    <d v="2019-10-17T00:00:00"/>
    <d v="2022-10-17T00:00:00"/>
    <d v="2022-09-07T00:00:00"/>
    <m/>
    <x v="1"/>
    <x v="0"/>
    <x v="0"/>
    <s v="Demolition of existing garage and erection of 1No. 2 storey with habitable roofspace 4 bed dwelling with associated hard and soft landscaping. Alterations to existing crossover and creation of a new crossover in front of No.38 Langham Road to facilitate p"/>
    <s v="38 Langham Road, Teddington TW11 9HQ"/>
    <s v="TW11 9HQ"/>
    <m/>
    <m/>
    <m/>
    <m/>
    <m/>
    <m/>
    <m/>
    <m/>
    <n v="0"/>
    <m/>
    <m/>
    <m/>
    <n v="1"/>
    <m/>
    <m/>
    <m/>
    <m/>
    <n v="1"/>
    <n v="0"/>
    <n v="0"/>
    <n v="0"/>
    <n v="1"/>
    <n v="0"/>
    <n v="0"/>
    <n v="0"/>
    <n v="0"/>
    <n v="1"/>
    <x v="0"/>
    <m/>
    <n v="1"/>
    <m/>
    <m/>
    <m/>
    <m/>
    <m/>
    <m/>
    <m/>
    <m/>
    <m/>
    <m/>
    <m/>
    <m/>
    <m/>
    <m/>
    <m/>
    <n v="1"/>
    <n v="1"/>
    <n v="1"/>
    <m/>
    <m/>
    <n v="516550"/>
    <n v="171027"/>
    <s v="Teddington and the Hamptons"/>
    <x v="10"/>
    <m/>
    <m/>
    <m/>
    <m/>
    <m/>
    <m/>
    <x v="1"/>
    <s v="Y"/>
    <m/>
  </r>
  <r>
    <s v="20/3164/OUT"/>
    <n v="159"/>
    <x v="3"/>
    <x v="0"/>
    <d v="2021-05-07T00:00:00"/>
    <d v="2024-05-07T00:00:00"/>
    <d v="2022-10-01T00:00:00"/>
    <m/>
    <x v="1"/>
    <x v="0"/>
    <x v="0"/>
    <s v="Outline application for a single storey 2 bedroomed dwelling to the rear of 2 Sunbury Avenue, associated hard and soft landscaping and off-street parking"/>
    <s v="Land Rear Of, 2 Sunbury Avenue, East Sheen, London"/>
    <s v="SW14"/>
    <m/>
    <m/>
    <m/>
    <m/>
    <m/>
    <m/>
    <m/>
    <m/>
    <n v="0"/>
    <m/>
    <n v="1"/>
    <m/>
    <m/>
    <m/>
    <m/>
    <m/>
    <m/>
    <n v="1"/>
    <n v="0"/>
    <n v="1"/>
    <n v="0"/>
    <n v="0"/>
    <n v="0"/>
    <n v="0"/>
    <n v="0"/>
    <n v="0"/>
    <n v="1"/>
    <x v="0"/>
    <m/>
    <n v="1"/>
    <m/>
    <m/>
    <m/>
    <m/>
    <m/>
    <m/>
    <m/>
    <m/>
    <m/>
    <m/>
    <m/>
    <m/>
    <m/>
    <m/>
    <m/>
    <n v="1"/>
    <n v="1"/>
    <n v="1"/>
    <m/>
    <m/>
    <n v="520935"/>
    <n v="175143"/>
    <s v="Barnes and East Sheen"/>
    <x v="13"/>
    <m/>
    <m/>
    <m/>
    <m/>
    <m/>
    <m/>
    <x v="1"/>
    <s v="Y"/>
    <m/>
  </r>
  <r>
    <s v="21/4278/FUL"/>
    <n v="160"/>
    <x v="2"/>
    <x v="0"/>
    <d v="2022-08-12T00:00:00"/>
    <d v="2025-08-12T00:00:00"/>
    <d v="2022-10-01T00:00:00"/>
    <m/>
    <x v="1"/>
    <x v="0"/>
    <x v="0"/>
    <s v="Conversion of three flats to single dwelling. Proposed single storey rear extension."/>
    <s v="Kingsleigh House, 5 St Albans Gardens, Teddington_x000a__x000a_"/>
    <s v="TW11 8AE"/>
    <m/>
    <m/>
    <n v="3"/>
    <m/>
    <m/>
    <m/>
    <m/>
    <m/>
    <n v="3"/>
    <m/>
    <m/>
    <m/>
    <m/>
    <m/>
    <n v="1"/>
    <m/>
    <m/>
    <n v="1"/>
    <n v="0"/>
    <n v="-3"/>
    <n v="0"/>
    <n v="0"/>
    <n v="0"/>
    <n v="1"/>
    <n v="0"/>
    <n v="0"/>
    <n v="-2"/>
    <x v="0"/>
    <m/>
    <n v="-1"/>
    <n v="-1"/>
    <m/>
    <m/>
    <m/>
    <m/>
    <m/>
    <m/>
    <m/>
    <m/>
    <m/>
    <m/>
    <m/>
    <m/>
    <m/>
    <m/>
    <n v="-2"/>
    <n v="-2"/>
    <n v="-2"/>
    <m/>
    <m/>
    <n v="516423"/>
    <n v="171233"/>
    <s v="Teddington and the Hamptons"/>
    <x v="0"/>
    <m/>
    <m/>
    <m/>
    <m/>
    <m/>
    <s v="CA27 Teddington Lock"/>
    <x v="0"/>
    <s v="Y"/>
    <m/>
  </r>
  <r>
    <s v="22/2230/GPD26"/>
    <n v="161"/>
    <x v="1"/>
    <x v="1"/>
    <d v="2022-09-09T00:00:00"/>
    <d v="2025-09-09T00:00:00"/>
    <d v="2022-10-03T00:00:00"/>
    <m/>
    <x v="1"/>
    <x v="0"/>
    <x v="0"/>
    <s v="The change of use of the ground floor from commercial business and service(Class E) to residential (Class C3) to provide 1 no. 2 bed flat"/>
    <s v="34 Crown Road, Twickenham, TW1 3EH"/>
    <s v="TW1 3EH"/>
    <m/>
    <m/>
    <m/>
    <m/>
    <m/>
    <m/>
    <m/>
    <m/>
    <n v="0"/>
    <m/>
    <n v="1"/>
    <m/>
    <m/>
    <m/>
    <m/>
    <m/>
    <m/>
    <n v="1"/>
    <n v="0"/>
    <n v="1"/>
    <n v="0"/>
    <n v="0"/>
    <n v="0"/>
    <n v="0"/>
    <n v="0"/>
    <n v="0"/>
    <n v="1"/>
    <x v="0"/>
    <m/>
    <n v="0.5"/>
    <n v="0.5"/>
    <m/>
    <m/>
    <m/>
    <m/>
    <m/>
    <m/>
    <m/>
    <m/>
    <m/>
    <m/>
    <m/>
    <m/>
    <m/>
    <m/>
    <n v="1"/>
    <n v="1"/>
    <n v="1"/>
    <m/>
    <m/>
    <n v="516880"/>
    <n v="174106"/>
    <s v="Twickenham"/>
    <x v="17"/>
    <m/>
    <m/>
    <s v="St Margarets"/>
    <s v="Y"/>
    <m/>
    <s v="CA49 Crown Road St Margarets"/>
    <x v="0"/>
    <s v="Y"/>
    <m/>
  </r>
  <r>
    <s v="20/2902/FUL"/>
    <n v="162"/>
    <x v="3"/>
    <x v="0"/>
    <d v="2021-10-28T00:00:00"/>
    <d v="2024-10-28T00:00:00"/>
    <d v="2022-10-21T00:00:00"/>
    <m/>
    <x v="1"/>
    <x v="0"/>
    <x v="0"/>
    <s v="New 2-storey detached house with associated parking to replace existing bungalow. ."/>
    <s v="60A Wensleydale Road, Hampton TW12 2LX"/>
    <s v="TW12 2LX"/>
    <m/>
    <m/>
    <m/>
    <n v="1"/>
    <m/>
    <m/>
    <m/>
    <m/>
    <n v="1"/>
    <m/>
    <m/>
    <m/>
    <m/>
    <n v="1"/>
    <m/>
    <m/>
    <m/>
    <n v="1"/>
    <n v="0"/>
    <n v="0"/>
    <n v="-1"/>
    <n v="0"/>
    <n v="1"/>
    <n v="0"/>
    <n v="0"/>
    <n v="0"/>
    <n v="0"/>
    <x v="0"/>
    <m/>
    <n v="0"/>
    <m/>
    <m/>
    <m/>
    <m/>
    <m/>
    <m/>
    <m/>
    <m/>
    <m/>
    <m/>
    <m/>
    <m/>
    <m/>
    <m/>
    <m/>
    <n v="0"/>
    <n v="0"/>
    <n v="0"/>
    <m/>
    <m/>
    <n v="513562"/>
    <n v="170238"/>
    <s v="Teddington and the Hamptons"/>
    <x v="15"/>
    <m/>
    <m/>
    <m/>
    <m/>
    <m/>
    <m/>
    <x v="1"/>
    <s v="Y"/>
    <m/>
  </r>
  <r>
    <s v="22/1929/GPD26"/>
    <n v="163"/>
    <x v="1"/>
    <x v="1"/>
    <d v="2022-08-22T00:00:00"/>
    <d v="2025-08-22T00:00:00"/>
    <d v="2022-10-26T00:00:00"/>
    <d v="2023-07-05T00:00:00"/>
    <x v="1"/>
    <x v="0"/>
    <x v="0"/>
    <s v="Conversion of ground floor &amp; first floor offices to  x1. 1 bed flat  and x1 . 2 bed flat"/>
    <s v="46 - 48 Heath Road, Twickenham"/>
    <s v="TW1"/>
    <m/>
    <m/>
    <m/>
    <m/>
    <m/>
    <m/>
    <m/>
    <m/>
    <n v="0"/>
    <n v="1"/>
    <n v="1"/>
    <m/>
    <m/>
    <m/>
    <m/>
    <m/>
    <m/>
    <n v="2"/>
    <n v="1"/>
    <n v="1"/>
    <n v="0"/>
    <n v="0"/>
    <n v="0"/>
    <n v="0"/>
    <n v="0"/>
    <n v="0"/>
    <n v="2"/>
    <x v="0"/>
    <m/>
    <n v="2"/>
    <m/>
    <m/>
    <m/>
    <m/>
    <m/>
    <m/>
    <m/>
    <m/>
    <m/>
    <m/>
    <m/>
    <m/>
    <m/>
    <m/>
    <m/>
    <n v="2"/>
    <n v="2"/>
    <n v="2"/>
    <m/>
    <m/>
    <n v="516001"/>
    <n v="173141"/>
    <s v="Twickenham"/>
    <x v="9"/>
    <s v="Twickenham"/>
    <m/>
    <m/>
    <m/>
    <m/>
    <m/>
    <x v="1"/>
    <s v="Y"/>
    <m/>
  </r>
  <r>
    <s v="19/3324/FUL"/>
    <n v="164"/>
    <x v="3"/>
    <x v="0"/>
    <d v="2020-09-30T00:00:00"/>
    <d v="2023-09-30T00:00:00"/>
    <d v="2022-10-31T00:00:00"/>
    <m/>
    <x v="1"/>
    <x v="0"/>
    <x v="0"/>
    <s v="Demolition of 30 garages and erection of 5 x 3 bedroom detached dwellings with associated hard and soft landscaping, parking and cycle and refuse stores"/>
    <s v="Garages And Land Adjacent Railway South Worple Way, East Sheen, London_x000a__x000a_"/>
    <s v="SW14 8"/>
    <m/>
    <m/>
    <m/>
    <m/>
    <m/>
    <m/>
    <m/>
    <m/>
    <n v="0"/>
    <m/>
    <m/>
    <n v="5"/>
    <m/>
    <m/>
    <m/>
    <m/>
    <m/>
    <n v="5"/>
    <n v="0"/>
    <n v="0"/>
    <n v="5"/>
    <n v="0"/>
    <n v="0"/>
    <n v="0"/>
    <n v="0"/>
    <n v="0"/>
    <n v="5"/>
    <x v="0"/>
    <m/>
    <n v="5"/>
    <m/>
    <m/>
    <m/>
    <m/>
    <m/>
    <m/>
    <m/>
    <m/>
    <m/>
    <m/>
    <m/>
    <m/>
    <m/>
    <m/>
    <m/>
    <n v="5"/>
    <n v="5"/>
    <n v="5"/>
    <m/>
    <m/>
    <n v="520616"/>
    <n v="175748"/>
    <s v="Barnes and East Sheen"/>
    <x v="13"/>
    <m/>
    <m/>
    <m/>
    <m/>
    <m/>
    <m/>
    <x v="1"/>
    <s v="Y"/>
    <m/>
  </r>
  <r>
    <s v="19/1728/FUL"/>
    <n v="165"/>
    <x v="2"/>
    <x v="0"/>
    <d v="2020-05-15T00:00:00"/>
    <d v="2023-05-15T00:00:00"/>
    <d v="2022-11-01T00:00:00"/>
    <m/>
    <x v="1"/>
    <x v="0"/>
    <x v="0"/>
    <s v="Conversion and alteration of the existing garage building to provide a one bedroom flat over two levels together with a garden amenity area."/>
    <s v="Manning House, 3 Gloucester Road, Teddington TW11 0NS_x000a_"/>
    <s v="TW11 0NS"/>
    <m/>
    <m/>
    <m/>
    <m/>
    <m/>
    <m/>
    <m/>
    <m/>
    <n v="0"/>
    <n v="1"/>
    <m/>
    <m/>
    <m/>
    <m/>
    <m/>
    <m/>
    <m/>
    <n v="1"/>
    <n v="1"/>
    <n v="0"/>
    <n v="0"/>
    <n v="0"/>
    <n v="0"/>
    <n v="0"/>
    <n v="0"/>
    <n v="0"/>
    <n v="1"/>
    <x v="0"/>
    <m/>
    <n v="0.5"/>
    <n v="0.5"/>
    <m/>
    <m/>
    <m/>
    <m/>
    <m/>
    <m/>
    <m/>
    <m/>
    <m/>
    <m/>
    <m/>
    <m/>
    <m/>
    <m/>
    <n v="1"/>
    <n v="1"/>
    <n v="1"/>
    <m/>
    <m/>
    <n v="515221"/>
    <n v="171318"/>
    <s v="Teddington and the Hamptons"/>
    <x v="14"/>
    <m/>
    <m/>
    <m/>
    <m/>
    <m/>
    <m/>
    <x v="1"/>
    <s v="Y"/>
    <m/>
  </r>
  <r>
    <s v="21/0156/FUL"/>
    <n v="166"/>
    <x v="3"/>
    <x v="0"/>
    <d v="2022-05-30T00:00:00"/>
    <d v="2025-05-30T00:00:00"/>
    <d v="2022-11-01T00:00:00"/>
    <m/>
    <x v="1"/>
    <x v="0"/>
    <x v="0"/>
    <s v="Demolition of the existing structures and the erection on of two buildings, consisting of a retail unit and community centre at ground floor and 15 residential units above, parking and associated hard and soft landscaping"/>
    <s v="Milevale Properties Ltd, 672 Hanworth Road, Whitton, Hounslow TW4 5NP_x000a_"/>
    <s v="TW4 5NP"/>
    <m/>
    <m/>
    <m/>
    <m/>
    <m/>
    <m/>
    <m/>
    <m/>
    <n v="0"/>
    <n v="5"/>
    <n v="9"/>
    <n v="1"/>
    <m/>
    <m/>
    <m/>
    <m/>
    <m/>
    <n v="15"/>
    <n v="5"/>
    <n v="9"/>
    <n v="1"/>
    <n v="0"/>
    <n v="0"/>
    <n v="0"/>
    <n v="0"/>
    <n v="0"/>
    <n v="15"/>
    <x v="0"/>
    <m/>
    <n v="7.5"/>
    <n v="7.5"/>
    <m/>
    <m/>
    <m/>
    <m/>
    <m/>
    <m/>
    <m/>
    <m/>
    <m/>
    <m/>
    <m/>
    <m/>
    <m/>
    <m/>
    <n v="15"/>
    <n v="15"/>
    <n v="15"/>
    <m/>
    <m/>
    <n v="512716"/>
    <n v="173569"/>
    <s v="Whitton"/>
    <x v="16"/>
    <m/>
    <m/>
    <s v="Hanworth Road"/>
    <s v="Y"/>
    <m/>
    <m/>
    <x v="1"/>
    <m/>
    <m/>
  </r>
  <r>
    <s v="21/4401/FUL"/>
    <n v="167"/>
    <x v="4"/>
    <x v="0"/>
    <d v="2022-07-20T00:00:00"/>
    <d v="2025-07-20T00:00:00"/>
    <d v="2022-11-01T00:00:00"/>
    <d v="2023-08-03T00:00:00"/>
    <x v="1"/>
    <x v="0"/>
    <x v="0"/>
    <s v="Second floor rear roof extension and the conversion of the existing dwelling to form three new flats."/>
    <s v="14 Whitton Road, Twickenham, TW1 1BJ"/>
    <s v="TW1 1BJ"/>
    <m/>
    <m/>
    <m/>
    <m/>
    <n v="1"/>
    <m/>
    <m/>
    <m/>
    <n v="1"/>
    <n v="1"/>
    <n v="2"/>
    <m/>
    <m/>
    <m/>
    <m/>
    <m/>
    <m/>
    <n v="3"/>
    <n v="1"/>
    <n v="2"/>
    <n v="0"/>
    <n v="-1"/>
    <n v="0"/>
    <n v="0"/>
    <n v="0"/>
    <n v="0"/>
    <n v="2"/>
    <x v="0"/>
    <m/>
    <n v="2"/>
    <m/>
    <m/>
    <m/>
    <m/>
    <m/>
    <m/>
    <m/>
    <m/>
    <m/>
    <m/>
    <m/>
    <m/>
    <m/>
    <m/>
    <m/>
    <n v="2"/>
    <n v="2"/>
    <n v="2"/>
    <m/>
    <m/>
    <n v="515969"/>
    <n v="173779"/>
    <s v="Twickenham"/>
    <x v="17"/>
    <m/>
    <m/>
    <m/>
    <m/>
    <m/>
    <m/>
    <x v="1"/>
    <s v="Y"/>
    <m/>
  </r>
  <r>
    <s v="22/0523/FUL"/>
    <n v="168"/>
    <x v="3"/>
    <x v="0"/>
    <d v="2022-04-28T00:00:00"/>
    <d v="2025-11-08T00:00:00"/>
    <d v="2022-11-01T00:00:00"/>
    <m/>
    <x v="1"/>
    <x v="0"/>
    <x v="0"/>
    <s v="Erection of a 5-bedroom dwellinghouse with associated outbuilding, parking and landscaping following demolition of the existing bungalow"/>
    <s v="45 Langham Road, Teddington, TW11 9HF"/>
    <s v="TW11 9HF"/>
    <m/>
    <m/>
    <n v="1"/>
    <m/>
    <m/>
    <m/>
    <m/>
    <m/>
    <n v="1"/>
    <m/>
    <m/>
    <m/>
    <m/>
    <n v="1"/>
    <m/>
    <m/>
    <m/>
    <n v="1"/>
    <n v="0"/>
    <n v="-1"/>
    <n v="0"/>
    <n v="0"/>
    <n v="1"/>
    <n v="0"/>
    <n v="0"/>
    <n v="0"/>
    <n v="0"/>
    <x v="0"/>
    <m/>
    <n v="0"/>
    <m/>
    <m/>
    <m/>
    <m/>
    <m/>
    <m/>
    <m/>
    <m/>
    <m/>
    <m/>
    <m/>
    <m/>
    <m/>
    <m/>
    <m/>
    <n v="0"/>
    <n v="0"/>
    <n v="0"/>
    <m/>
    <m/>
    <n v="516605"/>
    <n v="171002"/>
    <s v="Teddington and the Hamptons"/>
    <x v="10"/>
    <m/>
    <m/>
    <m/>
    <m/>
    <m/>
    <m/>
    <x v="1"/>
    <s v="Y"/>
    <m/>
  </r>
  <r>
    <s v="22/0785/FUL"/>
    <n v="169"/>
    <x v="2"/>
    <x v="0"/>
    <d v="2022-09-16T00:00:00"/>
    <d v="2025-09-16T00:00:00"/>
    <d v="2022-11-01T00:00:00"/>
    <m/>
    <x v="1"/>
    <x v="0"/>
    <x v="0"/>
    <s v="Installation of front and rear rooflights to facilitate the conversion of an existing 3 bed maisonette to 2 x self-contained flats (1 x 1 bed and 1 x 2 bed) with associated cycle and waste storage."/>
    <s v="6 Colston Road, East Sheen, London SW14 7PQ_x000a_"/>
    <s v="SW14 7PQ"/>
    <m/>
    <m/>
    <m/>
    <n v="1"/>
    <m/>
    <m/>
    <m/>
    <m/>
    <n v="1"/>
    <n v="1"/>
    <n v="1"/>
    <m/>
    <m/>
    <m/>
    <m/>
    <m/>
    <m/>
    <n v="2"/>
    <n v="1"/>
    <n v="1"/>
    <n v="-1"/>
    <n v="0"/>
    <n v="0"/>
    <n v="0"/>
    <n v="0"/>
    <n v="0"/>
    <n v="1"/>
    <x v="0"/>
    <m/>
    <n v="0.5"/>
    <n v="0.5"/>
    <m/>
    <m/>
    <m/>
    <m/>
    <m/>
    <m/>
    <m/>
    <m/>
    <m/>
    <m/>
    <m/>
    <m/>
    <m/>
    <m/>
    <n v="1"/>
    <n v="1"/>
    <n v="1"/>
    <m/>
    <m/>
    <n v="520450"/>
    <n v="175359"/>
    <s v="Barnes and East Sheen"/>
    <x v="13"/>
    <s v="East Sheen"/>
    <m/>
    <m/>
    <m/>
    <m/>
    <m/>
    <x v="1"/>
    <s v="Y"/>
    <m/>
  </r>
  <r>
    <s v="21/2775/FUL"/>
    <n v="170"/>
    <x v="3"/>
    <x v="0"/>
    <d v="2022-05-20T00:00:00"/>
    <d v="2025-05-20T00:00:00"/>
    <d v="2022-11-02T00:00:00"/>
    <m/>
    <x v="1"/>
    <x v="0"/>
    <x v="0"/>
    <s v="The subdivision of existing plot comprising of the erection of a 2-storey dwelling house as an extension of the existing semi-detached terrace; associated external works to the existing semi-detached building, including changes to the roof form and a sing"/>
    <s v="2 Thompson Avenue, Richmond TW9 4JW_x000a_"/>
    <s v="TW9 4JW"/>
    <m/>
    <m/>
    <m/>
    <m/>
    <m/>
    <m/>
    <m/>
    <m/>
    <n v="0"/>
    <m/>
    <n v="1"/>
    <m/>
    <m/>
    <m/>
    <m/>
    <m/>
    <m/>
    <n v="1"/>
    <n v="0"/>
    <n v="1"/>
    <n v="0"/>
    <n v="0"/>
    <n v="0"/>
    <n v="0"/>
    <n v="0"/>
    <n v="0"/>
    <n v="1"/>
    <x v="0"/>
    <m/>
    <m/>
    <n v="1"/>
    <m/>
    <m/>
    <m/>
    <m/>
    <m/>
    <m/>
    <m/>
    <m/>
    <m/>
    <m/>
    <m/>
    <m/>
    <m/>
    <m/>
    <n v="1"/>
    <n v="1"/>
    <n v="1"/>
    <m/>
    <m/>
    <n v="519398"/>
    <n v="175866"/>
    <s v="Richmond"/>
    <x v="3"/>
    <m/>
    <m/>
    <m/>
    <m/>
    <m/>
    <m/>
    <x v="1"/>
    <s v="Y"/>
    <m/>
  </r>
  <r>
    <s v="22/2177/FUL"/>
    <n v="171"/>
    <x v="2"/>
    <x v="0"/>
    <d v="2022-11-21T00:00:00"/>
    <d v="2024-06-21T00:00:00"/>
    <d v="2022-11-14T00:00:00"/>
    <m/>
    <x v="1"/>
    <x v="0"/>
    <x v="0"/>
    <s v="Part change of use of ground floor from commercial to C3 (residential) use, removal of rear access stairs, relocation of exisitng extraction flue, alterations to fenestration arrangement, two storey rear infill extension, Replacement of Roof with New Flat"/>
    <s v="102 - 104 Kew Road, Richmond TW9 2PQ_x000a_"/>
    <s v="TW9 2PQ"/>
    <m/>
    <m/>
    <m/>
    <n v="2"/>
    <m/>
    <m/>
    <m/>
    <m/>
    <n v="2"/>
    <n v="7"/>
    <m/>
    <m/>
    <m/>
    <m/>
    <m/>
    <m/>
    <m/>
    <n v="7"/>
    <n v="7"/>
    <n v="0"/>
    <n v="-2"/>
    <n v="0"/>
    <n v="0"/>
    <n v="0"/>
    <n v="0"/>
    <n v="0"/>
    <n v="5"/>
    <x v="0"/>
    <m/>
    <n v="2.5"/>
    <n v="2.5"/>
    <m/>
    <m/>
    <m/>
    <m/>
    <m/>
    <m/>
    <m/>
    <m/>
    <m/>
    <m/>
    <m/>
    <m/>
    <m/>
    <m/>
    <n v="5"/>
    <n v="5"/>
    <n v="5"/>
    <m/>
    <m/>
    <n v="518353"/>
    <n v="175510"/>
    <s v="Richmond"/>
    <x v="4"/>
    <m/>
    <m/>
    <s v="Kew Road"/>
    <s v="Y"/>
    <m/>
    <s v="CA36 Kew Foot Road"/>
    <x v="0"/>
    <s v="Y"/>
    <m/>
  </r>
  <r>
    <s v="19/1763/FUL"/>
    <n v="172"/>
    <x v="3"/>
    <x v="0"/>
    <d v="2019-09-23T00:00:00"/>
    <d v="2022-09-23T00:00:00"/>
    <d v="2022-12-22T00:00:00"/>
    <m/>
    <x v="1"/>
    <x v="0"/>
    <x v="0"/>
    <s v="Demolition of existing residential garages and erection of 2x four bed semi-detached houses (Use Class C3), associated amenity space, landscaping, car and cycle parking and refuse storage."/>
    <s v="Garages At Craneford Way, Twickenham_x000a__x000a_"/>
    <s v="TW2 7SQ"/>
    <m/>
    <m/>
    <m/>
    <m/>
    <m/>
    <m/>
    <m/>
    <m/>
    <n v="0"/>
    <m/>
    <m/>
    <m/>
    <n v="2"/>
    <m/>
    <m/>
    <m/>
    <m/>
    <n v="2"/>
    <n v="0"/>
    <n v="0"/>
    <n v="0"/>
    <n v="2"/>
    <n v="0"/>
    <n v="0"/>
    <n v="0"/>
    <n v="0"/>
    <n v="2"/>
    <x v="0"/>
    <m/>
    <m/>
    <n v="2"/>
    <m/>
    <m/>
    <m/>
    <m/>
    <m/>
    <m/>
    <m/>
    <m/>
    <m/>
    <m/>
    <m/>
    <m/>
    <m/>
    <m/>
    <n v="2"/>
    <n v="2"/>
    <n v="2"/>
    <m/>
    <m/>
    <n v="515377"/>
    <n v="173631"/>
    <s v="Twickenham"/>
    <x v="17"/>
    <m/>
    <m/>
    <m/>
    <m/>
    <m/>
    <m/>
    <x v="1"/>
    <s v="Y"/>
    <m/>
  </r>
  <r>
    <s v="22/2628/FUL"/>
    <n v="173"/>
    <x v="2"/>
    <x v="0"/>
    <d v="2022-08-09T00:00:00"/>
    <d v="2025-08-09T00:00:00"/>
    <d v="2023-01-09T00:00:00"/>
    <m/>
    <x v="1"/>
    <x v="0"/>
    <x v="0"/>
    <s v="New single storey side extension, new verandah roof, replacement fenestration to all elevations, new rooflights to existing rear extension, new roof dormers and associated landscaping to facilitate the conversion of existing 2 properties into 1 dwellinghouse. Extension to existing basement, new car stacker.  Installation of 2 x ASHPs, 3 x AC units and associated enclosure in garden."/>
    <s v="174 Kew Road, Kew, Richmond TW9 2AS_x000a_"/>
    <s v="TW9 2AS"/>
    <m/>
    <m/>
    <m/>
    <n v="1"/>
    <m/>
    <n v="1"/>
    <m/>
    <m/>
    <n v="2"/>
    <m/>
    <m/>
    <m/>
    <m/>
    <m/>
    <m/>
    <m/>
    <n v="1"/>
    <n v="1"/>
    <n v="0"/>
    <n v="0"/>
    <n v="-1"/>
    <n v="0"/>
    <n v="-1"/>
    <n v="0"/>
    <n v="0"/>
    <n v="1"/>
    <n v="-1"/>
    <x v="0"/>
    <m/>
    <n v="-0.5"/>
    <n v="-0.5"/>
    <m/>
    <m/>
    <m/>
    <m/>
    <m/>
    <m/>
    <m/>
    <m/>
    <m/>
    <m/>
    <m/>
    <m/>
    <m/>
    <m/>
    <n v="-1"/>
    <n v="-1"/>
    <n v="-1"/>
    <m/>
    <m/>
    <n v="518640"/>
    <n v="175931"/>
    <s v="Richmond"/>
    <x v="4"/>
    <m/>
    <m/>
    <m/>
    <m/>
    <m/>
    <s v="CA55 Kew Road"/>
    <x v="0"/>
    <s v="Y"/>
    <m/>
  </r>
  <r>
    <s v="21/4123/GPD26"/>
    <n v="174"/>
    <x v="1"/>
    <x v="1"/>
    <d v="2022-01-21T00:00:00"/>
    <d v="2025-01-21T00:00:00"/>
    <d v="2023-01-10T00:00:00"/>
    <m/>
    <x v="1"/>
    <x v="0"/>
    <x v="0"/>
    <s v="Change of use and conversion of Unit H from Use Class E office to Use Class C3 dwelling house, with ground level car and cycle parking and refuse storage."/>
    <s v="Unit H, 42 Upper Richmond Road West, East Sheen, London, SW14 8DD"/>
    <s v="SW14 8DD"/>
    <m/>
    <m/>
    <m/>
    <m/>
    <m/>
    <m/>
    <m/>
    <m/>
    <n v="0"/>
    <n v="1"/>
    <m/>
    <m/>
    <m/>
    <m/>
    <m/>
    <m/>
    <m/>
    <n v="1"/>
    <n v="1"/>
    <n v="0"/>
    <n v="0"/>
    <n v="0"/>
    <n v="0"/>
    <n v="0"/>
    <n v="0"/>
    <n v="0"/>
    <n v="1"/>
    <x v="0"/>
    <m/>
    <n v="0.5"/>
    <n v="0.5"/>
    <m/>
    <m/>
    <m/>
    <m/>
    <m/>
    <m/>
    <m/>
    <m/>
    <m/>
    <m/>
    <m/>
    <m/>
    <m/>
    <m/>
    <n v="1"/>
    <n v="1"/>
    <n v="1"/>
    <m/>
    <m/>
    <n v="521328"/>
    <n v="175496"/>
    <s v="Barnes and East Sheen"/>
    <x v="8"/>
    <m/>
    <m/>
    <m/>
    <m/>
    <m/>
    <m/>
    <x v="1"/>
    <s v="Y"/>
    <m/>
  </r>
  <r>
    <s v="22/0304/GPD26"/>
    <n v="175"/>
    <x v="1"/>
    <x v="1"/>
    <d v="2022-03-24T00:00:00"/>
    <d v="2025-03-24T00:00:00"/>
    <d v="2023-01-10T00:00:00"/>
    <m/>
    <x v="1"/>
    <x v="0"/>
    <x v="0"/>
    <s v="Change of use from class E office to single dwellinghouse, with ground level car and cycle parking and refuse storage."/>
    <s v="Unit J1 And J2, 42 Upper Richmond Road West, East Sheen, London, SW14 8DD"/>
    <s v="SW14 8DD"/>
    <m/>
    <m/>
    <m/>
    <m/>
    <m/>
    <m/>
    <m/>
    <m/>
    <n v="0"/>
    <m/>
    <n v="1"/>
    <m/>
    <m/>
    <m/>
    <m/>
    <m/>
    <m/>
    <n v="1"/>
    <n v="0"/>
    <n v="1"/>
    <n v="0"/>
    <n v="0"/>
    <n v="0"/>
    <n v="0"/>
    <n v="0"/>
    <n v="0"/>
    <n v="1"/>
    <x v="0"/>
    <m/>
    <n v="0.5"/>
    <n v="0.5"/>
    <m/>
    <m/>
    <m/>
    <m/>
    <m/>
    <m/>
    <m/>
    <m/>
    <m/>
    <m/>
    <m/>
    <m/>
    <m/>
    <m/>
    <n v="1"/>
    <n v="1"/>
    <n v="1"/>
    <m/>
    <m/>
    <n v="521328"/>
    <n v="175496"/>
    <s v="Barnes and East Sheen"/>
    <x v="8"/>
    <m/>
    <m/>
    <m/>
    <m/>
    <m/>
    <m/>
    <x v="1"/>
    <s v="Y"/>
    <m/>
  </r>
  <r>
    <s v="22/2110/GPD26"/>
    <n v="176"/>
    <x v="1"/>
    <x v="1"/>
    <d v="2022-08-19T00:00:00"/>
    <d v="2025-08-19T00:00:00"/>
    <d v="2023-01-16T00:00:00"/>
    <m/>
    <x v="1"/>
    <x v="0"/>
    <x v="0"/>
    <s v="Conversion of 3 Friars Lane and part of ground floor of 4 Friars Lane from Class E to C3 dwellinghouses - provision of 3no. flats. _x000d_"/>
    <s v="3 And 4 Friars Lane, Richmond_x000a__x000a_"/>
    <s v="TW9 1NL"/>
    <m/>
    <m/>
    <m/>
    <m/>
    <m/>
    <m/>
    <m/>
    <m/>
    <n v="0"/>
    <n v="3"/>
    <m/>
    <m/>
    <m/>
    <m/>
    <m/>
    <m/>
    <m/>
    <n v="3"/>
    <n v="3"/>
    <n v="0"/>
    <n v="0"/>
    <n v="0"/>
    <n v="0"/>
    <n v="0"/>
    <n v="0"/>
    <n v="0"/>
    <n v="3"/>
    <x v="0"/>
    <m/>
    <n v="1.5"/>
    <n v="1.5"/>
    <m/>
    <m/>
    <m/>
    <m/>
    <m/>
    <m/>
    <m/>
    <m/>
    <m/>
    <m/>
    <m/>
    <m/>
    <m/>
    <m/>
    <n v="3"/>
    <n v="3"/>
    <n v="3"/>
    <m/>
    <m/>
    <n v="517627"/>
    <n v="174827"/>
    <s v="Richmond"/>
    <x v="6"/>
    <m/>
    <m/>
    <m/>
    <m/>
    <m/>
    <s v="CA3 Richmond Green"/>
    <x v="0"/>
    <s v="Y"/>
    <m/>
  </r>
  <r>
    <s v="22/2111/GPD26"/>
    <n v="177"/>
    <x v="1"/>
    <x v="1"/>
    <d v="2022-08-23T00:00:00"/>
    <d v="2025-08-23T00:00:00"/>
    <d v="2023-01-16T00:00:00"/>
    <d v="2023-06-22T00:00:00"/>
    <x v="1"/>
    <x v="0"/>
    <x v="0"/>
    <s v="Conversion of part of ground floor of 4 Friars Lane to provide 1no. 1 bedroom flat._x000d_"/>
    <s v="4 Friars Lane, Richmond, TW9 1NL_x000a_"/>
    <s v="TW9 1NL"/>
    <m/>
    <m/>
    <m/>
    <m/>
    <m/>
    <m/>
    <m/>
    <m/>
    <n v="0"/>
    <n v="1"/>
    <m/>
    <m/>
    <m/>
    <m/>
    <m/>
    <m/>
    <m/>
    <n v="1"/>
    <n v="1"/>
    <n v="0"/>
    <n v="0"/>
    <n v="0"/>
    <n v="0"/>
    <n v="0"/>
    <n v="0"/>
    <n v="0"/>
    <n v="1"/>
    <x v="0"/>
    <m/>
    <n v="1"/>
    <m/>
    <m/>
    <m/>
    <m/>
    <m/>
    <m/>
    <m/>
    <m/>
    <m/>
    <m/>
    <m/>
    <m/>
    <m/>
    <m/>
    <m/>
    <n v="1"/>
    <n v="1"/>
    <n v="1"/>
    <m/>
    <m/>
    <n v="517621"/>
    <n v="174819"/>
    <s v="Richmond"/>
    <x v="6"/>
    <m/>
    <m/>
    <m/>
    <m/>
    <m/>
    <s v="CA3 Richmond Green"/>
    <x v="0"/>
    <s v="Y"/>
    <m/>
  </r>
  <r>
    <s v="22/2337/GPD26"/>
    <n v="178"/>
    <x v="2"/>
    <x v="1"/>
    <d v="2022-09-16T00:00:00"/>
    <d v="2025-09-16T00:00:00"/>
    <d v="2023-01-16T00:00:00"/>
    <m/>
    <x v="1"/>
    <x v="0"/>
    <x v="0"/>
    <s v="Conversion of 3 Friars Lane to provide 2no. flats"/>
    <s v="3 Friars Lane, Richmond TW9 1NL_x000a_"/>
    <s v="TW9 1NL"/>
    <m/>
    <m/>
    <m/>
    <m/>
    <m/>
    <m/>
    <m/>
    <m/>
    <n v="0"/>
    <n v="2"/>
    <m/>
    <m/>
    <m/>
    <m/>
    <m/>
    <m/>
    <m/>
    <n v="2"/>
    <n v="2"/>
    <n v="0"/>
    <n v="0"/>
    <n v="0"/>
    <n v="0"/>
    <n v="0"/>
    <n v="0"/>
    <n v="0"/>
    <n v="2"/>
    <x v="0"/>
    <m/>
    <n v="1"/>
    <n v="1"/>
    <m/>
    <m/>
    <m/>
    <m/>
    <m/>
    <m/>
    <m/>
    <m/>
    <m/>
    <m/>
    <m/>
    <m/>
    <m/>
    <m/>
    <n v="2"/>
    <n v="2"/>
    <n v="2"/>
    <m/>
    <m/>
    <n v="517628"/>
    <n v="174828"/>
    <s v="Richmond"/>
    <x v="6"/>
    <m/>
    <m/>
    <m/>
    <m/>
    <m/>
    <s v="CA3 Richmond Green"/>
    <x v="0"/>
    <s v="Y"/>
    <m/>
  </r>
  <r>
    <s v="22/2338/GPD26"/>
    <n v="179"/>
    <x v="1"/>
    <x v="1"/>
    <d v="2022-09-16T00:00:00"/>
    <d v="2025-09-16T00:00:00"/>
    <d v="2023-01-16T00:00:00"/>
    <m/>
    <x v="1"/>
    <x v="0"/>
    <x v="0"/>
    <s v="Conversion of part of 4 Friars Lane to provide 1no. flat_x000d_"/>
    <s v="4 Friars Lane, Richmond, TW9 1NL_x000a_"/>
    <s v="TW9 1NL"/>
    <m/>
    <m/>
    <m/>
    <m/>
    <m/>
    <m/>
    <m/>
    <m/>
    <n v="0"/>
    <n v="1"/>
    <m/>
    <m/>
    <m/>
    <m/>
    <m/>
    <m/>
    <m/>
    <n v="1"/>
    <n v="1"/>
    <n v="0"/>
    <n v="0"/>
    <n v="0"/>
    <n v="0"/>
    <n v="0"/>
    <n v="0"/>
    <n v="0"/>
    <n v="1"/>
    <x v="0"/>
    <m/>
    <n v="1"/>
    <m/>
    <m/>
    <m/>
    <m/>
    <m/>
    <m/>
    <m/>
    <m/>
    <m/>
    <m/>
    <m/>
    <m/>
    <m/>
    <m/>
    <m/>
    <n v="1"/>
    <n v="1"/>
    <n v="1"/>
    <m/>
    <m/>
    <n v="517621"/>
    <n v="174819"/>
    <s v="Richmond"/>
    <x v="6"/>
    <m/>
    <m/>
    <m/>
    <m/>
    <m/>
    <s v="CA3 Richmond Green"/>
    <x v="0"/>
    <s v="Y"/>
    <m/>
  </r>
  <r>
    <s v="22/3002/GPD26"/>
    <n v="180"/>
    <x v="1"/>
    <x v="1"/>
    <d v="2022-11-28T00:00:00"/>
    <d v="2025-11-20T00:00:00"/>
    <d v="2023-01-16T00:00:00"/>
    <m/>
    <x v="1"/>
    <x v="0"/>
    <x v="0"/>
    <s v="Conversion of offices on ground floor (Class E Use) to 1no. residential dwelling (Class C3 Use)"/>
    <s v="Friars Way, The Green, Richmond, TW9 1NQ"/>
    <s v="TW9 1NQ"/>
    <m/>
    <m/>
    <m/>
    <m/>
    <m/>
    <m/>
    <m/>
    <m/>
    <n v="0"/>
    <n v="1"/>
    <m/>
    <m/>
    <m/>
    <m/>
    <m/>
    <m/>
    <m/>
    <n v="1"/>
    <n v="1"/>
    <n v="0"/>
    <n v="0"/>
    <n v="0"/>
    <n v="0"/>
    <n v="0"/>
    <n v="0"/>
    <n v="0"/>
    <n v="1"/>
    <x v="0"/>
    <m/>
    <n v="0.5"/>
    <n v="0.5"/>
    <m/>
    <m/>
    <m/>
    <m/>
    <m/>
    <m/>
    <m/>
    <m/>
    <m/>
    <m/>
    <m/>
    <m/>
    <m/>
    <m/>
    <n v="1"/>
    <n v="1"/>
    <n v="1"/>
    <m/>
    <m/>
    <n v="517638"/>
    <n v="174846"/>
    <s v="Richmond"/>
    <x v="6"/>
    <m/>
    <m/>
    <m/>
    <m/>
    <m/>
    <s v="CA3 Richmond Green"/>
    <x v="0"/>
    <s v="Y"/>
    <m/>
  </r>
  <r>
    <s v="22/3626/GPD26"/>
    <n v="181"/>
    <x v="1"/>
    <x v="1"/>
    <d v="2023-01-26T00:00:00"/>
    <d v="2026-01-26T00:00:00"/>
    <d v="2023-01-16T00:00:00"/>
    <m/>
    <x v="1"/>
    <x v="0"/>
    <x v="0"/>
    <s v="Conversion of first and second floor office accommodation to provide 2no. flats"/>
    <s v="2 Friars Lane, Richmond TW9 1NL_x000a_"/>
    <s v="TW9 1NL"/>
    <m/>
    <m/>
    <m/>
    <m/>
    <m/>
    <m/>
    <m/>
    <m/>
    <n v="0"/>
    <n v="2"/>
    <m/>
    <m/>
    <m/>
    <m/>
    <m/>
    <m/>
    <m/>
    <n v="2"/>
    <n v="2"/>
    <n v="0"/>
    <n v="0"/>
    <n v="0"/>
    <n v="0"/>
    <n v="0"/>
    <n v="0"/>
    <n v="0"/>
    <n v="2"/>
    <x v="0"/>
    <m/>
    <n v="1"/>
    <n v="1"/>
    <m/>
    <m/>
    <m/>
    <m/>
    <m/>
    <m/>
    <m/>
    <m/>
    <m/>
    <m/>
    <m/>
    <m/>
    <m/>
    <m/>
    <n v="2"/>
    <n v="2"/>
    <n v="2"/>
    <m/>
    <m/>
    <n v="517631"/>
    <n v="174833"/>
    <s v="Richmond"/>
    <x v="6"/>
    <m/>
    <m/>
    <m/>
    <m/>
    <m/>
    <s v="CA3 Richmond Green"/>
    <x v="0"/>
    <s v="Y"/>
    <m/>
  </r>
  <r>
    <s v="22/1512/GPD26"/>
    <n v="182"/>
    <x v="1"/>
    <x v="1"/>
    <d v="2022-07-01T00:00:00"/>
    <d v="2025-07-01T00:00:00"/>
    <d v="2023-01-30T00:00:00"/>
    <m/>
    <x v="1"/>
    <x v="0"/>
    <x v="0"/>
    <s v="Conversion of the rear of the existing shop from Class E(a) to one self-contained flat (Class C3 Use)"/>
    <s v="408 Richmond Road, Twickenham, TW1 2EB"/>
    <s v="TW1 2EB"/>
    <m/>
    <m/>
    <m/>
    <m/>
    <m/>
    <m/>
    <m/>
    <m/>
    <n v="0"/>
    <n v="1"/>
    <m/>
    <m/>
    <m/>
    <m/>
    <m/>
    <m/>
    <m/>
    <n v="1"/>
    <n v="1"/>
    <n v="0"/>
    <n v="0"/>
    <n v="0"/>
    <n v="0"/>
    <n v="0"/>
    <n v="0"/>
    <n v="0"/>
    <n v="1"/>
    <x v="0"/>
    <m/>
    <n v="0.5"/>
    <n v="0.5"/>
    <m/>
    <m/>
    <m/>
    <m/>
    <m/>
    <m/>
    <m/>
    <m/>
    <m/>
    <m/>
    <m/>
    <m/>
    <m/>
    <m/>
    <n v="1"/>
    <n v="1"/>
    <n v="1"/>
    <m/>
    <m/>
    <n v="517582"/>
    <n v="174357"/>
    <s v="Twickenham"/>
    <x v="9"/>
    <m/>
    <m/>
    <s v="East Twickenham"/>
    <s v="Y"/>
    <m/>
    <s v="CA66 Richmond Road East Twickenham"/>
    <x v="0"/>
    <s v="Y"/>
    <m/>
  </r>
  <r>
    <s v="19/0911/FUL"/>
    <n v="183"/>
    <x v="4"/>
    <x v="0"/>
    <d v="2020-02-05T00:00:00"/>
    <d v="2023-02-05T00:00:00"/>
    <d v="2023-02-03T00:00:00"/>
    <m/>
    <x v="1"/>
    <x v="0"/>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n v="2"/>
    <m/>
    <m/>
    <m/>
    <m/>
    <m/>
    <m/>
    <n v="2"/>
    <n v="0"/>
    <n v="2"/>
    <n v="0"/>
    <n v="0"/>
    <n v="0"/>
    <n v="0"/>
    <n v="0"/>
    <n v="0"/>
    <n v="2"/>
    <x v="0"/>
    <m/>
    <n v="1"/>
    <n v="1"/>
    <m/>
    <m/>
    <m/>
    <m/>
    <m/>
    <m/>
    <m/>
    <m/>
    <m/>
    <m/>
    <m/>
    <m/>
    <m/>
    <m/>
    <n v="2"/>
    <n v="2"/>
    <n v="2"/>
    <m/>
    <m/>
    <n v="517543"/>
    <n v="169767"/>
    <s v="Teddington and the Hamptons"/>
    <x v="10"/>
    <m/>
    <m/>
    <m/>
    <m/>
    <m/>
    <m/>
    <x v="1"/>
    <s v="Y"/>
    <m/>
  </r>
  <r>
    <s v="22/0754/FUL"/>
    <n v="184"/>
    <x v="3"/>
    <x v="0"/>
    <d v="2022-08-26T00:00:00"/>
    <d v="2025-08-26T00:00:00"/>
    <d v="2023-02-24T00:00:00"/>
    <m/>
    <x v="1"/>
    <x v="0"/>
    <x v="0"/>
    <s v="Demolition and reconstruction of a terraced property with basement, ground and loft extensions."/>
    <s v="28 Westfields Avenue, Barnes, London SW13 0AU_x000a_"/>
    <m/>
    <m/>
    <m/>
    <m/>
    <n v="1"/>
    <m/>
    <m/>
    <m/>
    <m/>
    <n v="1"/>
    <m/>
    <m/>
    <n v="1"/>
    <m/>
    <m/>
    <m/>
    <m/>
    <m/>
    <n v="1"/>
    <n v="0"/>
    <n v="0"/>
    <n v="0"/>
    <n v="0"/>
    <n v="0"/>
    <n v="0"/>
    <n v="0"/>
    <n v="0"/>
    <n v="0"/>
    <x v="0"/>
    <m/>
    <n v="0"/>
    <m/>
    <m/>
    <m/>
    <m/>
    <m/>
    <m/>
    <m/>
    <m/>
    <m/>
    <m/>
    <m/>
    <m/>
    <m/>
    <m/>
    <m/>
    <n v="0"/>
    <n v="0"/>
    <n v="0"/>
    <m/>
    <m/>
    <n v="521430"/>
    <n v="175853"/>
    <s v="Barnes and East Sheen"/>
    <x v="8"/>
    <m/>
    <m/>
    <m/>
    <m/>
    <m/>
    <s v="CA16 Thorne Passage Mortlake"/>
    <x v="0"/>
    <s v="Y"/>
    <m/>
  </r>
  <r>
    <s v="19/2471/FUL"/>
    <n v="185"/>
    <x v="4"/>
    <x v="0"/>
    <d v="2020-05-06T00:00:00"/>
    <d v="2023-05-06T00:00:00"/>
    <d v="2023-03-01T00:00:00"/>
    <m/>
    <x v="1"/>
    <x v="0"/>
    <x v="0"/>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_x000a_"/>
    <s v="TW2 7LG"/>
    <m/>
    <m/>
    <m/>
    <m/>
    <m/>
    <m/>
    <m/>
    <m/>
    <n v="0"/>
    <n v="2"/>
    <m/>
    <m/>
    <m/>
    <m/>
    <m/>
    <m/>
    <m/>
    <n v="2"/>
    <n v="2"/>
    <n v="0"/>
    <n v="0"/>
    <n v="0"/>
    <n v="0"/>
    <n v="0"/>
    <n v="0"/>
    <n v="0"/>
    <n v="2"/>
    <x v="0"/>
    <m/>
    <n v="1"/>
    <n v="1"/>
    <m/>
    <m/>
    <m/>
    <m/>
    <m/>
    <m/>
    <m/>
    <m/>
    <m/>
    <m/>
    <m/>
    <m/>
    <m/>
    <m/>
    <n v="2"/>
    <n v="2"/>
    <n v="2"/>
    <m/>
    <m/>
    <n v="514218"/>
    <n v="173596"/>
    <s v="Whitton"/>
    <x v="12"/>
    <s v="Whitton"/>
    <m/>
    <m/>
    <m/>
    <m/>
    <m/>
    <x v="1"/>
    <s v="Y"/>
    <m/>
  </r>
  <r>
    <s v="21/3820/FUL"/>
    <n v="186"/>
    <x v="1"/>
    <x v="0"/>
    <d v="2022-05-20T00:00:00"/>
    <d v="2025-05-20T00:00:00"/>
    <d v="2023-03-01T00:00:00"/>
    <m/>
    <x v="1"/>
    <x v="0"/>
    <x v="0"/>
    <s v="Single storey rear extension, with a change of use of part of a derelict retail unit and residential unit to a one bedroom flat and the erection of an overhead shutter door to the rear yard."/>
    <s v="95 Stanley Road, Teddington, TW11 8UB_x000a_"/>
    <s v="TW11 8UB"/>
    <m/>
    <m/>
    <m/>
    <m/>
    <m/>
    <m/>
    <m/>
    <m/>
    <n v="0"/>
    <n v="1"/>
    <m/>
    <m/>
    <m/>
    <m/>
    <m/>
    <m/>
    <m/>
    <n v="1"/>
    <n v="1"/>
    <n v="0"/>
    <n v="0"/>
    <n v="0"/>
    <n v="0"/>
    <n v="0"/>
    <n v="0"/>
    <n v="0"/>
    <n v="1"/>
    <x v="0"/>
    <m/>
    <n v="0.5"/>
    <n v="0.5"/>
    <m/>
    <m/>
    <m/>
    <m/>
    <m/>
    <m/>
    <m/>
    <m/>
    <m/>
    <m/>
    <m/>
    <m/>
    <m/>
    <m/>
    <n v="1"/>
    <n v="1"/>
    <n v="1"/>
    <m/>
    <m/>
    <n v="515093"/>
    <n v="171528"/>
    <s v="Teddington and the Hamptons"/>
    <x v="14"/>
    <m/>
    <m/>
    <s v="Stanley Road, Teddington"/>
    <s v="Y"/>
    <m/>
    <m/>
    <x v="1"/>
    <s v="Y"/>
    <m/>
  </r>
  <r>
    <s v="21/4119/FUL"/>
    <n v="187"/>
    <x v="3"/>
    <x v="0"/>
    <d v="2022-08-05T00:00:00"/>
    <d v="2025-08-05T00:00:00"/>
    <d v="2023-03-01T00:00:00"/>
    <m/>
    <x v="1"/>
    <x v="0"/>
    <x v="0"/>
    <s v="Construction of new detached family home following demolition of existing detached bungalow."/>
    <s v="92 Sandy Lane, Teddington, TW11 0DF"/>
    <s v="TW11 0DF"/>
    <m/>
    <m/>
    <m/>
    <n v="1"/>
    <m/>
    <m/>
    <m/>
    <m/>
    <n v="1"/>
    <m/>
    <m/>
    <m/>
    <n v="1"/>
    <m/>
    <m/>
    <m/>
    <m/>
    <n v="1"/>
    <n v="0"/>
    <n v="0"/>
    <n v="-1"/>
    <n v="1"/>
    <n v="0"/>
    <n v="0"/>
    <n v="0"/>
    <n v="0"/>
    <n v="0"/>
    <x v="0"/>
    <m/>
    <n v="0"/>
    <m/>
    <m/>
    <m/>
    <m/>
    <m/>
    <m/>
    <m/>
    <m/>
    <m/>
    <m/>
    <m/>
    <m/>
    <m/>
    <m/>
    <m/>
    <n v="0"/>
    <n v="0"/>
    <n v="0"/>
    <m/>
    <m/>
    <n v="516237"/>
    <n v="170397"/>
    <s v="Teddington and the Hamptons"/>
    <x v="0"/>
    <m/>
    <m/>
    <m/>
    <m/>
    <m/>
    <m/>
    <x v="1"/>
    <s v="Y"/>
    <m/>
  </r>
  <r>
    <s v="22/2043/FUL"/>
    <n v="188"/>
    <x v="2"/>
    <x v="0"/>
    <d v="2023-02-16T00:00:00"/>
    <d v="2026-02-16T00:00:00"/>
    <d v="2023-03-01T00:00:00"/>
    <m/>
    <x v="1"/>
    <x v="0"/>
    <x v="0"/>
    <s v="Replacement railing to rear and conversion into one dwellinghouse. Installation of ac unit."/>
    <s v="Ryan House, Cross Deep, Twickenham TW1 4QJ_x000a_"/>
    <s v="TW1 4QJ"/>
    <m/>
    <n v="1"/>
    <m/>
    <m/>
    <m/>
    <n v="1"/>
    <m/>
    <m/>
    <n v="2"/>
    <m/>
    <m/>
    <m/>
    <m/>
    <n v="1"/>
    <m/>
    <m/>
    <m/>
    <n v="1"/>
    <n v="-1"/>
    <n v="0"/>
    <n v="0"/>
    <n v="0"/>
    <n v="0"/>
    <n v="0"/>
    <n v="0"/>
    <n v="0"/>
    <n v="-1"/>
    <x v="0"/>
    <m/>
    <n v="-0.5"/>
    <n v="-0.5"/>
    <m/>
    <m/>
    <m/>
    <m/>
    <m/>
    <m/>
    <m/>
    <m/>
    <m/>
    <m/>
    <m/>
    <m/>
    <m/>
    <m/>
    <n v="-1"/>
    <n v="-1"/>
    <n v="-1"/>
    <m/>
    <m/>
    <n v="516027"/>
    <n v="172735"/>
    <s v="Twickenham"/>
    <x v="9"/>
    <m/>
    <m/>
    <m/>
    <m/>
    <s v="Radnor Gardens"/>
    <s v="CA8 Twickenham Riverside"/>
    <x v="0"/>
    <s v="Y"/>
    <m/>
  </r>
  <r>
    <s v="20/0990/FUL"/>
    <n v="189"/>
    <x v="3"/>
    <x v="0"/>
    <d v="2020-09-30T00:00:00"/>
    <d v="2023-09-30T00:00:00"/>
    <d v="2023-03-06T00:00:00"/>
    <m/>
    <x v="1"/>
    <x v="0"/>
    <x v="0"/>
    <s v="Demolition of existing garage and the erection of a single storey studio dwelling unit with associated hard and soft landscaping, refuse and cycle stores and boundary treatment."/>
    <s v="Land Rear Of 40 Pagoda Avenue, Richmond TW9 2HF"/>
    <s v="TW9 2HF"/>
    <m/>
    <m/>
    <m/>
    <m/>
    <m/>
    <m/>
    <m/>
    <m/>
    <n v="0"/>
    <n v="1"/>
    <m/>
    <m/>
    <m/>
    <m/>
    <m/>
    <m/>
    <m/>
    <n v="1"/>
    <n v="1"/>
    <n v="0"/>
    <n v="0"/>
    <n v="0"/>
    <n v="0"/>
    <n v="0"/>
    <n v="0"/>
    <n v="0"/>
    <n v="1"/>
    <x v="0"/>
    <m/>
    <n v="0.5"/>
    <n v="0.5"/>
    <m/>
    <m/>
    <m/>
    <m/>
    <m/>
    <m/>
    <m/>
    <m/>
    <m/>
    <m/>
    <m/>
    <m/>
    <m/>
    <m/>
    <n v="1"/>
    <n v="1"/>
    <n v="1"/>
    <m/>
    <m/>
    <n v="518657"/>
    <n v="175579"/>
    <s v="Richmond"/>
    <x v="4"/>
    <m/>
    <m/>
    <m/>
    <m/>
    <m/>
    <m/>
    <x v="1"/>
    <s v="Y"/>
    <m/>
  </r>
  <r>
    <s v="19/0391/FUL"/>
    <n v="190"/>
    <x v="3"/>
    <x v="0"/>
    <d v="2020-02-20T00:00:00"/>
    <d v="2023-02-20T00:00:00"/>
    <d v="2023-03-08T00:00:00"/>
    <m/>
    <x v="1"/>
    <x v="0"/>
    <x v="0"/>
    <s v="Demolition all buildings on site and the erection of a three-storey building and a part one, two-storey building comprising (3 x 1 bedroom and 4 x 2 bedroom) flats and approximately 805 sqm of flexible B1/D1 and flexible B1/D2 commercial floorspace, surfa"/>
    <s v="26-28 Priests Bridge, East Sheen, London SW14 8TA"/>
    <s v="SW14 8TA"/>
    <m/>
    <m/>
    <m/>
    <m/>
    <m/>
    <m/>
    <m/>
    <m/>
    <n v="0"/>
    <n v="3"/>
    <n v="4"/>
    <m/>
    <m/>
    <m/>
    <m/>
    <m/>
    <m/>
    <n v="7"/>
    <n v="3"/>
    <n v="4"/>
    <n v="0"/>
    <n v="0"/>
    <n v="0"/>
    <n v="0"/>
    <n v="0"/>
    <n v="0"/>
    <n v="7"/>
    <x v="0"/>
    <m/>
    <m/>
    <n v="3.5"/>
    <n v="3.5"/>
    <m/>
    <m/>
    <m/>
    <m/>
    <m/>
    <m/>
    <m/>
    <m/>
    <m/>
    <m/>
    <m/>
    <m/>
    <m/>
    <n v="7"/>
    <n v="7"/>
    <n v="7"/>
    <m/>
    <m/>
    <n v="521492"/>
    <n v="175545"/>
    <s v="Barnes and East Sheen"/>
    <x v="8"/>
    <m/>
    <m/>
    <s v="Priests Bridge, Barnes"/>
    <s v="Y"/>
    <m/>
    <m/>
    <x v="1"/>
    <s v="Y"/>
    <m/>
  </r>
  <r>
    <s v="20/0539/FUL"/>
    <n v="191"/>
    <x v="3"/>
    <x v="0"/>
    <d v="2022-04-04T00:00:00"/>
    <d v="2025-04-04T00:00:00"/>
    <d v="2023-03-10T00:00:00"/>
    <m/>
    <x v="1"/>
    <x v="5"/>
    <x v="0"/>
    <s v="Demolition of all existing buildings; erection of two 3-storey buildings comprising 30 residential dwellings in total (6 x1 bedroom, 17 x 2 bedroom &amp; 7 x 3 bedroom); erection of single storey nursery building (294 sqm in total) alterations to existing acc"/>
    <s v="The Strathmore Centre, Strathmore Road, Teddington TW11 8UH_x000a_"/>
    <s v="TW11 8UH"/>
    <s v="Block A"/>
    <m/>
    <m/>
    <m/>
    <m/>
    <m/>
    <m/>
    <m/>
    <n v="0"/>
    <n v="2"/>
    <n v="4"/>
    <m/>
    <m/>
    <m/>
    <m/>
    <m/>
    <m/>
    <n v="6"/>
    <n v="2"/>
    <n v="4"/>
    <n v="0"/>
    <n v="0"/>
    <n v="0"/>
    <n v="0"/>
    <n v="0"/>
    <n v="0"/>
    <n v="6"/>
    <x v="0"/>
    <m/>
    <m/>
    <n v="6"/>
    <m/>
    <m/>
    <m/>
    <m/>
    <m/>
    <m/>
    <m/>
    <m/>
    <m/>
    <m/>
    <m/>
    <m/>
    <m/>
    <m/>
    <n v="6"/>
    <n v="6"/>
    <n v="6"/>
    <m/>
    <m/>
    <n v="515141"/>
    <n v="171791"/>
    <s v="Teddington and the Hamptons"/>
    <x v="14"/>
    <m/>
    <m/>
    <m/>
    <m/>
    <m/>
    <m/>
    <x v="1"/>
    <s v="Y"/>
    <m/>
  </r>
  <r>
    <s v="20/0539/FUL"/>
    <n v="192"/>
    <x v="3"/>
    <x v="0"/>
    <d v="2022-04-04T00:00:00"/>
    <d v="2025-04-04T00:00:00"/>
    <d v="2023-03-10T00:00:00"/>
    <m/>
    <x v="1"/>
    <x v="1"/>
    <x v="0"/>
    <s v="Demolition of all existing buildings; erection of two 3-storey buildings comprising 30 residential dwellings in total (6 x1 bedroom, 17 x 2 bedroom &amp; 7 x 3 bedroom); erection of single storey nursery building (294 sqm in total) alterations to existing acc"/>
    <s v="The Strathmore Centre, Strathmore Road, Teddington TW11 8UH_x000a_"/>
    <s v="TW11 8UH"/>
    <s v="Block B"/>
    <m/>
    <m/>
    <m/>
    <m/>
    <m/>
    <m/>
    <m/>
    <n v="0"/>
    <n v="4"/>
    <n v="13"/>
    <n v="7"/>
    <m/>
    <m/>
    <m/>
    <m/>
    <m/>
    <n v="24"/>
    <n v="4"/>
    <n v="13"/>
    <n v="7"/>
    <n v="0"/>
    <n v="0"/>
    <n v="0"/>
    <n v="0"/>
    <n v="0"/>
    <n v="24"/>
    <x v="1"/>
    <m/>
    <m/>
    <n v="24"/>
    <m/>
    <m/>
    <m/>
    <m/>
    <m/>
    <m/>
    <m/>
    <m/>
    <m/>
    <m/>
    <m/>
    <m/>
    <m/>
    <m/>
    <n v="24"/>
    <n v="24"/>
    <n v="24"/>
    <m/>
    <m/>
    <n v="515141"/>
    <n v="171791"/>
    <s v="Teddington and the Hamptons"/>
    <x v="14"/>
    <m/>
    <m/>
    <m/>
    <m/>
    <m/>
    <m/>
    <x v="1"/>
    <s v="Y"/>
    <m/>
  </r>
  <r>
    <s v="17/4005/FUL"/>
    <n v="193"/>
    <x v="0"/>
    <x v="0"/>
    <d v="2020-03-05T00:00:00"/>
    <d v="2023-03-05T00:00:00"/>
    <d v="2023-03-31T00:00:00"/>
    <m/>
    <x v="1"/>
    <x v="0"/>
    <x v="0"/>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m/>
    <n v="1"/>
    <m/>
    <m/>
    <m/>
    <m/>
    <m/>
    <m/>
    <n v="1"/>
    <n v="2"/>
    <m/>
    <m/>
    <m/>
    <m/>
    <m/>
    <m/>
    <m/>
    <n v="2"/>
    <n v="1"/>
    <n v="0"/>
    <n v="0"/>
    <n v="0"/>
    <n v="0"/>
    <n v="0"/>
    <n v="0"/>
    <n v="0"/>
    <n v="1"/>
    <x v="0"/>
    <m/>
    <n v="0.5"/>
    <n v="0.5"/>
    <m/>
    <m/>
    <m/>
    <m/>
    <m/>
    <m/>
    <m/>
    <m/>
    <m/>
    <m/>
    <m/>
    <m/>
    <m/>
    <m/>
    <n v="1"/>
    <n v="1"/>
    <n v="1"/>
    <m/>
    <m/>
    <n v="518109"/>
    <n v="175300"/>
    <s v="Richmond"/>
    <x v="6"/>
    <s v="Richmond"/>
    <m/>
    <m/>
    <m/>
    <m/>
    <s v="CA17 Central Richmond"/>
    <x v="0"/>
    <s v="Y"/>
    <m/>
  </r>
  <r>
    <s v="19/3490/FUL"/>
    <n v="194"/>
    <x v="4"/>
    <x v="0"/>
    <d v="2020-09-18T00:00:00"/>
    <d v="2023-09-18T00:00:00"/>
    <d v="2023-03-31T00:00:00"/>
    <m/>
    <x v="1"/>
    <x v="0"/>
    <x v="0"/>
    <s v="Part two-storey/part single-storey rear extension to provide 1no. additional dwelling, including associated alterations to fenestration, following demolition of existing single-storey rear extension."/>
    <s v="81 High Street, Hampton Wick, Kingston Upon Thames KT1 4DG"/>
    <s v="KT1 4DG"/>
    <m/>
    <m/>
    <m/>
    <m/>
    <m/>
    <m/>
    <m/>
    <m/>
    <n v="0"/>
    <n v="1"/>
    <m/>
    <m/>
    <m/>
    <m/>
    <m/>
    <m/>
    <m/>
    <n v="1"/>
    <n v="1"/>
    <n v="0"/>
    <n v="0"/>
    <n v="0"/>
    <n v="0"/>
    <n v="0"/>
    <n v="0"/>
    <n v="0"/>
    <n v="1"/>
    <x v="0"/>
    <m/>
    <m/>
    <n v="1"/>
    <m/>
    <m/>
    <m/>
    <m/>
    <m/>
    <m/>
    <m/>
    <m/>
    <m/>
    <m/>
    <m/>
    <m/>
    <m/>
    <m/>
    <n v="1"/>
    <n v="1"/>
    <n v="1"/>
    <m/>
    <m/>
    <n v="517423"/>
    <n v="169711"/>
    <s v="Teddington and the Hamptons"/>
    <x v="10"/>
    <m/>
    <m/>
    <s v="Hampton Wick"/>
    <s v="Y"/>
    <m/>
    <s v="CA18 Hampton Wick"/>
    <x v="0"/>
    <s v="Y"/>
    <m/>
  </r>
  <r>
    <s v="20/1223/FUL"/>
    <n v="195"/>
    <x v="3"/>
    <x v="0"/>
    <d v="2020-08-10T00:00:00"/>
    <d v="2023-08-10T00:00:00"/>
    <d v="2023-03-31T00:00:00"/>
    <m/>
    <x v="1"/>
    <x v="0"/>
    <x v="0"/>
    <s v="The construction of a two storey 4 bedroom dwelling with a basement level following the demolition of the existing house and garage."/>
    <s v="90 Ormond Avenue, Hampton TW12 2RX_x000a_"/>
    <s v="TW12 2RX"/>
    <m/>
    <m/>
    <m/>
    <m/>
    <n v="1"/>
    <m/>
    <m/>
    <m/>
    <n v="1"/>
    <m/>
    <m/>
    <m/>
    <n v="1"/>
    <m/>
    <m/>
    <m/>
    <m/>
    <n v="1"/>
    <n v="0"/>
    <n v="0"/>
    <n v="0"/>
    <n v="0"/>
    <n v="0"/>
    <n v="0"/>
    <n v="0"/>
    <n v="0"/>
    <n v="0"/>
    <x v="0"/>
    <m/>
    <n v="0"/>
    <m/>
    <m/>
    <m/>
    <m/>
    <m/>
    <m/>
    <m/>
    <m/>
    <m/>
    <m/>
    <m/>
    <m/>
    <m/>
    <m/>
    <m/>
    <n v="0"/>
    <n v="0"/>
    <n v="0"/>
    <m/>
    <m/>
    <n v="513542"/>
    <n v="169839"/>
    <s v="Teddington and the Hamptons"/>
    <x v="15"/>
    <m/>
    <m/>
    <m/>
    <m/>
    <m/>
    <m/>
    <x v="1"/>
    <s v="Y"/>
    <m/>
  </r>
  <r>
    <s v="22/1106/GPD26"/>
    <n v="196"/>
    <x v="1"/>
    <x v="1"/>
    <d v="2022-05-30T00:00:00"/>
    <d v="2025-05-30T00:00:00"/>
    <d v="2023-03-31T00:00:00"/>
    <m/>
    <x v="1"/>
    <x v="0"/>
    <x v="0"/>
    <s v="Conversion of a shop to single family dwelling house."/>
    <s v="1 Station Road, Teddington, TW11 9AA"/>
    <s v="TW11 9AA"/>
    <m/>
    <m/>
    <m/>
    <m/>
    <m/>
    <m/>
    <m/>
    <m/>
    <n v="0"/>
    <m/>
    <n v="1"/>
    <m/>
    <m/>
    <m/>
    <m/>
    <m/>
    <m/>
    <n v="1"/>
    <n v="0"/>
    <n v="1"/>
    <n v="0"/>
    <n v="0"/>
    <n v="0"/>
    <n v="0"/>
    <n v="0"/>
    <n v="0"/>
    <n v="1"/>
    <x v="0"/>
    <m/>
    <n v="0.5"/>
    <n v="0.5"/>
    <m/>
    <m/>
    <m/>
    <m/>
    <m/>
    <m/>
    <m/>
    <m/>
    <m/>
    <m/>
    <m/>
    <m/>
    <m/>
    <m/>
    <n v="1"/>
    <n v="1"/>
    <n v="1"/>
    <m/>
    <m/>
    <n v="515985"/>
    <n v="171070"/>
    <s v="Teddington and the Hamptons"/>
    <x v="0"/>
    <s v="Teddington"/>
    <m/>
    <m/>
    <m/>
    <m/>
    <s v="CA37 High Street Teddington"/>
    <x v="0"/>
    <s v="Y"/>
    <m/>
  </r>
  <r>
    <s v="21/4038/FUL"/>
    <n v="197"/>
    <x v="1"/>
    <x v="0"/>
    <d v="2022-07-12T00:00:00"/>
    <d v="2025-07-12T00:00:00"/>
    <d v="2023-05-01T00:00:00"/>
    <m/>
    <x v="1"/>
    <x v="0"/>
    <x v="0"/>
    <s v="Change of use of ground floor and basement of the former Old Kings Head public house to a Mixed Use Community Cycle Hub comprising Café (Use Class E(b)), Training Area (Use Class F2(b)) and Treatment Room/Medical (Use Class E(e)) and 1No. 1-bedroom  apartment.   Alterations and conversion of the first and second floors to replace existing staff accommodation with 3No. 2-bedroom apartments.  External Alterations to include the replacement of French doors with balconies and a roof terrace on the first floor western and southern elevations, the installation of 2 no. conservation-style rooflights on the southern and western roof slopes and a bike enclosure to the rear at ground floor.  _x000a_"/>
    <s v="The Old Kings Head, Hampton Court Road, Hampton Wick, Kingston Upon Thames KT1 4AE_x000a_"/>
    <s v="KT1 4AE"/>
    <m/>
    <m/>
    <m/>
    <m/>
    <m/>
    <m/>
    <m/>
    <m/>
    <n v="0"/>
    <n v="1"/>
    <n v="3"/>
    <m/>
    <m/>
    <m/>
    <m/>
    <m/>
    <m/>
    <n v="4"/>
    <n v="1"/>
    <n v="3"/>
    <n v="0"/>
    <n v="0"/>
    <n v="0"/>
    <n v="0"/>
    <n v="0"/>
    <n v="0"/>
    <n v="4"/>
    <x v="0"/>
    <m/>
    <n v="2"/>
    <n v="2"/>
    <m/>
    <m/>
    <m/>
    <m/>
    <m/>
    <m/>
    <m/>
    <m/>
    <m/>
    <m/>
    <m/>
    <m/>
    <m/>
    <m/>
    <n v="4"/>
    <n v="4"/>
    <n v="4"/>
    <m/>
    <m/>
    <n v="517498"/>
    <n v="169337"/>
    <s v="Teddington and the Hamptons"/>
    <x v="10"/>
    <m/>
    <s v="Thames Policy Area"/>
    <s v="Hampton Wick"/>
    <s v="Y"/>
    <s v="Hampton Court"/>
    <s v="CA18 Hampton Wick"/>
    <x v="0"/>
    <s v="Y"/>
    <m/>
  </r>
  <r>
    <s v="19/3857/FUL"/>
    <n v="198"/>
    <x v="0"/>
    <x v="0"/>
    <d v="2020-06-18T00:00:00"/>
    <d v="2023-06-18T00:00:00"/>
    <d v="2023-05-15T00:00:00"/>
    <m/>
    <x v="1"/>
    <x v="0"/>
    <x v="0"/>
    <s v="Part two storey, part first floor infill, part second floor rear extensions and extensions / alterations to the roof to facilitate the conversion of existing 1 x studio and 1 x 2 bed flat into four flats (2 x studio and 2 x 1 bed) and increase in retail f"/>
    <s v="20 London Road, Twickenham TW1 3RR"/>
    <s v="TW1 3RR"/>
    <m/>
    <n v="1"/>
    <n v="1"/>
    <m/>
    <m/>
    <m/>
    <m/>
    <m/>
    <n v="2"/>
    <n v="4"/>
    <m/>
    <m/>
    <m/>
    <m/>
    <m/>
    <m/>
    <m/>
    <n v="4"/>
    <n v="3"/>
    <n v="-1"/>
    <n v="0"/>
    <n v="0"/>
    <n v="0"/>
    <n v="0"/>
    <n v="0"/>
    <n v="0"/>
    <n v="2"/>
    <x v="0"/>
    <m/>
    <n v="1"/>
    <n v="1"/>
    <m/>
    <m/>
    <m/>
    <m/>
    <m/>
    <m/>
    <m/>
    <m/>
    <m/>
    <m/>
    <m/>
    <m/>
    <m/>
    <m/>
    <n v="2"/>
    <n v="2"/>
    <n v="2"/>
    <m/>
    <m/>
    <n v="516259"/>
    <n v="173377"/>
    <s v="Twickenham"/>
    <x v="9"/>
    <s v="Twickenham"/>
    <m/>
    <m/>
    <m/>
    <m/>
    <s v="CA8 Twickenham Riverside"/>
    <x v="0"/>
    <s v="Y"/>
    <m/>
  </r>
  <r>
    <s v="21/0111/GPD15"/>
    <n v="199"/>
    <x v="1"/>
    <x v="1"/>
    <d v="2021-02-16T00:00:00"/>
    <d v="2024-02-16T00:00:00"/>
    <m/>
    <m/>
    <x v="2"/>
    <x v="0"/>
    <x v="0"/>
    <s v="Change of Use from Office (Class E formerly B1(a)) to C3 to form 1 x 2 bed flat._x000d_"/>
    <s v="86 - 88 Lower Mortlake Road, Richmond_x000a__x000a_"/>
    <s v="TW9 2JG"/>
    <m/>
    <m/>
    <m/>
    <m/>
    <m/>
    <m/>
    <m/>
    <m/>
    <n v="0"/>
    <m/>
    <n v="1"/>
    <m/>
    <m/>
    <m/>
    <m/>
    <m/>
    <m/>
    <n v="1"/>
    <n v="0"/>
    <n v="1"/>
    <n v="0"/>
    <n v="0"/>
    <n v="0"/>
    <n v="0"/>
    <n v="0"/>
    <n v="0"/>
    <n v="1"/>
    <x v="0"/>
    <m/>
    <n v="0.25"/>
    <n v="0.25"/>
    <n v="0.25"/>
    <n v="0.25"/>
    <m/>
    <m/>
    <m/>
    <m/>
    <m/>
    <m/>
    <m/>
    <m/>
    <m/>
    <m/>
    <m/>
    <m/>
    <n v="1"/>
    <n v="1"/>
    <n v="1"/>
    <m/>
    <m/>
    <n v="518619"/>
    <n v="175475"/>
    <s v="Richmond"/>
    <x v="4"/>
    <m/>
    <m/>
    <m/>
    <m/>
    <m/>
    <m/>
    <x v="1"/>
    <s v="Y"/>
    <s v="Y"/>
  </r>
  <r>
    <s v="21/1219/GPD15"/>
    <n v="200"/>
    <x v="1"/>
    <x v="1"/>
    <d v="2021-06-10T00:00:00"/>
    <d v="2024-06-10T00:00:00"/>
    <d v="2023-05-01T00:00:00"/>
    <m/>
    <x v="2"/>
    <x v="0"/>
    <x v="0"/>
    <s v="Change of use from offices (B1a) to single dwelling house (C3)."/>
    <s v="Suite 1, 47 St Margarets Grove, Twickenham TW1 1JF_x000a_"/>
    <s v="TW1 1JF"/>
    <m/>
    <m/>
    <m/>
    <m/>
    <m/>
    <m/>
    <m/>
    <m/>
    <n v="0"/>
    <n v="1"/>
    <m/>
    <m/>
    <m/>
    <m/>
    <m/>
    <m/>
    <m/>
    <n v="1"/>
    <n v="1"/>
    <n v="0"/>
    <n v="0"/>
    <n v="0"/>
    <n v="0"/>
    <n v="0"/>
    <n v="0"/>
    <n v="0"/>
    <n v="1"/>
    <x v="0"/>
    <m/>
    <n v="0.25"/>
    <n v="0.25"/>
    <n v="0.25"/>
    <n v="0.25"/>
    <m/>
    <m/>
    <m/>
    <m/>
    <m/>
    <m/>
    <m/>
    <m/>
    <m/>
    <m/>
    <m/>
    <m/>
    <n v="1"/>
    <n v="1"/>
    <n v="1"/>
    <m/>
    <m/>
    <n v="516472"/>
    <n v="174374"/>
    <s v="Twickenham"/>
    <x v="17"/>
    <m/>
    <m/>
    <m/>
    <m/>
    <m/>
    <m/>
    <x v="1"/>
    <s v="Y"/>
    <m/>
  </r>
  <r>
    <s v="21/1220/GPD15"/>
    <n v="201"/>
    <x v="1"/>
    <x v="1"/>
    <d v="2021-06-10T00:00:00"/>
    <d v="2024-06-10T00:00:00"/>
    <d v="2023-05-01T00:00:00"/>
    <m/>
    <x v="2"/>
    <x v="0"/>
    <x v="0"/>
    <s v="Change of use of suites 2, 3 and 4 from offices (B1) to 3 one-bedroom single family dwellings."/>
    <s v="Suites 2, 3 And 4, 47 St Margarets Grove, Twickenham"/>
    <s v="TW1 1JF"/>
    <m/>
    <m/>
    <m/>
    <m/>
    <m/>
    <m/>
    <m/>
    <m/>
    <n v="0"/>
    <n v="3"/>
    <m/>
    <m/>
    <m/>
    <m/>
    <m/>
    <m/>
    <m/>
    <n v="3"/>
    <n v="3"/>
    <n v="0"/>
    <n v="0"/>
    <n v="0"/>
    <n v="0"/>
    <n v="0"/>
    <n v="0"/>
    <n v="0"/>
    <n v="3"/>
    <x v="0"/>
    <m/>
    <n v="0.75"/>
    <n v="0.75"/>
    <n v="0.75"/>
    <n v="0.75"/>
    <m/>
    <m/>
    <m/>
    <m/>
    <m/>
    <m/>
    <m/>
    <m/>
    <m/>
    <m/>
    <m/>
    <m/>
    <n v="3"/>
    <n v="3"/>
    <n v="3"/>
    <m/>
    <m/>
    <n v="516481"/>
    <n v="174369"/>
    <s v="Twickenham"/>
    <x v="17"/>
    <m/>
    <m/>
    <m/>
    <m/>
    <m/>
    <m/>
    <x v="1"/>
    <s v="Y"/>
    <m/>
  </r>
  <r>
    <s v="21/1639/FUL"/>
    <n v="202"/>
    <x v="3"/>
    <x v="0"/>
    <d v="2022-08-26T00:00:00"/>
    <d v="2025-08-26T00:00:00"/>
    <d v="2023-05-22T00:00:00"/>
    <m/>
    <x v="2"/>
    <x v="0"/>
    <x v="0"/>
    <s v="Demolition of existing dwelling and construction of two-storey, 2-bedroom detached dwelling, with associated parking, landscaping, boundary treatments and associated works."/>
    <s v="12 Oxford Road, Teddington, TW11 0PZ"/>
    <s v="TW11 0PZ"/>
    <m/>
    <n v="1"/>
    <m/>
    <m/>
    <m/>
    <m/>
    <m/>
    <m/>
    <n v="1"/>
    <m/>
    <n v="1"/>
    <m/>
    <m/>
    <m/>
    <m/>
    <m/>
    <m/>
    <n v="1"/>
    <n v="-1"/>
    <n v="1"/>
    <n v="0"/>
    <n v="0"/>
    <n v="0"/>
    <n v="0"/>
    <n v="0"/>
    <n v="0"/>
    <n v="0"/>
    <x v="0"/>
    <m/>
    <n v="0"/>
    <m/>
    <m/>
    <m/>
    <m/>
    <m/>
    <m/>
    <m/>
    <m/>
    <m/>
    <m/>
    <m/>
    <m/>
    <m/>
    <m/>
    <m/>
    <n v="0"/>
    <n v="0"/>
    <n v="0"/>
    <m/>
    <m/>
    <n v="514878"/>
    <n v="171282"/>
    <s v="Teddington and the Hamptons"/>
    <x v="14"/>
    <m/>
    <m/>
    <m/>
    <m/>
    <m/>
    <m/>
    <x v="1"/>
    <s v="Y"/>
    <m/>
  </r>
  <r>
    <s v="21/1841/FUL"/>
    <n v="203"/>
    <x v="3"/>
    <x v="0"/>
    <d v="2023-02-16T00:00:00"/>
    <d v="2026-02-16T00:00:00"/>
    <d v="2023-06-01T00:00:00"/>
    <m/>
    <x v="2"/>
    <x v="0"/>
    <x v="0"/>
    <s v="Demolition of existing car showroom and partial demolition of ancillary offices to facilitate the construction of 4 semi-detached houses with associated landscaping and car parking spaces, construction of a new vehicle access._x000d_"/>
    <s v="45 - 49 Station Road, Hampton TW12 2BT_x000a_"/>
    <s v="TW12 2BT"/>
    <m/>
    <m/>
    <m/>
    <m/>
    <m/>
    <m/>
    <m/>
    <m/>
    <n v="0"/>
    <m/>
    <m/>
    <n v="4"/>
    <m/>
    <m/>
    <m/>
    <m/>
    <m/>
    <n v="4"/>
    <n v="0"/>
    <n v="0"/>
    <n v="4"/>
    <n v="0"/>
    <n v="0"/>
    <n v="0"/>
    <n v="0"/>
    <n v="0"/>
    <n v="4"/>
    <x v="0"/>
    <m/>
    <m/>
    <n v="4"/>
    <m/>
    <m/>
    <m/>
    <m/>
    <m/>
    <m/>
    <m/>
    <m/>
    <m/>
    <m/>
    <m/>
    <m/>
    <m/>
    <m/>
    <n v="4"/>
    <n v="4"/>
    <n v="4"/>
    <m/>
    <m/>
    <n v="513825"/>
    <n v="169567"/>
    <s v="Teddington and the Hamptons"/>
    <x v="15"/>
    <m/>
    <m/>
    <m/>
    <m/>
    <m/>
    <s v="CA12 Hampton Village"/>
    <x v="0"/>
    <s v="Y"/>
    <m/>
  </r>
  <r>
    <s v="19/2789/FUL"/>
    <n v="204"/>
    <x v="3"/>
    <x v="0"/>
    <d v="2020-06-19T00:00:00"/>
    <d v="2023-06-19T00:00:00"/>
    <d v="2023-06-09T00:00:00"/>
    <m/>
    <x v="2"/>
    <x v="3"/>
    <x v="0"/>
    <s v="Demolition of existing commercial building and erection of building to provide 15 affordable residential units, together with 12 parking spaces and communal amenity space."/>
    <s v="Lockcorp House, 75 Norcutt Road, Twickenham TW2 6SR"/>
    <s v="TW2 6SR"/>
    <m/>
    <m/>
    <m/>
    <m/>
    <m/>
    <m/>
    <m/>
    <m/>
    <n v="0"/>
    <n v="6"/>
    <n v="6"/>
    <n v="3"/>
    <m/>
    <m/>
    <m/>
    <m/>
    <m/>
    <n v="15"/>
    <n v="6"/>
    <n v="6"/>
    <n v="3"/>
    <n v="0"/>
    <n v="0"/>
    <n v="0"/>
    <n v="0"/>
    <n v="0"/>
    <n v="15"/>
    <x v="1"/>
    <m/>
    <m/>
    <m/>
    <n v="7.5"/>
    <n v="7.5"/>
    <m/>
    <m/>
    <m/>
    <m/>
    <m/>
    <m/>
    <m/>
    <m/>
    <m/>
    <m/>
    <m/>
    <m/>
    <n v="15"/>
    <n v="15"/>
    <n v="15"/>
    <m/>
    <m/>
    <n v="515337"/>
    <n v="173383"/>
    <s v="Twickenham"/>
    <x v="5"/>
    <m/>
    <m/>
    <m/>
    <m/>
    <m/>
    <m/>
    <x v="1"/>
    <s v="Y"/>
    <m/>
  </r>
  <r>
    <s v="19/2199/FUL"/>
    <n v="205"/>
    <x v="3"/>
    <x v="0"/>
    <d v="2021-01-13T00:00:00"/>
    <d v="2024-01-13T00:00:00"/>
    <d v="2023-06-12T00:00:00"/>
    <m/>
    <x v="2"/>
    <x v="0"/>
    <x v="0"/>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n v="0"/>
    <m/>
    <n v="2"/>
    <m/>
    <m/>
    <m/>
    <m/>
    <m/>
    <m/>
    <n v="2"/>
    <n v="0"/>
    <n v="2"/>
    <n v="0"/>
    <n v="0"/>
    <n v="0"/>
    <n v="0"/>
    <n v="0"/>
    <n v="0"/>
    <n v="2"/>
    <x v="0"/>
    <m/>
    <m/>
    <n v="2"/>
    <m/>
    <m/>
    <m/>
    <m/>
    <m/>
    <m/>
    <m/>
    <m/>
    <m/>
    <m/>
    <m/>
    <m/>
    <m/>
    <m/>
    <n v="2"/>
    <n v="2"/>
    <n v="2"/>
    <m/>
    <m/>
    <n v="520452"/>
    <n v="175621"/>
    <s v="Barnes and East Sheen"/>
    <x v="13"/>
    <m/>
    <m/>
    <m/>
    <m/>
    <m/>
    <s v="CA70 Sheen Lane Mortlake"/>
    <x v="0"/>
    <s v="Y"/>
    <m/>
  </r>
  <r>
    <s v="21/2642/FUL"/>
    <n v="206"/>
    <x v="1"/>
    <x v="0"/>
    <d v="2022-04-08T00:00:00"/>
    <d v="2025-04-08T00:00:00"/>
    <d v="2023-07-24T00:00:00"/>
    <m/>
    <x v="2"/>
    <x v="2"/>
    <x v="0"/>
    <s v="Change of use to four C3 residential units for supported living together with external alterations including changes to the roof form and a first floor extension"/>
    <s v="67A Holly Road, Twickenham, TW1 4HF"/>
    <s v="TW1 4HF"/>
    <m/>
    <m/>
    <m/>
    <m/>
    <m/>
    <m/>
    <m/>
    <m/>
    <n v="0"/>
    <n v="4"/>
    <m/>
    <m/>
    <m/>
    <m/>
    <m/>
    <m/>
    <m/>
    <n v="4"/>
    <n v="4"/>
    <n v="0"/>
    <n v="0"/>
    <n v="0"/>
    <n v="0"/>
    <n v="0"/>
    <n v="0"/>
    <n v="0"/>
    <n v="4"/>
    <x v="0"/>
    <m/>
    <m/>
    <n v="4"/>
    <m/>
    <m/>
    <m/>
    <m/>
    <m/>
    <m/>
    <m/>
    <m/>
    <m/>
    <m/>
    <m/>
    <m/>
    <m/>
    <m/>
    <n v="4"/>
    <n v="4"/>
    <n v="4"/>
    <m/>
    <s v="Y"/>
    <n v="516114"/>
    <n v="173184"/>
    <s v="Twickenham"/>
    <x v="9"/>
    <s v="Twickenham"/>
    <m/>
    <m/>
    <m/>
    <m/>
    <m/>
    <x v="1"/>
    <s v="Y"/>
    <m/>
  </r>
  <r>
    <s v="21/1328/FUL"/>
    <n v="207"/>
    <x v="3"/>
    <x v="0"/>
    <d v="2022-04-21T00:00:00"/>
    <d v="2025-04-21T00:00:00"/>
    <d v="2023-08-16T00:00:00"/>
    <m/>
    <x v="2"/>
    <x v="0"/>
    <x v="0"/>
    <s v="Part three storey part single storey extension to provide an additional retail unit (Class E) at ground floor and 1 x residential dwelling on upper floors.  Alterations to bay windows at 171 Ashburnham Road.  Associated hard and soft landscaping works inc"/>
    <s v="Land South Of 171 And 171 Ashburnham Road, Ham_x000a__x000a_"/>
    <s v="TW10 7NR"/>
    <m/>
    <m/>
    <m/>
    <m/>
    <m/>
    <m/>
    <m/>
    <m/>
    <n v="0"/>
    <m/>
    <n v="1"/>
    <m/>
    <m/>
    <m/>
    <m/>
    <m/>
    <m/>
    <n v="1"/>
    <n v="0"/>
    <n v="1"/>
    <n v="0"/>
    <n v="0"/>
    <n v="0"/>
    <n v="0"/>
    <n v="0"/>
    <n v="0"/>
    <n v="1"/>
    <x v="0"/>
    <m/>
    <m/>
    <n v="1"/>
    <m/>
    <m/>
    <m/>
    <m/>
    <m/>
    <m/>
    <m/>
    <m/>
    <m/>
    <m/>
    <m/>
    <m/>
    <m/>
    <m/>
    <n v="1"/>
    <n v="1"/>
    <n v="1"/>
    <m/>
    <m/>
    <n v="516850"/>
    <n v="172139"/>
    <s v="Ham &amp; Petersham"/>
    <x v="2"/>
    <m/>
    <m/>
    <m/>
    <m/>
    <m/>
    <m/>
    <x v="1"/>
    <m/>
    <m/>
  </r>
  <r>
    <s v="21/3188/FUL"/>
    <n v="208"/>
    <x v="3"/>
    <x v="0"/>
    <d v="2022-08-22T00:00:00"/>
    <d v="2025-08-26T00:00:00"/>
    <d v="2023-09-04T00:00:00"/>
    <m/>
    <x v="2"/>
    <x v="0"/>
    <x v="0"/>
    <s v="Erection of 7 residential units (4 x 1 and 2 bed flats and 3 x 3 bed houses) with ground floor Class E commercial business and service space (73.3m2) including associated works."/>
    <s v="Adjacent To 118 Kneller Road, Twickenham, Hounslow TW2 7DX_x000a_"/>
    <s v="TW10 6UB"/>
    <m/>
    <m/>
    <m/>
    <m/>
    <m/>
    <m/>
    <m/>
    <m/>
    <n v="0"/>
    <n v="2"/>
    <n v="2"/>
    <n v="3"/>
    <m/>
    <m/>
    <m/>
    <m/>
    <m/>
    <n v="7"/>
    <n v="2"/>
    <n v="2"/>
    <n v="3"/>
    <n v="0"/>
    <n v="0"/>
    <n v="0"/>
    <n v="0"/>
    <n v="0"/>
    <n v="7"/>
    <x v="0"/>
    <m/>
    <m/>
    <n v="3.5"/>
    <n v="3.5"/>
    <m/>
    <m/>
    <m/>
    <m/>
    <m/>
    <m/>
    <m/>
    <m/>
    <m/>
    <m/>
    <m/>
    <m/>
    <m/>
    <n v="7"/>
    <n v="7"/>
    <n v="7"/>
    <m/>
    <m/>
    <n v="514498"/>
    <n v="174249"/>
    <s v="Whitton"/>
    <x v="12"/>
    <m/>
    <m/>
    <m/>
    <m/>
    <m/>
    <m/>
    <x v="1"/>
    <s v="Y"/>
    <m/>
  </r>
  <r>
    <s v="20/0815/FUL"/>
    <n v="209"/>
    <x v="4"/>
    <x v="0"/>
    <d v="2020-08-25T00:00:00"/>
    <d v="2023-08-25T00:00:00"/>
    <m/>
    <m/>
    <x v="2"/>
    <x v="0"/>
    <x v="0"/>
    <s v="Change of use of forecourt and existing lobby and staircase from B1(a) to sui generis (mixed B1(a)/C3) to facilitate the creation of a second floor extension to the existing office building to provide a 3 bed flat, external alterations to the fenestration"/>
    <s v="East House, 109 South Worple Way, East Sheen, London SW14 8TN"/>
    <s v="SW14 8TN"/>
    <m/>
    <m/>
    <m/>
    <m/>
    <m/>
    <m/>
    <m/>
    <m/>
    <n v="0"/>
    <m/>
    <m/>
    <n v="1"/>
    <m/>
    <m/>
    <m/>
    <m/>
    <m/>
    <n v="1"/>
    <n v="0"/>
    <n v="0"/>
    <n v="1"/>
    <n v="0"/>
    <n v="0"/>
    <n v="0"/>
    <n v="0"/>
    <n v="0"/>
    <n v="1"/>
    <x v="0"/>
    <m/>
    <n v="0.25"/>
    <n v="0.25"/>
    <n v="0.25"/>
    <n v="0.25"/>
    <m/>
    <m/>
    <m/>
    <m/>
    <m/>
    <m/>
    <m/>
    <m/>
    <m/>
    <m/>
    <m/>
    <m/>
    <n v="1"/>
    <n v="1"/>
    <n v="1"/>
    <m/>
    <m/>
    <n v="520556"/>
    <n v="175757"/>
    <s v="Barnes and East Sheen"/>
    <x v="13"/>
    <s v="East Sheen"/>
    <m/>
    <m/>
    <m/>
    <m/>
    <m/>
    <x v="1"/>
    <s v="Y"/>
    <m/>
  </r>
  <r>
    <s v="20/1985/GPD23"/>
    <n v="210"/>
    <x v="1"/>
    <x v="1"/>
    <d v="2020-08-25T00:00:00"/>
    <d v="2023-08-25T00:00:00"/>
    <m/>
    <m/>
    <x v="2"/>
    <x v="0"/>
    <x v="0"/>
    <s v="Proposed change of use from Class B1(c) light industrial to Class C3 (residential) (2 dwellings)."/>
    <s v="12 High Street, Hampton Hill TW12 1PD_x000a_"/>
    <s v="TW12 1PD"/>
    <m/>
    <m/>
    <m/>
    <m/>
    <m/>
    <m/>
    <m/>
    <m/>
    <n v="0"/>
    <n v="2"/>
    <m/>
    <m/>
    <m/>
    <m/>
    <m/>
    <m/>
    <m/>
    <n v="2"/>
    <n v="2"/>
    <n v="0"/>
    <n v="0"/>
    <n v="0"/>
    <n v="0"/>
    <n v="0"/>
    <n v="0"/>
    <n v="0"/>
    <n v="2"/>
    <x v="0"/>
    <m/>
    <n v="0.5"/>
    <n v="0.5"/>
    <n v="0.5"/>
    <n v="0.5"/>
    <m/>
    <m/>
    <m/>
    <m/>
    <m/>
    <m/>
    <m/>
    <m/>
    <m/>
    <m/>
    <m/>
    <m/>
    <n v="2"/>
    <n v="2"/>
    <n v="2"/>
    <m/>
    <m/>
    <n v="514296"/>
    <n v="170824"/>
    <s v="Teddington and the Hamptons"/>
    <x v="14"/>
    <m/>
    <m/>
    <s v="High Street, Hampton Hill"/>
    <s v="Y"/>
    <m/>
    <s v="CA38 High Street Hampton Hill"/>
    <x v="0"/>
    <m/>
    <m/>
  </r>
  <r>
    <s v="18/3642/OUT"/>
    <n v="211"/>
    <x v="0"/>
    <x v="0"/>
    <d v="2020-09-14T00:00:00"/>
    <d v="2023-09-14T00:00:00"/>
    <m/>
    <m/>
    <x v="2"/>
    <x v="1"/>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3"/>
    <n v="1"/>
    <m/>
    <m/>
    <m/>
    <m/>
    <m/>
    <m/>
    <n v="4"/>
    <n v="3"/>
    <n v="1"/>
    <n v="0"/>
    <n v="0"/>
    <n v="0"/>
    <n v="0"/>
    <n v="0"/>
    <n v="0"/>
    <n v="4"/>
    <x v="1"/>
    <m/>
    <m/>
    <m/>
    <m/>
    <m/>
    <n v="2"/>
    <n v="2"/>
    <m/>
    <m/>
    <m/>
    <m/>
    <m/>
    <m/>
    <m/>
    <m/>
    <m/>
    <m/>
    <n v="2"/>
    <n v="4"/>
    <n v="4"/>
    <m/>
    <m/>
    <n v="521203"/>
    <n v="175677"/>
    <s v="Barnes and East Sheen"/>
    <x v="8"/>
    <m/>
    <m/>
    <m/>
    <m/>
    <m/>
    <m/>
    <x v="1"/>
    <s v="Y"/>
    <m/>
  </r>
  <r>
    <s v="18/3642/OUT"/>
    <n v="212"/>
    <x v="0"/>
    <x v="0"/>
    <d v="2020-09-14T00:00:00"/>
    <d v="2023-09-14T00:00:00"/>
    <m/>
    <m/>
    <x v="2"/>
    <x v="0"/>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22"/>
    <n v="31"/>
    <n v="12"/>
    <m/>
    <m/>
    <m/>
    <m/>
    <m/>
    <n v="65"/>
    <n v="22"/>
    <n v="31"/>
    <n v="12"/>
    <n v="0"/>
    <n v="0"/>
    <n v="0"/>
    <n v="0"/>
    <n v="0"/>
    <n v="65"/>
    <x v="1"/>
    <m/>
    <m/>
    <m/>
    <m/>
    <m/>
    <n v="32.5"/>
    <n v="32.5"/>
    <m/>
    <m/>
    <m/>
    <m/>
    <m/>
    <m/>
    <m/>
    <m/>
    <m/>
    <m/>
    <n v="32.5"/>
    <n v="65"/>
    <n v="65"/>
    <m/>
    <m/>
    <n v="521203"/>
    <n v="175677"/>
    <s v="Barnes and East Sheen"/>
    <x v="8"/>
    <m/>
    <m/>
    <m/>
    <m/>
    <m/>
    <m/>
    <x v="1"/>
    <s v="Y"/>
    <m/>
  </r>
  <r>
    <s v="18/3642/OUT"/>
    <n v="213"/>
    <x v="0"/>
    <x v="0"/>
    <d v="2020-09-14T00:00:00"/>
    <d v="2023-09-14T00:00:00"/>
    <m/>
    <m/>
    <x v="2"/>
    <x v="3"/>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n v="0"/>
    <n v="5"/>
    <n v="7"/>
    <n v="2"/>
    <m/>
    <m/>
    <m/>
    <m/>
    <m/>
    <n v="14"/>
    <n v="5"/>
    <n v="7"/>
    <n v="2"/>
    <n v="0"/>
    <n v="0"/>
    <n v="0"/>
    <n v="0"/>
    <n v="0"/>
    <n v="14"/>
    <x v="1"/>
    <m/>
    <m/>
    <m/>
    <m/>
    <m/>
    <n v="7"/>
    <n v="7"/>
    <m/>
    <m/>
    <m/>
    <m/>
    <m/>
    <m/>
    <m/>
    <m/>
    <m/>
    <m/>
    <n v="7"/>
    <n v="14"/>
    <n v="14"/>
    <m/>
    <m/>
    <n v="521203"/>
    <n v="175677"/>
    <s v="Barnes and East Sheen"/>
    <x v="8"/>
    <m/>
    <m/>
    <m/>
    <m/>
    <m/>
    <m/>
    <x v="1"/>
    <s v="Y"/>
    <m/>
  </r>
  <r>
    <s v="18/3310/FUL"/>
    <n v="214"/>
    <x v="3"/>
    <x v="0"/>
    <d v="2020-09-16T00:00:00"/>
    <d v="2023-09-16T00:00:00"/>
    <d v="2023-09-12T00:00:00"/>
    <m/>
    <x v="2"/>
    <x v="0"/>
    <x v="0"/>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_x000a__x000a_"/>
    <s v="TW9"/>
    <m/>
    <m/>
    <m/>
    <m/>
    <m/>
    <m/>
    <m/>
    <m/>
    <n v="0"/>
    <n v="13"/>
    <n v="75"/>
    <m/>
    <m/>
    <m/>
    <m/>
    <m/>
    <m/>
    <n v="88"/>
    <n v="13"/>
    <n v="75"/>
    <n v="0"/>
    <n v="0"/>
    <n v="0"/>
    <n v="0"/>
    <n v="0"/>
    <n v="0"/>
    <n v="88"/>
    <x v="1"/>
    <m/>
    <m/>
    <m/>
    <m/>
    <n v="44"/>
    <n v="44"/>
    <m/>
    <m/>
    <m/>
    <m/>
    <m/>
    <m/>
    <m/>
    <m/>
    <m/>
    <m/>
    <m/>
    <n v="88"/>
    <n v="88"/>
    <n v="88"/>
    <s v="Y"/>
    <s v="Y"/>
    <n v="519778"/>
    <n v="176914"/>
    <s v="Richmond"/>
    <x v="3"/>
    <m/>
    <s v="Thames Policy Area"/>
    <m/>
    <m/>
    <s v="Townmead Kew"/>
    <m/>
    <x v="1"/>
    <s v="Y"/>
    <m/>
  </r>
  <r>
    <s v="20/1333/FUL"/>
    <n v="215"/>
    <x v="1"/>
    <x v="0"/>
    <d v="2020-09-16T00:00:00"/>
    <d v="2023-09-16T00:00:00"/>
    <m/>
    <m/>
    <x v="2"/>
    <x v="0"/>
    <x v="0"/>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n v="0"/>
    <m/>
    <n v="1"/>
    <m/>
    <m/>
    <m/>
    <m/>
    <m/>
    <m/>
    <n v="1"/>
    <n v="0"/>
    <n v="1"/>
    <n v="0"/>
    <n v="0"/>
    <n v="0"/>
    <n v="0"/>
    <n v="0"/>
    <n v="0"/>
    <n v="1"/>
    <x v="0"/>
    <m/>
    <n v="0.25"/>
    <n v="0.25"/>
    <n v="0.25"/>
    <n v="0.25"/>
    <m/>
    <m/>
    <m/>
    <m/>
    <m/>
    <m/>
    <m/>
    <m/>
    <m/>
    <m/>
    <m/>
    <m/>
    <n v="1"/>
    <n v="1"/>
    <n v="1"/>
    <m/>
    <m/>
    <n v="521750"/>
    <n v="176384"/>
    <s v="Barnes and East Sheen"/>
    <x v="8"/>
    <m/>
    <m/>
    <s v="High Street, Barnes"/>
    <s v="Y"/>
    <m/>
    <s v="CA1 Barnes Green"/>
    <x v="0"/>
    <s v="Y"/>
    <m/>
  </r>
  <r>
    <s v="19/0228/FUL"/>
    <n v="216"/>
    <x v="2"/>
    <x v="0"/>
    <d v="2019-06-28T00:00:00"/>
    <d v="2022-06-28T00:00:00"/>
    <m/>
    <m/>
    <x v="2"/>
    <x v="0"/>
    <x v="0"/>
    <s v="Division of the existing dwelling house into two residential units in the form of semi detached houses. The demolition of the existing adjoined garage and alterations to fenestration."/>
    <s v="173 Kew Road, Richmond, TW9 2BB"/>
    <s v="TW9 2BB"/>
    <m/>
    <m/>
    <m/>
    <m/>
    <m/>
    <m/>
    <m/>
    <n v="1"/>
    <n v="1"/>
    <m/>
    <m/>
    <n v="1"/>
    <n v="1"/>
    <m/>
    <m/>
    <m/>
    <m/>
    <n v="2"/>
    <n v="0"/>
    <n v="0"/>
    <n v="1"/>
    <n v="1"/>
    <n v="0"/>
    <n v="0"/>
    <n v="-1"/>
    <n v="0"/>
    <n v="1"/>
    <x v="0"/>
    <m/>
    <n v="0.25"/>
    <n v="0.25"/>
    <n v="0.25"/>
    <n v="0.25"/>
    <m/>
    <m/>
    <m/>
    <m/>
    <m/>
    <m/>
    <m/>
    <m/>
    <m/>
    <m/>
    <m/>
    <m/>
    <n v="1"/>
    <n v="1"/>
    <n v="1"/>
    <m/>
    <m/>
    <n v="518380"/>
    <n v="175623"/>
    <s v="Richmond"/>
    <x v="4"/>
    <m/>
    <m/>
    <m/>
    <m/>
    <m/>
    <s v="CA36 Kew Foot Road"/>
    <x v="0"/>
    <s v="Y"/>
    <s v="Y"/>
  </r>
  <r>
    <s v="20/0595/FUL"/>
    <n v="217"/>
    <x v="0"/>
    <x v="0"/>
    <d v="2020-09-24T00:00:00"/>
    <d v="2023-09-24T00:00:00"/>
    <m/>
    <m/>
    <x v="2"/>
    <x v="0"/>
    <x v="0"/>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n v="0"/>
    <n v="1"/>
    <m/>
    <m/>
    <m/>
    <m/>
    <m/>
    <m/>
    <m/>
    <n v="1"/>
    <n v="1"/>
    <n v="0"/>
    <n v="0"/>
    <n v="0"/>
    <n v="0"/>
    <n v="0"/>
    <n v="0"/>
    <n v="0"/>
    <n v="1"/>
    <x v="0"/>
    <m/>
    <m/>
    <n v="1"/>
    <m/>
    <m/>
    <m/>
    <m/>
    <m/>
    <m/>
    <m/>
    <m/>
    <m/>
    <m/>
    <m/>
    <m/>
    <m/>
    <m/>
    <n v="1"/>
    <n v="1"/>
    <n v="1"/>
    <m/>
    <m/>
    <n v="521318"/>
    <n v="175834"/>
    <s v="Barnes and East Sheen"/>
    <x v="8"/>
    <m/>
    <m/>
    <s v="White Hart lane, Barnes"/>
    <s v="Y"/>
    <m/>
    <s v="CA33 Mortlake"/>
    <x v="0"/>
    <s v="Y"/>
    <m/>
  </r>
  <r>
    <s v="20/1885/FUL"/>
    <n v="218"/>
    <x v="1"/>
    <x v="0"/>
    <d v="2020-10-02T00:00:00"/>
    <d v="2023-10-02T00:00:00"/>
    <m/>
    <m/>
    <x v="2"/>
    <x v="0"/>
    <x v="0"/>
    <s v="Conversion of public house to a single residential dwelling"/>
    <s v="80 Windmill Road, Hampton Hill, Hampton TW12 1QU_x000a_"/>
    <s v="TW12 1QU"/>
    <m/>
    <m/>
    <m/>
    <m/>
    <n v="1"/>
    <m/>
    <m/>
    <m/>
    <n v="1"/>
    <m/>
    <m/>
    <m/>
    <n v="1"/>
    <m/>
    <m/>
    <m/>
    <m/>
    <n v="1"/>
    <n v="0"/>
    <n v="0"/>
    <n v="0"/>
    <n v="0"/>
    <n v="0"/>
    <n v="0"/>
    <n v="0"/>
    <n v="0"/>
    <n v="0"/>
    <x v="0"/>
    <m/>
    <n v="0"/>
    <m/>
    <m/>
    <m/>
    <m/>
    <m/>
    <m/>
    <m/>
    <m/>
    <m/>
    <m/>
    <m/>
    <m/>
    <m/>
    <m/>
    <m/>
    <n v="0"/>
    <n v="0"/>
    <n v="0"/>
    <m/>
    <m/>
    <n v="513956"/>
    <n v="171140"/>
    <s v="Teddington and the Hamptons"/>
    <x v="14"/>
    <m/>
    <m/>
    <m/>
    <m/>
    <m/>
    <m/>
    <x v="1"/>
    <m/>
    <m/>
  </r>
  <r>
    <s v="20/0145/FUL"/>
    <n v="219"/>
    <x v="2"/>
    <x v="0"/>
    <d v="2020-10-05T00:00:00"/>
    <d v="2023-10-05T00:00:00"/>
    <m/>
    <m/>
    <x v="2"/>
    <x v="0"/>
    <x v="0"/>
    <s v="3,2m rear extension and division of a single flat into 2 flats."/>
    <s v="133A Percy Road, Twickenham TW2 6HT"/>
    <s v="TW2 6HT"/>
    <m/>
    <m/>
    <m/>
    <m/>
    <n v="1"/>
    <m/>
    <m/>
    <m/>
    <n v="1"/>
    <n v="1"/>
    <n v="1"/>
    <m/>
    <m/>
    <m/>
    <m/>
    <m/>
    <m/>
    <n v="2"/>
    <n v="1"/>
    <n v="1"/>
    <n v="0"/>
    <n v="-1"/>
    <n v="0"/>
    <n v="0"/>
    <n v="0"/>
    <n v="0"/>
    <n v="1"/>
    <x v="0"/>
    <m/>
    <n v="0.25"/>
    <n v="0.25"/>
    <n v="0.25"/>
    <n v="0.25"/>
    <m/>
    <m/>
    <m/>
    <m/>
    <m/>
    <m/>
    <m/>
    <m/>
    <m/>
    <m/>
    <m/>
    <m/>
    <n v="1"/>
    <n v="1"/>
    <n v="1"/>
    <m/>
    <m/>
    <n v="514206"/>
    <n v="173520"/>
    <s v="Whitton"/>
    <x v="16"/>
    <s v="Whitton"/>
    <m/>
    <m/>
    <m/>
    <m/>
    <m/>
    <x v="1"/>
    <s v="Y"/>
    <m/>
  </r>
  <r>
    <s v="19/1219/FUL"/>
    <n v="220"/>
    <x v="3"/>
    <x v="0"/>
    <d v="2019-12-11T00:00:00"/>
    <d v="2022-12-11T00:00:00"/>
    <m/>
    <m/>
    <x v="2"/>
    <x v="0"/>
    <x v="0"/>
    <s v="Replacement 2 storey 4 bedroom dwellinghouse with basement level and accommodation in the roof.  Associated hard and soft landscaping, cycle and refuse stores and parking."/>
    <s v="21 Sunbury Avenue, East Sheen, London SW14 8RA"/>
    <s v="SW14 8RA"/>
    <m/>
    <m/>
    <n v="1"/>
    <m/>
    <m/>
    <m/>
    <m/>
    <m/>
    <n v="1"/>
    <m/>
    <m/>
    <n v="1"/>
    <m/>
    <m/>
    <m/>
    <m/>
    <m/>
    <n v="1"/>
    <n v="0"/>
    <n v="-1"/>
    <n v="1"/>
    <n v="0"/>
    <n v="0"/>
    <n v="0"/>
    <n v="0"/>
    <n v="0"/>
    <n v="0"/>
    <x v="0"/>
    <m/>
    <n v="0"/>
    <m/>
    <m/>
    <m/>
    <m/>
    <m/>
    <m/>
    <m/>
    <m/>
    <m/>
    <m/>
    <m/>
    <m/>
    <m/>
    <m/>
    <m/>
    <n v="0"/>
    <n v="0"/>
    <n v="0"/>
    <m/>
    <m/>
    <n v="520990"/>
    <n v="175033"/>
    <s v="Barnes and East Sheen"/>
    <x v="13"/>
    <m/>
    <m/>
    <m/>
    <m/>
    <m/>
    <m/>
    <x v="1"/>
    <s v="Y"/>
    <m/>
  </r>
  <r>
    <s v="20/0921/FUL"/>
    <n v="221"/>
    <x v="2"/>
    <x v="0"/>
    <d v="2020-10-14T00:00:00"/>
    <d v="2023-10-14T00:00:00"/>
    <m/>
    <m/>
    <x v="2"/>
    <x v="0"/>
    <x v="0"/>
    <s v="Conversion of existing 3-bed terraced dwelling to 2 x 1-bed flats"/>
    <s v="22 Linden Road, Hampton, TW12 2JB"/>
    <s v="TW12 2JB"/>
    <m/>
    <m/>
    <m/>
    <n v="1"/>
    <m/>
    <m/>
    <m/>
    <m/>
    <n v="1"/>
    <n v="2"/>
    <m/>
    <m/>
    <m/>
    <m/>
    <m/>
    <m/>
    <m/>
    <n v="2"/>
    <n v="2"/>
    <n v="0"/>
    <n v="-1"/>
    <n v="0"/>
    <n v="0"/>
    <n v="0"/>
    <n v="0"/>
    <n v="0"/>
    <n v="1"/>
    <x v="0"/>
    <m/>
    <n v="0.25"/>
    <n v="0.25"/>
    <n v="0.25"/>
    <n v="0.25"/>
    <m/>
    <m/>
    <m/>
    <m/>
    <m/>
    <m/>
    <m/>
    <m/>
    <m/>
    <m/>
    <m/>
    <m/>
    <n v="1"/>
    <n v="1"/>
    <n v="1"/>
    <m/>
    <m/>
    <n v="513125"/>
    <n v="169836"/>
    <s v="Teddington and the Hamptons"/>
    <x v="15"/>
    <m/>
    <m/>
    <m/>
    <m/>
    <m/>
    <m/>
    <x v="1"/>
    <s v="Y"/>
    <m/>
  </r>
  <r>
    <s v="20/2077/GPD15"/>
    <n v="222"/>
    <x v="1"/>
    <x v="1"/>
    <d v="2020-10-23T00:00:00"/>
    <d v="2023-10-23T00:00:00"/>
    <m/>
    <m/>
    <x v="2"/>
    <x v="0"/>
    <x v="0"/>
    <s v="Change of use from Class B1(a) to Class C3 to provide 1 x 3 bed flat"/>
    <s v="First Floor, 23 - 25 King Street, Twickenham, TW1 3SD"/>
    <s v="TW1 3SD"/>
    <m/>
    <m/>
    <m/>
    <m/>
    <m/>
    <m/>
    <m/>
    <m/>
    <n v="0"/>
    <m/>
    <m/>
    <n v="1"/>
    <m/>
    <m/>
    <m/>
    <m/>
    <m/>
    <n v="1"/>
    <n v="0"/>
    <n v="0"/>
    <n v="1"/>
    <n v="0"/>
    <n v="0"/>
    <n v="0"/>
    <n v="0"/>
    <n v="0"/>
    <n v="1"/>
    <x v="0"/>
    <m/>
    <n v="0.25"/>
    <n v="0.25"/>
    <n v="0.25"/>
    <n v="0.25"/>
    <m/>
    <m/>
    <m/>
    <m/>
    <m/>
    <m/>
    <m/>
    <m/>
    <m/>
    <m/>
    <m/>
    <m/>
    <n v="1"/>
    <n v="1"/>
    <n v="1"/>
    <m/>
    <m/>
    <n v="516240"/>
    <n v="173173"/>
    <s v="Twickenham"/>
    <x v="9"/>
    <s v="Twickenham"/>
    <m/>
    <m/>
    <m/>
    <m/>
    <m/>
    <x v="1"/>
    <s v="Y"/>
    <m/>
  </r>
  <r>
    <s v="19/3632/FUL"/>
    <n v="223"/>
    <x v="4"/>
    <x v="0"/>
    <d v="2020-11-02T00:00:00"/>
    <d v="2023-11-02T00:00:00"/>
    <m/>
    <m/>
    <x v="2"/>
    <x v="0"/>
    <x v="0"/>
    <s v="Loft conversion to no. 1 and no. 3 Cromwell Road to provide 2 x 1 person studios with external extensions (side dormer roof extensions) and alterations with internal remodeling and ancillary cycle and refuse storage."/>
    <s v="1 - 3 Cromwell Road, Teddington"/>
    <m/>
    <m/>
    <m/>
    <m/>
    <m/>
    <m/>
    <m/>
    <m/>
    <m/>
    <n v="0"/>
    <n v="2"/>
    <m/>
    <m/>
    <m/>
    <m/>
    <m/>
    <m/>
    <m/>
    <n v="2"/>
    <n v="2"/>
    <n v="0"/>
    <n v="0"/>
    <n v="0"/>
    <n v="0"/>
    <n v="0"/>
    <n v="0"/>
    <n v="0"/>
    <n v="2"/>
    <x v="0"/>
    <m/>
    <n v="0.5"/>
    <n v="0.5"/>
    <n v="0.5"/>
    <n v="0.5"/>
    <m/>
    <m/>
    <m/>
    <m/>
    <m/>
    <m/>
    <m/>
    <m/>
    <m/>
    <m/>
    <m/>
    <m/>
    <n v="2"/>
    <n v="2"/>
    <n v="2"/>
    <m/>
    <m/>
    <n v="516132"/>
    <n v="170736"/>
    <s v="Teddington and the Hamptons"/>
    <x v="0"/>
    <m/>
    <m/>
    <m/>
    <m/>
    <m/>
    <m/>
    <x v="1"/>
    <s v="Y"/>
    <m/>
  </r>
  <r>
    <s v="18/3418/FUL"/>
    <n v="224"/>
    <x v="3"/>
    <x v="0"/>
    <d v="2019-12-19T00:00:00"/>
    <d v="2023-11-10T00:00:00"/>
    <m/>
    <m/>
    <x v="2"/>
    <x v="0"/>
    <x v="0"/>
    <s v="Demolition of existing garages and erection of 1no. Dwelling house. Relocation of entrance to existing flats."/>
    <s v="332 Richmond Road, Twickenham TW1 2DU"/>
    <s v="TW1 2DU"/>
    <m/>
    <m/>
    <m/>
    <m/>
    <m/>
    <m/>
    <m/>
    <m/>
    <n v="0"/>
    <m/>
    <n v="1"/>
    <m/>
    <m/>
    <m/>
    <m/>
    <m/>
    <m/>
    <n v="1"/>
    <n v="0"/>
    <n v="1"/>
    <n v="0"/>
    <n v="0"/>
    <n v="0"/>
    <n v="0"/>
    <n v="0"/>
    <n v="0"/>
    <n v="1"/>
    <x v="0"/>
    <m/>
    <n v="0.25"/>
    <n v="0.25"/>
    <n v="0.25"/>
    <n v="0.25"/>
    <m/>
    <m/>
    <m/>
    <m/>
    <m/>
    <m/>
    <m/>
    <m/>
    <m/>
    <m/>
    <m/>
    <m/>
    <n v="1"/>
    <n v="1"/>
    <n v="1"/>
    <m/>
    <m/>
    <n v="517407"/>
    <n v="174195"/>
    <s v="Twickenham"/>
    <x v="9"/>
    <m/>
    <m/>
    <s v="East Twickenham"/>
    <s v="Y"/>
    <m/>
    <s v="CA66 Richmond Road East Twickenham"/>
    <x v="0"/>
    <s v="Y"/>
    <m/>
  </r>
  <r>
    <s v="19/2414/FUL"/>
    <n v="225"/>
    <x v="3"/>
    <x v="0"/>
    <d v="2020-07-08T00:00:00"/>
    <d v="2023-07-08T00:00:00"/>
    <m/>
    <m/>
    <x v="2"/>
    <x v="0"/>
    <x v="0"/>
    <s v="Erection of a single storey one-bed dwelling, associated parking provision, cycle and refuse stores and landscaping."/>
    <s v="Rear Of 54 Heathside, Whitton"/>
    <s v="TW4 5NN"/>
    <m/>
    <m/>
    <m/>
    <m/>
    <m/>
    <m/>
    <m/>
    <m/>
    <n v="0"/>
    <n v="1"/>
    <m/>
    <m/>
    <m/>
    <m/>
    <m/>
    <m/>
    <m/>
    <n v="1"/>
    <n v="1"/>
    <n v="0"/>
    <n v="0"/>
    <n v="0"/>
    <n v="0"/>
    <n v="0"/>
    <n v="0"/>
    <n v="0"/>
    <n v="1"/>
    <x v="0"/>
    <m/>
    <n v="0.25"/>
    <n v="0.25"/>
    <n v="0.25"/>
    <n v="0.25"/>
    <m/>
    <m/>
    <m/>
    <m/>
    <m/>
    <m/>
    <m/>
    <m/>
    <m/>
    <m/>
    <m/>
    <m/>
    <n v="1"/>
    <n v="1"/>
    <n v="1"/>
    <m/>
    <m/>
    <n v="512957"/>
    <n v="173546"/>
    <s v="Whitton"/>
    <x v="16"/>
    <m/>
    <m/>
    <m/>
    <m/>
    <m/>
    <m/>
    <x v="1"/>
    <m/>
    <m/>
  </r>
  <r>
    <s v="19/3746/FUL"/>
    <n v="226"/>
    <x v="4"/>
    <x v="0"/>
    <d v="2020-12-10T00:00:00"/>
    <d v="2023-12-10T00:00:00"/>
    <m/>
    <m/>
    <x v="2"/>
    <x v="0"/>
    <x v="0"/>
    <s v="Rear extension at second and third floor levels to form 2 x 1 person flats"/>
    <s v="Tabard House, 22 Upper Teddington Road, Hampton Wick"/>
    <s v="KT1 4DT"/>
    <m/>
    <m/>
    <m/>
    <m/>
    <m/>
    <m/>
    <m/>
    <m/>
    <n v="0"/>
    <n v="2"/>
    <m/>
    <m/>
    <m/>
    <m/>
    <m/>
    <m/>
    <m/>
    <n v="2"/>
    <n v="2"/>
    <n v="0"/>
    <n v="0"/>
    <n v="0"/>
    <n v="0"/>
    <n v="0"/>
    <n v="0"/>
    <n v="0"/>
    <n v="2"/>
    <x v="0"/>
    <m/>
    <n v="0.5"/>
    <n v="0.5"/>
    <n v="0.5"/>
    <n v="0.5"/>
    <m/>
    <m/>
    <m/>
    <m/>
    <m/>
    <m/>
    <m/>
    <m/>
    <m/>
    <m/>
    <m/>
    <m/>
    <n v="2"/>
    <n v="2"/>
    <n v="2"/>
    <m/>
    <m/>
    <n v="517355"/>
    <n v="169968"/>
    <s v="Teddington and the Hamptons"/>
    <x v="10"/>
    <m/>
    <m/>
    <m/>
    <m/>
    <m/>
    <m/>
    <x v="1"/>
    <s v="Y"/>
    <m/>
  </r>
  <r>
    <s v="19/3101/GPD23"/>
    <n v="227"/>
    <x v="1"/>
    <x v="1"/>
    <d v="2019-11-18T00:00:00"/>
    <d v="2022-11-18T00:00:00"/>
    <m/>
    <m/>
    <x v="2"/>
    <x v="0"/>
    <x v="0"/>
    <s v="Change of Use of existing B1(c) light industrial unit to residential C3 providing 1No. 2 Bed dwelling."/>
    <s v="Unit 4, Princes Works, Princes Road, Teddington TW11 0RW_x000a_"/>
    <s v="TW11 0RW"/>
    <m/>
    <m/>
    <m/>
    <m/>
    <m/>
    <m/>
    <m/>
    <m/>
    <n v="0"/>
    <m/>
    <n v="1"/>
    <m/>
    <m/>
    <m/>
    <m/>
    <m/>
    <m/>
    <n v="1"/>
    <n v="0"/>
    <n v="1"/>
    <n v="0"/>
    <n v="0"/>
    <n v="0"/>
    <n v="0"/>
    <n v="0"/>
    <n v="0"/>
    <n v="1"/>
    <x v="0"/>
    <m/>
    <n v="0.25"/>
    <n v="0.25"/>
    <n v="0.25"/>
    <n v="0.25"/>
    <m/>
    <m/>
    <m/>
    <m/>
    <m/>
    <m/>
    <m/>
    <m/>
    <m/>
    <m/>
    <m/>
    <m/>
    <n v="1"/>
    <n v="1"/>
    <n v="1"/>
    <m/>
    <m/>
    <n v="515035"/>
    <n v="171569"/>
    <s v="Teddington and the Hamptons"/>
    <x v="14"/>
    <m/>
    <m/>
    <s v="Stanley Road, Teddington"/>
    <s v="Y"/>
    <m/>
    <m/>
    <x v="1"/>
    <s v="Y"/>
    <m/>
  </r>
  <r>
    <s v="19/0198/HOT"/>
    <n v="228"/>
    <x v="1"/>
    <x v="0"/>
    <d v="2020-12-22T00:00:00"/>
    <d v="2023-12-22T00:00:00"/>
    <m/>
    <m/>
    <x v="2"/>
    <x v="0"/>
    <x v="0"/>
    <s v="Works of alteration and refurbishment in connection with the use of the building as a single, family dwellinghouse, including: demolition of existing Victorian side extension and construction of replacement side extension with roof terrace. Construction o"/>
    <s v="Wick House, Richmond Hill, Richmond TW10 6RN"/>
    <s v="TW10 6RN"/>
    <m/>
    <m/>
    <m/>
    <m/>
    <m/>
    <m/>
    <m/>
    <m/>
    <n v="0"/>
    <m/>
    <m/>
    <m/>
    <m/>
    <n v="1"/>
    <m/>
    <m/>
    <m/>
    <n v="1"/>
    <n v="0"/>
    <n v="0"/>
    <n v="0"/>
    <n v="0"/>
    <n v="1"/>
    <n v="0"/>
    <n v="0"/>
    <n v="0"/>
    <n v="1"/>
    <x v="0"/>
    <m/>
    <n v="0.25"/>
    <n v="0.25"/>
    <n v="0.25"/>
    <n v="0.25"/>
    <m/>
    <m/>
    <m/>
    <m/>
    <m/>
    <m/>
    <m/>
    <m/>
    <m/>
    <m/>
    <m/>
    <m/>
    <n v="1"/>
    <n v="1"/>
    <n v="1"/>
    <m/>
    <m/>
    <n v="518366"/>
    <n v="173868"/>
    <s v="Ham &amp; Petersham"/>
    <x v="2"/>
    <m/>
    <s v="Thames Policy Area"/>
    <m/>
    <m/>
    <s v="Petersham Common"/>
    <s v="CA5 Richmond Hill"/>
    <x v="0"/>
    <s v="Y"/>
    <m/>
  </r>
  <r>
    <s v="20/2093/GPD15"/>
    <n v="229"/>
    <x v="1"/>
    <x v="1"/>
    <d v="2021-01-29T00:00:00"/>
    <d v="2024-01-29T00:00:00"/>
    <m/>
    <m/>
    <x v="2"/>
    <x v="0"/>
    <x v="0"/>
    <s v="CHANGE OF USE FROM OFFICE TO RESIDENTIAL TO CREATE 31 RESIDENTIAL UNITS"/>
    <s v="159 Mortlake Road, Kew_x000a__x000a_"/>
    <s v="TW9"/>
    <m/>
    <m/>
    <m/>
    <m/>
    <m/>
    <m/>
    <m/>
    <m/>
    <n v="0"/>
    <n v="21"/>
    <n v="10"/>
    <m/>
    <m/>
    <m/>
    <m/>
    <m/>
    <m/>
    <n v="31"/>
    <n v="21"/>
    <n v="10"/>
    <n v="0"/>
    <n v="0"/>
    <n v="0"/>
    <n v="0"/>
    <n v="0"/>
    <n v="0"/>
    <n v="31"/>
    <x v="1"/>
    <m/>
    <n v="7.75"/>
    <n v="7.75"/>
    <n v="7.75"/>
    <n v="7.75"/>
    <m/>
    <m/>
    <m/>
    <m/>
    <m/>
    <m/>
    <m/>
    <m/>
    <m/>
    <m/>
    <m/>
    <m/>
    <n v="31"/>
    <n v="31"/>
    <n v="31"/>
    <m/>
    <m/>
    <n v="519533"/>
    <n v="176694"/>
    <s v="Richmond"/>
    <x v="3"/>
    <m/>
    <m/>
    <m/>
    <m/>
    <m/>
    <m/>
    <x v="1"/>
    <s v="Y"/>
    <m/>
  </r>
  <r>
    <s v="19/3704/FUL"/>
    <n v="230"/>
    <x v="0"/>
    <x v="0"/>
    <d v="2020-08-06T00:00:00"/>
    <d v="2023-08-06T00:00:00"/>
    <m/>
    <m/>
    <x v="2"/>
    <x v="0"/>
    <x v="0"/>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_x000a__x000a_"/>
    <s v="TW12 1JG"/>
    <m/>
    <m/>
    <m/>
    <n v="1"/>
    <m/>
    <m/>
    <m/>
    <m/>
    <n v="1"/>
    <n v="4"/>
    <m/>
    <m/>
    <m/>
    <m/>
    <m/>
    <m/>
    <m/>
    <n v="4"/>
    <n v="4"/>
    <n v="0"/>
    <n v="-1"/>
    <n v="0"/>
    <n v="0"/>
    <n v="0"/>
    <n v="0"/>
    <n v="0"/>
    <n v="3"/>
    <x v="0"/>
    <m/>
    <n v="0.75"/>
    <n v="0.75"/>
    <n v="0.75"/>
    <n v="0.75"/>
    <m/>
    <m/>
    <m/>
    <m/>
    <m/>
    <m/>
    <m/>
    <m/>
    <m/>
    <m/>
    <m/>
    <m/>
    <n v="3"/>
    <n v="3"/>
    <n v="3"/>
    <m/>
    <m/>
    <n v="514554"/>
    <n v="171263"/>
    <s v="Teddington and the Hamptons"/>
    <x v="14"/>
    <m/>
    <m/>
    <s v="High Street, Hampton Hill"/>
    <s v="Y"/>
    <m/>
    <m/>
    <x v="1"/>
    <s v="Y"/>
    <m/>
  </r>
  <r>
    <s v="20/1846/FUL"/>
    <n v="231"/>
    <x v="0"/>
    <x v="0"/>
    <d v="2021-02-12T00:00:00"/>
    <d v="2024-02-12T00:00:00"/>
    <m/>
    <m/>
    <x v="2"/>
    <x v="0"/>
    <x v="0"/>
    <s v="Ground and basement extensions to facilitate change of use of basement and part change of use of ground floor from A1 to C3 to provide a one- bedroom residential unit"/>
    <s v="4 The Broadway, Barnes, London, SW13 0NY"/>
    <s v="SW13 0NY"/>
    <m/>
    <m/>
    <m/>
    <m/>
    <m/>
    <m/>
    <m/>
    <m/>
    <n v="0"/>
    <n v="1"/>
    <m/>
    <m/>
    <m/>
    <m/>
    <m/>
    <m/>
    <m/>
    <n v="1"/>
    <n v="1"/>
    <n v="0"/>
    <n v="0"/>
    <n v="0"/>
    <n v="0"/>
    <n v="0"/>
    <n v="0"/>
    <n v="0"/>
    <n v="1"/>
    <x v="0"/>
    <m/>
    <n v="0.25"/>
    <n v="0.25"/>
    <n v="0.25"/>
    <n v="0.25"/>
    <m/>
    <m/>
    <m/>
    <m/>
    <m/>
    <m/>
    <m/>
    <m/>
    <m/>
    <m/>
    <m/>
    <m/>
    <n v="1"/>
    <n v="1"/>
    <n v="1"/>
    <m/>
    <m/>
    <n v="521239"/>
    <n v="176042"/>
    <s v="Barnes and East Sheen"/>
    <x v="8"/>
    <m/>
    <m/>
    <s v="White Hart Lane/Mortlake H"/>
    <s v="Y"/>
    <m/>
    <s v="CA33 Mortlake"/>
    <x v="0"/>
    <s v="Y"/>
    <m/>
  </r>
  <r>
    <s v="20/2841/FUL"/>
    <n v="232"/>
    <x v="4"/>
    <x v="0"/>
    <d v="2021-02-12T00:00:00"/>
    <d v="2024-02-12T00:00:00"/>
    <m/>
    <m/>
    <x v="2"/>
    <x v="0"/>
    <x v="0"/>
    <s v="Proposed erection of single storey building at rear to provide 1 no. self contained flat"/>
    <s v="118A - 118B High Street, Hampton Hill, Hampton, TW12 1NT"/>
    <s v="TW12 1NT"/>
    <m/>
    <m/>
    <m/>
    <m/>
    <m/>
    <m/>
    <m/>
    <m/>
    <n v="0"/>
    <n v="1"/>
    <m/>
    <m/>
    <m/>
    <m/>
    <m/>
    <m/>
    <m/>
    <n v="1"/>
    <n v="1"/>
    <n v="0"/>
    <n v="0"/>
    <n v="0"/>
    <n v="0"/>
    <n v="0"/>
    <n v="0"/>
    <n v="0"/>
    <n v="1"/>
    <x v="0"/>
    <m/>
    <n v="0.25"/>
    <n v="0.25"/>
    <n v="0.25"/>
    <n v="0.25"/>
    <m/>
    <m/>
    <m/>
    <m/>
    <m/>
    <m/>
    <m/>
    <m/>
    <m/>
    <m/>
    <m/>
    <m/>
    <n v="1"/>
    <n v="1"/>
    <n v="1"/>
    <m/>
    <m/>
    <n v="514515"/>
    <n v="171261"/>
    <s v="Teddington and the Hamptons"/>
    <x v="14"/>
    <m/>
    <m/>
    <s v="High Street, Hampton Hill"/>
    <s v="Y"/>
    <m/>
    <m/>
    <x v="1"/>
    <s v="Y"/>
    <m/>
  </r>
  <r>
    <s v="21/0110/GPD15"/>
    <n v="233"/>
    <x v="1"/>
    <x v="1"/>
    <d v="2021-02-16T00:00:00"/>
    <d v="2024-02-16T00:00:00"/>
    <m/>
    <m/>
    <x v="2"/>
    <x v="0"/>
    <x v="0"/>
    <s v="Change of Use from Offices (Class E formerly B1(a)) to C3 to form 1 x 2 bed and 1 x 1 bed flats."/>
    <s v="Unit A, 92 - 98 Lower Mortlake Road, Richmond_x000a__x000a_"/>
    <s v="TW9 2JG"/>
    <m/>
    <m/>
    <m/>
    <m/>
    <m/>
    <m/>
    <m/>
    <m/>
    <n v="0"/>
    <n v="1"/>
    <n v="1"/>
    <m/>
    <m/>
    <m/>
    <m/>
    <m/>
    <m/>
    <n v="2"/>
    <n v="1"/>
    <n v="1"/>
    <n v="0"/>
    <n v="0"/>
    <n v="0"/>
    <n v="0"/>
    <n v="0"/>
    <n v="0"/>
    <n v="2"/>
    <x v="0"/>
    <m/>
    <n v="0.5"/>
    <n v="0.5"/>
    <n v="0.5"/>
    <n v="0.5"/>
    <m/>
    <m/>
    <m/>
    <m/>
    <m/>
    <m/>
    <m/>
    <m/>
    <m/>
    <m/>
    <m/>
    <m/>
    <n v="2"/>
    <n v="2"/>
    <n v="2"/>
    <m/>
    <m/>
    <n v="518638"/>
    <n v="175484"/>
    <s v="Richmond"/>
    <x v="4"/>
    <m/>
    <m/>
    <m/>
    <m/>
    <m/>
    <m/>
    <x v="1"/>
    <s v="Y"/>
    <m/>
  </r>
  <r>
    <s v="20/0238/GPD23"/>
    <n v="234"/>
    <x v="1"/>
    <x v="1"/>
    <d v="2020-05-05T00:00:00"/>
    <d v="2023-05-05T00:00:00"/>
    <m/>
    <m/>
    <x v="2"/>
    <x v="0"/>
    <x v="0"/>
    <s v="Change of use of existing light industrial unit B1(c) to residential dwelling C3"/>
    <s v="Unit 2, Princes Works, Princes Road, Teddington"/>
    <s v="TW11 0RW"/>
    <m/>
    <m/>
    <m/>
    <m/>
    <m/>
    <m/>
    <m/>
    <m/>
    <n v="0"/>
    <m/>
    <n v="1"/>
    <m/>
    <m/>
    <m/>
    <m/>
    <m/>
    <m/>
    <n v="1"/>
    <n v="0"/>
    <n v="1"/>
    <n v="0"/>
    <n v="0"/>
    <n v="0"/>
    <n v="0"/>
    <n v="0"/>
    <n v="0"/>
    <n v="1"/>
    <x v="0"/>
    <m/>
    <n v="0.25"/>
    <n v="0.25"/>
    <n v="0.25"/>
    <n v="0.25"/>
    <m/>
    <m/>
    <m/>
    <m/>
    <m/>
    <m/>
    <m/>
    <m/>
    <m/>
    <m/>
    <m/>
    <m/>
    <n v="1"/>
    <n v="1"/>
    <n v="1"/>
    <m/>
    <m/>
    <n v="515038"/>
    <n v="171570"/>
    <s v="Teddington and the Hamptons"/>
    <x v="14"/>
    <m/>
    <m/>
    <s v="Stanley Road, Teddington"/>
    <s v="Y"/>
    <m/>
    <m/>
    <x v="1"/>
    <s v="Y"/>
    <m/>
  </r>
  <r>
    <s v="20/3689/GPD15"/>
    <n v="235"/>
    <x v="1"/>
    <x v="1"/>
    <d v="2021-03-01T00:00:00"/>
    <d v="2024-03-01T00:00:00"/>
    <m/>
    <m/>
    <x v="2"/>
    <x v="0"/>
    <x v="0"/>
    <s v="Proposed change the use from office to residential (1No. 2-bed unit) within the wing to the south of the property"/>
    <s v="171 Kingston Road, Teddington, TW11 9JP"/>
    <s v="TW11 9JP"/>
    <m/>
    <m/>
    <m/>
    <m/>
    <m/>
    <m/>
    <m/>
    <m/>
    <n v="0"/>
    <m/>
    <n v="1"/>
    <m/>
    <m/>
    <m/>
    <m/>
    <m/>
    <m/>
    <n v="1"/>
    <n v="0"/>
    <n v="1"/>
    <n v="0"/>
    <n v="0"/>
    <n v="0"/>
    <n v="0"/>
    <n v="0"/>
    <n v="0"/>
    <n v="1"/>
    <x v="0"/>
    <m/>
    <n v="0.25"/>
    <n v="0.25"/>
    <n v="0.25"/>
    <n v="0.25"/>
    <m/>
    <m/>
    <m/>
    <m/>
    <m/>
    <m/>
    <m/>
    <m/>
    <m/>
    <m/>
    <m/>
    <m/>
    <n v="1"/>
    <n v="1"/>
    <n v="1"/>
    <m/>
    <m/>
    <n v="516869"/>
    <n v="170713"/>
    <s v="Teddington and the Hamptons"/>
    <x v="10"/>
    <m/>
    <m/>
    <m/>
    <m/>
    <m/>
    <m/>
    <x v="1"/>
    <s v="Y"/>
    <m/>
  </r>
  <r>
    <s v="20/0740/FUL"/>
    <n v="236"/>
    <x v="3"/>
    <x v="0"/>
    <d v="2020-06-24T00:00:00"/>
    <d v="2023-06-24T00:00:00"/>
    <m/>
    <m/>
    <x v="2"/>
    <x v="0"/>
    <x v="0"/>
    <s v="Demolition of existing detached dwelling and construction of new 2 storey 4 bed house with basement level with associated hard and soft landscaping, cycle and refuse stores"/>
    <s v="Downlands, Petersham Close, Petersham, Richmond TW10 7DZ_x000a_"/>
    <s v="TW10 7DZ"/>
    <m/>
    <m/>
    <m/>
    <m/>
    <n v="1"/>
    <m/>
    <m/>
    <m/>
    <n v="1"/>
    <m/>
    <m/>
    <m/>
    <m/>
    <n v="1"/>
    <m/>
    <m/>
    <m/>
    <n v="1"/>
    <n v="0"/>
    <n v="0"/>
    <n v="0"/>
    <n v="-1"/>
    <n v="1"/>
    <n v="0"/>
    <n v="0"/>
    <n v="0"/>
    <n v="0"/>
    <x v="0"/>
    <m/>
    <n v="0"/>
    <m/>
    <m/>
    <m/>
    <m/>
    <m/>
    <m/>
    <m/>
    <m/>
    <m/>
    <m/>
    <m/>
    <m/>
    <m/>
    <m/>
    <m/>
    <n v="0"/>
    <n v="0"/>
    <n v="0"/>
    <m/>
    <m/>
    <n v="517972"/>
    <n v="172874"/>
    <s v="Ham &amp; Petersham"/>
    <x v="2"/>
    <m/>
    <m/>
    <m/>
    <m/>
    <m/>
    <m/>
    <x v="1"/>
    <m/>
    <m/>
  </r>
  <r>
    <s v="19/3616/FUL"/>
    <n v="237"/>
    <x v="3"/>
    <x v="0"/>
    <d v="2021-03-03T00:00:00"/>
    <d v="2024-03-03T00:00:00"/>
    <m/>
    <m/>
    <x v="2"/>
    <x v="6"/>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_x000a_"/>
    <s v="TW1 4LJ"/>
    <m/>
    <m/>
    <m/>
    <m/>
    <m/>
    <m/>
    <m/>
    <m/>
    <n v="0"/>
    <n v="10"/>
    <m/>
    <m/>
    <m/>
    <m/>
    <m/>
    <m/>
    <m/>
    <n v="10"/>
    <n v="10"/>
    <n v="0"/>
    <n v="0"/>
    <n v="0"/>
    <n v="0"/>
    <n v="0"/>
    <n v="0"/>
    <n v="0"/>
    <n v="10"/>
    <x v="1"/>
    <m/>
    <m/>
    <m/>
    <n v="5"/>
    <n v="5"/>
    <m/>
    <m/>
    <m/>
    <m/>
    <m/>
    <m/>
    <m/>
    <m/>
    <m/>
    <m/>
    <m/>
    <m/>
    <n v="10"/>
    <n v="10"/>
    <n v="10"/>
    <m/>
    <m/>
    <n v="516060"/>
    <n v="173599"/>
    <s v="Twickenham"/>
    <x v="9"/>
    <s v="Twickenham"/>
    <m/>
    <m/>
    <m/>
    <m/>
    <m/>
    <x v="1"/>
    <s v="Y"/>
    <m/>
  </r>
  <r>
    <s v="19/3616/FUL"/>
    <n v="238"/>
    <x v="3"/>
    <x v="0"/>
    <d v="2021-03-03T00:00:00"/>
    <d v="2024-03-03T00:00:00"/>
    <m/>
    <m/>
    <x v="2"/>
    <x v="0"/>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_x000a_"/>
    <s v="TW1 4LJ"/>
    <m/>
    <m/>
    <m/>
    <m/>
    <m/>
    <m/>
    <m/>
    <m/>
    <n v="0"/>
    <n v="28"/>
    <n v="8"/>
    <m/>
    <m/>
    <m/>
    <m/>
    <m/>
    <m/>
    <n v="36"/>
    <n v="28"/>
    <n v="8"/>
    <n v="0"/>
    <n v="0"/>
    <n v="0"/>
    <n v="0"/>
    <n v="0"/>
    <n v="0"/>
    <n v="36"/>
    <x v="1"/>
    <m/>
    <m/>
    <m/>
    <n v="18"/>
    <n v="18"/>
    <m/>
    <m/>
    <m/>
    <m/>
    <m/>
    <m/>
    <m/>
    <m/>
    <m/>
    <m/>
    <m/>
    <m/>
    <n v="36"/>
    <n v="36"/>
    <n v="36"/>
    <m/>
    <m/>
    <n v="516060"/>
    <n v="173599"/>
    <s v="Twickenham"/>
    <x v="9"/>
    <s v="Twickenham"/>
    <m/>
    <m/>
    <m/>
    <m/>
    <m/>
    <x v="1"/>
    <s v="Y"/>
    <m/>
  </r>
  <r>
    <s v="20/3495/FUL"/>
    <n v="239"/>
    <x v="1"/>
    <x v="0"/>
    <d v="2021-03-08T00:00:00"/>
    <d v="2024-03-08T00:00:00"/>
    <m/>
    <m/>
    <x v="2"/>
    <x v="0"/>
    <x v="0"/>
    <s v="Conversion of existing ancillary residential accommodation to a single-family dwelling house with minor external alterations, associated parking, refuse and cycle enclosures."/>
    <s v="Land To Rear Of 24 Marchmont Road, Richmond TW10 6HQ"/>
    <s v="TW10 6HQ"/>
    <m/>
    <m/>
    <m/>
    <m/>
    <m/>
    <m/>
    <m/>
    <m/>
    <n v="0"/>
    <n v="1"/>
    <m/>
    <m/>
    <m/>
    <m/>
    <m/>
    <m/>
    <m/>
    <n v="1"/>
    <n v="1"/>
    <n v="0"/>
    <n v="0"/>
    <n v="0"/>
    <n v="0"/>
    <n v="0"/>
    <n v="0"/>
    <n v="0"/>
    <n v="1"/>
    <x v="0"/>
    <m/>
    <n v="0.25"/>
    <n v="0.25"/>
    <n v="0.25"/>
    <n v="0.25"/>
    <m/>
    <m/>
    <m/>
    <m/>
    <m/>
    <m/>
    <m/>
    <m/>
    <m/>
    <m/>
    <m/>
    <m/>
    <n v="1"/>
    <n v="1"/>
    <n v="1"/>
    <m/>
    <m/>
    <n v="518831"/>
    <n v="174557"/>
    <s v="Richmond"/>
    <x v="6"/>
    <m/>
    <m/>
    <m/>
    <m/>
    <m/>
    <m/>
    <x v="1"/>
    <s v="Y"/>
    <m/>
  </r>
  <r>
    <s v="19/1647/FUL"/>
    <n v="240"/>
    <x v="3"/>
    <x v="0"/>
    <d v="2020-03-03T00:00:00"/>
    <d v="2024-03-30T00:00:00"/>
    <m/>
    <m/>
    <x v="2"/>
    <x v="0"/>
    <x v="0"/>
    <s v="Demolition of the existing garage block and the erection of a mews development, consisting of 2 x 2 bedroom dwellings, together with associated car parking and landscaping improvements."/>
    <s v="Garages Adjacent 75, Churchview Road, Twickenham"/>
    <s v="TW2 5BT"/>
    <m/>
    <m/>
    <m/>
    <m/>
    <m/>
    <m/>
    <m/>
    <m/>
    <n v="0"/>
    <m/>
    <n v="2"/>
    <m/>
    <m/>
    <m/>
    <m/>
    <m/>
    <m/>
    <n v="2"/>
    <n v="0"/>
    <n v="2"/>
    <n v="0"/>
    <n v="0"/>
    <n v="0"/>
    <n v="0"/>
    <n v="0"/>
    <n v="0"/>
    <n v="2"/>
    <x v="0"/>
    <m/>
    <n v="0.5"/>
    <n v="0.5"/>
    <n v="0.5"/>
    <n v="0.5"/>
    <m/>
    <m/>
    <m/>
    <m/>
    <m/>
    <m/>
    <m/>
    <m/>
    <m/>
    <m/>
    <m/>
    <m/>
    <n v="2"/>
    <n v="2"/>
    <n v="2"/>
    <m/>
    <m/>
    <n v="514626"/>
    <n v="173079"/>
    <s v="Twickenham"/>
    <x v="11"/>
    <m/>
    <m/>
    <m/>
    <m/>
    <m/>
    <m/>
    <x v="1"/>
    <s v="Y"/>
    <m/>
  </r>
  <r>
    <s v="21/0313/GPD15"/>
    <n v="241"/>
    <x v="1"/>
    <x v="1"/>
    <d v="2021-04-30T00:00:00"/>
    <d v="2024-04-30T00:00:00"/>
    <m/>
    <m/>
    <x v="2"/>
    <x v="0"/>
    <x v="0"/>
    <s v="Conversion of offices in Sandford House into 6 self-contained flats and Jardine House into 4 self-contained flats."/>
    <s v="Jardine House And Sandford House, 1B And 1C Claremont Road , Teddington "/>
    <s v="TW11 8DG"/>
    <m/>
    <m/>
    <m/>
    <m/>
    <m/>
    <m/>
    <m/>
    <m/>
    <n v="0"/>
    <n v="10"/>
    <m/>
    <m/>
    <m/>
    <m/>
    <m/>
    <m/>
    <m/>
    <n v="10"/>
    <n v="10"/>
    <n v="0"/>
    <n v="0"/>
    <n v="0"/>
    <n v="0"/>
    <n v="0"/>
    <n v="0"/>
    <n v="0"/>
    <n v="10"/>
    <x v="1"/>
    <m/>
    <n v="2.5"/>
    <n v="2.5"/>
    <n v="2.5"/>
    <n v="2.5"/>
    <m/>
    <m/>
    <m/>
    <m/>
    <m/>
    <m/>
    <m/>
    <m/>
    <m/>
    <m/>
    <m/>
    <m/>
    <n v="10"/>
    <n v="10"/>
    <n v="10"/>
    <m/>
    <m/>
    <n v="515777"/>
    <n v="171474"/>
    <s v="Teddington and the Hamptons"/>
    <x v="0"/>
    <m/>
    <m/>
    <m/>
    <m/>
    <m/>
    <m/>
    <x v="1"/>
    <s v="Y"/>
    <m/>
  </r>
  <r>
    <s v="21/1087/GPD15"/>
    <n v="242"/>
    <x v="1"/>
    <x v="1"/>
    <d v="2021-05-19T00:00:00"/>
    <d v="2024-05-19T00:00:00"/>
    <m/>
    <m/>
    <x v="2"/>
    <x v="0"/>
    <x v="0"/>
    <s v="The proposed works is for the change of use of existing Class E office use on first floor to provide C3 3 x 1 bedroom units and a 1 x 2 bedroom unit"/>
    <s v="First Floor, 55 - 61 Heath Road, Twickenham"/>
    <s v="TW1 4AW"/>
    <m/>
    <m/>
    <m/>
    <m/>
    <m/>
    <m/>
    <m/>
    <m/>
    <n v="0"/>
    <n v="3"/>
    <n v="1"/>
    <m/>
    <m/>
    <m/>
    <m/>
    <m/>
    <m/>
    <n v="4"/>
    <n v="3"/>
    <n v="1"/>
    <n v="0"/>
    <n v="0"/>
    <n v="0"/>
    <n v="0"/>
    <n v="0"/>
    <n v="0"/>
    <n v="4"/>
    <x v="0"/>
    <m/>
    <n v="1"/>
    <n v="1"/>
    <n v="1"/>
    <n v="1"/>
    <m/>
    <m/>
    <m/>
    <m/>
    <m/>
    <m/>
    <m/>
    <m/>
    <m/>
    <m/>
    <m/>
    <m/>
    <n v="4"/>
    <n v="4"/>
    <n v="4"/>
    <m/>
    <m/>
    <n v="515975"/>
    <n v="173091"/>
    <s v="Twickenham"/>
    <x v="5"/>
    <s v="Twickenham"/>
    <m/>
    <m/>
    <m/>
    <m/>
    <m/>
    <x v="1"/>
    <s v="Y"/>
    <m/>
  </r>
  <r>
    <s v="20/1805/FUL"/>
    <n v="243"/>
    <x v="1"/>
    <x v="0"/>
    <d v="2021-05-20T00:00:00"/>
    <d v="2024-05-20T00:00:00"/>
    <m/>
    <m/>
    <x v="2"/>
    <x v="0"/>
    <x v="0"/>
    <s v="Change of use of part of ground floor commercial unit to provide 4 x 1 bedroom dwellings"/>
    <s v="159 Heath Road, Twickenham, TW1 4BH"/>
    <s v="TW1 4BH"/>
    <m/>
    <m/>
    <m/>
    <m/>
    <m/>
    <m/>
    <m/>
    <m/>
    <n v="0"/>
    <n v="4"/>
    <m/>
    <m/>
    <m/>
    <m/>
    <m/>
    <m/>
    <m/>
    <n v="4"/>
    <n v="4"/>
    <n v="0"/>
    <n v="0"/>
    <n v="0"/>
    <n v="0"/>
    <n v="0"/>
    <n v="0"/>
    <n v="0"/>
    <n v="4"/>
    <x v="0"/>
    <m/>
    <n v="1"/>
    <n v="1"/>
    <n v="1"/>
    <n v="1"/>
    <m/>
    <m/>
    <m/>
    <m/>
    <m/>
    <m/>
    <m/>
    <m/>
    <m/>
    <m/>
    <m/>
    <m/>
    <n v="4"/>
    <n v="4"/>
    <n v="4"/>
    <m/>
    <m/>
    <n v="515605"/>
    <n v="173100"/>
    <s v="Twickenham"/>
    <x v="5"/>
    <s v="Twickenham"/>
    <m/>
    <m/>
    <m/>
    <m/>
    <m/>
    <x v="1"/>
    <s v="Y"/>
    <m/>
  </r>
  <r>
    <s v="20/1558/FUL"/>
    <n v="244"/>
    <x v="4"/>
    <x v="0"/>
    <d v="2021-06-08T00:00:00"/>
    <d v="2024-06-08T00:00:00"/>
    <m/>
    <m/>
    <x v="2"/>
    <x v="0"/>
    <x v="0"/>
    <s v="Additional storey to 2-storey commercial building to provide 4 no.1 bed apartments"/>
    <s v="Ground Floor, 55 - 61 Heath Road, Twickenham, TW1 4AW"/>
    <s v="TW1 4AW"/>
    <m/>
    <m/>
    <m/>
    <m/>
    <m/>
    <m/>
    <m/>
    <m/>
    <n v="0"/>
    <n v="4"/>
    <m/>
    <m/>
    <m/>
    <m/>
    <m/>
    <m/>
    <m/>
    <n v="4"/>
    <n v="4"/>
    <n v="0"/>
    <n v="0"/>
    <n v="0"/>
    <n v="0"/>
    <n v="0"/>
    <n v="0"/>
    <n v="0"/>
    <n v="4"/>
    <x v="0"/>
    <m/>
    <n v="1"/>
    <n v="1"/>
    <n v="1"/>
    <n v="1"/>
    <m/>
    <m/>
    <m/>
    <m/>
    <m/>
    <m/>
    <m/>
    <m/>
    <m/>
    <m/>
    <m/>
    <m/>
    <n v="4"/>
    <n v="4"/>
    <n v="4"/>
    <m/>
    <m/>
    <n v="515975"/>
    <n v="173091"/>
    <s v="Twickenham"/>
    <x v="5"/>
    <s v="Twickenham"/>
    <m/>
    <m/>
    <m/>
    <m/>
    <m/>
    <x v="1"/>
    <s v="Y"/>
    <m/>
  </r>
  <r>
    <s v="20/2411/FUL"/>
    <n v="245"/>
    <x v="3"/>
    <x v="0"/>
    <d v="2021-06-24T00:00:00"/>
    <d v="2024-06-24T00:00:00"/>
    <m/>
    <m/>
    <x v="2"/>
    <x v="0"/>
    <x v="0"/>
    <s v="Erection of a 3 bed detached dwelling house with associated off-street parking and amenity space"/>
    <s v="52 Ringwood Way, Hampton Hill, TW12 1AT"/>
    <s v="TW12 1AT"/>
    <m/>
    <m/>
    <m/>
    <m/>
    <m/>
    <m/>
    <m/>
    <m/>
    <n v="0"/>
    <m/>
    <m/>
    <n v="1"/>
    <m/>
    <m/>
    <m/>
    <m/>
    <m/>
    <n v="1"/>
    <n v="0"/>
    <n v="0"/>
    <n v="1"/>
    <n v="0"/>
    <n v="0"/>
    <n v="0"/>
    <n v="0"/>
    <n v="0"/>
    <n v="1"/>
    <x v="0"/>
    <m/>
    <n v="0.25"/>
    <n v="0.25"/>
    <n v="0.25"/>
    <n v="0.25"/>
    <m/>
    <m/>
    <m/>
    <m/>
    <m/>
    <m/>
    <m/>
    <m/>
    <m/>
    <m/>
    <m/>
    <m/>
    <n v="1"/>
    <n v="1"/>
    <n v="1"/>
    <m/>
    <m/>
    <n v="513278"/>
    <n v="171616"/>
    <s v="Teddington and the Hamptons"/>
    <x v="1"/>
    <m/>
    <m/>
    <m/>
    <m/>
    <m/>
    <m/>
    <x v="1"/>
    <m/>
    <m/>
  </r>
  <r>
    <s v="19/2404/FUL"/>
    <n v="246"/>
    <x v="3"/>
    <x v="0"/>
    <d v="2021-06-30T00:00:00"/>
    <d v="2024-06-30T00:00:00"/>
    <m/>
    <m/>
    <x v="2"/>
    <x v="2"/>
    <x v="0"/>
    <s v="Redevelopment of existing hard standing court to accommodate new 4 storey residential building (comprising 11x1 bed and 1x2 bed charitable housing units) fronting Queens Road and 15 no. surface car parking spaces to the rear. Creation of a new multi-use recreational space, minor alterations for the existing Dickson House office building and a small extension (26 sqm) to the Cambrian Centre at the ground floor of the Caplan Court Building."/>
    <s v="Queens Road Estate, Queens Road, Richmond TW10_x000a_"/>
    <s v="TW10"/>
    <m/>
    <m/>
    <m/>
    <m/>
    <m/>
    <m/>
    <m/>
    <m/>
    <n v="0"/>
    <n v="7"/>
    <n v="1"/>
    <m/>
    <m/>
    <m/>
    <m/>
    <m/>
    <m/>
    <n v="8"/>
    <n v="7"/>
    <n v="1"/>
    <n v="0"/>
    <n v="0"/>
    <n v="0"/>
    <n v="0"/>
    <n v="0"/>
    <n v="0"/>
    <n v="8"/>
    <x v="0"/>
    <m/>
    <m/>
    <m/>
    <n v="4"/>
    <n v="4"/>
    <m/>
    <m/>
    <m/>
    <m/>
    <m/>
    <m/>
    <m/>
    <m/>
    <m/>
    <m/>
    <m/>
    <m/>
    <n v="8"/>
    <n v="8"/>
    <n v="8"/>
    <m/>
    <m/>
    <n v="518792"/>
    <n v="174254"/>
    <s v="Richmond"/>
    <x v="6"/>
    <m/>
    <m/>
    <m/>
    <m/>
    <m/>
    <m/>
    <x v="1"/>
    <m/>
    <m/>
  </r>
  <r>
    <s v="19/2404/FUL"/>
    <n v="247"/>
    <x v="3"/>
    <x v="0"/>
    <d v="2021-06-30T00:00:00"/>
    <d v="2024-06-30T00:00:00"/>
    <m/>
    <m/>
    <x v="2"/>
    <x v="1"/>
    <x v="0"/>
    <s v="Redevelopment of existing hard standing court to accommodate new 4 storey residential building (comprising 11x1 bed and 1x2 bed charitable housing units) fronting Queens Road and 15 no. surface car parking spaces to the rear. Creation of a new multi-use recreational space, minor alterations for the existing Dickson House office building and a small extension (26 sqm) to the Cambrian Centre at the ground floor of the Caplan Court Building."/>
    <s v="Queens Road Estate, Queens Road, Richmond TW10_x000a_"/>
    <s v="TW10"/>
    <m/>
    <m/>
    <m/>
    <m/>
    <m/>
    <m/>
    <m/>
    <m/>
    <n v="0"/>
    <n v="4"/>
    <m/>
    <m/>
    <m/>
    <m/>
    <m/>
    <m/>
    <m/>
    <n v="4"/>
    <n v="4"/>
    <n v="0"/>
    <n v="0"/>
    <n v="0"/>
    <n v="0"/>
    <n v="0"/>
    <n v="0"/>
    <n v="0"/>
    <n v="4"/>
    <x v="0"/>
    <m/>
    <m/>
    <m/>
    <n v="2"/>
    <n v="2"/>
    <m/>
    <m/>
    <m/>
    <m/>
    <m/>
    <m/>
    <m/>
    <m/>
    <m/>
    <m/>
    <m/>
    <m/>
    <n v="4"/>
    <n v="4"/>
    <n v="4"/>
    <m/>
    <m/>
    <n v="518792"/>
    <n v="174254"/>
    <s v="Richmond"/>
    <x v="6"/>
    <m/>
    <m/>
    <m/>
    <m/>
    <m/>
    <m/>
    <x v="1"/>
    <m/>
    <m/>
  </r>
  <r>
    <s v="21/1788/GPD15"/>
    <n v="248"/>
    <x v="1"/>
    <x v="1"/>
    <d v="2021-07-07T00:00:00"/>
    <d v="2024-07-07T00:00:00"/>
    <m/>
    <m/>
    <x v="2"/>
    <x v="0"/>
    <x v="0"/>
    <s v="Change of use from office space to 6 residential units."/>
    <s v="37 Sheen Road, Richmond TW9 1AJ_x000a_"/>
    <s v="TW9 1AJ"/>
    <m/>
    <m/>
    <m/>
    <m/>
    <m/>
    <m/>
    <m/>
    <m/>
    <n v="0"/>
    <m/>
    <n v="4"/>
    <n v="2"/>
    <m/>
    <m/>
    <m/>
    <m/>
    <m/>
    <n v="6"/>
    <n v="0"/>
    <n v="4"/>
    <n v="2"/>
    <n v="0"/>
    <n v="0"/>
    <n v="0"/>
    <n v="0"/>
    <n v="0"/>
    <n v="6"/>
    <x v="0"/>
    <m/>
    <n v="1.5"/>
    <n v="1.5"/>
    <n v="1.5"/>
    <n v="1.5"/>
    <m/>
    <m/>
    <m/>
    <m/>
    <m/>
    <m/>
    <m/>
    <m/>
    <m/>
    <m/>
    <m/>
    <m/>
    <n v="6"/>
    <n v="6"/>
    <n v="6"/>
    <m/>
    <m/>
    <n v="518272"/>
    <n v="174943"/>
    <s v="Richmond"/>
    <x v="6"/>
    <m/>
    <m/>
    <m/>
    <m/>
    <m/>
    <s v="CA31 Sheen Road Richmond"/>
    <x v="0"/>
    <s v="Y"/>
    <m/>
  </r>
  <r>
    <s v="21/1493/GPD15"/>
    <n v="249"/>
    <x v="1"/>
    <x v="1"/>
    <d v="2021-07-09T00:00:00"/>
    <d v="2024-07-09T00:00:00"/>
    <m/>
    <m/>
    <x v="2"/>
    <x v="0"/>
    <x v="0"/>
    <s v="Change of use of first floor office space to create 5 residential units (C3)"/>
    <s v="61 High Street, Teddington, TW11 8HA"/>
    <s v="TW11 8HA"/>
    <m/>
    <m/>
    <m/>
    <m/>
    <m/>
    <m/>
    <m/>
    <m/>
    <n v="0"/>
    <n v="3"/>
    <n v="2"/>
    <m/>
    <m/>
    <m/>
    <m/>
    <m/>
    <m/>
    <n v="5"/>
    <n v="3"/>
    <n v="2"/>
    <n v="0"/>
    <n v="0"/>
    <n v="0"/>
    <n v="0"/>
    <n v="0"/>
    <n v="0"/>
    <n v="5"/>
    <x v="0"/>
    <m/>
    <n v="1.25"/>
    <n v="1.25"/>
    <n v="1.25"/>
    <n v="1.25"/>
    <m/>
    <m/>
    <m/>
    <m/>
    <m/>
    <m/>
    <m/>
    <m/>
    <m/>
    <m/>
    <m/>
    <m/>
    <n v="5"/>
    <n v="5"/>
    <n v="5"/>
    <m/>
    <m/>
    <n v="516134"/>
    <n v="171142"/>
    <s v="Teddington and the Hamptons"/>
    <x v="0"/>
    <s v="Teddington"/>
    <m/>
    <m/>
    <m/>
    <m/>
    <s v="CA37 High Street Teddington"/>
    <x v="0"/>
    <s v="Y"/>
    <m/>
  </r>
  <r>
    <s v="20/2923/FUL"/>
    <n v="250"/>
    <x v="3"/>
    <x v="0"/>
    <d v="2021-07-16T00:00:00"/>
    <d v="2024-07-16T00:00:00"/>
    <m/>
    <m/>
    <x v="2"/>
    <x v="0"/>
    <x v="0"/>
    <s v="Demolition of existing garages and greenhouses and redevelopment to provide a single detached residential property"/>
    <s v="Land Rear Of 130, Castelnau, Barnes, London"/>
    <s v="SW13 9ET"/>
    <m/>
    <m/>
    <m/>
    <m/>
    <m/>
    <m/>
    <m/>
    <m/>
    <n v="0"/>
    <m/>
    <m/>
    <n v="1"/>
    <m/>
    <m/>
    <m/>
    <m/>
    <m/>
    <n v="1"/>
    <n v="0"/>
    <n v="0"/>
    <n v="1"/>
    <n v="0"/>
    <n v="0"/>
    <n v="0"/>
    <n v="0"/>
    <n v="0"/>
    <n v="1"/>
    <x v="0"/>
    <m/>
    <n v="0.25"/>
    <n v="0.25"/>
    <n v="0.25"/>
    <n v="0.25"/>
    <m/>
    <m/>
    <m/>
    <m/>
    <m/>
    <m/>
    <m/>
    <m/>
    <m/>
    <m/>
    <m/>
    <m/>
    <n v="1"/>
    <n v="1"/>
    <n v="1"/>
    <m/>
    <m/>
    <n v="522676"/>
    <n v="177493"/>
    <s v="Barnes and East Sheen"/>
    <x v="7"/>
    <m/>
    <m/>
    <m/>
    <m/>
    <m/>
    <s v="CA25 Castelnau"/>
    <x v="0"/>
    <s v="Y"/>
    <m/>
  </r>
  <r>
    <s v="19/0691/FUL"/>
    <n v="251"/>
    <x v="3"/>
    <x v="0"/>
    <d v="2021-07-28T00:00:00"/>
    <d v="2024-07-28T00:00:00"/>
    <m/>
    <m/>
    <x v="2"/>
    <x v="0"/>
    <x v="0"/>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s v="SW14 7HN"/>
    <m/>
    <m/>
    <m/>
    <m/>
    <m/>
    <m/>
    <m/>
    <m/>
    <n v="0"/>
    <m/>
    <n v="4"/>
    <n v="2"/>
    <m/>
    <m/>
    <m/>
    <m/>
    <m/>
    <n v="6"/>
    <n v="0"/>
    <n v="4"/>
    <n v="2"/>
    <n v="0"/>
    <n v="0"/>
    <n v="0"/>
    <n v="0"/>
    <n v="0"/>
    <n v="6"/>
    <x v="0"/>
    <m/>
    <n v="1.5"/>
    <n v="1.5"/>
    <n v="1.5"/>
    <n v="1.5"/>
    <m/>
    <m/>
    <m/>
    <m/>
    <m/>
    <m/>
    <m/>
    <m/>
    <m/>
    <m/>
    <m/>
    <m/>
    <n v="6"/>
    <n v="6"/>
    <n v="6"/>
    <m/>
    <m/>
    <n v="519806"/>
    <n v="175640"/>
    <s v="Barnes and East Sheen"/>
    <x v="8"/>
    <m/>
    <m/>
    <m/>
    <m/>
    <m/>
    <m/>
    <x v="1"/>
    <s v="Y"/>
    <m/>
  </r>
  <r>
    <s v="21/0699/FUL"/>
    <n v="252"/>
    <x v="4"/>
    <x v="0"/>
    <d v="2021-08-03T00:00:00"/>
    <d v="2024-08-03T00:00:00"/>
    <m/>
    <m/>
    <x v="2"/>
    <x v="0"/>
    <x v="0"/>
    <s v="Upward roof extension to provide for one flat, and alter elevations, and associated works"/>
    <s v="47 Crown Road, Twickenham, TW1 3EJ"/>
    <s v="TW1 3EJ"/>
    <m/>
    <m/>
    <m/>
    <m/>
    <m/>
    <m/>
    <m/>
    <m/>
    <n v="0"/>
    <m/>
    <n v="1"/>
    <m/>
    <m/>
    <m/>
    <m/>
    <m/>
    <m/>
    <n v="1"/>
    <n v="0"/>
    <n v="1"/>
    <n v="0"/>
    <n v="0"/>
    <n v="0"/>
    <n v="0"/>
    <n v="0"/>
    <n v="0"/>
    <n v="1"/>
    <x v="0"/>
    <m/>
    <n v="0.25"/>
    <n v="0.25"/>
    <n v="0.25"/>
    <n v="0.25"/>
    <m/>
    <m/>
    <m/>
    <m/>
    <m/>
    <m/>
    <m/>
    <m/>
    <m/>
    <m/>
    <m/>
    <m/>
    <n v="1"/>
    <n v="1"/>
    <n v="1"/>
    <m/>
    <m/>
    <n v="516925"/>
    <n v="174069"/>
    <s v="Twickenham"/>
    <x v="17"/>
    <m/>
    <m/>
    <s v="St Margarets"/>
    <s v="Y"/>
    <m/>
    <m/>
    <x v="1"/>
    <s v="Y"/>
    <m/>
  </r>
  <r>
    <s v="17/0925/FUL"/>
    <n v="253"/>
    <x v="0"/>
    <x v="0"/>
    <d v="2021-08-10T00:00:00"/>
    <d v="2024-08-10T00:00:00"/>
    <m/>
    <m/>
    <x v="2"/>
    <x v="0"/>
    <x v="0"/>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s v="TW4 5NP"/>
    <m/>
    <m/>
    <n v="1"/>
    <m/>
    <m/>
    <m/>
    <m/>
    <m/>
    <n v="1"/>
    <n v="2"/>
    <m/>
    <m/>
    <m/>
    <m/>
    <m/>
    <m/>
    <m/>
    <n v="2"/>
    <n v="2"/>
    <n v="-1"/>
    <n v="0"/>
    <n v="0"/>
    <n v="0"/>
    <n v="0"/>
    <n v="0"/>
    <n v="0"/>
    <n v="1"/>
    <x v="0"/>
    <m/>
    <n v="0.25"/>
    <n v="0.25"/>
    <n v="0.25"/>
    <n v="0.25"/>
    <m/>
    <m/>
    <m/>
    <m/>
    <m/>
    <m/>
    <m/>
    <m/>
    <m/>
    <m/>
    <m/>
    <m/>
    <n v="1"/>
    <n v="1"/>
    <n v="1"/>
    <m/>
    <m/>
    <n v="512771"/>
    <n v="173675"/>
    <s v="Whitton"/>
    <x v="16"/>
    <m/>
    <m/>
    <s v="Hanworth Road"/>
    <s v="Y"/>
    <m/>
    <m/>
    <x v="1"/>
    <m/>
    <m/>
  </r>
  <r>
    <s v="19/0483/FUL"/>
    <n v="254"/>
    <x v="2"/>
    <x v="0"/>
    <d v="2021-08-27T00:00:00"/>
    <d v="2024-08-27T00:00:00"/>
    <m/>
    <m/>
    <x v="2"/>
    <x v="0"/>
    <x v="0"/>
    <s v="Insertion of 3 no. rooflights on front roof slope and 2 no. rear dormer roof extensions to facilitate the conversion of existing 2 no. 3 bed maisonettes at no. 8A and 10A High Street to 5 flats (4 no. 1 bed and 1 no. 2 bed)"/>
    <s v="8 - 10 High Street, Teddington_x000a__x000a_"/>
    <s v="TW11 8EW"/>
    <m/>
    <m/>
    <m/>
    <n v="2"/>
    <m/>
    <m/>
    <m/>
    <m/>
    <n v="2"/>
    <n v="4"/>
    <n v="1"/>
    <m/>
    <m/>
    <m/>
    <m/>
    <m/>
    <m/>
    <n v="5"/>
    <n v="4"/>
    <n v="1"/>
    <n v="-2"/>
    <n v="0"/>
    <n v="0"/>
    <n v="0"/>
    <n v="0"/>
    <n v="0"/>
    <n v="3"/>
    <x v="0"/>
    <m/>
    <n v="0.75"/>
    <n v="0.75"/>
    <n v="0.75"/>
    <n v="0.75"/>
    <m/>
    <m/>
    <m/>
    <m/>
    <m/>
    <m/>
    <m/>
    <m/>
    <m/>
    <m/>
    <m/>
    <m/>
    <n v="3"/>
    <n v="3"/>
    <n v="3"/>
    <m/>
    <m/>
    <n v="515988"/>
    <n v="171089"/>
    <s v="Teddington and the Hamptons"/>
    <x v="0"/>
    <s v="Teddington"/>
    <m/>
    <m/>
    <m/>
    <m/>
    <s v="CA37 High Street Teddington"/>
    <x v="0"/>
    <s v="Y"/>
    <m/>
  </r>
  <r>
    <s v="20/2626/GPH01"/>
    <n v="255"/>
    <x v="4"/>
    <x v="0"/>
    <d v="2020-11-12T00:00:00"/>
    <d v="2024-08-27T00:00:00"/>
    <m/>
    <m/>
    <x v="2"/>
    <x v="0"/>
    <x v="0"/>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n v="0"/>
    <n v="3"/>
    <m/>
    <m/>
    <m/>
    <m/>
    <m/>
    <m/>
    <m/>
    <n v="3"/>
    <n v="3"/>
    <n v="0"/>
    <n v="0"/>
    <n v="0"/>
    <n v="0"/>
    <n v="0"/>
    <n v="0"/>
    <n v="0"/>
    <n v="3"/>
    <x v="0"/>
    <m/>
    <n v="0.75"/>
    <n v="0.75"/>
    <n v="0.75"/>
    <n v="0.75"/>
    <m/>
    <m/>
    <m/>
    <m/>
    <m/>
    <m/>
    <m/>
    <m/>
    <m/>
    <m/>
    <m/>
    <m/>
    <n v="3"/>
    <n v="3"/>
    <n v="3"/>
    <m/>
    <m/>
    <n v="516098"/>
    <n v="173924"/>
    <s v="Twickenham"/>
    <x v="17"/>
    <m/>
    <m/>
    <m/>
    <m/>
    <m/>
    <m/>
    <x v="1"/>
    <s v="Y"/>
    <m/>
  </r>
  <r>
    <s v="21/2528/GPD13"/>
    <n v="256"/>
    <x v="1"/>
    <x v="1"/>
    <d v="2021-09-01T00:00:00"/>
    <d v="2024-09-01T00:00:00"/>
    <m/>
    <m/>
    <x v="2"/>
    <x v="0"/>
    <x v="0"/>
    <s v="Change of use of part of ground floor of property from A2 to C3 Use."/>
    <s v="357 Upper Richmond Road West, East Sheen, London SW14 8QN_x000a_"/>
    <s v="SW14 8QN"/>
    <m/>
    <m/>
    <m/>
    <m/>
    <m/>
    <m/>
    <m/>
    <m/>
    <n v="0"/>
    <n v="1"/>
    <m/>
    <m/>
    <m/>
    <m/>
    <m/>
    <m/>
    <m/>
    <n v="1"/>
    <n v="1"/>
    <n v="0"/>
    <n v="0"/>
    <n v="0"/>
    <n v="0"/>
    <n v="0"/>
    <n v="0"/>
    <n v="0"/>
    <n v="1"/>
    <x v="0"/>
    <m/>
    <n v="0.25"/>
    <n v="0.25"/>
    <n v="0.25"/>
    <n v="0.25"/>
    <m/>
    <m/>
    <m/>
    <m/>
    <m/>
    <m/>
    <m/>
    <m/>
    <m/>
    <m/>
    <m/>
    <m/>
    <n v="1"/>
    <n v="1"/>
    <n v="1"/>
    <m/>
    <m/>
    <n v="520553"/>
    <n v="175393"/>
    <s v="Barnes and East Sheen"/>
    <x v="13"/>
    <s v="East Sheen"/>
    <m/>
    <m/>
    <m/>
    <m/>
    <m/>
    <x v="1"/>
    <s v="Y"/>
    <m/>
  </r>
  <r>
    <s v="21/2665/GPD13"/>
    <n v="257"/>
    <x v="1"/>
    <x v="1"/>
    <d v="2021-09-16T00:00:00"/>
    <d v="2024-09-16T00:00:00"/>
    <m/>
    <m/>
    <x v="2"/>
    <x v="0"/>
    <x v="0"/>
    <s v="Proposed change of use from A1 (retail) units to 2No. 1 bed apartments C3 (residential) Use Class"/>
    <s v="3 - 4 New Broadway, Hampton Hill_x000a__x000a_"/>
    <s v="TW12 1JG"/>
    <m/>
    <m/>
    <m/>
    <m/>
    <m/>
    <m/>
    <m/>
    <m/>
    <n v="0"/>
    <n v="2"/>
    <m/>
    <m/>
    <m/>
    <m/>
    <m/>
    <m/>
    <m/>
    <n v="2"/>
    <n v="2"/>
    <n v="0"/>
    <n v="0"/>
    <n v="0"/>
    <n v="0"/>
    <n v="0"/>
    <n v="0"/>
    <n v="0"/>
    <n v="2"/>
    <x v="0"/>
    <m/>
    <n v="0.5"/>
    <n v="0.5"/>
    <n v="0.5"/>
    <n v="0.5"/>
    <m/>
    <m/>
    <m/>
    <m/>
    <m/>
    <m/>
    <m/>
    <m/>
    <m/>
    <m/>
    <m/>
    <m/>
    <n v="2"/>
    <n v="2"/>
    <n v="2"/>
    <m/>
    <m/>
    <n v="514554"/>
    <n v="171263"/>
    <s v="Teddington and the Hamptons"/>
    <x v="14"/>
    <m/>
    <m/>
    <s v="High Street, Hampton Hill"/>
    <s v="Y"/>
    <m/>
    <m/>
    <x v="1"/>
    <s v="Y"/>
    <m/>
  </r>
  <r>
    <s v="20/0127/FUL"/>
    <n v="258"/>
    <x v="2"/>
    <x v="0"/>
    <d v="2021-09-20T00:00:00"/>
    <d v="2024-09-20T00:00:00"/>
    <m/>
    <m/>
    <x v="2"/>
    <x v="0"/>
    <x v="0"/>
    <s v="Conversion of existing maisonette on first and second floors into 2 flats (1 x 1 bedroom flat and 1 x 2 bedroom flat)"/>
    <s v="350 Richmond Road, Twickenham, TW1 2DU"/>
    <s v="TW1 2DU"/>
    <m/>
    <m/>
    <m/>
    <m/>
    <n v="1"/>
    <m/>
    <m/>
    <m/>
    <n v="1"/>
    <n v="1"/>
    <n v="1"/>
    <m/>
    <m/>
    <m/>
    <m/>
    <m/>
    <m/>
    <n v="2"/>
    <n v="1"/>
    <n v="1"/>
    <n v="0"/>
    <n v="-1"/>
    <n v="0"/>
    <n v="0"/>
    <n v="0"/>
    <n v="0"/>
    <n v="1"/>
    <x v="0"/>
    <m/>
    <n v="0.25"/>
    <n v="0.25"/>
    <n v="0.25"/>
    <n v="0.25"/>
    <m/>
    <m/>
    <m/>
    <m/>
    <m/>
    <m/>
    <m/>
    <m/>
    <m/>
    <m/>
    <m/>
    <m/>
    <n v="1"/>
    <n v="1"/>
    <n v="1"/>
    <m/>
    <m/>
    <n v="517428"/>
    <n v="174238"/>
    <s v="Twickenham"/>
    <x v="9"/>
    <m/>
    <m/>
    <s v="East Twickenham"/>
    <s v="Y"/>
    <m/>
    <s v="CA66 Richmond Road East Twickenham"/>
    <x v="0"/>
    <s v="Y"/>
    <m/>
  </r>
  <r>
    <s v="20/2118/FUL"/>
    <n v="259"/>
    <x v="1"/>
    <x v="0"/>
    <d v="2021-09-30T00:00:00"/>
    <d v="2024-09-30T00:00:00"/>
    <m/>
    <m/>
    <x v="2"/>
    <x v="0"/>
    <x v="0"/>
    <s v="Fenestration alterations to rear and side elevation to facilitate change of use of rear part of premises from Class E (Retail) to C3 to create 1 x 1 bed flat and associated refuse and cycle store."/>
    <s v="301 Richmond Road, Kingston Upon Thames, KT2 5QU"/>
    <s v="KT2 5QU"/>
    <m/>
    <m/>
    <m/>
    <m/>
    <m/>
    <m/>
    <m/>
    <m/>
    <n v="0"/>
    <n v="1"/>
    <m/>
    <m/>
    <m/>
    <m/>
    <m/>
    <m/>
    <m/>
    <n v="1"/>
    <n v="1"/>
    <n v="0"/>
    <n v="0"/>
    <n v="0"/>
    <n v="0"/>
    <n v="0"/>
    <n v="0"/>
    <n v="0"/>
    <n v="1"/>
    <x v="0"/>
    <m/>
    <n v="0.25"/>
    <n v="0.25"/>
    <n v="0.25"/>
    <n v="0.25"/>
    <m/>
    <m/>
    <m/>
    <m/>
    <m/>
    <m/>
    <m/>
    <m/>
    <m/>
    <m/>
    <m/>
    <m/>
    <n v="1"/>
    <n v="1"/>
    <n v="1"/>
    <m/>
    <m/>
    <n v="517763"/>
    <n v="171531"/>
    <s v="Ham &amp; Petersham"/>
    <x v="2"/>
    <m/>
    <m/>
    <m/>
    <m/>
    <m/>
    <m/>
    <x v="1"/>
    <m/>
    <m/>
  </r>
  <r>
    <s v="21/0146/FUL"/>
    <n v="260"/>
    <x v="3"/>
    <x v="0"/>
    <d v="2021-09-30T00:00:00"/>
    <d v="2024-09-30T00:00:00"/>
    <m/>
    <m/>
    <x v="2"/>
    <x v="0"/>
    <x v="0"/>
    <s v="Demolition of the Existing house and outbuildings and replacement with a Single Family Dwelling, new front boundary wall and vehicular gate and associated hard and soft landscaping, cycle and refuse stores"/>
    <s v="19 Nylands Avenue, Kew, Richmond, TW9 4HH"/>
    <s v="TW9 4HH"/>
    <m/>
    <m/>
    <m/>
    <m/>
    <m/>
    <n v="1"/>
    <m/>
    <m/>
    <n v="1"/>
    <m/>
    <m/>
    <m/>
    <m/>
    <m/>
    <n v="1"/>
    <m/>
    <m/>
    <n v="1"/>
    <n v="0"/>
    <n v="0"/>
    <n v="0"/>
    <n v="0"/>
    <n v="-1"/>
    <n v="1"/>
    <n v="0"/>
    <n v="0"/>
    <n v="0"/>
    <x v="0"/>
    <m/>
    <n v="0"/>
    <m/>
    <m/>
    <m/>
    <m/>
    <m/>
    <m/>
    <m/>
    <m/>
    <m/>
    <m/>
    <m/>
    <m/>
    <m/>
    <m/>
    <m/>
    <n v="0"/>
    <n v="0"/>
    <n v="0"/>
    <m/>
    <m/>
    <n v="519305"/>
    <n v="176468"/>
    <s v="Richmond"/>
    <x v="3"/>
    <m/>
    <m/>
    <m/>
    <m/>
    <m/>
    <m/>
    <x v="1"/>
    <s v="Y"/>
    <m/>
  </r>
  <r>
    <s v="21/2602/FUL"/>
    <n v="261"/>
    <x v="1"/>
    <x v="0"/>
    <d v="2021-11-09T00:00:00"/>
    <d v="2024-11-09T00:00:00"/>
    <m/>
    <m/>
    <x v="2"/>
    <x v="0"/>
    <x v="0"/>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m/>
    <n v="1"/>
    <m/>
    <m/>
    <m/>
    <m/>
    <m/>
    <m/>
    <n v="1"/>
    <m/>
    <m/>
    <m/>
    <m/>
    <m/>
    <m/>
    <m/>
    <m/>
    <n v="0"/>
    <n v="-1"/>
    <n v="0"/>
    <n v="0"/>
    <n v="0"/>
    <n v="0"/>
    <n v="0"/>
    <n v="0"/>
    <n v="0"/>
    <n v="-1"/>
    <x v="0"/>
    <m/>
    <n v="-0.25"/>
    <n v="-0.25"/>
    <n v="-0.25"/>
    <n v="-0.25"/>
    <m/>
    <m/>
    <m/>
    <m/>
    <m/>
    <m/>
    <m/>
    <m/>
    <m/>
    <m/>
    <m/>
    <m/>
    <n v="-1"/>
    <n v="-1"/>
    <n v="-1"/>
    <m/>
    <m/>
    <n v="522822"/>
    <n v="177807"/>
    <s v="Barnes and East Sheen"/>
    <x v="7"/>
    <m/>
    <m/>
    <s v="Castelnau, North Barnes"/>
    <s v="Y"/>
    <m/>
    <s v="CA25 Castelnau"/>
    <x v="0"/>
    <s v="Y"/>
    <m/>
  </r>
  <r>
    <s v="20/2298/FUL"/>
    <n v="262"/>
    <x v="3"/>
    <x v="0"/>
    <d v="2022-01-18T00:00:00"/>
    <d v="2025-01-18T00:00:00"/>
    <m/>
    <m/>
    <x v="2"/>
    <x v="0"/>
    <x v="0"/>
    <s v="Demolition of garage to rear of property accessed from Castle Yard to facilitate change of use of rear part to C3 (Residential) use to provide 1 x 2 bedroom two storey house with associated cycle and refuse stores"/>
    <s v="28 Hill Street, Richmond, TW9 1TW"/>
    <s v="TW9 1TW"/>
    <m/>
    <m/>
    <m/>
    <m/>
    <m/>
    <m/>
    <m/>
    <m/>
    <n v="0"/>
    <m/>
    <n v="1"/>
    <m/>
    <m/>
    <m/>
    <m/>
    <m/>
    <m/>
    <n v="1"/>
    <n v="0"/>
    <n v="1"/>
    <n v="0"/>
    <n v="0"/>
    <n v="0"/>
    <n v="0"/>
    <n v="0"/>
    <n v="0"/>
    <n v="1"/>
    <x v="0"/>
    <m/>
    <n v="0.25"/>
    <n v="0.25"/>
    <n v="0.25"/>
    <n v="0.25"/>
    <m/>
    <m/>
    <m/>
    <m/>
    <m/>
    <m/>
    <m/>
    <m/>
    <m/>
    <m/>
    <m/>
    <m/>
    <n v="1"/>
    <n v="1"/>
    <n v="1"/>
    <m/>
    <m/>
    <n v="517804"/>
    <n v="174681"/>
    <s v="Richmond"/>
    <x v="6"/>
    <s v="Richmond"/>
    <m/>
    <m/>
    <m/>
    <m/>
    <s v="CA17 Central Richmond"/>
    <x v="0"/>
    <s v="Y"/>
    <m/>
  </r>
  <r>
    <s v="20/1570/FUL"/>
    <n v="263"/>
    <x v="3"/>
    <x v="0"/>
    <d v="2022-01-26T00:00:00"/>
    <d v="2025-01-26T00:00:00"/>
    <m/>
    <m/>
    <x v="2"/>
    <x v="0"/>
    <x v="0"/>
    <s v="Demolition of existing garages and erection of a part two / four storey building to provide 4 x 1, 4 x 2 and 1 x 3 bedroom flats and associated soft and hard landscaping, cycle and refuse stores. Plans readvertised on 09.04.2021, with the main amendments:"/>
    <s v="Garage Site, Marys Terrace, Twickenham TW1 3JB"/>
    <s v="TW1 3JB"/>
    <m/>
    <m/>
    <m/>
    <m/>
    <m/>
    <m/>
    <m/>
    <m/>
    <n v="0"/>
    <n v="4"/>
    <n v="4"/>
    <n v="1"/>
    <m/>
    <m/>
    <m/>
    <m/>
    <m/>
    <n v="9"/>
    <n v="4"/>
    <n v="4"/>
    <n v="1"/>
    <n v="0"/>
    <n v="0"/>
    <n v="0"/>
    <n v="0"/>
    <n v="0"/>
    <n v="9"/>
    <x v="0"/>
    <m/>
    <n v="2.25"/>
    <n v="2.25"/>
    <n v="2.25"/>
    <n v="2.25"/>
    <m/>
    <m/>
    <m/>
    <m/>
    <m/>
    <m/>
    <m/>
    <m/>
    <m/>
    <m/>
    <m/>
    <m/>
    <n v="9"/>
    <n v="9"/>
    <n v="9"/>
    <m/>
    <m/>
    <n v="516182"/>
    <n v="173653"/>
    <s v="Twickenham"/>
    <x v="9"/>
    <s v="Twickenham"/>
    <m/>
    <m/>
    <m/>
    <m/>
    <m/>
    <x v="1"/>
    <s v="Y"/>
    <m/>
  </r>
  <r>
    <s v="21/2497/FUL"/>
    <n v="264"/>
    <x v="1"/>
    <x v="0"/>
    <d v="2022-02-02T00:00:00"/>
    <d v="2025-02-02T00:00:00"/>
    <m/>
    <m/>
    <x v="2"/>
    <x v="0"/>
    <x v="0"/>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n v="0"/>
    <m/>
    <m/>
    <n v="1"/>
    <m/>
    <m/>
    <m/>
    <m/>
    <m/>
    <n v="1"/>
    <n v="0"/>
    <n v="0"/>
    <n v="1"/>
    <n v="0"/>
    <n v="0"/>
    <n v="0"/>
    <n v="0"/>
    <n v="0"/>
    <n v="1"/>
    <x v="0"/>
    <m/>
    <n v="0.25"/>
    <n v="0.25"/>
    <n v="0.25"/>
    <n v="0.25"/>
    <m/>
    <m/>
    <m/>
    <m/>
    <m/>
    <m/>
    <m/>
    <m/>
    <m/>
    <m/>
    <m/>
    <m/>
    <n v="1"/>
    <n v="1"/>
    <n v="1"/>
    <m/>
    <m/>
    <n v="518173"/>
    <n v="174602"/>
    <s v="Richmond"/>
    <x v="6"/>
    <m/>
    <m/>
    <m/>
    <m/>
    <m/>
    <s v="CA30 St Matthias Richmond"/>
    <x v="0"/>
    <s v="Y"/>
    <m/>
  </r>
  <r>
    <s v="21/3330/FUL"/>
    <n v="265"/>
    <x v="3"/>
    <x v="0"/>
    <d v="2022-02-02T00:00:00"/>
    <d v="2025-02-02T00:00:00"/>
    <m/>
    <m/>
    <x v="2"/>
    <x v="0"/>
    <x v="0"/>
    <s v="Construction of terrace of 3 family houses with associated parking and landscaping."/>
    <s v="Car Park, Brooklands Place, Hampton"/>
    <s v="TW12"/>
    <m/>
    <m/>
    <m/>
    <m/>
    <m/>
    <m/>
    <m/>
    <m/>
    <n v="0"/>
    <m/>
    <m/>
    <n v="3"/>
    <m/>
    <m/>
    <m/>
    <m/>
    <m/>
    <n v="3"/>
    <n v="0"/>
    <n v="0"/>
    <n v="3"/>
    <n v="0"/>
    <n v="0"/>
    <n v="0"/>
    <n v="0"/>
    <n v="0"/>
    <n v="3"/>
    <x v="0"/>
    <m/>
    <n v="0.75"/>
    <n v="0.75"/>
    <n v="0.75"/>
    <n v="0.75"/>
    <m/>
    <m/>
    <m/>
    <m/>
    <m/>
    <m/>
    <m/>
    <m/>
    <m/>
    <m/>
    <m/>
    <m/>
    <n v="3"/>
    <n v="3"/>
    <n v="3"/>
    <m/>
    <m/>
    <n v="513958"/>
    <n v="171178"/>
    <s v="Teddington and the Hamptons"/>
    <x v="14"/>
    <m/>
    <m/>
    <m/>
    <m/>
    <m/>
    <m/>
    <x v="1"/>
    <m/>
    <m/>
  </r>
  <r>
    <s v="19/2893/FUL"/>
    <n v="266"/>
    <x v="3"/>
    <x v="0"/>
    <d v="2022-02-15T00:00:00"/>
    <d v="2025-02-15T00:00:00"/>
    <m/>
    <m/>
    <x v="2"/>
    <x v="0"/>
    <x v="0"/>
    <s v="Construction of a detached two-storey building comprising of two x one-bedroom flats on the vacant car parking site including associated amenity space and no car parking."/>
    <s v="48 - 50 Ashley Road, Hampton"/>
    <s v="TW12 2HU"/>
    <m/>
    <m/>
    <m/>
    <m/>
    <m/>
    <m/>
    <m/>
    <m/>
    <n v="0"/>
    <n v="2"/>
    <m/>
    <m/>
    <m/>
    <m/>
    <m/>
    <m/>
    <m/>
    <n v="2"/>
    <n v="2"/>
    <n v="0"/>
    <n v="0"/>
    <n v="0"/>
    <n v="0"/>
    <n v="0"/>
    <n v="0"/>
    <n v="0"/>
    <n v="2"/>
    <x v="0"/>
    <m/>
    <n v="0.5"/>
    <n v="0.5"/>
    <n v="0.5"/>
    <n v="0.5"/>
    <m/>
    <m/>
    <m/>
    <m/>
    <m/>
    <m/>
    <m/>
    <m/>
    <m/>
    <m/>
    <m/>
    <m/>
    <n v="2"/>
    <n v="2"/>
    <n v="2"/>
    <m/>
    <m/>
    <n v="513346"/>
    <n v="169821"/>
    <s v="Teddington and the Hamptons"/>
    <x v="15"/>
    <m/>
    <m/>
    <m/>
    <m/>
    <m/>
    <m/>
    <x v="1"/>
    <s v="Y"/>
    <m/>
  </r>
  <r>
    <s v="21/2965/FUL"/>
    <n v="267"/>
    <x v="1"/>
    <x v="0"/>
    <d v="2022-03-02T00:00:00"/>
    <d v="2025-03-02T00:00:00"/>
    <m/>
    <m/>
    <x v="2"/>
    <x v="0"/>
    <x v="0"/>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s v="TW2 6HB"/>
    <m/>
    <m/>
    <m/>
    <m/>
    <m/>
    <m/>
    <m/>
    <m/>
    <n v="0"/>
    <m/>
    <n v="1"/>
    <m/>
    <m/>
    <m/>
    <m/>
    <m/>
    <m/>
    <n v="1"/>
    <n v="0"/>
    <n v="1"/>
    <n v="0"/>
    <n v="0"/>
    <n v="0"/>
    <n v="0"/>
    <n v="0"/>
    <n v="0"/>
    <n v="1"/>
    <x v="0"/>
    <m/>
    <n v="0.25"/>
    <n v="0.25"/>
    <n v="0.25"/>
    <n v="0.25"/>
    <m/>
    <m/>
    <m/>
    <m/>
    <m/>
    <m/>
    <m/>
    <m/>
    <m/>
    <m/>
    <m/>
    <m/>
    <n v="1"/>
    <n v="1"/>
    <n v="1"/>
    <m/>
    <m/>
    <n v="514165"/>
    <n v="173531"/>
    <s v="Whitton"/>
    <x v="16"/>
    <m/>
    <m/>
    <m/>
    <m/>
    <m/>
    <m/>
    <x v="1"/>
    <s v="Y"/>
    <m/>
  </r>
  <r>
    <s v="20/3489/FUL"/>
    <n v="268"/>
    <x v="0"/>
    <x v="0"/>
    <d v="2022-03-04T00:00:00"/>
    <d v="2025-03-04T00:00:00"/>
    <m/>
    <m/>
    <x v="2"/>
    <x v="0"/>
    <x v="0"/>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m/>
    <n v="1"/>
    <m/>
    <m/>
    <m/>
    <n v="1"/>
    <m/>
    <n v="1"/>
    <n v="1"/>
    <m/>
    <m/>
    <m/>
    <m/>
    <m/>
    <n v="2"/>
    <n v="0"/>
    <n v="1"/>
    <n v="1"/>
    <n v="-1"/>
    <n v="0"/>
    <n v="0"/>
    <n v="0"/>
    <n v="0"/>
    <n v="1"/>
    <x v="0"/>
    <m/>
    <n v="0.25"/>
    <n v="0.25"/>
    <n v="0.25"/>
    <n v="0.25"/>
    <m/>
    <m/>
    <m/>
    <m/>
    <m/>
    <m/>
    <m/>
    <m/>
    <m/>
    <m/>
    <m/>
    <m/>
    <n v="1"/>
    <n v="1"/>
    <n v="1"/>
    <m/>
    <m/>
    <n v="514528"/>
    <n v="173249"/>
    <s v="Twickenham"/>
    <x v="11"/>
    <m/>
    <m/>
    <m/>
    <m/>
    <m/>
    <m/>
    <x v="1"/>
    <s v="Y"/>
    <m/>
  </r>
  <r>
    <s v="22/0153/GPD26"/>
    <n v="269"/>
    <x v="1"/>
    <x v="1"/>
    <d v="2022-03-22T00:00:00"/>
    <d v="2025-03-22T00:00:00"/>
    <m/>
    <m/>
    <x v="2"/>
    <x v="0"/>
    <x v="0"/>
    <s v="Change of use of part of ground floor and first floor from restaurant to C3 residential use to provide 1 additional first floor flat"/>
    <s v="29 Kew Road, Richmond, TW9 2NQ"/>
    <s v="TW9 2NQ"/>
    <m/>
    <m/>
    <m/>
    <m/>
    <m/>
    <m/>
    <m/>
    <m/>
    <n v="0"/>
    <n v="1"/>
    <m/>
    <m/>
    <m/>
    <m/>
    <m/>
    <m/>
    <m/>
    <n v="1"/>
    <n v="1"/>
    <n v="0"/>
    <n v="0"/>
    <n v="0"/>
    <n v="0"/>
    <n v="0"/>
    <n v="0"/>
    <n v="0"/>
    <n v="1"/>
    <x v="0"/>
    <m/>
    <n v="0.25"/>
    <n v="0.25"/>
    <n v="0.25"/>
    <n v="0.25"/>
    <m/>
    <m/>
    <m/>
    <m/>
    <m/>
    <m/>
    <m/>
    <m/>
    <m/>
    <m/>
    <m/>
    <m/>
    <n v="1"/>
    <n v="1"/>
    <n v="1"/>
    <m/>
    <m/>
    <n v="518059"/>
    <n v="175250"/>
    <s v="Richmond"/>
    <x v="6"/>
    <s v="Richmond"/>
    <m/>
    <m/>
    <m/>
    <m/>
    <s v="CA17 Central Richmond"/>
    <x v="0"/>
    <s v="Y"/>
    <m/>
  </r>
  <r>
    <s v="20/0564/FUL"/>
    <n v="270"/>
    <x v="1"/>
    <x v="0"/>
    <d v="2022-04-01T00:00:00"/>
    <d v="2025-04-01T00:00:00"/>
    <m/>
    <m/>
    <x v="2"/>
    <x v="0"/>
    <x v="0"/>
    <s v="Single-storey rear extension to rear of existing shop and part change of use from A1 to C3, to facilitate creation of one one-bedroom two-person dwellinghouse. Construction of external stairway to rear elevation to provide access to existing upper-floor f"/>
    <s v="311A Richmond Road, Kingston Upon Thames, KT2 5QU"/>
    <s v="KT2 5QU"/>
    <m/>
    <m/>
    <m/>
    <m/>
    <m/>
    <m/>
    <m/>
    <m/>
    <n v="0"/>
    <n v="1"/>
    <m/>
    <m/>
    <m/>
    <m/>
    <m/>
    <m/>
    <m/>
    <n v="1"/>
    <n v="1"/>
    <n v="0"/>
    <n v="0"/>
    <n v="0"/>
    <n v="0"/>
    <n v="0"/>
    <n v="0"/>
    <n v="0"/>
    <n v="1"/>
    <x v="0"/>
    <m/>
    <n v="0.25"/>
    <n v="0.25"/>
    <n v="0.25"/>
    <n v="0.25"/>
    <m/>
    <m/>
    <m/>
    <m/>
    <m/>
    <m/>
    <m/>
    <m/>
    <m/>
    <m/>
    <m/>
    <m/>
    <n v="1"/>
    <n v="1"/>
    <n v="1"/>
    <m/>
    <m/>
    <n v="517763"/>
    <n v="171561"/>
    <s v="Ham &amp; Petersham"/>
    <x v="2"/>
    <m/>
    <m/>
    <m/>
    <m/>
    <m/>
    <m/>
    <x v="1"/>
    <m/>
    <m/>
  </r>
  <r>
    <s v="22/0428/GPD26"/>
    <n v="271"/>
    <x v="1"/>
    <x v="1"/>
    <d v="2022-04-13T00:00:00"/>
    <d v="2025-04-13T00:00:00"/>
    <m/>
    <m/>
    <x v="2"/>
    <x v="0"/>
    <x v="0"/>
    <s v="Change of use of ground floor hair salon from Use Class E Retail to Use Class C3 dwelling houses."/>
    <s v="173 Percy Road, Hampton, TW12 2JN"/>
    <s v="TW12 2JN"/>
    <m/>
    <m/>
    <m/>
    <m/>
    <m/>
    <m/>
    <m/>
    <m/>
    <n v="0"/>
    <m/>
    <n v="1"/>
    <m/>
    <m/>
    <m/>
    <m/>
    <m/>
    <m/>
    <n v="1"/>
    <n v="0"/>
    <n v="1"/>
    <n v="0"/>
    <n v="0"/>
    <n v="0"/>
    <n v="0"/>
    <n v="0"/>
    <n v="0"/>
    <n v="1"/>
    <x v="0"/>
    <m/>
    <n v="0.25"/>
    <n v="0.25"/>
    <n v="0.25"/>
    <n v="0.25"/>
    <m/>
    <m/>
    <m/>
    <m/>
    <m/>
    <m/>
    <m/>
    <m/>
    <m/>
    <m/>
    <m/>
    <m/>
    <n v="1"/>
    <n v="1"/>
    <n v="1"/>
    <m/>
    <m/>
    <n v="513028"/>
    <n v="170485"/>
    <s v="Teddington and the Hamptons"/>
    <x v="15"/>
    <m/>
    <m/>
    <m/>
    <m/>
    <m/>
    <m/>
    <x v="1"/>
    <s v="Y"/>
    <m/>
  </r>
  <r>
    <s v="21/2970/FUL"/>
    <n v="272"/>
    <x v="0"/>
    <x v="0"/>
    <d v="2022-04-20T00:00:00"/>
    <d v="2025-04-20T00:00:00"/>
    <m/>
    <m/>
    <x v="2"/>
    <x v="0"/>
    <x v="0"/>
    <s v="Change of use from retail (Use Class E) on first and second floors at no 19 to create a new, three bed maisonette; First floor side/rear extension and PV panels to existing roof of No.19; change of use and extension of roof space (Use Class E) at no. 19a,"/>
    <s v="19 - 19A King Street, Richmond"/>
    <s v="TW9 1ND"/>
    <m/>
    <m/>
    <m/>
    <m/>
    <m/>
    <m/>
    <m/>
    <m/>
    <n v="0"/>
    <n v="1"/>
    <m/>
    <n v="1"/>
    <m/>
    <m/>
    <m/>
    <m/>
    <m/>
    <n v="2"/>
    <n v="1"/>
    <n v="0"/>
    <n v="1"/>
    <n v="0"/>
    <n v="0"/>
    <n v="0"/>
    <n v="0"/>
    <n v="0"/>
    <n v="2"/>
    <x v="0"/>
    <m/>
    <n v="0.5"/>
    <n v="0.5"/>
    <n v="0.5"/>
    <n v="0.5"/>
    <m/>
    <m/>
    <m/>
    <m/>
    <m/>
    <m/>
    <m/>
    <m/>
    <m/>
    <m/>
    <m/>
    <m/>
    <n v="2"/>
    <n v="2"/>
    <n v="2"/>
    <m/>
    <m/>
    <n v="517711"/>
    <n v="174824"/>
    <s v="Richmond"/>
    <x v="6"/>
    <s v="Richmond"/>
    <m/>
    <m/>
    <m/>
    <m/>
    <s v="CA3 Richmond Green"/>
    <x v="0"/>
    <s v="Y"/>
    <m/>
  </r>
  <r>
    <s v="21/2225/FUL"/>
    <n v="273"/>
    <x v="3"/>
    <x v="0"/>
    <d v="2022-04-21T00:00:00"/>
    <d v="2025-04-21T00:00:00"/>
    <m/>
    <m/>
    <x v="2"/>
    <x v="0"/>
    <x v="0"/>
    <s v="Demolition of existing building and erection of replacement 5 bedroom dwelling including associated hard and soft landscaping, cycle store and outbuilding"/>
    <s v="22 Parke Road, Barnes, London, SW13 9NG"/>
    <s v="SW13 9NG"/>
    <m/>
    <m/>
    <m/>
    <m/>
    <n v="1"/>
    <m/>
    <m/>
    <m/>
    <n v="1"/>
    <m/>
    <m/>
    <m/>
    <m/>
    <n v="1"/>
    <m/>
    <m/>
    <m/>
    <n v="1"/>
    <n v="0"/>
    <n v="0"/>
    <n v="0"/>
    <n v="-1"/>
    <n v="1"/>
    <n v="0"/>
    <n v="0"/>
    <n v="0"/>
    <n v="0"/>
    <x v="0"/>
    <m/>
    <n v="0"/>
    <m/>
    <m/>
    <m/>
    <m/>
    <m/>
    <m/>
    <m/>
    <m/>
    <m/>
    <m/>
    <m/>
    <m/>
    <m/>
    <m/>
    <m/>
    <n v="0"/>
    <n v="0"/>
    <n v="0"/>
    <m/>
    <m/>
    <n v="522088"/>
    <n v="177109"/>
    <s v="Barnes and East Sheen"/>
    <x v="7"/>
    <m/>
    <m/>
    <m/>
    <m/>
    <m/>
    <m/>
    <x v="1"/>
    <m/>
    <m/>
  </r>
  <r>
    <s v="22/0624/GPD26"/>
    <n v="274"/>
    <x v="1"/>
    <x v="1"/>
    <d v="2022-04-21T00:00:00"/>
    <d v="2025-04-21T00:00:00"/>
    <d v="2023-04-01T00:00:00"/>
    <d v="2023-08-30T00:00:00"/>
    <x v="2"/>
    <x v="0"/>
    <x v="0"/>
    <s v="Change of use of first floor from offices (Class E) to residential (Class C3) (1no. studio and 2no. one bed)"/>
    <s v="6 High Street, Teddington, TW11 8EP_x000a_"/>
    <s v="TW11 8EP"/>
    <m/>
    <m/>
    <m/>
    <m/>
    <m/>
    <m/>
    <m/>
    <m/>
    <n v="0"/>
    <n v="3"/>
    <m/>
    <m/>
    <m/>
    <m/>
    <m/>
    <m/>
    <m/>
    <n v="3"/>
    <n v="3"/>
    <n v="0"/>
    <n v="0"/>
    <n v="0"/>
    <n v="0"/>
    <n v="0"/>
    <n v="0"/>
    <n v="0"/>
    <n v="3"/>
    <x v="0"/>
    <m/>
    <n v="3"/>
    <m/>
    <m/>
    <m/>
    <m/>
    <m/>
    <m/>
    <m/>
    <m/>
    <m/>
    <m/>
    <m/>
    <m/>
    <m/>
    <m/>
    <m/>
    <n v="3"/>
    <n v="3"/>
    <n v="3"/>
    <m/>
    <m/>
    <n v="515980"/>
    <n v="171081"/>
    <s v="Teddington and the Hamptons"/>
    <x v="0"/>
    <s v="Teddington"/>
    <m/>
    <m/>
    <m/>
    <m/>
    <s v="CA37 High Street Teddington"/>
    <x v="0"/>
    <s v="Y"/>
    <m/>
  </r>
  <r>
    <s v="21/2729/FUL"/>
    <n v="275"/>
    <x v="2"/>
    <x v="0"/>
    <d v="2021-10-20T00:00:00"/>
    <d v="2025-04-29T00:00:00"/>
    <m/>
    <m/>
    <x v="2"/>
    <x v="0"/>
    <x v="0"/>
    <s v="Renovation, rear single storey extension, new gable roof extension and rear basement to existing building to form six apartments."/>
    <s v="85 Connaught Road, Teddington_x000a__x000a_"/>
    <s v="TW11 0QQ"/>
    <m/>
    <m/>
    <n v="1"/>
    <n v="1"/>
    <m/>
    <m/>
    <m/>
    <m/>
    <n v="2"/>
    <n v="4"/>
    <n v="2"/>
    <m/>
    <m/>
    <m/>
    <m/>
    <m/>
    <m/>
    <n v="6"/>
    <n v="4"/>
    <n v="1"/>
    <n v="-1"/>
    <n v="0"/>
    <n v="0"/>
    <n v="0"/>
    <n v="0"/>
    <n v="0"/>
    <n v="4"/>
    <x v="0"/>
    <m/>
    <n v="1"/>
    <n v="1"/>
    <n v="1"/>
    <n v="1"/>
    <m/>
    <m/>
    <m/>
    <m/>
    <m/>
    <m/>
    <m/>
    <m/>
    <m/>
    <m/>
    <m/>
    <m/>
    <n v="4"/>
    <n v="4"/>
    <n v="4"/>
    <m/>
    <m/>
    <n v="514632"/>
    <n v="171370"/>
    <s v="Teddington and the Hamptons"/>
    <x v="14"/>
    <m/>
    <m/>
    <m/>
    <m/>
    <m/>
    <m/>
    <x v="1"/>
    <s v="Y"/>
    <m/>
  </r>
  <r>
    <s v="21/2559/FUL"/>
    <n v="276"/>
    <x v="2"/>
    <x v="0"/>
    <d v="2022-05-12T00:00:00"/>
    <d v="2025-05-12T00:00:00"/>
    <m/>
    <m/>
    <x v="2"/>
    <x v="0"/>
    <x v="0"/>
    <s v="Proposed Conversion of Existing Dwelling to 1no. Two Bedroom Dwelling and 1no. Three Bedroom Dwelling"/>
    <s v="96 Court Way, Twickenham, TW2 7SW"/>
    <s v="TW2 7SW"/>
    <m/>
    <m/>
    <m/>
    <m/>
    <m/>
    <n v="1"/>
    <m/>
    <m/>
    <n v="1"/>
    <m/>
    <n v="1"/>
    <n v="1"/>
    <m/>
    <m/>
    <m/>
    <m/>
    <m/>
    <n v="2"/>
    <n v="0"/>
    <n v="1"/>
    <n v="1"/>
    <n v="0"/>
    <n v="-1"/>
    <n v="0"/>
    <n v="0"/>
    <n v="0"/>
    <n v="1"/>
    <x v="0"/>
    <m/>
    <n v="0.25"/>
    <n v="0.25"/>
    <n v="0.25"/>
    <n v="0.25"/>
    <m/>
    <m/>
    <m/>
    <m/>
    <m/>
    <m/>
    <m/>
    <m/>
    <m/>
    <m/>
    <m/>
    <m/>
    <n v="1"/>
    <n v="1"/>
    <n v="1"/>
    <m/>
    <m/>
    <n v="515512"/>
    <n v="173771"/>
    <s v="Twickenham"/>
    <x v="17"/>
    <m/>
    <m/>
    <m/>
    <m/>
    <m/>
    <m/>
    <x v="1"/>
    <s v="Y"/>
    <m/>
  </r>
  <r>
    <s v="22/1167/GPD26"/>
    <n v="277"/>
    <x v="1"/>
    <x v="1"/>
    <d v="2022-05-31T00:00:00"/>
    <d v="2025-05-31T00:00:00"/>
    <m/>
    <m/>
    <x v="2"/>
    <x v="0"/>
    <x v="0"/>
    <s v="Change of use of the second floor only from  commercial, business and service (Use Class E) to dwellinghouses (Use Class C3) to provide 2 x two-bedroom (4 person) apartments and cycle parking"/>
    <s v="Second Floor Offices, 27 - 28 George Street, Richmond TW9 1HY_x000a_"/>
    <s v="TW9 1HY"/>
    <m/>
    <m/>
    <m/>
    <m/>
    <m/>
    <m/>
    <m/>
    <m/>
    <n v="0"/>
    <m/>
    <n v="2"/>
    <m/>
    <m/>
    <m/>
    <m/>
    <m/>
    <m/>
    <n v="2"/>
    <n v="0"/>
    <n v="2"/>
    <n v="0"/>
    <n v="0"/>
    <n v="0"/>
    <n v="0"/>
    <n v="0"/>
    <n v="0"/>
    <n v="2"/>
    <x v="0"/>
    <m/>
    <n v="0.5"/>
    <n v="0.5"/>
    <n v="0.5"/>
    <n v="0.5"/>
    <m/>
    <m/>
    <m/>
    <m/>
    <m/>
    <m/>
    <m/>
    <m/>
    <m/>
    <m/>
    <m/>
    <m/>
    <n v="2"/>
    <n v="2"/>
    <n v="2"/>
    <m/>
    <m/>
    <n v="517895"/>
    <n v="174884"/>
    <s v="Richmond"/>
    <x v="6"/>
    <s v="Richmond"/>
    <m/>
    <m/>
    <m/>
    <m/>
    <s v="CA17 Central Richmond"/>
    <x v="0"/>
    <s v="Y"/>
    <m/>
  </r>
  <r>
    <s v="22/1285/GPD26"/>
    <n v="278"/>
    <x v="1"/>
    <x v="1"/>
    <d v="2022-05-31T00:00:00"/>
    <d v="2025-05-31T00:00:00"/>
    <m/>
    <m/>
    <x v="2"/>
    <x v="0"/>
    <x v="0"/>
    <s v="CHANGE OF USE TO SINGLE DWELLING HOUSE"/>
    <s v="5 Bridle Lane, Twickenham TW1 3EG"/>
    <s v="TW1 3EG"/>
    <m/>
    <m/>
    <m/>
    <m/>
    <m/>
    <m/>
    <m/>
    <m/>
    <n v="0"/>
    <m/>
    <n v="1"/>
    <m/>
    <m/>
    <m/>
    <m/>
    <m/>
    <m/>
    <n v="1"/>
    <n v="0"/>
    <n v="1"/>
    <n v="0"/>
    <n v="0"/>
    <n v="0"/>
    <n v="0"/>
    <n v="0"/>
    <n v="0"/>
    <n v="1"/>
    <x v="0"/>
    <m/>
    <n v="0.25"/>
    <n v="0.25"/>
    <n v="0.25"/>
    <n v="0.25"/>
    <m/>
    <m/>
    <m/>
    <m/>
    <m/>
    <m/>
    <m/>
    <m/>
    <m/>
    <m/>
    <m/>
    <m/>
    <n v="1"/>
    <n v="1"/>
    <n v="1"/>
    <m/>
    <m/>
    <n v="516837"/>
    <n v="174180"/>
    <s v="Twickenham"/>
    <x v="17"/>
    <m/>
    <m/>
    <s v="St Margarets"/>
    <s v="Y"/>
    <m/>
    <s v="CA49 Crown Road St Margarets"/>
    <x v="0"/>
    <s v="Y"/>
    <m/>
  </r>
  <r>
    <s v="22/1214/GPD26"/>
    <n v="279"/>
    <x v="1"/>
    <x v="1"/>
    <d v="2022-06-14T00:00:00"/>
    <d v="2025-06-14T00:00:00"/>
    <m/>
    <m/>
    <x v="2"/>
    <x v="0"/>
    <x v="0"/>
    <s v="Change of use of first and second floors to C3 (residential) use to facilitate the creation of 2x 2-bed 3-person flats."/>
    <s v="First And Second Floors, 41 Broad Street, Teddington TW11 8QZ"/>
    <s v="TW11 8QZ"/>
    <m/>
    <m/>
    <m/>
    <m/>
    <m/>
    <m/>
    <m/>
    <m/>
    <n v="0"/>
    <m/>
    <n v="2"/>
    <m/>
    <m/>
    <m/>
    <m/>
    <m/>
    <m/>
    <n v="2"/>
    <n v="0"/>
    <n v="2"/>
    <n v="0"/>
    <n v="0"/>
    <n v="0"/>
    <n v="0"/>
    <n v="0"/>
    <n v="0"/>
    <n v="2"/>
    <x v="0"/>
    <m/>
    <n v="0.5"/>
    <n v="0.5"/>
    <n v="0.5"/>
    <n v="0.5"/>
    <m/>
    <m/>
    <m/>
    <m/>
    <m/>
    <m/>
    <m/>
    <m/>
    <m/>
    <m/>
    <m/>
    <m/>
    <n v="2"/>
    <n v="2"/>
    <n v="2"/>
    <m/>
    <m/>
    <n v="515645"/>
    <n v="170997"/>
    <s v="Teddington and the Hamptons"/>
    <x v="0"/>
    <s v="Teddington"/>
    <m/>
    <m/>
    <m/>
    <m/>
    <m/>
    <x v="1"/>
    <s v="Y"/>
    <m/>
  </r>
  <r>
    <s v="22/0707/PS192"/>
    <n v="280"/>
    <x v="1"/>
    <x v="0"/>
    <d v="2022-06-17T00:00:00"/>
    <d v="2025-06-17T00:00:00"/>
    <m/>
    <m/>
    <x v="2"/>
    <x v="0"/>
    <x v="0"/>
    <s v="Use of ancillary caretakers bungalow at The Vineyard School as Class F1(a) education use"/>
    <s v="10 Friars Stile Road, Richmond TW10 6NE_x000a_"/>
    <s v="TW10 6NE"/>
    <m/>
    <m/>
    <m/>
    <n v="1"/>
    <m/>
    <m/>
    <m/>
    <m/>
    <n v="1"/>
    <m/>
    <m/>
    <m/>
    <m/>
    <m/>
    <m/>
    <m/>
    <m/>
    <n v="0"/>
    <n v="0"/>
    <n v="0"/>
    <n v="-1"/>
    <n v="0"/>
    <n v="0"/>
    <n v="0"/>
    <n v="0"/>
    <n v="0"/>
    <n v="-1"/>
    <x v="0"/>
    <m/>
    <n v="-0.25"/>
    <n v="-0.25"/>
    <n v="-0.25"/>
    <n v="-0.25"/>
    <m/>
    <m/>
    <m/>
    <m/>
    <m/>
    <m/>
    <m/>
    <m/>
    <m/>
    <m/>
    <m/>
    <m/>
    <n v="-1"/>
    <n v="-1"/>
    <n v="-1"/>
    <m/>
    <m/>
    <n v="518327"/>
    <n v="174138"/>
    <s v="Richmond"/>
    <x v="6"/>
    <m/>
    <m/>
    <m/>
    <m/>
    <m/>
    <s v="CA30 St Matthias Richmond"/>
    <x v="0"/>
    <s v="Y"/>
    <m/>
  </r>
  <r>
    <s v="22/1278/GPD26"/>
    <n v="281"/>
    <x v="1"/>
    <x v="1"/>
    <d v="2022-06-20T00:00:00"/>
    <d v="2025-06-20T00:00:00"/>
    <m/>
    <m/>
    <x v="2"/>
    <x v="0"/>
    <x v="0"/>
    <s v="Change of use from offices in building of 67-71 High Street to seven residential flats (three 1-bed, three 2-bed, one 3-bed)"/>
    <s v="67 - 71 High Street, Hampton Hill, Hampton TW12 1NH_x000a_"/>
    <s v="TW12 1NH"/>
    <m/>
    <m/>
    <m/>
    <m/>
    <m/>
    <m/>
    <m/>
    <m/>
    <n v="0"/>
    <n v="3"/>
    <n v="3"/>
    <n v="1"/>
    <m/>
    <m/>
    <m/>
    <m/>
    <m/>
    <n v="7"/>
    <n v="3"/>
    <n v="3"/>
    <n v="1"/>
    <n v="0"/>
    <n v="0"/>
    <n v="0"/>
    <n v="0"/>
    <n v="0"/>
    <n v="7"/>
    <x v="0"/>
    <m/>
    <n v="1.75"/>
    <n v="1.75"/>
    <n v="1.75"/>
    <n v="1.75"/>
    <m/>
    <m/>
    <m/>
    <m/>
    <m/>
    <m/>
    <m/>
    <m/>
    <m/>
    <m/>
    <m/>
    <m/>
    <n v="7"/>
    <n v="7"/>
    <n v="7"/>
    <m/>
    <m/>
    <n v="514266"/>
    <n v="170834"/>
    <s v="Teddington and the Hamptons"/>
    <x v="14"/>
    <m/>
    <m/>
    <s v="High Street, Hampton Hill"/>
    <s v="Y"/>
    <m/>
    <s v="CA38 High Street Hampton Hill"/>
    <x v="0"/>
    <m/>
    <m/>
  </r>
  <r>
    <s v="21/2533/FUL"/>
    <n v="282"/>
    <x v="3"/>
    <x v="0"/>
    <d v="2022-06-23T00:00:00"/>
    <d v="2025-06-23T00:00:00"/>
    <m/>
    <m/>
    <x v="2"/>
    <x v="5"/>
    <x v="0"/>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_x000a_"/>
    <s v="TW11 0HG"/>
    <m/>
    <m/>
    <m/>
    <m/>
    <m/>
    <m/>
    <m/>
    <m/>
    <n v="0"/>
    <n v="1"/>
    <n v="2"/>
    <m/>
    <m/>
    <m/>
    <m/>
    <m/>
    <m/>
    <n v="3"/>
    <n v="1"/>
    <n v="2"/>
    <n v="0"/>
    <n v="0"/>
    <n v="0"/>
    <n v="0"/>
    <n v="0"/>
    <n v="0"/>
    <n v="3"/>
    <x v="1"/>
    <m/>
    <m/>
    <m/>
    <n v="1.5"/>
    <n v="1.5"/>
    <m/>
    <m/>
    <m/>
    <m/>
    <m/>
    <m/>
    <m/>
    <m/>
    <m/>
    <m/>
    <m/>
    <m/>
    <n v="3"/>
    <n v="3"/>
    <n v="3"/>
    <m/>
    <m/>
    <n v="515712"/>
    <n v="170847"/>
    <s v="Teddington and the Hamptons"/>
    <x v="0"/>
    <m/>
    <m/>
    <m/>
    <m/>
    <m/>
    <m/>
    <x v="1"/>
    <s v="Y"/>
    <m/>
  </r>
  <r>
    <s v="21/2533/FUL"/>
    <n v="283"/>
    <x v="3"/>
    <x v="0"/>
    <d v="2022-06-23T00:00:00"/>
    <d v="2025-06-23T00:00:00"/>
    <m/>
    <m/>
    <x v="2"/>
    <x v="4"/>
    <x v="0"/>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_x000a_"/>
    <s v="TW11 0HG"/>
    <m/>
    <m/>
    <m/>
    <m/>
    <m/>
    <m/>
    <m/>
    <m/>
    <n v="0"/>
    <n v="2"/>
    <n v="11"/>
    <m/>
    <m/>
    <m/>
    <m/>
    <m/>
    <m/>
    <n v="13"/>
    <n v="2"/>
    <n v="11"/>
    <n v="0"/>
    <n v="0"/>
    <n v="0"/>
    <n v="0"/>
    <n v="0"/>
    <n v="0"/>
    <n v="13"/>
    <x v="1"/>
    <m/>
    <m/>
    <m/>
    <n v="6.5"/>
    <n v="6.5"/>
    <m/>
    <m/>
    <m/>
    <m/>
    <m/>
    <m/>
    <m/>
    <m/>
    <m/>
    <m/>
    <m/>
    <m/>
    <n v="13"/>
    <n v="13"/>
    <n v="13"/>
    <m/>
    <m/>
    <n v="515712"/>
    <n v="170847"/>
    <s v="Teddington and the Hamptons"/>
    <x v="0"/>
    <m/>
    <m/>
    <m/>
    <m/>
    <m/>
    <m/>
    <x v="1"/>
    <s v="Y"/>
    <m/>
  </r>
  <r>
    <s v="21/2764/FUL"/>
    <n v="284"/>
    <x v="1"/>
    <x v="0"/>
    <d v="2022-06-28T00:00:00"/>
    <d v="2025-06-28T00:00:00"/>
    <m/>
    <m/>
    <x v="2"/>
    <x v="0"/>
    <x v="0"/>
    <s v="Change of use of ground floor to create mixed Class E and C3 uses to provide a retail unit at ground floor, a separately accessed office in the basement and the replacement of the former tyre fitting bay and parking area with a building comprising two residential units"/>
    <s v="311 Upper Richmond Road West, East Sheen, London SW14 8QR"/>
    <s v="SW14 8QR"/>
    <m/>
    <m/>
    <m/>
    <m/>
    <m/>
    <m/>
    <m/>
    <m/>
    <n v="0"/>
    <n v="1"/>
    <n v="1"/>
    <m/>
    <m/>
    <m/>
    <m/>
    <m/>
    <m/>
    <n v="2"/>
    <n v="1"/>
    <n v="1"/>
    <n v="0"/>
    <n v="0"/>
    <n v="0"/>
    <n v="0"/>
    <n v="0"/>
    <n v="0"/>
    <n v="2"/>
    <x v="0"/>
    <m/>
    <n v="0.5"/>
    <n v="0.5"/>
    <n v="0.5"/>
    <n v="0.5"/>
    <m/>
    <m/>
    <m/>
    <m/>
    <m/>
    <m/>
    <m/>
    <m/>
    <m/>
    <m/>
    <m/>
    <m/>
    <n v="2"/>
    <n v="2"/>
    <n v="2"/>
    <m/>
    <m/>
    <n v="520700"/>
    <n v="175411"/>
    <s v="Barnes and East Sheen"/>
    <x v="13"/>
    <s v="East Sheen"/>
    <m/>
    <m/>
    <m/>
    <m/>
    <m/>
    <x v="1"/>
    <s v="Y"/>
    <m/>
  </r>
  <r>
    <s v="19/0404/FUL"/>
    <n v="285"/>
    <x v="3"/>
    <x v="0"/>
    <d v="2022-06-30T00:00:00"/>
    <d v="2025-06-30T00:00:00"/>
    <m/>
    <m/>
    <x v="2"/>
    <x v="0"/>
    <x v="0"/>
    <s v="Proposed construction of 2 bedroom dwellinghouse with 1No car parking space; secure storage for 2No cycles; refuse &amp; recycling storage; replacement of part of existing boundary wall with gates, piers &amp; railings to provide new pedestrian &amp; vehicular access"/>
    <s v="Land Adjacent To, 53 Old Deer Park Gardens, Richmond"/>
    <s v="TW9 2T"/>
    <m/>
    <m/>
    <m/>
    <m/>
    <m/>
    <m/>
    <m/>
    <m/>
    <n v="0"/>
    <m/>
    <n v="1"/>
    <m/>
    <m/>
    <m/>
    <m/>
    <m/>
    <m/>
    <n v="1"/>
    <n v="0"/>
    <n v="1"/>
    <n v="0"/>
    <n v="0"/>
    <n v="0"/>
    <n v="0"/>
    <n v="0"/>
    <n v="0"/>
    <n v="1"/>
    <x v="0"/>
    <m/>
    <n v="0.25"/>
    <n v="0.25"/>
    <n v="0.25"/>
    <n v="0.25"/>
    <m/>
    <m/>
    <m/>
    <m/>
    <m/>
    <m/>
    <m/>
    <m/>
    <m/>
    <m/>
    <m/>
    <m/>
    <n v="1"/>
    <n v="1"/>
    <n v="1"/>
    <m/>
    <m/>
    <n v="518195"/>
    <n v="175741"/>
    <s v="Richmond"/>
    <x v="4"/>
    <m/>
    <m/>
    <m/>
    <m/>
    <m/>
    <m/>
    <x v="1"/>
    <s v="Y"/>
    <m/>
  </r>
  <r>
    <s v="22/1924/GPD26"/>
    <n v="286"/>
    <x v="1"/>
    <x v="1"/>
    <d v="2022-07-29T00:00:00"/>
    <d v="2025-07-29T00:00:00"/>
    <m/>
    <m/>
    <x v="2"/>
    <x v="0"/>
    <x v="0"/>
    <s v="Conversion of Ground Floor Commercial unit (Class E) to Use Class C3 Dwelling-house, Comprising of 2 No x Self Contained Studio units."/>
    <s v="3 - 5 Wensleydale Road, Hampton"/>
    <s v="TW12 2LP"/>
    <m/>
    <m/>
    <m/>
    <m/>
    <m/>
    <m/>
    <m/>
    <m/>
    <n v="0"/>
    <n v="2"/>
    <m/>
    <m/>
    <m/>
    <m/>
    <m/>
    <m/>
    <m/>
    <n v="2"/>
    <n v="2"/>
    <n v="0"/>
    <n v="0"/>
    <n v="0"/>
    <n v="0"/>
    <n v="0"/>
    <n v="0"/>
    <n v="0"/>
    <n v="2"/>
    <x v="0"/>
    <m/>
    <n v="0.5"/>
    <n v="0.5"/>
    <n v="0.5"/>
    <n v="0.5"/>
    <m/>
    <m/>
    <m/>
    <m/>
    <m/>
    <m/>
    <m/>
    <m/>
    <m/>
    <m/>
    <m/>
    <m/>
    <n v="2"/>
    <n v="2"/>
    <n v="2"/>
    <m/>
    <m/>
    <n v="513450"/>
    <n v="169954"/>
    <s v="Teddington and the Hamptons"/>
    <x v="15"/>
    <m/>
    <m/>
    <s v="Wensleydale Road, Hampton"/>
    <s v="Y"/>
    <m/>
    <m/>
    <x v="1"/>
    <s v="Y"/>
    <m/>
  </r>
  <r>
    <s v="22/1568/FUL"/>
    <n v="287"/>
    <x v="3"/>
    <x v="0"/>
    <d v="2022-08-09T00:00:00"/>
    <d v="2025-08-09T00:00:00"/>
    <m/>
    <m/>
    <x v="2"/>
    <x v="0"/>
    <x v="0"/>
    <s v="Demolition of the existing 5-bed bungalow and replacement with a 5-bed family house. Associated hard and soft landscaping. Installation of vehicular and pedestrian gate. Bike and refuse stores."/>
    <s v="Jude Gate, 35 Ham Common, Ham, Richmond, TW10 7JG, "/>
    <s v="TW10 7JG"/>
    <m/>
    <m/>
    <m/>
    <m/>
    <n v="1"/>
    <m/>
    <m/>
    <m/>
    <n v="1"/>
    <m/>
    <m/>
    <m/>
    <m/>
    <n v="1"/>
    <m/>
    <m/>
    <m/>
    <n v="1"/>
    <n v="0"/>
    <n v="0"/>
    <n v="0"/>
    <n v="-1"/>
    <n v="1"/>
    <n v="0"/>
    <n v="0"/>
    <n v="0"/>
    <n v="0"/>
    <x v="0"/>
    <m/>
    <n v="0"/>
    <m/>
    <m/>
    <m/>
    <m/>
    <m/>
    <m/>
    <m/>
    <m/>
    <m/>
    <m/>
    <m/>
    <m/>
    <m/>
    <m/>
    <m/>
    <n v="0"/>
    <n v="0"/>
    <n v="0"/>
    <m/>
    <m/>
    <n v="517552"/>
    <n v="172166"/>
    <s v="Ham &amp; Petersham"/>
    <x v="2"/>
    <m/>
    <m/>
    <m/>
    <m/>
    <m/>
    <s v="CA7 Ham Common"/>
    <x v="0"/>
    <m/>
    <m/>
  </r>
  <r>
    <s v="21/2151/FUL"/>
    <n v="288"/>
    <x v="3"/>
    <x v="0"/>
    <d v="2022-08-10T00:00:00"/>
    <d v="2025-08-10T00:00:00"/>
    <m/>
    <m/>
    <x v="2"/>
    <x v="0"/>
    <x v="0"/>
    <s v="Demolition of the existing three storey house and erection of a replacement two storey plus basement single family dwelling with associated hard and soft landscpaing and refuse store."/>
    <s v="40 West Temple Sheen, East Sheen, London, SW14 7AP"/>
    <s v="SW14 7AP"/>
    <m/>
    <m/>
    <m/>
    <m/>
    <m/>
    <n v="1"/>
    <m/>
    <m/>
    <n v="1"/>
    <m/>
    <m/>
    <m/>
    <m/>
    <n v="1"/>
    <m/>
    <m/>
    <m/>
    <n v="1"/>
    <n v="0"/>
    <n v="0"/>
    <n v="0"/>
    <n v="0"/>
    <n v="0"/>
    <n v="0"/>
    <n v="0"/>
    <n v="0"/>
    <n v="0"/>
    <x v="0"/>
    <m/>
    <n v="0"/>
    <m/>
    <m/>
    <m/>
    <m/>
    <m/>
    <m/>
    <m/>
    <m/>
    <m/>
    <m/>
    <m/>
    <m/>
    <m/>
    <m/>
    <m/>
    <n v="0"/>
    <n v="0"/>
    <n v="0"/>
    <m/>
    <m/>
    <n v="519892"/>
    <n v="174721"/>
    <s v="Barnes and East Sheen"/>
    <x v="13"/>
    <m/>
    <m/>
    <m/>
    <m/>
    <m/>
    <m/>
    <x v="1"/>
    <s v="Y"/>
    <m/>
  </r>
  <r>
    <s v="21/3140/FUL"/>
    <n v="289"/>
    <x v="3"/>
    <x v="0"/>
    <d v="2022-08-12T00:00:00"/>
    <d v="2025-08-12T00:00:00"/>
    <m/>
    <m/>
    <x v="2"/>
    <x v="0"/>
    <x v="0"/>
    <s v="Demolition of 3 houses and construction of 8 new houses at 38 to 42 Vincam close"/>
    <s v="38 - 42 Vincam Close, Twickenham_x000a__x000a_"/>
    <m/>
    <m/>
    <m/>
    <n v="1"/>
    <n v="1"/>
    <m/>
    <n v="1"/>
    <m/>
    <m/>
    <n v="3"/>
    <m/>
    <m/>
    <n v="6"/>
    <n v="2"/>
    <m/>
    <m/>
    <m/>
    <m/>
    <n v="8"/>
    <n v="0"/>
    <n v="-1"/>
    <n v="5"/>
    <n v="2"/>
    <n v="-1"/>
    <n v="0"/>
    <n v="0"/>
    <n v="0"/>
    <n v="5"/>
    <x v="0"/>
    <m/>
    <n v="1.25"/>
    <n v="1.25"/>
    <n v="1.25"/>
    <n v="1.25"/>
    <m/>
    <m/>
    <m/>
    <m/>
    <m/>
    <m/>
    <m/>
    <m/>
    <m/>
    <m/>
    <m/>
    <m/>
    <n v="5"/>
    <n v="5"/>
    <n v="5"/>
    <m/>
    <m/>
    <n v="513356"/>
    <n v="173823"/>
    <s v="Whitton"/>
    <x v="12"/>
    <m/>
    <m/>
    <m/>
    <m/>
    <m/>
    <m/>
    <x v="1"/>
    <s v="Y"/>
    <m/>
  </r>
  <r>
    <s v="22/0208/FUL"/>
    <n v="290"/>
    <x v="3"/>
    <x v="0"/>
    <d v="2022-09-02T00:00:00"/>
    <d v="2025-09-02T00:00:00"/>
    <m/>
    <m/>
    <x v="2"/>
    <x v="0"/>
    <x v="0"/>
    <s v="Construction of two-storey house with basement."/>
    <s v="3 Bridle Lane, Twickenham, TW1 3EG"/>
    <s v="TW1 3EG"/>
    <m/>
    <m/>
    <m/>
    <m/>
    <m/>
    <m/>
    <m/>
    <m/>
    <n v="0"/>
    <m/>
    <n v="1"/>
    <m/>
    <m/>
    <m/>
    <m/>
    <m/>
    <m/>
    <n v="1"/>
    <n v="0"/>
    <n v="1"/>
    <n v="0"/>
    <n v="0"/>
    <n v="0"/>
    <n v="0"/>
    <n v="0"/>
    <n v="0"/>
    <n v="1"/>
    <x v="0"/>
    <m/>
    <n v="0.25"/>
    <n v="0.25"/>
    <n v="0.25"/>
    <n v="0.25"/>
    <m/>
    <m/>
    <m/>
    <m/>
    <m/>
    <m/>
    <m/>
    <m/>
    <m/>
    <m/>
    <m/>
    <m/>
    <n v="1"/>
    <n v="1"/>
    <n v="1"/>
    <m/>
    <m/>
    <n v="516814"/>
    <n v="174186"/>
    <s v="Twickenham"/>
    <x v="17"/>
    <m/>
    <m/>
    <m/>
    <m/>
    <m/>
    <m/>
    <x v="1"/>
    <s v="Y"/>
    <m/>
  </r>
  <r>
    <s v="21/4257/FUL"/>
    <n v="291"/>
    <x v="3"/>
    <x v="0"/>
    <d v="2022-09-05T00:00:00"/>
    <d v="2025-09-05T00:00:00"/>
    <m/>
    <m/>
    <x v="2"/>
    <x v="0"/>
    <x v="0"/>
    <s v="Demolition of Existing House and Garaging and Erection of New Replacement Two Storey House with Part Basement, Additional Accommodation within the Roof Space, Attached Garages and External Works."/>
    <s v="Denbigh, 34 Lower Teddington Road, Hampton Wick, Kingston Upon Thames KT1 4HJ_x000a_"/>
    <s v="KT1 4HJ"/>
    <m/>
    <m/>
    <m/>
    <m/>
    <m/>
    <n v="1"/>
    <m/>
    <m/>
    <n v="1"/>
    <m/>
    <m/>
    <m/>
    <m/>
    <n v="1"/>
    <m/>
    <m/>
    <m/>
    <n v="1"/>
    <n v="0"/>
    <n v="0"/>
    <n v="0"/>
    <n v="0"/>
    <n v="0"/>
    <n v="0"/>
    <n v="0"/>
    <n v="0"/>
    <n v="0"/>
    <x v="0"/>
    <m/>
    <n v="0"/>
    <m/>
    <m/>
    <m/>
    <m/>
    <m/>
    <m/>
    <m/>
    <m/>
    <m/>
    <m/>
    <m/>
    <m/>
    <m/>
    <m/>
    <m/>
    <n v="0"/>
    <n v="0"/>
    <n v="0"/>
    <m/>
    <m/>
    <n v="517672"/>
    <n v="170048"/>
    <s v="Teddington and the Hamptons"/>
    <x v="10"/>
    <m/>
    <s v="Thames Policy Area"/>
    <m/>
    <m/>
    <m/>
    <s v="CA18 Hampton Wick"/>
    <x v="0"/>
    <s v="Y"/>
    <s v="Y"/>
  </r>
  <r>
    <s v="21/2209/FUL"/>
    <n v="292"/>
    <x v="0"/>
    <x v="0"/>
    <d v="2022-09-12T00:00:00"/>
    <d v="2025-09-12T00:00:00"/>
    <m/>
    <m/>
    <x v="2"/>
    <x v="0"/>
    <x v="0"/>
    <s v="Extension and subdivision of existing end of terrace house to form two maisonette flats."/>
    <s v="155 Priory Road, Hampton, TW12 2PT"/>
    <s v="TW12 2PT"/>
    <m/>
    <m/>
    <m/>
    <n v="1"/>
    <m/>
    <m/>
    <m/>
    <m/>
    <n v="1"/>
    <m/>
    <n v="1"/>
    <n v="1"/>
    <m/>
    <m/>
    <m/>
    <m/>
    <m/>
    <n v="2"/>
    <n v="0"/>
    <n v="1"/>
    <n v="0"/>
    <n v="0"/>
    <n v="0"/>
    <n v="0"/>
    <n v="0"/>
    <n v="0"/>
    <n v="1"/>
    <x v="0"/>
    <m/>
    <n v="0.25"/>
    <n v="0.25"/>
    <n v="0.25"/>
    <n v="0.25"/>
    <m/>
    <m/>
    <m/>
    <m/>
    <m/>
    <m/>
    <m/>
    <m/>
    <m/>
    <m/>
    <m/>
    <m/>
    <n v="1"/>
    <n v="1"/>
    <n v="1"/>
    <m/>
    <m/>
    <n v="512618"/>
    <n v="170021"/>
    <s v="Teddington and the Hamptons"/>
    <x v="15"/>
    <m/>
    <m/>
    <m/>
    <m/>
    <m/>
    <m/>
    <x v="1"/>
    <s v="Y"/>
    <m/>
  </r>
  <r>
    <s v="21/1907/FUL"/>
    <n v="293"/>
    <x v="3"/>
    <x v="0"/>
    <d v="2022-09-13T00:00:00"/>
    <d v="2025-09-13T00:00:00"/>
    <m/>
    <m/>
    <x v="2"/>
    <x v="0"/>
    <x v="0"/>
    <s v="DEMOLITION OF EXISTING TWO (2) STOREY DETACHED DWELLING AND CONSTRUCTION OF NEW TWO (2) STOREY DETACHED DWELLING WITH HABITABLE ROOF SPACE."/>
    <s v="42 Ormond Crescent, Hampton, TW12 2TH"/>
    <s v="TW12 2TH"/>
    <m/>
    <m/>
    <m/>
    <n v="1"/>
    <m/>
    <m/>
    <m/>
    <m/>
    <n v="1"/>
    <m/>
    <m/>
    <m/>
    <m/>
    <n v="1"/>
    <m/>
    <m/>
    <m/>
    <n v="1"/>
    <n v="0"/>
    <n v="0"/>
    <n v="-1"/>
    <n v="0"/>
    <n v="1"/>
    <n v="0"/>
    <n v="0"/>
    <n v="0"/>
    <n v="0"/>
    <x v="0"/>
    <m/>
    <n v="0"/>
    <m/>
    <m/>
    <m/>
    <m/>
    <m/>
    <m/>
    <m/>
    <m/>
    <m/>
    <m/>
    <m/>
    <m/>
    <m/>
    <m/>
    <m/>
    <n v="0"/>
    <n v="0"/>
    <n v="0"/>
    <m/>
    <m/>
    <n v="513869"/>
    <n v="169984"/>
    <s v="Teddington and the Hamptons"/>
    <x v="15"/>
    <m/>
    <m/>
    <m/>
    <m/>
    <m/>
    <m/>
    <x v="1"/>
    <s v="Y"/>
    <m/>
  </r>
  <r>
    <s v="22/1513/FUL"/>
    <n v="294"/>
    <x v="3"/>
    <x v="0"/>
    <d v="2022-09-16T00:00:00"/>
    <d v="2025-09-16T00:00:00"/>
    <m/>
    <m/>
    <x v="2"/>
    <x v="0"/>
    <x v="0"/>
    <s v="Erection of a new dwelling with associated parking and landscaping."/>
    <s v="2A Courtlands Avenue, Hampton TW12 3NT_x000a_"/>
    <s v="TW12 3NT"/>
    <m/>
    <m/>
    <m/>
    <m/>
    <m/>
    <m/>
    <m/>
    <m/>
    <n v="0"/>
    <m/>
    <m/>
    <m/>
    <n v="1"/>
    <m/>
    <m/>
    <m/>
    <m/>
    <n v="1"/>
    <n v="0"/>
    <n v="0"/>
    <n v="0"/>
    <n v="1"/>
    <n v="0"/>
    <n v="0"/>
    <n v="0"/>
    <n v="0"/>
    <n v="1"/>
    <x v="0"/>
    <m/>
    <n v="0.25"/>
    <n v="0.25"/>
    <n v="0.25"/>
    <n v="0.25"/>
    <m/>
    <m/>
    <m/>
    <m/>
    <m/>
    <m/>
    <m/>
    <m/>
    <m/>
    <m/>
    <m/>
    <m/>
    <n v="1"/>
    <n v="1"/>
    <n v="1"/>
    <m/>
    <m/>
    <n v="512954"/>
    <n v="170628"/>
    <s v="Teddington and the Hamptons"/>
    <x v="1"/>
    <m/>
    <m/>
    <m/>
    <m/>
    <m/>
    <m/>
    <x v="1"/>
    <m/>
    <m/>
  </r>
  <r>
    <s v="22/1916/FUL"/>
    <n v="295"/>
    <x v="3"/>
    <x v="0"/>
    <d v="2022-10-12T00:00:00"/>
    <d v="2025-10-12T00:00:00"/>
    <m/>
    <m/>
    <x v="2"/>
    <x v="0"/>
    <x v="0"/>
    <s v="Demolition of an existing detached residence and construction of a replacement 2 storey 5 bedroom house and associated hard and soft landscaping, refuse and cycle parking facilities"/>
    <s v="32 Sandy Lane, Petersham, Richmond TW10 7EL"/>
    <s v="TW10 7EL"/>
    <m/>
    <m/>
    <m/>
    <n v="1"/>
    <m/>
    <m/>
    <m/>
    <m/>
    <n v="1"/>
    <m/>
    <m/>
    <m/>
    <m/>
    <n v="1"/>
    <m/>
    <m/>
    <m/>
    <n v="1"/>
    <n v="0"/>
    <n v="0"/>
    <n v="-1"/>
    <n v="0"/>
    <n v="1"/>
    <n v="0"/>
    <n v="0"/>
    <n v="0"/>
    <n v="0"/>
    <x v="0"/>
    <m/>
    <n v="0"/>
    <m/>
    <m/>
    <m/>
    <m/>
    <m/>
    <m/>
    <m/>
    <m/>
    <m/>
    <m/>
    <m/>
    <m/>
    <m/>
    <m/>
    <m/>
    <n v="0"/>
    <n v="0"/>
    <n v="0"/>
    <m/>
    <m/>
    <n v="517779"/>
    <n v="172645"/>
    <s v="Ham &amp; Petersham"/>
    <x v="2"/>
    <m/>
    <m/>
    <m/>
    <m/>
    <m/>
    <m/>
    <x v="1"/>
    <m/>
    <m/>
  </r>
  <r>
    <s v="20/1871/FUL"/>
    <n v="296"/>
    <x v="3"/>
    <x v="0"/>
    <d v="2022-10-20T00:00:00"/>
    <d v="2025-10-20T00:00:00"/>
    <m/>
    <m/>
    <x v="2"/>
    <x v="0"/>
    <x v="0"/>
    <s v="Demolition of two blocks of lock-up garages and construction of 3 x 2 bed dwellings with associated structures and landscaping works."/>
    <s v="Land R/O 8 To 18 Atbara Road, Teddington"/>
    <s v="TW11"/>
    <m/>
    <m/>
    <m/>
    <m/>
    <m/>
    <m/>
    <m/>
    <m/>
    <n v="0"/>
    <m/>
    <n v="3"/>
    <m/>
    <m/>
    <m/>
    <m/>
    <m/>
    <m/>
    <n v="3"/>
    <n v="0"/>
    <n v="3"/>
    <n v="0"/>
    <n v="0"/>
    <n v="0"/>
    <n v="0"/>
    <n v="0"/>
    <n v="0"/>
    <n v="3"/>
    <x v="0"/>
    <m/>
    <n v="0.75"/>
    <n v="0.75"/>
    <n v="0.75"/>
    <n v="0.75"/>
    <m/>
    <m/>
    <m/>
    <m/>
    <m/>
    <m/>
    <m/>
    <m/>
    <m/>
    <m/>
    <m/>
    <m/>
    <n v="3"/>
    <n v="3"/>
    <n v="3"/>
    <m/>
    <m/>
    <n v="516900"/>
    <n v="170739"/>
    <s v="Teddington and the Hamptons"/>
    <x v="10"/>
    <m/>
    <m/>
    <m/>
    <m/>
    <m/>
    <m/>
    <x v="1"/>
    <s v="Y"/>
    <m/>
  </r>
  <r>
    <s v="21/4201/FUL"/>
    <n v="297"/>
    <x v="3"/>
    <x v="0"/>
    <d v="2022-10-21T00:00:00"/>
    <d v="2025-10-21T00:00:00"/>
    <m/>
    <m/>
    <x v="2"/>
    <x v="0"/>
    <x v="0"/>
    <s v="Erection of a new dwellinghouse with associated parking and landscaping following the demolition of the existing house."/>
    <s v="5 Monmouth Avenue, Hampton Wick, Kingston Upon Thames, KT1 4HR"/>
    <s v="KT1 4HR"/>
    <m/>
    <m/>
    <m/>
    <n v="1"/>
    <m/>
    <m/>
    <m/>
    <m/>
    <n v="1"/>
    <m/>
    <m/>
    <m/>
    <n v="1"/>
    <m/>
    <m/>
    <m/>
    <m/>
    <n v="1"/>
    <n v="0"/>
    <n v="0"/>
    <n v="-1"/>
    <n v="1"/>
    <n v="0"/>
    <n v="0"/>
    <n v="0"/>
    <n v="0"/>
    <n v="0"/>
    <x v="0"/>
    <m/>
    <n v="0"/>
    <m/>
    <m/>
    <m/>
    <m/>
    <m/>
    <m/>
    <m/>
    <m/>
    <m/>
    <m/>
    <m/>
    <m/>
    <m/>
    <m/>
    <m/>
    <n v="0"/>
    <n v="0"/>
    <n v="0"/>
    <m/>
    <m/>
    <n v="517493"/>
    <n v="170091"/>
    <s v="Teddington and the Hamptons"/>
    <x v="10"/>
    <m/>
    <m/>
    <m/>
    <m/>
    <m/>
    <m/>
    <x v="1"/>
    <s v="Y"/>
    <m/>
  </r>
  <r>
    <s v="21/3800/FUL"/>
    <n v="298"/>
    <x v="2"/>
    <x v="0"/>
    <d v="2022-11-07T00:00:00"/>
    <d v="2025-11-07T00:00:00"/>
    <m/>
    <m/>
    <x v="2"/>
    <x v="0"/>
    <x v="0"/>
    <s v="Change of use of single dwelling house to provide one x 4 bedroom dwelling and one x 2 bedroom dwelling"/>
    <s v="286 Staines Road, Twickenham TW2 5AS_x000a_"/>
    <s v="TW2 5AS"/>
    <m/>
    <m/>
    <m/>
    <m/>
    <m/>
    <m/>
    <n v="1"/>
    <m/>
    <n v="1"/>
    <m/>
    <n v="1"/>
    <m/>
    <n v="1"/>
    <m/>
    <m/>
    <m/>
    <m/>
    <n v="2"/>
    <n v="0"/>
    <n v="1"/>
    <n v="0"/>
    <n v="1"/>
    <n v="0"/>
    <n v="-1"/>
    <n v="0"/>
    <n v="0"/>
    <n v="1"/>
    <x v="0"/>
    <m/>
    <n v="0.25"/>
    <n v="0.25"/>
    <n v="0.25"/>
    <n v="0.25"/>
    <m/>
    <m/>
    <m/>
    <m/>
    <m/>
    <m/>
    <m/>
    <m/>
    <m/>
    <m/>
    <m/>
    <m/>
    <n v="1"/>
    <n v="1"/>
    <n v="1"/>
    <m/>
    <m/>
    <n v="514221"/>
    <n v="172513"/>
    <s v="Twickenham"/>
    <x v="11"/>
    <m/>
    <m/>
    <m/>
    <m/>
    <m/>
    <m/>
    <x v="1"/>
    <m/>
    <m/>
  </r>
  <r>
    <s v="22/0399/FUL"/>
    <n v="299"/>
    <x v="3"/>
    <x v="0"/>
    <d v="2022-11-07T00:00:00"/>
    <d v="2025-11-07T00:00:00"/>
    <m/>
    <m/>
    <x v="2"/>
    <x v="7"/>
    <x v="0"/>
    <s v="Construction of a part 1/2/3 storey building including basement level to provide 14 co-living units (sui generis) and associated hard and soft landscaping, cycle and refuse stores"/>
    <s v="47A 47 And 49 Lower Mortlake Road, Richmond"/>
    <s v="TW9 2LW"/>
    <m/>
    <m/>
    <m/>
    <m/>
    <m/>
    <m/>
    <m/>
    <m/>
    <n v="0"/>
    <n v="14"/>
    <m/>
    <m/>
    <m/>
    <m/>
    <m/>
    <m/>
    <m/>
    <n v="14"/>
    <n v="14"/>
    <n v="0"/>
    <n v="0"/>
    <n v="0"/>
    <n v="0"/>
    <n v="0"/>
    <n v="0"/>
    <n v="0"/>
    <n v="14"/>
    <x v="1"/>
    <m/>
    <n v="3.5"/>
    <n v="3.5"/>
    <n v="3.5"/>
    <n v="3.5"/>
    <m/>
    <m/>
    <m/>
    <m/>
    <m/>
    <m/>
    <m/>
    <m/>
    <m/>
    <m/>
    <m/>
    <m/>
    <n v="14"/>
    <n v="14"/>
    <n v="14"/>
    <m/>
    <m/>
    <n v="518347"/>
    <n v="175427"/>
    <s v="Richmond"/>
    <x v="4"/>
    <m/>
    <m/>
    <m/>
    <m/>
    <m/>
    <m/>
    <x v="1"/>
    <s v="Y"/>
    <m/>
  </r>
  <r>
    <s v="22/1825/FUL"/>
    <n v="300"/>
    <x v="3"/>
    <x v="0"/>
    <d v="2022-11-07T00:00:00"/>
    <d v="2025-11-07T00:00:00"/>
    <m/>
    <m/>
    <x v="2"/>
    <x v="4"/>
    <x v="0"/>
    <s v="Demolition of existing dwelling and associated outbuildings, and erection of 4no. new 1bed and 2bed affordable flats, with associated landscaping, cycle and refuse stores"/>
    <s v="88 Richmond Road, Twickenham TW1 3BB"/>
    <s v="TW1 3BB"/>
    <m/>
    <m/>
    <m/>
    <n v="1"/>
    <m/>
    <m/>
    <m/>
    <m/>
    <n v="1"/>
    <n v="3"/>
    <n v="1"/>
    <m/>
    <m/>
    <m/>
    <m/>
    <m/>
    <m/>
    <n v="4"/>
    <n v="3"/>
    <n v="1"/>
    <n v="-1"/>
    <n v="0"/>
    <n v="0"/>
    <n v="0"/>
    <n v="0"/>
    <n v="0"/>
    <n v="3"/>
    <x v="0"/>
    <m/>
    <n v="0.75"/>
    <n v="0.75"/>
    <n v="0.75"/>
    <n v="0.75"/>
    <m/>
    <m/>
    <m/>
    <m/>
    <m/>
    <m/>
    <m/>
    <m/>
    <m/>
    <m/>
    <m/>
    <m/>
    <n v="3"/>
    <n v="3"/>
    <n v="3"/>
    <m/>
    <m/>
    <n v="516734"/>
    <n v="173647"/>
    <s v="Twickenham"/>
    <x v="9"/>
    <m/>
    <m/>
    <m/>
    <m/>
    <s v="Orleans School"/>
    <s v="CA8 Twickenham Riverside"/>
    <x v="0"/>
    <s v="Y"/>
    <m/>
  </r>
  <r>
    <s v="20/0969/FUL"/>
    <n v="301"/>
    <x v="3"/>
    <x v="0"/>
    <d v="2022-11-10T00:00:00"/>
    <d v="2025-11-10T00:00:00"/>
    <m/>
    <m/>
    <x v="2"/>
    <x v="0"/>
    <x v="0"/>
    <s v="The demolition of an existing garage and ancillary outbuildings on garden land and the construction of 2 new detached houses."/>
    <s v="Land Rear Of 256 To 258 Kingston Road, Teddington"/>
    <s v="TW11"/>
    <m/>
    <m/>
    <m/>
    <m/>
    <m/>
    <m/>
    <m/>
    <m/>
    <n v="0"/>
    <m/>
    <n v="2"/>
    <m/>
    <m/>
    <m/>
    <m/>
    <m/>
    <m/>
    <n v="2"/>
    <n v="0"/>
    <n v="2"/>
    <n v="0"/>
    <n v="0"/>
    <n v="0"/>
    <n v="0"/>
    <n v="0"/>
    <n v="0"/>
    <n v="2"/>
    <x v="0"/>
    <m/>
    <n v="0.5"/>
    <n v="0.5"/>
    <n v="0.5"/>
    <n v="0.5"/>
    <m/>
    <m/>
    <m/>
    <m/>
    <m/>
    <m/>
    <m/>
    <m/>
    <m/>
    <m/>
    <m/>
    <m/>
    <n v="2"/>
    <n v="2"/>
    <n v="2"/>
    <m/>
    <m/>
    <n v="517060"/>
    <n v="170217"/>
    <s v="Teddington and the Hamptons"/>
    <x v="10"/>
    <m/>
    <m/>
    <m/>
    <m/>
    <m/>
    <s v="CA83 Wick Road"/>
    <x v="0"/>
    <s v="Y"/>
    <s v="Y"/>
  </r>
  <r>
    <s v="22/2877/GPD26"/>
    <n v="302"/>
    <x v="1"/>
    <x v="1"/>
    <d v="2022-11-24T00:00:00"/>
    <d v="2025-11-24T00:00:00"/>
    <m/>
    <m/>
    <x v="2"/>
    <x v="0"/>
    <x v="0"/>
    <s v="Change of Use from the existing Use Class E (dental surgery) to the Use Class C3 (Residential Flat)"/>
    <s v="9A Tangley Park Road, Hampton TW12 3YH"/>
    <s v="TW12 3YH"/>
    <m/>
    <m/>
    <m/>
    <m/>
    <m/>
    <m/>
    <m/>
    <m/>
    <n v="0"/>
    <n v="1"/>
    <m/>
    <m/>
    <m/>
    <m/>
    <m/>
    <m/>
    <m/>
    <n v="1"/>
    <n v="1"/>
    <n v="0"/>
    <n v="0"/>
    <n v="0"/>
    <n v="0"/>
    <n v="0"/>
    <n v="0"/>
    <n v="0"/>
    <n v="1"/>
    <x v="0"/>
    <m/>
    <n v="0.25"/>
    <n v="0.25"/>
    <n v="0.25"/>
    <n v="0.25"/>
    <m/>
    <m/>
    <m/>
    <m/>
    <m/>
    <m/>
    <m/>
    <m/>
    <m/>
    <m/>
    <m/>
    <m/>
    <n v="1"/>
    <n v="1"/>
    <n v="1"/>
    <m/>
    <m/>
    <n v="512819"/>
    <n v="170921"/>
    <s v="Teddington and the Hamptons"/>
    <x v="1"/>
    <m/>
    <m/>
    <m/>
    <m/>
    <m/>
    <m/>
    <x v="1"/>
    <m/>
    <m/>
  </r>
  <r>
    <s v="22/2994/GPH03"/>
    <n v="303"/>
    <x v="4"/>
    <x v="1"/>
    <d v="2022-11-29T00:00:00"/>
    <d v="2025-11-29T00:00:00"/>
    <m/>
    <m/>
    <x v="2"/>
    <x v="0"/>
    <x v="0"/>
    <s v="Erection of a roof extension comprising an additional storey (providing 3 additional residential units) to the existing mixed-use, 3 storey terraced building along with the provision of a green roof, refuse and recycling storage and cycle parking associat"/>
    <s v="Canham House, 17 Heath Road, Twickenham TW1 4AW_x000a_"/>
    <s v="TW1 4AW"/>
    <m/>
    <m/>
    <m/>
    <m/>
    <m/>
    <m/>
    <m/>
    <m/>
    <n v="0"/>
    <n v="1"/>
    <n v="2"/>
    <m/>
    <m/>
    <m/>
    <m/>
    <m/>
    <m/>
    <n v="3"/>
    <n v="1"/>
    <n v="2"/>
    <n v="0"/>
    <n v="0"/>
    <n v="0"/>
    <n v="0"/>
    <n v="0"/>
    <n v="0"/>
    <n v="3"/>
    <x v="0"/>
    <m/>
    <n v="0.75"/>
    <n v="0.75"/>
    <n v="0.75"/>
    <n v="0.75"/>
    <m/>
    <m/>
    <m/>
    <m/>
    <m/>
    <m/>
    <m/>
    <m/>
    <m/>
    <m/>
    <m/>
    <m/>
    <n v="3"/>
    <n v="3"/>
    <n v="3"/>
    <m/>
    <m/>
    <n v="516087"/>
    <n v="173122"/>
    <s v="Twickenham"/>
    <x v="5"/>
    <s v="Twickenham"/>
    <m/>
    <m/>
    <m/>
    <m/>
    <m/>
    <x v="1"/>
    <s v="Y"/>
    <m/>
  </r>
  <r>
    <s v="22/0663/FUL"/>
    <n v="304"/>
    <x v="4"/>
    <x v="0"/>
    <d v="2022-11-30T00:00:00"/>
    <d v="2025-11-30T00:00:00"/>
    <m/>
    <m/>
    <x v="2"/>
    <x v="0"/>
    <x v="0"/>
    <s v="Demolition of existing outbuilding.  Erection of side/rear extension to additional office floorspace and create 1 x 1 bed flat with associated landscaping, cycle and refuse storage facilities."/>
    <s v="53 Sheen Lane, East Sheen, London SW14 8AB"/>
    <s v="SW14 8AB"/>
    <m/>
    <m/>
    <m/>
    <m/>
    <m/>
    <m/>
    <m/>
    <m/>
    <n v="0"/>
    <n v="1"/>
    <m/>
    <m/>
    <m/>
    <m/>
    <m/>
    <m/>
    <m/>
    <n v="1"/>
    <n v="1"/>
    <n v="0"/>
    <n v="0"/>
    <n v="0"/>
    <n v="0"/>
    <n v="0"/>
    <n v="0"/>
    <n v="0"/>
    <n v="1"/>
    <x v="0"/>
    <m/>
    <n v="0.25"/>
    <n v="0.25"/>
    <n v="0.25"/>
    <n v="0.25"/>
    <m/>
    <m/>
    <m/>
    <m/>
    <m/>
    <m/>
    <m/>
    <m/>
    <m/>
    <m/>
    <m/>
    <m/>
    <n v="1"/>
    <n v="1"/>
    <n v="1"/>
    <m/>
    <m/>
    <n v="520508"/>
    <n v="175676"/>
    <s v="Barnes and East Sheen"/>
    <x v="13"/>
    <s v="East Sheen"/>
    <m/>
    <m/>
    <m/>
    <m/>
    <s v="CA70 Sheen Lane Mortlake"/>
    <x v="0"/>
    <s v="Y"/>
    <m/>
  </r>
  <r>
    <s v="22/3043/GPD24"/>
    <n v="305"/>
    <x v="1"/>
    <x v="1"/>
    <d v="2022-11-30T00:00:00"/>
    <d v="2025-11-30T00:00:00"/>
    <m/>
    <m/>
    <x v="2"/>
    <x v="0"/>
    <x v="0"/>
    <s v="Change of use from Class E (commercial, business and service) to Mixed Use Class E (commercial, business and service) and Class C3 (dwellinghouses) to provide 1x self-contained dwelling."/>
    <s v="357 Upper Richmond Road West, East Sheen, London SW14 8QN"/>
    <s v="SW14 8QN"/>
    <m/>
    <m/>
    <m/>
    <m/>
    <m/>
    <m/>
    <m/>
    <m/>
    <n v="0"/>
    <n v="1"/>
    <m/>
    <m/>
    <m/>
    <m/>
    <m/>
    <m/>
    <m/>
    <n v="1"/>
    <n v="1"/>
    <n v="0"/>
    <n v="0"/>
    <n v="0"/>
    <n v="0"/>
    <n v="0"/>
    <n v="0"/>
    <n v="0"/>
    <n v="1"/>
    <x v="0"/>
    <m/>
    <n v="0.25"/>
    <n v="0.25"/>
    <n v="0.25"/>
    <n v="0.25"/>
    <m/>
    <m/>
    <m/>
    <m/>
    <m/>
    <m/>
    <m/>
    <m/>
    <m/>
    <m/>
    <m/>
    <m/>
    <n v="1"/>
    <n v="1"/>
    <n v="1"/>
    <m/>
    <m/>
    <n v="520553"/>
    <n v="175393"/>
    <s v="Barnes and East Sheen"/>
    <x v="13"/>
    <s v="East Sheen"/>
    <m/>
    <m/>
    <m/>
    <m/>
    <m/>
    <x v="1"/>
    <s v="Y"/>
    <m/>
  </r>
  <r>
    <s v="22/1742/FUL"/>
    <n v="306"/>
    <x v="3"/>
    <x v="0"/>
    <d v="2022-12-09T00:00:00"/>
    <d v="2025-12-09T00:00:00"/>
    <m/>
    <m/>
    <x v="2"/>
    <x v="0"/>
    <x v="0"/>
    <s v="Demolition of existing building and erection of two semi-detached houses"/>
    <s v="34 Udney Park Road, Teddington, TW11 9BG"/>
    <s v="TW11 9BG"/>
    <m/>
    <m/>
    <m/>
    <n v="1"/>
    <m/>
    <m/>
    <m/>
    <m/>
    <n v="1"/>
    <m/>
    <m/>
    <m/>
    <n v="2"/>
    <m/>
    <m/>
    <m/>
    <m/>
    <n v="2"/>
    <n v="0"/>
    <n v="0"/>
    <n v="-1"/>
    <n v="2"/>
    <n v="0"/>
    <n v="0"/>
    <n v="0"/>
    <n v="0"/>
    <n v="1"/>
    <x v="0"/>
    <m/>
    <n v="0.25"/>
    <n v="0.25"/>
    <n v="0.25"/>
    <n v="0.25"/>
    <m/>
    <m/>
    <m/>
    <m/>
    <m/>
    <m/>
    <m/>
    <m/>
    <m/>
    <m/>
    <m/>
    <m/>
    <n v="1"/>
    <n v="1"/>
    <n v="1"/>
    <m/>
    <m/>
    <n v="516303"/>
    <n v="170784"/>
    <s v="Teddington and the Hamptons"/>
    <x v="0"/>
    <m/>
    <m/>
    <m/>
    <m/>
    <m/>
    <m/>
    <x v="1"/>
    <s v="Y"/>
    <m/>
  </r>
  <r>
    <s v="22/2876/GPD26"/>
    <n v="307"/>
    <x v="1"/>
    <x v="1"/>
    <d v="2022-12-12T00:00:00"/>
    <d v="2025-12-12T00:00:00"/>
    <m/>
    <m/>
    <x v="2"/>
    <x v="0"/>
    <x v="0"/>
    <s v="Change of use of vacant office building to two flats_x000d_"/>
    <s v="Mega House, 159A High Street, Hampton Hill, Hampton, TW12 1NL"/>
    <s v="TW12 1NL"/>
    <m/>
    <m/>
    <m/>
    <m/>
    <m/>
    <m/>
    <m/>
    <m/>
    <n v="0"/>
    <m/>
    <n v="2"/>
    <m/>
    <m/>
    <m/>
    <m/>
    <m/>
    <m/>
    <n v="2"/>
    <n v="0"/>
    <n v="2"/>
    <n v="0"/>
    <n v="0"/>
    <n v="0"/>
    <n v="0"/>
    <n v="0"/>
    <n v="0"/>
    <n v="2"/>
    <x v="0"/>
    <m/>
    <n v="0.5"/>
    <n v="0.5"/>
    <n v="0.5"/>
    <n v="0.5"/>
    <m/>
    <m/>
    <m/>
    <m/>
    <m/>
    <m/>
    <m/>
    <m/>
    <m/>
    <m/>
    <m/>
    <m/>
    <n v="2"/>
    <n v="2"/>
    <n v="2"/>
    <m/>
    <m/>
    <n v="514405"/>
    <n v="171101"/>
    <s v="Teddington and the Hamptons"/>
    <x v="14"/>
    <m/>
    <m/>
    <s v="High Street, Hampton Hill"/>
    <s v="Y"/>
    <m/>
    <s v="CA38 High Street Hampton Hill"/>
    <x v="0"/>
    <m/>
    <m/>
  </r>
  <r>
    <s v="22/2399/FUL"/>
    <n v="308"/>
    <x v="2"/>
    <x v="0"/>
    <d v="2022-12-13T00:00:00"/>
    <d v="2025-12-13T00:00:00"/>
    <m/>
    <m/>
    <x v="2"/>
    <x v="0"/>
    <x v="0"/>
    <s v="Single storey rear extension, side dormer roof extension with solar panels, rooflights on front and side roof slopes, replacement fenestration and associated bin store to facilitate the conversion of two flats into a single dwellinghouse."/>
    <s v="92 Palewell Park, East Sheen, London SW14 8JH_x000a_"/>
    <s v="SW14 8JH"/>
    <m/>
    <n v="1"/>
    <n v="1"/>
    <m/>
    <m/>
    <m/>
    <m/>
    <m/>
    <n v="2"/>
    <m/>
    <m/>
    <m/>
    <n v="1"/>
    <m/>
    <m/>
    <m/>
    <m/>
    <n v="1"/>
    <n v="-1"/>
    <n v="-1"/>
    <n v="0"/>
    <n v="1"/>
    <n v="0"/>
    <n v="0"/>
    <n v="0"/>
    <n v="0"/>
    <n v="-1"/>
    <x v="0"/>
    <m/>
    <n v="-0.25"/>
    <n v="-0.25"/>
    <n v="-0.25"/>
    <n v="-0.25"/>
    <m/>
    <m/>
    <m/>
    <m/>
    <m/>
    <m/>
    <m/>
    <m/>
    <m/>
    <m/>
    <m/>
    <m/>
    <n v="-1"/>
    <n v="-1"/>
    <n v="-1"/>
    <m/>
    <m/>
    <n v="520657"/>
    <n v="175094"/>
    <s v="Barnes and East Sheen"/>
    <x v="13"/>
    <m/>
    <m/>
    <m/>
    <m/>
    <m/>
    <m/>
    <x v="1"/>
    <s v="Y"/>
    <m/>
  </r>
  <r>
    <s v="22/3397/GPD26"/>
    <n v="309"/>
    <x v="1"/>
    <x v="1"/>
    <d v="2022-12-15T00:00:00"/>
    <d v="2025-12-15T00:00:00"/>
    <m/>
    <m/>
    <x v="2"/>
    <x v="0"/>
    <x v="0"/>
    <s v="Change of use of the building from Use Class E (Office) to C3 (Residential) single dwelling."/>
    <s v="33A Milton Road, Hampton, TW12 2LL"/>
    <s v="TW12 2LL"/>
    <m/>
    <m/>
    <m/>
    <m/>
    <m/>
    <m/>
    <m/>
    <m/>
    <n v="0"/>
    <n v="1"/>
    <m/>
    <m/>
    <m/>
    <m/>
    <m/>
    <m/>
    <m/>
    <n v="1"/>
    <n v="1"/>
    <n v="0"/>
    <n v="0"/>
    <n v="0"/>
    <n v="0"/>
    <n v="0"/>
    <n v="0"/>
    <n v="0"/>
    <n v="1"/>
    <x v="0"/>
    <m/>
    <n v="0.25"/>
    <n v="0.25"/>
    <n v="0.25"/>
    <n v="0.25"/>
    <m/>
    <m/>
    <m/>
    <m/>
    <m/>
    <m/>
    <m/>
    <m/>
    <m/>
    <m/>
    <m/>
    <m/>
    <n v="1"/>
    <n v="1"/>
    <n v="1"/>
    <m/>
    <m/>
    <n v="513402"/>
    <n v="169963"/>
    <s v="Teddington and the Hamptons"/>
    <x v="15"/>
    <m/>
    <m/>
    <m/>
    <m/>
    <m/>
    <m/>
    <x v="1"/>
    <s v="Y"/>
    <m/>
  </r>
  <r>
    <s v="21/2788/FUL"/>
    <n v="310"/>
    <x v="2"/>
    <x v="0"/>
    <d v="2021-12-21T00:00:00"/>
    <d v="2025-12-16T00:00:00"/>
    <m/>
    <m/>
    <x v="2"/>
    <x v="0"/>
    <x v="0"/>
    <s v="Convert the building containing 9no. flats to 4no flats (Use Class C3) , car parking, extension to existing basement, two storey rear extension, replacement fenestrations at front of the property, replacement and new fenestrations  to rear and rear patio."/>
    <s v="13 Manor Road, Twickenham"/>
    <s v="TW2 5DF"/>
    <m/>
    <n v="9"/>
    <m/>
    <m/>
    <m/>
    <m/>
    <m/>
    <m/>
    <n v="9"/>
    <n v="1"/>
    <n v="3"/>
    <m/>
    <m/>
    <m/>
    <m/>
    <m/>
    <m/>
    <n v="4"/>
    <n v="-8"/>
    <n v="3"/>
    <n v="0"/>
    <n v="0"/>
    <n v="0"/>
    <n v="0"/>
    <n v="0"/>
    <n v="0"/>
    <n v="-5"/>
    <x v="0"/>
    <m/>
    <n v="-1.25"/>
    <n v="-1.25"/>
    <n v="-1.25"/>
    <n v="-1.25"/>
    <m/>
    <m/>
    <m/>
    <m/>
    <m/>
    <m/>
    <m/>
    <m/>
    <m/>
    <m/>
    <m/>
    <m/>
    <n v="-5"/>
    <n v="-5"/>
    <n v="-5"/>
    <m/>
    <m/>
    <n v="514541"/>
    <n v="172794"/>
    <s v="Twickenham"/>
    <x v="11"/>
    <m/>
    <m/>
    <m/>
    <m/>
    <m/>
    <m/>
    <x v="1"/>
    <s v="Y"/>
    <m/>
  </r>
  <r>
    <s v="22/3141/FUL"/>
    <n v="311"/>
    <x v="2"/>
    <x v="0"/>
    <d v="2022-12-19T00:00:00"/>
    <d v="2025-12-19T00:00:00"/>
    <m/>
    <m/>
    <x v="2"/>
    <x v="0"/>
    <x v="0"/>
    <s v="Rear dormer roof extension to facilitate the conversion of existing 2 bed maisonette into 2 flats (1 x 1 bed and 1 x 2 bed). Solar PV panels to rear pitched and flat roofs. 2no. Velux roof lights to front roof slope."/>
    <s v="23 Colston Road, East Sheen, London, SW14 7PQ"/>
    <s v="SW14 7PQ"/>
    <m/>
    <m/>
    <n v="1"/>
    <m/>
    <m/>
    <m/>
    <m/>
    <m/>
    <n v="1"/>
    <n v="1"/>
    <n v="1"/>
    <m/>
    <m/>
    <m/>
    <m/>
    <m/>
    <m/>
    <n v="2"/>
    <n v="1"/>
    <n v="0"/>
    <n v="0"/>
    <n v="0"/>
    <n v="0"/>
    <n v="0"/>
    <n v="0"/>
    <n v="0"/>
    <n v="1"/>
    <x v="0"/>
    <m/>
    <n v="0.25"/>
    <n v="0.25"/>
    <n v="0.25"/>
    <n v="0.25"/>
    <m/>
    <m/>
    <m/>
    <m/>
    <m/>
    <m/>
    <m/>
    <m/>
    <m/>
    <m/>
    <m/>
    <m/>
    <n v="1"/>
    <n v="1"/>
    <n v="1"/>
    <m/>
    <m/>
    <n v="520360"/>
    <n v="175325"/>
    <s v="Barnes and East Sheen"/>
    <x v="13"/>
    <s v="East Sheen"/>
    <m/>
    <m/>
    <m/>
    <m/>
    <m/>
    <x v="1"/>
    <s v="Y"/>
    <m/>
  </r>
  <r>
    <s v="21/2758/FUL"/>
    <n v="312"/>
    <x v="3"/>
    <x v="0"/>
    <d v="2022-12-21T00:00:00"/>
    <d v="2025-12-21T00:00:00"/>
    <m/>
    <m/>
    <x v="2"/>
    <x v="2"/>
    <x v="0"/>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ater Lane"/>
    <m/>
    <m/>
    <m/>
    <m/>
    <m/>
    <m/>
    <m/>
    <n v="0"/>
    <n v="9"/>
    <n v="7"/>
    <n v="1"/>
    <m/>
    <m/>
    <m/>
    <m/>
    <m/>
    <n v="17"/>
    <n v="9"/>
    <n v="7"/>
    <n v="1"/>
    <n v="0"/>
    <n v="0"/>
    <n v="0"/>
    <n v="0"/>
    <n v="0"/>
    <n v="17"/>
    <x v="1"/>
    <m/>
    <n v="4.25"/>
    <n v="4.25"/>
    <n v="4.25"/>
    <n v="4.25"/>
    <m/>
    <m/>
    <m/>
    <m/>
    <m/>
    <m/>
    <m/>
    <m/>
    <m/>
    <m/>
    <m/>
    <m/>
    <n v="17"/>
    <n v="17"/>
    <n v="17"/>
    <m/>
    <m/>
    <n v="516311"/>
    <n v="173216"/>
    <s v="Twickenham"/>
    <x v="9"/>
    <s v="Twickenham"/>
    <m/>
    <m/>
    <m/>
    <m/>
    <s v="CA8 Twickenham Riverside"/>
    <x v="0"/>
    <s v="Y"/>
    <m/>
  </r>
  <r>
    <s v="21/2758/FUL"/>
    <n v="313"/>
    <x v="3"/>
    <x v="0"/>
    <d v="2022-12-21T00:00:00"/>
    <d v="2025-12-21T00:00:00"/>
    <m/>
    <m/>
    <x v="2"/>
    <x v="5"/>
    <x v="0"/>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ater Lane"/>
    <m/>
    <m/>
    <m/>
    <m/>
    <m/>
    <m/>
    <m/>
    <n v="0"/>
    <n v="2"/>
    <n v="2"/>
    <m/>
    <m/>
    <m/>
    <m/>
    <m/>
    <m/>
    <n v="4"/>
    <n v="2"/>
    <n v="2"/>
    <n v="0"/>
    <n v="0"/>
    <n v="0"/>
    <n v="0"/>
    <n v="0"/>
    <n v="0"/>
    <n v="4"/>
    <x v="1"/>
    <m/>
    <n v="1"/>
    <n v="1"/>
    <n v="1"/>
    <n v="1"/>
    <m/>
    <m/>
    <m/>
    <m/>
    <m/>
    <m/>
    <m/>
    <m/>
    <m/>
    <m/>
    <m/>
    <m/>
    <n v="4"/>
    <n v="4"/>
    <n v="4"/>
    <m/>
    <m/>
    <n v="516311"/>
    <n v="173216"/>
    <s v="Twickenham"/>
    <x v="9"/>
    <s v="Twickenham"/>
    <m/>
    <m/>
    <m/>
    <m/>
    <s v="CA8 Twickenham Riverside"/>
    <x v="0"/>
    <s v="Y"/>
    <m/>
  </r>
  <r>
    <s v="21/2758/FUL"/>
    <n v="314"/>
    <x v="3"/>
    <x v="0"/>
    <d v="2022-12-21T00:00:00"/>
    <d v="2025-12-21T00:00:00"/>
    <m/>
    <m/>
    <x v="2"/>
    <x v="0"/>
    <x v="0"/>
    <s v="Demolition of existing buildings and structures and redevelopment of the site comprising 45 residential units (Use Class C3), ground floor commercial/retail/cafe (Use Class E), public house (Sui Generis), boathouse locker storage, floating pontoon and flo"/>
    <s v="1-1C King Street, 2-4 Water Lane, The Embankment And River Wall, Water Lane, Wharf Lane And The Diamond Jubilee Gardens, Twickenham_x000a_"/>
    <s v="TW1"/>
    <s v="Wharf Lane"/>
    <m/>
    <m/>
    <m/>
    <m/>
    <m/>
    <m/>
    <m/>
    <n v="0"/>
    <n v="14"/>
    <n v="10"/>
    <m/>
    <m/>
    <m/>
    <m/>
    <m/>
    <m/>
    <n v="24"/>
    <n v="14"/>
    <n v="10"/>
    <n v="0"/>
    <n v="0"/>
    <n v="0"/>
    <n v="0"/>
    <n v="0"/>
    <n v="0"/>
    <n v="24"/>
    <x v="1"/>
    <m/>
    <n v="6"/>
    <n v="6"/>
    <n v="6"/>
    <n v="6"/>
    <m/>
    <m/>
    <m/>
    <m/>
    <m/>
    <m/>
    <m/>
    <m/>
    <m/>
    <m/>
    <m/>
    <m/>
    <n v="24"/>
    <n v="24"/>
    <n v="24"/>
    <m/>
    <m/>
    <n v="516311"/>
    <n v="173216"/>
    <s v="Twickenham"/>
    <x v="9"/>
    <s v="Twickenham"/>
    <m/>
    <m/>
    <m/>
    <m/>
    <s v="CA8 Twickenham Riverside"/>
    <x v="0"/>
    <s v="Y"/>
    <m/>
  </r>
  <r>
    <s v="22/3400/GPD26"/>
    <n v="315"/>
    <x v="1"/>
    <x v="1"/>
    <d v="2023-01-05T00:00:00"/>
    <d v="2026-01-05T00:00:00"/>
    <m/>
    <m/>
    <x v="2"/>
    <x v="0"/>
    <x v="0"/>
    <s v="Application for change of use from Use Class E to Use Class C3._x000d_"/>
    <s v="Land At Myrtle Road Adjacent 1 High Street, Hampton Hill_x000a__x000a_"/>
    <s v="TW12 1NA"/>
    <m/>
    <m/>
    <m/>
    <m/>
    <m/>
    <m/>
    <m/>
    <m/>
    <n v="0"/>
    <n v="4"/>
    <n v="1"/>
    <m/>
    <m/>
    <m/>
    <m/>
    <m/>
    <m/>
    <n v="5"/>
    <n v="4"/>
    <n v="1"/>
    <n v="0"/>
    <n v="0"/>
    <n v="0"/>
    <n v="0"/>
    <n v="0"/>
    <n v="0"/>
    <n v="5"/>
    <x v="0"/>
    <m/>
    <n v="1.25"/>
    <n v="1.25"/>
    <n v="1.25"/>
    <n v="1.25"/>
    <m/>
    <m/>
    <m/>
    <m/>
    <m/>
    <m/>
    <m/>
    <m/>
    <m/>
    <m/>
    <m/>
    <m/>
    <n v="5"/>
    <n v="5"/>
    <n v="5"/>
    <m/>
    <m/>
    <n v="514122"/>
    <n v="170560"/>
    <s v="Teddington and the Hamptons"/>
    <x v="14"/>
    <m/>
    <m/>
    <m/>
    <m/>
    <m/>
    <m/>
    <x v="1"/>
    <m/>
    <m/>
  </r>
  <r>
    <s v="22/1575/FUL"/>
    <n v="316"/>
    <x v="3"/>
    <x v="0"/>
    <d v="2023-01-09T00:00:00"/>
    <d v="2026-01-09T00:00:00"/>
    <m/>
    <m/>
    <x v="2"/>
    <x v="0"/>
    <x v="0"/>
    <s v="Proposed two-storey 2-bedroom mews house with accommodation in the roof including parking, bicycle and bin storage and private amenity space"/>
    <s v="Land To Rear Of 177 High Street, Hampton Hill_x000a__x000a_"/>
    <s v="TW12 1NL"/>
    <m/>
    <m/>
    <m/>
    <m/>
    <m/>
    <m/>
    <m/>
    <m/>
    <n v="0"/>
    <m/>
    <n v="1"/>
    <m/>
    <m/>
    <m/>
    <m/>
    <m/>
    <m/>
    <n v="1"/>
    <n v="0"/>
    <n v="1"/>
    <n v="0"/>
    <n v="0"/>
    <n v="0"/>
    <n v="0"/>
    <n v="0"/>
    <n v="0"/>
    <n v="1"/>
    <x v="0"/>
    <m/>
    <n v="0.25"/>
    <n v="0.25"/>
    <n v="0.25"/>
    <n v="0.25"/>
    <m/>
    <m/>
    <m/>
    <m/>
    <m/>
    <m/>
    <m/>
    <m/>
    <m/>
    <m/>
    <m/>
    <m/>
    <n v="1"/>
    <n v="1"/>
    <n v="1"/>
    <m/>
    <m/>
    <n v="514429"/>
    <n v="171230"/>
    <s v="Teddington and the Hamptons"/>
    <x v="14"/>
    <m/>
    <m/>
    <m/>
    <m/>
    <m/>
    <m/>
    <x v="1"/>
    <s v="Y"/>
    <m/>
  </r>
  <r>
    <s v="21/1528/FUL"/>
    <n v="317"/>
    <x v="4"/>
    <x v="0"/>
    <d v="2023-01-13T00:00:00"/>
    <d v="2026-01-13T00:00:00"/>
    <m/>
    <m/>
    <x v="2"/>
    <x v="0"/>
    <x v="0"/>
    <s v="Second floor extension to create one additional one bed dwelling, together with car parking, cycle parking and associated landscaping works"/>
    <s v="Junction Court, 127 Station Road, Hampton_x000a__x000a_"/>
    <s v="TW12 2AL"/>
    <m/>
    <m/>
    <m/>
    <m/>
    <m/>
    <m/>
    <m/>
    <m/>
    <n v="0"/>
    <n v="1"/>
    <m/>
    <m/>
    <m/>
    <m/>
    <m/>
    <m/>
    <m/>
    <n v="1"/>
    <n v="1"/>
    <n v="0"/>
    <n v="0"/>
    <n v="0"/>
    <n v="0"/>
    <n v="0"/>
    <n v="0"/>
    <n v="0"/>
    <n v="1"/>
    <x v="0"/>
    <m/>
    <n v="0.25"/>
    <n v="0.25"/>
    <n v="0.25"/>
    <n v="0.25"/>
    <m/>
    <m/>
    <m/>
    <m/>
    <m/>
    <m/>
    <m/>
    <m/>
    <m/>
    <m/>
    <m/>
    <m/>
    <n v="1"/>
    <n v="1"/>
    <n v="1"/>
    <m/>
    <m/>
    <n v="513359"/>
    <n v="169765"/>
    <s v="Teddington and the Hamptons"/>
    <x v="15"/>
    <m/>
    <m/>
    <m/>
    <m/>
    <m/>
    <m/>
    <x v="1"/>
    <s v="Y"/>
    <m/>
  </r>
  <r>
    <s v="22/2082/FUL"/>
    <n v="318"/>
    <x v="3"/>
    <x v="0"/>
    <d v="2023-01-19T00:00:00"/>
    <d v="2026-01-19T00:00:00"/>
    <d v="2023-10-23T00:00:00"/>
    <m/>
    <x v="2"/>
    <x v="2"/>
    <x v="0"/>
    <s v="Demolition of 17 existing garages and erection of five one-bed single-storey dwellings (almshouses) for the over 65s."/>
    <s v="Garages Rear Of, 20 - 34 St Marys Grove, Richmond"/>
    <s v="TW9 1UY"/>
    <m/>
    <m/>
    <m/>
    <m/>
    <m/>
    <m/>
    <m/>
    <m/>
    <n v="0"/>
    <n v="5"/>
    <m/>
    <m/>
    <m/>
    <m/>
    <m/>
    <m/>
    <m/>
    <n v="5"/>
    <n v="5"/>
    <n v="0"/>
    <n v="0"/>
    <n v="0"/>
    <n v="0"/>
    <n v="0"/>
    <n v="0"/>
    <n v="0"/>
    <n v="5"/>
    <x v="0"/>
    <m/>
    <n v="2.5"/>
    <n v="2.5"/>
    <m/>
    <m/>
    <m/>
    <m/>
    <m/>
    <m/>
    <m/>
    <m/>
    <m/>
    <m/>
    <m/>
    <m/>
    <m/>
    <m/>
    <n v="5"/>
    <n v="5"/>
    <n v="5"/>
    <s v="Y"/>
    <m/>
    <n v="518758"/>
    <n v="175172"/>
    <s v="Richmond"/>
    <x v="4"/>
    <m/>
    <m/>
    <m/>
    <m/>
    <m/>
    <s v="CA31 Sheen Road Richmond"/>
    <x v="0"/>
    <s v="Y"/>
    <m/>
  </r>
  <r>
    <s v="22/3652/GPD26"/>
    <n v="319"/>
    <x v="1"/>
    <x v="1"/>
    <d v="2023-01-23T00:00:00"/>
    <d v="2026-01-23T00:00:00"/>
    <m/>
    <m/>
    <x v="2"/>
    <x v="0"/>
    <x v="0"/>
    <s v="Addition of mezzanine floor to create 5 residential units."/>
    <s v="12 Park Road, Hampton Wick, Kingston Upon Thames, KT1 4AS"/>
    <s v="KT1 4AS"/>
    <m/>
    <m/>
    <m/>
    <m/>
    <m/>
    <m/>
    <m/>
    <m/>
    <n v="0"/>
    <n v="4"/>
    <n v="1"/>
    <m/>
    <m/>
    <m/>
    <m/>
    <m/>
    <m/>
    <n v="5"/>
    <n v="4"/>
    <n v="1"/>
    <n v="0"/>
    <n v="0"/>
    <n v="0"/>
    <n v="0"/>
    <n v="0"/>
    <n v="0"/>
    <n v="5"/>
    <x v="0"/>
    <m/>
    <n v="1.25"/>
    <n v="1.25"/>
    <n v="1.25"/>
    <n v="1.25"/>
    <m/>
    <m/>
    <m/>
    <m/>
    <m/>
    <m/>
    <m/>
    <m/>
    <m/>
    <m/>
    <m/>
    <m/>
    <n v="5"/>
    <n v="5"/>
    <n v="5"/>
    <m/>
    <m/>
    <n v="517458"/>
    <n v="169588"/>
    <s v="Teddington and the Hamptons"/>
    <x v="10"/>
    <m/>
    <m/>
    <s v="Hampton Wick"/>
    <s v="Y"/>
    <m/>
    <s v="CA18 Hampton Wick"/>
    <x v="0"/>
    <s v="Y"/>
    <m/>
  </r>
  <r>
    <s v="21/2282/FUL"/>
    <n v="320"/>
    <x v="3"/>
    <x v="0"/>
    <d v="2023-01-30T00:00:00"/>
    <d v="2026-01-30T00:00:00"/>
    <m/>
    <m/>
    <x v="2"/>
    <x v="6"/>
    <x v="0"/>
    <s v="Erection of a two-storey building comprising 4 residential apartments ( 3 x 1 bed/1 person units and 1 x 1 bed/1 person M(4)3 unit); landscaping including private amenity space and ecological enhancement; secure cycle and refuse storage structures."/>
    <s v="Land Adjacent 12 Willow Avenue, Barnes, London"/>
    <s v="SW13 0LT"/>
    <m/>
    <m/>
    <m/>
    <m/>
    <m/>
    <m/>
    <m/>
    <m/>
    <n v="0"/>
    <n v="4"/>
    <m/>
    <m/>
    <m/>
    <m/>
    <m/>
    <m/>
    <m/>
    <n v="4"/>
    <n v="4"/>
    <n v="0"/>
    <n v="0"/>
    <n v="0"/>
    <n v="0"/>
    <n v="0"/>
    <n v="0"/>
    <n v="0"/>
    <n v="4"/>
    <x v="0"/>
    <m/>
    <n v="1"/>
    <n v="1"/>
    <n v="1"/>
    <n v="1"/>
    <m/>
    <m/>
    <m/>
    <m/>
    <m/>
    <m/>
    <m/>
    <m/>
    <m/>
    <m/>
    <m/>
    <m/>
    <n v="4"/>
    <n v="4"/>
    <n v="4"/>
    <m/>
    <m/>
    <n v="521875"/>
    <n v="176053"/>
    <s v="Barnes and East Sheen"/>
    <x v="8"/>
    <m/>
    <m/>
    <m/>
    <m/>
    <m/>
    <m/>
    <x v="1"/>
    <s v="Y"/>
    <m/>
  </r>
  <r>
    <s v="22/1075/FUL"/>
    <n v="321"/>
    <x v="1"/>
    <x v="0"/>
    <d v="2023-02-07T00:00:00"/>
    <d v="2026-02-07T00:00:00"/>
    <m/>
    <m/>
    <x v="2"/>
    <x v="0"/>
    <x v="0"/>
    <s v="Change of use of first floor from self-contained residential flat to office. Internal alterations including, upgrading the fire escape route, refurbishment of the kitchen to a tea room and WC facilities . Painting and decorating all rooms and corridors th"/>
    <s v="First Floor Flat, Teddington District Library, Waldegrave Road, Teddington TW11 8NY_x000a_"/>
    <s v="TW11 8NY"/>
    <m/>
    <m/>
    <n v="1"/>
    <m/>
    <m/>
    <m/>
    <m/>
    <m/>
    <n v="1"/>
    <m/>
    <m/>
    <m/>
    <m/>
    <m/>
    <m/>
    <m/>
    <m/>
    <n v="0"/>
    <n v="0"/>
    <n v="-1"/>
    <n v="0"/>
    <n v="0"/>
    <n v="0"/>
    <n v="0"/>
    <n v="0"/>
    <n v="0"/>
    <n v="-1"/>
    <x v="0"/>
    <m/>
    <n v="-0.25"/>
    <n v="-0.25"/>
    <n v="-0.25"/>
    <n v="-0.25"/>
    <m/>
    <m/>
    <m/>
    <m/>
    <m/>
    <m/>
    <m/>
    <m/>
    <m/>
    <m/>
    <m/>
    <m/>
    <n v="-1"/>
    <n v="-1"/>
    <n v="-1"/>
    <m/>
    <m/>
    <n v="515895"/>
    <n v="171171"/>
    <s v="Teddington and the Hamptons"/>
    <x v="0"/>
    <s v="Teddington"/>
    <m/>
    <m/>
    <m/>
    <m/>
    <s v="CA37 High Street Teddington"/>
    <x v="0"/>
    <s v="Y"/>
    <m/>
  </r>
  <r>
    <s v="22/1453/FUL"/>
    <n v="322"/>
    <x v="3"/>
    <x v="0"/>
    <d v="2023-02-07T00:00:00"/>
    <d v="2026-02-07T00:00:00"/>
    <m/>
    <m/>
    <x v="2"/>
    <x v="0"/>
    <x v="0"/>
    <s v="Proposed four bedroom dwelling house with full wheelchair accessibility to all levels &amp; rooms.  The proposed dwelling is to be built in the side garden of number 47 Nightingale Road."/>
    <s v="47 Nightingale Road, Hampton TW12 3HZ_x000a_"/>
    <s v="TW12 3HZ"/>
    <m/>
    <m/>
    <m/>
    <m/>
    <m/>
    <m/>
    <m/>
    <m/>
    <n v="0"/>
    <m/>
    <m/>
    <m/>
    <n v="1"/>
    <m/>
    <m/>
    <m/>
    <m/>
    <n v="1"/>
    <n v="0"/>
    <n v="0"/>
    <n v="0"/>
    <n v="1"/>
    <n v="0"/>
    <n v="0"/>
    <n v="0"/>
    <n v="0"/>
    <n v="1"/>
    <x v="0"/>
    <m/>
    <n v="0.25"/>
    <n v="0.25"/>
    <n v="0.25"/>
    <n v="0.25"/>
    <m/>
    <m/>
    <m/>
    <m/>
    <m/>
    <m/>
    <m/>
    <m/>
    <m/>
    <m/>
    <m/>
    <m/>
    <n v="1"/>
    <n v="1"/>
    <n v="1"/>
    <m/>
    <m/>
    <n v="513293"/>
    <n v="170928"/>
    <s v="Teddington and the Hamptons"/>
    <x v="1"/>
    <m/>
    <m/>
    <m/>
    <m/>
    <m/>
    <m/>
    <x v="1"/>
    <m/>
    <m/>
  </r>
  <r>
    <s v="22/2843/FUL"/>
    <n v="323"/>
    <x v="3"/>
    <x v="0"/>
    <d v="2023-02-08T00:00:00"/>
    <d v="2026-02-08T00:00:00"/>
    <m/>
    <m/>
    <x v="2"/>
    <x v="0"/>
    <x v="0"/>
    <s v="Demolition of existing dwelling and replacement with a pair of two storey with basement semi-detached dwellings.  Alterations to boundary wall and assoicated hard and soft landscaping, cycle and refuse stores."/>
    <s v="62 Derby Road, East Sheen, London, SW14 7DP"/>
    <s v="SW14 7DP"/>
    <m/>
    <m/>
    <m/>
    <m/>
    <n v="1"/>
    <m/>
    <m/>
    <m/>
    <n v="1"/>
    <m/>
    <m/>
    <n v="2"/>
    <m/>
    <m/>
    <m/>
    <m/>
    <m/>
    <n v="2"/>
    <n v="0"/>
    <n v="0"/>
    <n v="2"/>
    <n v="-1"/>
    <n v="0"/>
    <n v="0"/>
    <n v="0"/>
    <n v="0"/>
    <n v="1"/>
    <x v="0"/>
    <m/>
    <n v="0.25"/>
    <n v="0.25"/>
    <n v="0.25"/>
    <n v="0.25"/>
    <m/>
    <m/>
    <m/>
    <m/>
    <m/>
    <m/>
    <m/>
    <m/>
    <m/>
    <m/>
    <m/>
    <m/>
    <n v="1"/>
    <n v="1"/>
    <n v="1"/>
    <m/>
    <m/>
    <n v="519780"/>
    <n v="175098"/>
    <s v="Barnes and East Sheen"/>
    <x v="13"/>
    <m/>
    <m/>
    <m/>
    <m/>
    <m/>
    <m/>
    <x v="1"/>
    <s v="Y"/>
    <s v="Y"/>
  </r>
  <r>
    <s v="22/1497/FUL"/>
    <n v="324"/>
    <x v="3"/>
    <x v="0"/>
    <d v="2023-02-10T00:00:00"/>
    <d v="2026-02-10T00:00:00"/>
    <m/>
    <m/>
    <x v="2"/>
    <x v="0"/>
    <x v="0"/>
    <s v="The demolition of the existing dwelling house and 22 garages and the construction of 5 x new residential dwellings (Class C3) with associated hard and soft landscaping, parking and associated infrastructure."/>
    <s v="32 Haverfield Gardens, Kew, Richmond TW9 3DD_x000a_"/>
    <s v="TW9 3DD"/>
    <m/>
    <m/>
    <m/>
    <m/>
    <n v="1"/>
    <m/>
    <m/>
    <m/>
    <n v="1"/>
    <m/>
    <m/>
    <n v="5"/>
    <m/>
    <m/>
    <m/>
    <m/>
    <m/>
    <n v="5"/>
    <n v="0"/>
    <n v="0"/>
    <n v="5"/>
    <n v="-1"/>
    <n v="0"/>
    <n v="0"/>
    <n v="0"/>
    <n v="0"/>
    <n v="4"/>
    <x v="0"/>
    <m/>
    <n v="1"/>
    <n v="1"/>
    <n v="1"/>
    <n v="1"/>
    <m/>
    <m/>
    <m/>
    <m/>
    <m/>
    <m/>
    <m/>
    <m/>
    <m/>
    <m/>
    <m/>
    <m/>
    <n v="4"/>
    <n v="4"/>
    <n v="4"/>
    <m/>
    <m/>
    <n v="519166"/>
    <n v="177465"/>
    <s v="Richmond"/>
    <x v="3"/>
    <m/>
    <m/>
    <m/>
    <m/>
    <m/>
    <s v="CA2 Kew Green"/>
    <x v="0"/>
    <s v="Y"/>
    <m/>
  </r>
  <r>
    <s v="21/3136/FUL"/>
    <n v="325"/>
    <x v="3"/>
    <x v="0"/>
    <d v="2023-02-28T00:00:00"/>
    <d v="2026-02-28T00:00:00"/>
    <m/>
    <m/>
    <x v="2"/>
    <x v="2"/>
    <x v="0"/>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8"/>
    <n v="13"/>
    <n v="7"/>
    <m/>
    <m/>
    <m/>
    <m/>
    <m/>
    <n v="28"/>
    <n v="8"/>
    <n v="13"/>
    <n v="7"/>
    <n v="0"/>
    <n v="0"/>
    <n v="0"/>
    <n v="0"/>
    <n v="0"/>
    <n v="28"/>
    <x v="1"/>
    <m/>
    <m/>
    <m/>
    <n v="28"/>
    <m/>
    <m/>
    <m/>
    <m/>
    <m/>
    <m/>
    <m/>
    <m/>
    <m/>
    <m/>
    <m/>
    <m/>
    <m/>
    <n v="28"/>
    <n v="28"/>
    <n v="28"/>
    <m/>
    <m/>
    <n v="515278"/>
    <n v="173797"/>
    <s v="Twickenham"/>
    <x v="17"/>
    <m/>
    <m/>
    <m/>
    <m/>
    <m/>
    <m/>
    <x v="1"/>
    <s v="Y"/>
    <m/>
  </r>
  <r>
    <s v="21/3136/FUL"/>
    <n v="326"/>
    <x v="3"/>
    <x v="0"/>
    <d v="2023-02-28T00:00:00"/>
    <d v="2026-02-28T00:00:00"/>
    <m/>
    <m/>
    <x v="2"/>
    <x v="5"/>
    <x v="0"/>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29"/>
    <n v="41"/>
    <n v="10"/>
    <m/>
    <m/>
    <m/>
    <m/>
    <m/>
    <n v="80"/>
    <n v="29"/>
    <n v="41"/>
    <n v="10"/>
    <n v="0"/>
    <n v="0"/>
    <n v="0"/>
    <n v="0"/>
    <n v="0"/>
    <n v="80"/>
    <x v="1"/>
    <m/>
    <m/>
    <m/>
    <n v="80"/>
    <m/>
    <m/>
    <m/>
    <m/>
    <m/>
    <m/>
    <m/>
    <m/>
    <m/>
    <m/>
    <m/>
    <m/>
    <m/>
    <n v="80"/>
    <n v="80"/>
    <n v="80"/>
    <m/>
    <m/>
    <n v="515278"/>
    <n v="173797"/>
    <s v="Twickenham"/>
    <x v="17"/>
    <m/>
    <m/>
    <m/>
    <m/>
    <m/>
    <m/>
    <x v="1"/>
    <s v="Y"/>
    <m/>
  </r>
  <r>
    <s v="21/3136/FUL"/>
    <n v="327"/>
    <x v="3"/>
    <x v="0"/>
    <d v="2023-02-28T00:00:00"/>
    <d v="2026-02-28T00:00:00"/>
    <m/>
    <m/>
    <x v="2"/>
    <x v="0"/>
    <x v="0"/>
    <s v="Demolition of existing college buildings, removal of hard-surfacing, site clearance and groundworks together with the redevelopment of the site to provide new residential units; together with associated parking, cycle parking, open space and landscaping."/>
    <s v="Richmond Upon Thames College, Langhorn Drive, Twickenham TW2 7SJ_x000a_"/>
    <s v="TW2 7SJ"/>
    <m/>
    <m/>
    <m/>
    <m/>
    <m/>
    <m/>
    <m/>
    <m/>
    <n v="0"/>
    <n v="39"/>
    <n v="31"/>
    <n v="26"/>
    <n v="8"/>
    <m/>
    <m/>
    <m/>
    <m/>
    <n v="104"/>
    <n v="39"/>
    <n v="31"/>
    <n v="26"/>
    <n v="8"/>
    <n v="0"/>
    <n v="0"/>
    <n v="0"/>
    <n v="0"/>
    <n v="104"/>
    <x v="1"/>
    <m/>
    <m/>
    <m/>
    <n v="104"/>
    <m/>
    <m/>
    <m/>
    <m/>
    <m/>
    <m/>
    <m/>
    <m/>
    <m/>
    <m/>
    <m/>
    <m/>
    <m/>
    <n v="104"/>
    <n v="104"/>
    <n v="104"/>
    <m/>
    <m/>
    <n v="515278"/>
    <n v="173797"/>
    <s v="Twickenham"/>
    <x v="17"/>
    <m/>
    <m/>
    <m/>
    <m/>
    <m/>
    <m/>
    <x v="1"/>
    <s v="Y"/>
    <m/>
  </r>
  <r>
    <s v="22/3328/FUL"/>
    <n v="328"/>
    <x v="1"/>
    <x v="0"/>
    <d v="2023-03-07T00:00:00"/>
    <d v="2026-03-07T00:00:00"/>
    <m/>
    <m/>
    <x v="2"/>
    <x v="0"/>
    <x v="0"/>
    <s v="Ground floor conversion from commercial to two 1B1P self-contained dwellings. Single storey rear extension to accommodate one new 2B4P self-contained dwelling."/>
    <s v="3 - 4 New Broadway, Hampton Hill_x000a__x000a_"/>
    <s v="TW12 1JG"/>
    <m/>
    <m/>
    <m/>
    <m/>
    <m/>
    <m/>
    <m/>
    <m/>
    <n v="0"/>
    <n v="2"/>
    <n v="1"/>
    <m/>
    <m/>
    <m/>
    <m/>
    <m/>
    <m/>
    <n v="3"/>
    <n v="2"/>
    <n v="1"/>
    <n v="0"/>
    <n v="0"/>
    <n v="0"/>
    <n v="0"/>
    <n v="0"/>
    <n v="0"/>
    <n v="3"/>
    <x v="0"/>
    <m/>
    <n v="0.75"/>
    <n v="0.75"/>
    <n v="0.75"/>
    <n v="0.75"/>
    <m/>
    <m/>
    <m/>
    <m/>
    <m/>
    <m/>
    <m/>
    <m/>
    <m/>
    <m/>
    <m/>
    <m/>
    <n v="3"/>
    <n v="3"/>
    <n v="3"/>
    <m/>
    <m/>
    <n v="514554"/>
    <n v="171263"/>
    <s v="Teddington and the Hamptons"/>
    <x v="14"/>
    <m/>
    <m/>
    <s v="High Street, Hampton Hill"/>
    <s v="Y"/>
    <m/>
    <m/>
    <x v="1"/>
    <s v="Y"/>
    <m/>
  </r>
  <r>
    <s v="21/4262/FUL"/>
    <n v="329"/>
    <x v="1"/>
    <x v="0"/>
    <d v="2023-03-13T00:00:00"/>
    <d v="2026-03-13T00:00:00"/>
    <m/>
    <m/>
    <x v="2"/>
    <x v="0"/>
    <x v="0"/>
    <s v="A new window opening to the rear and change of use of existing office to C3 (residential) use to provide one bedroom flat"/>
    <s v="41 Barnes High Street, Barnes, London, SW13 9LN"/>
    <s v="SW13 9LN"/>
    <m/>
    <m/>
    <m/>
    <m/>
    <m/>
    <m/>
    <m/>
    <m/>
    <n v="0"/>
    <n v="1"/>
    <m/>
    <m/>
    <m/>
    <m/>
    <m/>
    <m/>
    <m/>
    <n v="1"/>
    <n v="1"/>
    <n v="0"/>
    <n v="0"/>
    <n v="0"/>
    <n v="0"/>
    <n v="0"/>
    <n v="0"/>
    <n v="0"/>
    <n v="1"/>
    <x v="0"/>
    <m/>
    <n v="0.25"/>
    <n v="0.25"/>
    <n v="0.25"/>
    <n v="0.25"/>
    <m/>
    <m/>
    <m/>
    <m/>
    <m/>
    <m/>
    <m/>
    <m/>
    <m/>
    <m/>
    <m/>
    <m/>
    <n v="1"/>
    <n v="1"/>
    <n v="1"/>
    <m/>
    <m/>
    <n v="521585"/>
    <n v="176415"/>
    <s v="Barnes and East Sheen"/>
    <x v="7"/>
    <m/>
    <s v="Thames Policy Area"/>
    <s v="High Street, Barnes"/>
    <s v="Y"/>
    <m/>
    <s v="CA1 Barnes Green"/>
    <x v="0"/>
    <s v="Y"/>
    <s v="Y"/>
  </r>
  <r>
    <s v="23/0253/GPD26"/>
    <n v="330"/>
    <x v="1"/>
    <x v="1"/>
    <d v="2023-03-13T00:00:00"/>
    <d v="2026-03-13T00:00:00"/>
    <m/>
    <m/>
    <x v="2"/>
    <x v="0"/>
    <x v="0"/>
    <s v="Conversion of first floor to two self-contained residential flats"/>
    <s v="26A York Street, Twickenham, TW1 3LJ_x000a_"/>
    <s v="TW1 3LJ"/>
    <m/>
    <m/>
    <m/>
    <m/>
    <m/>
    <m/>
    <m/>
    <m/>
    <n v="0"/>
    <n v="2"/>
    <m/>
    <m/>
    <m/>
    <m/>
    <m/>
    <m/>
    <m/>
    <n v="2"/>
    <n v="2"/>
    <n v="0"/>
    <n v="0"/>
    <n v="0"/>
    <n v="0"/>
    <n v="0"/>
    <n v="0"/>
    <n v="0"/>
    <n v="2"/>
    <x v="0"/>
    <m/>
    <n v="0.5"/>
    <n v="0.5"/>
    <n v="0.5"/>
    <n v="0.5"/>
    <m/>
    <m/>
    <m/>
    <m/>
    <m/>
    <m/>
    <m/>
    <m/>
    <m/>
    <m/>
    <m/>
    <m/>
    <n v="2"/>
    <n v="2"/>
    <n v="2"/>
    <m/>
    <m/>
    <n v="516335"/>
    <n v="173355"/>
    <s v="Twickenham"/>
    <x v="9"/>
    <s v="Twickenham"/>
    <m/>
    <m/>
    <m/>
    <m/>
    <s v="CA8 Twickenham Riverside"/>
    <x v="0"/>
    <s v="Y"/>
    <m/>
  </r>
  <r>
    <s v="22/1442/FUL"/>
    <n v="331"/>
    <x v="3"/>
    <x v="0"/>
    <d v="2023-03-22T00:00:00"/>
    <d v="2026-03-22T00:00:00"/>
    <m/>
    <m/>
    <x v="2"/>
    <x v="2"/>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Existing"/>
    <n v="6"/>
    <m/>
    <n v="5"/>
    <m/>
    <m/>
    <m/>
    <m/>
    <n v="11"/>
    <m/>
    <m/>
    <m/>
    <m/>
    <m/>
    <m/>
    <m/>
    <m/>
    <n v="0"/>
    <n v="-6"/>
    <n v="0"/>
    <n v="-5"/>
    <n v="0"/>
    <n v="0"/>
    <n v="0"/>
    <n v="0"/>
    <n v="0"/>
    <n v="-11"/>
    <x v="1"/>
    <m/>
    <m/>
    <m/>
    <n v="-11"/>
    <m/>
    <m/>
    <m/>
    <m/>
    <m/>
    <m/>
    <m/>
    <m/>
    <m/>
    <m/>
    <m/>
    <m/>
    <m/>
    <n v="-11"/>
    <n v="-11"/>
    <n v="-11"/>
    <m/>
    <m/>
    <n v="517147"/>
    <n v="172448"/>
    <s v="Ham &amp; Petersham"/>
    <x v="2"/>
    <m/>
    <m/>
    <m/>
    <m/>
    <m/>
    <m/>
    <x v="1"/>
    <m/>
    <m/>
  </r>
  <r>
    <s v="22/1442/FUL"/>
    <n v="332"/>
    <x v="3"/>
    <x v="0"/>
    <d v="2023-03-22T00:00:00"/>
    <d v="2026-03-22T00:00:00"/>
    <m/>
    <m/>
    <x v="2"/>
    <x v="2"/>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Existing"/>
    <n v="14"/>
    <n v="20"/>
    <n v="3"/>
    <m/>
    <m/>
    <m/>
    <m/>
    <n v="37"/>
    <m/>
    <m/>
    <m/>
    <m/>
    <m/>
    <m/>
    <m/>
    <m/>
    <n v="0"/>
    <n v="-14"/>
    <n v="-20"/>
    <n v="-3"/>
    <n v="0"/>
    <n v="0"/>
    <n v="0"/>
    <n v="0"/>
    <n v="0"/>
    <n v="-37"/>
    <x v="1"/>
    <m/>
    <m/>
    <m/>
    <m/>
    <n v="-37"/>
    <m/>
    <m/>
    <m/>
    <m/>
    <m/>
    <m/>
    <m/>
    <m/>
    <m/>
    <m/>
    <m/>
    <m/>
    <n v="-37"/>
    <n v="-37"/>
    <n v="-37"/>
    <m/>
    <m/>
    <n v="517147"/>
    <n v="172448"/>
    <s v="Ham &amp; Petersham"/>
    <x v="2"/>
    <m/>
    <m/>
    <m/>
    <m/>
    <m/>
    <m/>
    <x v="1"/>
    <m/>
    <m/>
  </r>
  <r>
    <s v="22/1442/FUL"/>
    <n v="333"/>
    <x v="3"/>
    <x v="0"/>
    <d v="2023-03-22T00:00:00"/>
    <d v="2026-03-22T00:00:00"/>
    <m/>
    <m/>
    <x v="2"/>
    <x v="2"/>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Existing"/>
    <n v="70"/>
    <n v="19"/>
    <n v="6"/>
    <m/>
    <m/>
    <m/>
    <m/>
    <n v="95"/>
    <m/>
    <m/>
    <m/>
    <m/>
    <m/>
    <m/>
    <m/>
    <m/>
    <n v="0"/>
    <n v="-70"/>
    <n v="-19"/>
    <n v="-6"/>
    <n v="0"/>
    <n v="0"/>
    <n v="0"/>
    <n v="0"/>
    <n v="0"/>
    <n v="-95"/>
    <x v="1"/>
    <m/>
    <m/>
    <m/>
    <m/>
    <m/>
    <m/>
    <n v="-95"/>
    <m/>
    <m/>
    <m/>
    <m/>
    <m/>
    <m/>
    <m/>
    <m/>
    <m/>
    <m/>
    <n v="0"/>
    <n v="-95"/>
    <n v="-95"/>
    <m/>
    <m/>
    <n v="517147"/>
    <n v="172448"/>
    <s v="Ham &amp; Petersham"/>
    <x v="2"/>
    <m/>
    <m/>
    <m/>
    <m/>
    <m/>
    <m/>
    <x v="1"/>
    <m/>
    <m/>
  </r>
  <r>
    <s v="22/1442/FUL"/>
    <n v="334"/>
    <x v="3"/>
    <x v="0"/>
    <d v="2023-03-22T00:00:00"/>
    <d v="2026-03-22T00:00:00"/>
    <m/>
    <m/>
    <x v="2"/>
    <x v="1"/>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2"/>
    <m/>
    <m/>
    <m/>
    <m/>
    <m/>
    <m/>
    <m/>
    <n v="2"/>
    <n v="2"/>
    <n v="0"/>
    <n v="0"/>
    <n v="0"/>
    <n v="0"/>
    <n v="0"/>
    <n v="0"/>
    <n v="0"/>
    <n v="2"/>
    <x v="1"/>
    <m/>
    <m/>
    <m/>
    <m/>
    <m/>
    <n v="2"/>
    <m/>
    <m/>
    <m/>
    <m/>
    <m/>
    <m/>
    <m/>
    <m/>
    <m/>
    <m/>
    <m/>
    <n v="2"/>
    <n v="2"/>
    <n v="2"/>
    <m/>
    <m/>
    <n v="517147"/>
    <n v="172448"/>
    <s v="Ham &amp; Petersham"/>
    <x v="2"/>
    <m/>
    <m/>
    <m/>
    <m/>
    <m/>
    <m/>
    <x v="1"/>
    <m/>
    <m/>
  </r>
  <r>
    <s v="22/1442/FUL"/>
    <n v="335"/>
    <x v="3"/>
    <x v="0"/>
    <d v="2023-03-22T00:00:00"/>
    <d v="2026-03-22T00:00:00"/>
    <m/>
    <m/>
    <x v="2"/>
    <x v="1"/>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6"/>
    <n v="10"/>
    <n v="3"/>
    <m/>
    <m/>
    <m/>
    <m/>
    <m/>
    <n v="19"/>
    <n v="6"/>
    <n v="10"/>
    <n v="3"/>
    <n v="0"/>
    <n v="0"/>
    <n v="0"/>
    <n v="0"/>
    <n v="0"/>
    <n v="19"/>
    <x v="1"/>
    <m/>
    <m/>
    <m/>
    <m/>
    <m/>
    <m/>
    <m/>
    <m/>
    <n v="19"/>
    <m/>
    <m/>
    <m/>
    <m/>
    <m/>
    <m/>
    <m/>
    <m/>
    <n v="0"/>
    <n v="19"/>
    <n v="19"/>
    <m/>
    <m/>
    <n v="517147"/>
    <n v="172448"/>
    <s v="Ham &amp; Petersham"/>
    <x v="2"/>
    <m/>
    <m/>
    <m/>
    <m/>
    <m/>
    <m/>
    <x v="1"/>
    <m/>
    <m/>
  </r>
  <r>
    <s v="22/1442/FUL"/>
    <n v="336"/>
    <x v="3"/>
    <x v="0"/>
    <d v="2023-03-22T00:00:00"/>
    <d v="2026-03-22T00:00:00"/>
    <m/>
    <m/>
    <x v="2"/>
    <x v="6"/>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7"/>
    <n v="3"/>
    <m/>
    <m/>
    <m/>
    <m/>
    <m/>
    <m/>
    <n v="10"/>
    <n v="7"/>
    <n v="3"/>
    <n v="0"/>
    <n v="0"/>
    <n v="0"/>
    <n v="0"/>
    <n v="0"/>
    <n v="0"/>
    <n v="10"/>
    <x v="1"/>
    <m/>
    <m/>
    <m/>
    <m/>
    <m/>
    <m/>
    <m/>
    <m/>
    <n v="10"/>
    <m/>
    <m/>
    <m/>
    <m/>
    <m/>
    <m/>
    <m/>
    <m/>
    <n v="0"/>
    <n v="10"/>
    <n v="10"/>
    <m/>
    <m/>
    <n v="517147"/>
    <n v="172448"/>
    <s v="Ham &amp; Petersham"/>
    <x v="2"/>
    <m/>
    <m/>
    <m/>
    <m/>
    <m/>
    <m/>
    <x v="1"/>
    <m/>
    <m/>
  </r>
  <r>
    <s v="22/1442/FUL"/>
    <n v="337"/>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Existing"/>
    <m/>
    <m/>
    <n v="1"/>
    <m/>
    <m/>
    <m/>
    <m/>
    <n v="1"/>
    <m/>
    <m/>
    <m/>
    <m/>
    <m/>
    <m/>
    <m/>
    <m/>
    <n v="0"/>
    <n v="0"/>
    <n v="0"/>
    <n v="-1"/>
    <n v="0"/>
    <n v="0"/>
    <n v="0"/>
    <n v="0"/>
    <n v="0"/>
    <n v="-1"/>
    <x v="1"/>
    <m/>
    <m/>
    <m/>
    <n v="-1"/>
    <m/>
    <m/>
    <m/>
    <m/>
    <m/>
    <m/>
    <m/>
    <m/>
    <m/>
    <m/>
    <m/>
    <m/>
    <m/>
    <n v="-1"/>
    <n v="-1"/>
    <n v="-1"/>
    <m/>
    <m/>
    <n v="517147"/>
    <n v="172448"/>
    <s v="Ham &amp; Petersham"/>
    <x v="2"/>
    <m/>
    <m/>
    <m/>
    <m/>
    <m/>
    <m/>
    <x v="1"/>
    <m/>
    <m/>
  </r>
  <r>
    <s v="22/1442/FUL"/>
    <n v="338"/>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Existing"/>
    <n v="2"/>
    <n v="8"/>
    <n v="1"/>
    <m/>
    <m/>
    <m/>
    <m/>
    <n v="11"/>
    <m/>
    <m/>
    <m/>
    <m/>
    <m/>
    <m/>
    <m/>
    <m/>
    <n v="0"/>
    <n v="-2"/>
    <n v="-8"/>
    <n v="-1"/>
    <n v="0"/>
    <n v="0"/>
    <n v="0"/>
    <n v="0"/>
    <n v="0"/>
    <n v="-11"/>
    <x v="1"/>
    <m/>
    <m/>
    <m/>
    <m/>
    <n v="-11"/>
    <m/>
    <m/>
    <m/>
    <m/>
    <m/>
    <m/>
    <m/>
    <m/>
    <m/>
    <m/>
    <m/>
    <m/>
    <n v="-11"/>
    <n v="-11"/>
    <n v="-11"/>
    <m/>
    <m/>
    <n v="517147"/>
    <n v="172448"/>
    <s v="Ham &amp; Petersham"/>
    <x v="2"/>
    <m/>
    <m/>
    <m/>
    <m/>
    <m/>
    <m/>
    <x v="1"/>
    <m/>
    <m/>
  </r>
  <r>
    <s v="22/1442/FUL"/>
    <n v="339"/>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Existing"/>
    <n v="16"/>
    <n v="16"/>
    <n v="5"/>
    <m/>
    <m/>
    <m/>
    <m/>
    <n v="37"/>
    <m/>
    <m/>
    <m/>
    <m/>
    <m/>
    <m/>
    <m/>
    <m/>
    <n v="0"/>
    <n v="-16"/>
    <n v="-16"/>
    <n v="-5"/>
    <n v="0"/>
    <n v="0"/>
    <n v="0"/>
    <n v="0"/>
    <n v="0"/>
    <n v="-37"/>
    <x v="1"/>
    <m/>
    <m/>
    <m/>
    <m/>
    <m/>
    <m/>
    <n v="-37"/>
    <m/>
    <m/>
    <m/>
    <m/>
    <m/>
    <m/>
    <m/>
    <m/>
    <m/>
    <m/>
    <n v="0"/>
    <n v="-37"/>
    <n v="-37"/>
    <m/>
    <m/>
    <n v="517147"/>
    <n v="172448"/>
    <s v="Ham &amp; Petersham"/>
    <x v="2"/>
    <m/>
    <m/>
    <m/>
    <m/>
    <m/>
    <m/>
    <x v="1"/>
    <m/>
    <m/>
  </r>
  <r>
    <s v="22/1442/FUL"/>
    <n v="340"/>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Proposed"/>
    <m/>
    <m/>
    <m/>
    <m/>
    <m/>
    <m/>
    <m/>
    <n v="0"/>
    <n v="2"/>
    <n v="3"/>
    <n v="2"/>
    <m/>
    <m/>
    <m/>
    <m/>
    <m/>
    <n v="7"/>
    <n v="2"/>
    <n v="3"/>
    <n v="2"/>
    <n v="0"/>
    <n v="0"/>
    <n v="0"/>
    <n v="0"/>
    <n v="0"/>
    <n v="7"/>
    <x v="1"/>
    <m/>
    <m/>
    <m/>
    <n v="7"/>
    <m/>
    <m/>
    <m/>
    <m/>
    <m/>
    <m/>
    <m/>
    <m/>
    <m/>
    <m/>
    <m/>
    <m/>
    <m/>
    <n v="7"/>
    <n v="7"/>
    <n v="7"/>
    <m/>
    <m/>
    <n v="517147"/>
    <n v="172448"/>
    <s v="Ham &amp; Petersham"/>
    <x v="2"/>
    <m/>
    <m/>
    <m/>
    <m/>
    <m/>
    <m/>
    <x v="1"/>
    <m/>
    <m/>
  </r>
  <r>
    <s v="22/1442/FUL"/>
    <n v="341"/>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50"/>
    <n v="26"/>
    <n v="2"/>
    <m/>
    <m/>
    <m/>
    <m/>
    <m/>
    <n v="78"/>
    <n v="50"/>
    <n v="26"/>
    <n v="2"/>
    <n v="0"/>
    <n v="0"/>
    <n v="0"/>
    <n v="0"/>
    <n v="0"/>
    <n v="78"/>
    <x v="1"/>
    <m/>
    <m/>
    <m/>
    <m/>
    <m/>
    <n v="78"/>
    <m/>
    <m/>
    <m/>
    <m/>
    <m/>
    <m/>
    <m/>
    <m/>
    <m/>
    <m/>
    <m/>
    <n v="78"/>
    <n v="78"/>
    <n v="78"/>
    <m/>
    <m/>
    <n v="517147"/>
    <n v="172448"/>
    <s v="Ham &amp; Petersham"/>
    <x v="2"/>
    <m/>
    <m/>
    <m/>
    <m/>
    <m/>
    <m/>
    <x v="1"/>
    <m/>
    <m/>
  </r>
  <r>
    <s v="22/1442/FUL"/>
    <n v="342"/>
    <x v="3"/>
    <x v="0"/>
    <d v="2023-03-22T00:00:00"/>
    <d v="2026-03-22T00:00:00"/>
    <m/>
    <m/>
    <x v="2"/>
    <x v="0"/>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42"/>
    <n v="62"/>
    <m/>
    <n v="34"/>
    <n v="8"/>
    <m/>
    <m/>
    <m/>
    <n v="146"/>
    <n v="42"/>
    <n v="62"/>
    <n v="0"/>
    <n v="34"/>
    <n v="8"/>
    <n v="0"/>
    <n v="0"/>
    <n v="0"/>
    <n v="146"/>
    <x v="1"/>
    <m/>
    <m/>
    <m/>
    <m/>
    <m/>
    <m/>
    <m/>
    <m/>
    <n v="146"/>
    <m/>
    <m/>
    <m/>
    <m/>
    <m/>
    <m/>
    <m/>
    <m/>
    <n v="0"/>
    <n v="146"/>
    <n v="146"/>
    <m/>
    <m/>
    <n v="517147"/>
    <n v="172448"/>
    <s v="Ham &amp; Petersham"/>
    <x v="2"/>
    <m/>
    <m/>
    <m/>
    <m/>
    <m/>
    <m/>
    <x v="1"/>
    <m/>
    <m/>
  </r>
  <r>
    <s v="22/1442/FUL"/>
    <n v="343"/>
    <x v="3"/>
    <x v="0"/>
    <d v="2023-03-22T00:00:00"/>
    <d v="2026-03-22T00:00:00"/>
    <m/>
    <m/>
    <x v="2"/>
    <x v="3"/>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3 Proposed"/>
    <m/>
    <m/>
    <m/>
    <m/>
    <m/>
    <m/>
    <m/>
    <n v="0"/>
    <n v="22"/>
    <n v="24"/>
    <n v="1"/>
    <m/>
    <m/>
    <m/>
    <m/>
    <m/>
    <n v="47"/>
    <n v="22"/>
    <n v="24"/>
    <n v="1"/>
    <n v="0"/>
    <n v="0"/>
    <n v="0"/>
    <n v="0"/>
    <n v="0"/>
    <n v="47"/>
    <x v="1"/>
    <m/>
    <m/>
    <m/>
    <m/>
    <m/>
    <m/>
    <m/>
    <m/>
    <n v="47"/>
    <m/>
    <m/>
    <m/>
    <m/>
    <m/>
    <m/>
    <m/>
    <m/>
    <n v="0"/>
    <n v="47"/>
    <n v="47"/>
    <m/>
    <m/>
    <n v="517147"/>
    <n v="172448"/>
    <s v="Ham &amp; Petersham"/>
    <x v="2"/>
    <m/>
    <m/>
    <m/>
    <m/>
    <m/>
    <m/>
    <x v="1"/>
    <m/>
    <m/>
  </r>
  <r>
    <s v="22/1442/FUL"/>
    <n v="344"/>
    <x v="3"/>
    <x v="0"/>
    <d v="2023-03-22T00:00:00"/>
    <d v="2026-03-22T00:00:00"/>
    <m/>
    <m/>
    <x v="2"/>
    <x v="4"/>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1 Proposed"/>
    <m/>
    <m/>
    <m/>
    <m/>
    <m/>
    <m/>
    <m/>
    <n v="0"/>
    <n v="35"/>
    <n v="18"/>
    <n v="10"/>
    <m/>
    <m/>
    <m/>
    <m/>
    <m/>
    <n v="63"/>
    <n v="35"/>
    <n v="18"/>
    <n v="10"/>
    <n v="0"/>
    <n v="0"/>
    <n v="0"/>
    <n v="0"/>
    <n v="0"/>
    <n v="63"/>
    <x v="1"/>
    <m/>
    <m/>
    <m/>
    <n v="63"/>
    <m/>
    <m/>
    <m/>
    <m/>
    <m/>
    <m/>
    <m/>
    <m/>
    <m/>
    <m/>
    <m/>
    <m/>
    <m/>
    <n v="63"/>
    <n v="63"/>
    <n v="63"/>
    <m/>
    <m/>
    <n v="517147"/>
    <n v="172448"/>
    <s v="Ham &amp; Petersham"/>
    <x v="2"/>
    <m/>
    <m/>
    <m/>
    <m/>
    <m/>
    <m/>
    <x v="1"/>
    <m/>
    <m/>
  </r>
  <r>
    <s v="22/1442/FUL"/>
    <n v="345"/>
    <x v="3"/>
    <x v="0"/>
    <d v="2023-03-22T00:00:00"/>
    <d v="2026-03-22T00:00:00"/>
    <m/>
    <m/>
    <x v="2"/>
    <x v="4"/>
    <x v="1"/>
    <s v="Demolition of existing buildings on-site and change of use of land within Ham Close, the Woodville Day Centre and St Richards Church of England Primary School and the existing recycling and parking area to the east of Ham Village Green for a phased mixed-"/>
    <s v="Ham Close, Ham Village Green, Car Park To East Of Ham Village Green, And Part Of Woodville Day Centre Site And St Richards Church Of England Primary School Site, Ham_x000a__x000a_"/>
    <s v="TW10 7PG"/>
    <s v="Phase 2 Proposed"/>
    <m/>
    <m/>
    <m/>
    <m/>
    <m/>
    <m/>
    <m/>
    <n v="0"/>
    <n v="58"/>
    <n v="19"/>
    <n v="3"/>
    <m/>
    <m/>
    <m/>
    <m/>
    <m/>
    <n v="80"/>
    <n v="58"/>
    <n v="19"/>
    <n v="3"/>
    <n v="0"/>
    <n v="0"/>
    <n v="0"/>
    <n v="0"/>
    <n v="0"/>
    <n v="80"/>
    <x v="1"/>
    <m/>
    <m/>
    <m/>
    <m/>
    <m/>
    <n v="80"/>
    <m/>
    <m/>
    <m/>
    <m/>
    <m/>
    <m/>
    <m/>
    <m/>
    <m/>
    <m/>
    <m/>
    <n v="80"/>
    <n v="80"/>
    <n v="80"/>
    <m/>
    <m/>
    <n v="517147"/>
    <n v="172448"/>
    <s v="Ham &amp; Petersham"/>
    <x v="2"/>
    <m/>
    <m/>
    <m/>
    <m/>
    <m/>
    <m/>
    <x v="1"/>
    <m/>
    <m/>
  </r>
  <r>
    <s v="Site Allocation"/>
    <n v="346"/>
    <x v="3"/>
    <x v="0"/>
    <m/>
    <m/>
    <m/>
    <m/>
    <x v="3"/>
    <x v="8"/>
    <x v="2"/>
    <m/>
    <s v="Sainsbury’s, Lower Richmond Road"/>
    <m/>
    <m/>
    <m/>
    <m/>
    <m/>
    <m/>
    <m/>
    <m/>
    <m/>
    <m/>
    <m/>
    <m/>
    <m/>
    <m/>
    <m/>
    <m/>
    <m/>
    <m/>
    <m/>
    <m/>
    <m/>
    <m/>
    <m/>
    <m/>
    <m/>
    <m/>
    <m/>
    <n v="250"/>
    <x v="1"/>
    <m/>
    <n v="0"/>
    <n v="0"/>
    <n v="0"/>
    <n v="0"/>
    <n v="0"/>
    <n v="50"/>
    <n v="50"/>
    <n v="50"/>
    <n v="50"/>
    <n v="50"/>
    <m/>
    <m/>
    <m/>
    <m/>
    <m/>
    <m/>
    <n v="0"/>
    <n v="250"/>
    <n v="250"/>
    <m/>
    <m/>
    <n v="519125"/>
    <n v="175579"/>
    <s v="Richmond"/>
    <x v="4"/>
    <m/>
    <m/>
    <m/>
    <m/>
    <m/>
    <m/>
    <x v="1"/>
    <s v="Y"/>
    <m/>
  </r>
  <r>
    <s v="Site Allocation"/>
    <n v="347"/>
    <x v="3"/>
    <x v="0"/>
    <m/>
    <m/>
    <m/>
    <m/>
    <x v="3"/>
    <x v="8"/>
    <x v="3"/>
    <m/>
    <s v="Telephone Exchange, 88 High Street, Teddington, TW1 18JD"/>
    <m/>
    <m/>
    <m/>
    <m/>
    <m/>
    <m/>
    <m/>
    <m/>
    <m/>
    <m/>
    <m/>
    <m/>
    <m/>
    <m/>
    <m/>
    <m/>
    <m/>
    <m/>
    <m/>
    <m/>
    <m/>
    <m/>
    <m/>
    <m/>
    <m/>
    <m/>
    <m/>
    <n v="20"/>
    <x v="1"/>
    <m/>
    <n v="0"/>
    <n v="0"/>
    <n v="0"/>
    <n v="0"/>
    <n v="0"/>
    <n v="0"/>
    <n v="5"/>
    <n v="5"/>
    <n v="5"/>
    <n v="5"/>
    <m/>
    <m/>
    <m/>
    <m/>
    <m/>
    <m/>
    <n v="0"/>
    <n v="20"/>
    <n v="20"/>
    <m/>
    <m/>
    <n v="516258"/>
    <n v="171100"/>
    <s v="Teddington and the Hamptons"/>
    <x v="0"/>
    <s v="Teddington"/>
    <m/>
    <m/>
    <m/>
    <m/>
    <s v="CA37 High Street Teddington"/>
    <x v="0"/>
    <s v="Y"/>
    <m/>
  </r>
  <r>
    <s v="22/2204/FUL"/>
    <n v="348"/>
    <x v="3"/>
    <x v="0"/>
    <m/>
    <m/>
    <m/>
    <m/>
    <x v="4"/>
    <x v="8"/>
    <x v="4"/>
    <s v="Demolition of existing buildings and erection of 1no. mixed use building between three and five storeys plus basement in height, comprising 86no. residential flats (Class C3) and 1,311.2sq.m of commercial floorspace (Class E); 1no.two storey building comprising 595sq.m of commercial floorspace (Class E); 14no. residential houses (Class C3); and, associated access, external landscaping and car parking."/>
    <s v="St Clare Business Park And 7 - 11 Windmill Road Hampton Hill"/>
    <m/>
    <m/>
    <m/>
    <m/>
    <m/>
    <m/>
    <m/>
    <m/>
    <m/>
    <m/>
    <m/>
    <m/>
    <m/>
    <m/>
    <m/>
    <m/>
    <m/>
    <m/>
    <m/>
    <m/>
    <m/>
    <m/>
    <m/>
    <m/>
    <m/>
    <m/>
    <m/>
    <n v="100"/>
    <x v="1"/>
    <m/>
    <m/>
    <m/>
    <m/>
    <n v="50"/>
    <n v="50"/>
    <m/>
    <m/>
    <m/>
    <m/>
    <m/>
    <m/>
    <m/>
    <m/>
    <m/>
    <m/>
    <m/>
    <n v="100"/>
    <n v="100"/>
    <n v="100"/>
    <m/>
    <m/>
    <n v="514199"/>
    <n v="170906"/>
    <s v="Teddington and the Hamptons"/>
    <x v="14"/>
    <m/>
    <m/>
    <s v="High Street, Hampton Hill"/>
    <s v="Y"/>
    <m/>
    <m/>
    <x v="1"/>
    <m/>
    <m/>
  </r>
  <r>
    <s v="23/0260/FUL"/>
    <n v="349"/>
    <x v="3"/>
    <x v="0"/>
    <m/>
    <m/>
    <m/>
    <m/>
    <x v="4"/>
    <x v="8"/>
    <x v="5"/>
    <s v="The erection of 7 part single, part two-storey residential dwellings; 8 car parking spaces (including 1 disabled parking space); landscaping incorporating communal amenity space and ecological enhancement area; secure cycle and refuse storage."/>
    <s v="The Mereway Centre Mereway Road Twickenham"/>
    <m/>
    <m/>
    <m/>
    <m/>
    <m/>
    <m/>
    <m/>
    <m/>
    <m/>
    <m/>
    <m/>
    <m/>
    <m/>
    <m/>
    <m/>
    <m/>
    <m/>
    <m/>
    <m/>
    <m/>
    <m/>
    <m/>
    <m/>
    <m/>
    <m/>
    <m/>
    <m/>
    <n v="7"/>
    <x v="0"/>
    <m/>
    <m/>
    <m/>
    <n v="7"/>
    <m/>
    <m/>
    <m/>
    <m/>
    <m/>
    <m/>
    <m/>
    <m/>
    <m/>
    <m/>
    <m/>
    <m/>
    <m/>
    <n v="7"/>
    <n v="7"/>
    <n v="7"/>
    <m/>
    <m/>
    <n v="515032"/>
    <n v="173280"/>
    <s v="Twickenham"/>
    <x v="5"/>
    <m/>
    <m/>
    <m/>
    <m/>
    <m/>
    <m/>
    <x v="1"/>
    <s v="Y"/>
    <m/>
  </r>
  <r>
    <s v="19/0510/FUL"/>
    <n v="350"/>
    <x v="3"/>
    <x v="0"/>
    <m/>
    <m/>
    <m/>
    <m/>
    <x v="4"/>
    <x v="8"/>
    <x v="6"/>
    <s v="Demolition of existing buildings and structures and comprehensive phased residential-led redevelopment to provide 453 residential units (of which 173 units will be affordable), flexible retail, community and office uses, provision of car and cycle parking, landscaping, public and private open spaces and all other necessary enabling works"/>
    <s v="Homebase, 84 Manor Road Richmond TW9 1YB"/>
    <m/>
    <m/>
    <m/>
    <m/>
    <m/>
    <m/>
    <m/>
    <m/>
    <m/>
    <m/>
    <m/>
    <m/>
    <m/>
    <m/>
    <m/>
    <m/>
    <m/>
    <m/>
    <m/>
    <m/>
    <m/>
    <m/>
    <m/>
    <m/>
    <m/>
    <m/>
    <m/>
    <n v="385"/>
    <x v="1"/>
    <m/>
    <n v="0"/>
    <n v="0"/>
    <n v="0"/>
    <n v="0"/>
    <n v="96.25"/>
    <n v="96.25"/>
    <n v="96.25"/>
    <n v="96.25"/>
    <n v="0"/>
    <n v="0"/>
    <m/>
    <m/>
    <m/>
    <m/>
    <m/>
    <m/>
    <n v="96.25"/>
    <n v="385"/>
    <n v="385"/>
    <m/>
    <m/>
    <n v="518920"/>
    <n v="175418"/>
    <s v="Richmond"/>
    <x v="4"/>
    <m/>
    <m/>
    <m/>
    <m/>
    <m/>
    <m/>
    <x v="1"/>
    <s v="Y"/>
    <m/>
  </r>
  <r>
    <s v="22/3112/FUL"/>
    <n v="351"/>
    <x v="3"/>
    <x v="0"/>
    <m/>
    <m/>
    <m/>
    <m/>
    <x v="4"/>
    <x v="9"/>
    <x v="7"/>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n v="12"/>
    <x v="1"/>
    <m/>
    <n v="0"/>
    <n v="0"/>
    <n v="12"/>
    <n v="0"/>
    <n v="0"/>
    <n v="0"/>
    <n v="0"/>
    <n v="0"/>
    <n v="0"/>
    <n v="0"/>
    <m/>
    <m/>
    <m/>
    <m/>
    <m/>
    <m/>
    <n v="12"/>
    <n v="12"/>
    <n v="12"/>
    <m/>
    <m/>
    <n v="518385"/>
    <n v="174928"/>
    <s v="Richmond"/>
    <x v="6"/>
    <m/>
    <m/>
    <m/>
    <m/>
    <m/>
    <s v="CA30 St Matthias Richmond"/>
    <x v="0"/>
    <s v="Y"/>
    <m/>
  </r>
  <r>
    <s v="22/0900/OUT"/>
    <n v="352"/>
    <x v="0"/>
    <x v="0"/>
    <m/>
    <m/>
    <m/>
    <m/>
    <x v="4"/>
    <x v="8"/>
    <x v="8"/>
    <m/>
    <s v="The Stag Brewery Lower Richmond Road Mortlake London SW14 7ET"/>
    <m/>
    <m/>
    <m/>
    <m/>
    <m/>
    <m/>
    <m/>
    <m/>
    <m/>
    <m/>
    <m/>
    <m/>
    <m/>
    <m/>
    <m/>
    <m/>
    <m/>
    <m/>
    <m/>
    <m/>
    <m/>
    <m/>
    <m/>
    <m/>
    <m/>
    <m/>
    <m/>
    <n v="550"/>
    <x v="1"/>
    <m/>
    <n v="0"/>
    <n v="0"/>
    <n v="0"/>
    <n v="0"/>
    <n v="150"/>
    <n v="80"/>
    <n v="80"/>
    <n v="80"/>
    <n v="80"/>
    <n v="80"/>
    <n v="87"/>
    <n v="87"/>
    <n v="87"/>
    <n v="87"/>
    <n v="87"/>
    <n v="87"/>
    <n v="150"/>
    <n v="550"/>
    <n v="1072"/>
    <m/>
    <m/>
    <n v="520502"/>
    <n v="175950"/>
    <s v="Barnes and East Sheen"/>
    <x v="8"/>
    <m/>
    <m/>
    <s v="Mortlake"/>
    <s v="Y"/>
    <m/>
    <s v="CA33 Mortlake"/>
    <x v="0"/>
    <s v="Y"/>
    <m/>
  </r>
  <r>
    <s v="Site Allocation"/>
    <n v="353"/>
    <x v="0"/>
    <x v="0"/>
    <m/>
    <m/>
    <m/>
    <m/>
    <x v="5"/>
    <x v="8"/>
    <x v="9"/>
    <m/>
    <s v="Teddington Police Station"/>
    <m/>
    <m/>
    <m/>
    <m/>
    <m/>
    <m/>
    <m/>
    <m/>
    <m/>
    <m/>
    <m/>
    <m/>
    <m/>
    <m/>
    <m/>
    <m/>
    <m/>
    <m/>
    <m/>
    <m/>
    <m/>
    <m/>
    <m/>
    <m/>
    <m/>
    <m/>
    <m/>
    <n v="20"/>
    <x v="1"/>
    <m/>
    <n v="0"/>
    <n v="0"/>
    <n v="0"/>
    <n v="0"/>
    <n v="20"/>
    <n v="0"/>
    <n v="0"/>
    <n v="0"/>
    <n v="0"/>
    <n v="0"/>
    <m/>
    <m/>
    <m/>
    <m/>
    <m/>
    <m/>
    <n v="20"/>
    <n v="20"/>
    <n v="20"/>
    <m/>
    <m/>
    <n v="515852"/>
    <n v="170855"/>
    <s v="Teddington and the Hamptons"/>
    <x v="0"/>
    <s v="Teddington"/>
    <m/>
    <m/>
    <m/>
    <m/>
    <s v="CA22 Park Road Teddington"/>
    <x v="0"/>
    <s v="Y"/>
    <m/>
  </r>
  <r>
    <s v="Site Allocation"/>
    <n v="354"/>
    <x v="3"/>
    <x v="0"/>
    <m/>
    <m/>
    <m/>
    <m/>
    <x v="5"/>
    <x v="8"/>
    <x v="10"/>
    <m/>
    <s v="Telephone Exchange, Garfield Road, Twickenham"/>
    <m/>
    <m/>
    <m/>
    <m/>
    <m/>
    <m/>
    <m/>
    <m/>
    <m/>
    <m/>
    <m/>
    <m/>
    <m/>
    <m/>
    <m/>
    <m/>
    <m/>
    <m/>
    <m/>
    <m/>
    <m/>
    <m/>
    <m/>
    <m/>
    <m/>
    <m/>
    <m/>
    <n v="20"/>
    <x v="1"/>
    <m/>
    <n v="0"/>
    <n v="0"/>
    <n v="0"/>
    <n v="10"/>
    <n v="10"/>
    <n v="0"/>
    <n v="0"/>
    <n v="0"/>
    <n v="0"/>
    <n v="0"/>
    <m/>
    <m/>
    <m/>
    <m/>
    <m/>
    <m/>
    <n v="20"/>
    <n v="20"/>
    <n v="20"/>
    <m/>
    <m/>
    <n v="516325"/>
    <n v="173426"/>
    <s v="Twickenham"/>
    <x v="9"/>
    <s v="Twickenham"/>
    <m/>
    <m/>
    <m/>
    <m/>
    <m/>
    <x v="1"/>
    <s v="Y"/>
    <m/>
  </r>
  <r>
    <s v="Site Allocation"/>
    <n v="355"/>
    <x v="3"/>
    <x v="0"/>
    <m/>
    <m/>
    <m/>
    <m/>
    <x v="5"/>
    <x v="8"/>
    <x v="11"/>
    <m/>
    <s v="Telephone Exchange, Ashdale Close, Whitton, TW1 7BE"/>
    <m/>
    <m/>
    <m/>
    <m/>
    <m/>
    <m/>
    <m/>
    <m/>
    <m/>
    <m/>
    <m/>
    <m/>
    <m/>
    <m/>
    <m/>
    <m/>
    <m/>
    <m/>
    <m/>
    <m/>
    <m/>
    <m/>
    <m/>
    <m/>
    <m/>
    <m/>
    <m/>
    <n v="20"/>
    <x v="1"/>
    <m/>
    <n v="0"/>
    <n v="0"/>
    <n v="0"/>
    <n v="10"/>
    <n v="10"/>
    <n v="0"/>
    <n v="0"/>
    <n v="0"/>
    <n v="0"/>
    <n v="0"/>
    <m/>
    <m/>
    <m/>
    <m/>
    <m/>
    <m/>
    <n v="20"/>
    <n v="20"/>
    <n v="20"/>
    <m/>
    <m/>
    <n v="514055"/>
    <n v="173847"/>
    <s v="Whitton"/>
    <x v="12"/>
    <s v="Whitton"/>
    <m/>
    <m/>
    <m/>
    <m/>
    <m/>
    <x v="1"/>
    <s v="Y"/>
    <m/>
  </r>
  <r>
    <s v="Large Sites Trend"/>
    <m/>
    <x v="0"/>
    <x v="0"/>
    <m/>
    <m/>
    <m/>
    <m/>
    <x v="6"/>
    <x v="8"/>
    <x v="12"/>
    <m/>
    <m/>
    <m/>
    <m/>
    <m/>
    <m/>
    <m/>
    <m/>
    <m/>
    <m/>
    <m/>
    <m/>
    <m/>
    <m/>
    <m/>
    <m/>
    <m/>
    <m/>
    <m/>
    <m/>
    <m/>
    <m/>
    <m/>
    <m/>
    <m/>
    <m/>
    <m/>
    <m/>
    <m/>
    <m/>
    <x v="0"/>
    <m/>
    <m/>
    <m/>
    <m/>
    <m/>
    <m/>
    <m/>
    <m/>
    <m/>
    <n v="72"/>
    <n v="72"/>
    <n v="72"/>
    <n v="72"/>
    <n v="72"/>
    <n v="72"/>
    <n v="72"/>
    <n v="72"/>
    <n v="0"/>
    <n v="144"/>
    <n v="576"/>
    <m/>
    <m/>
    <m/>
    <m/>
    <m/>
    <x v="18"/>
    <m/>
    <m/>
    <m/>
    <m/>
    <m/>
    <m/>
    <x v="1"/>
    <m/>
    <m/>
  </r>
  <r>
    <s v="Small Sites Trend"/>
    <n v="356"/>
    <x v="0"/>
    <x v="0"/>
    <m/>
    <m/>
    <m/>
    <m/>
    <x v="6"/>
    <x v="8"/>
    <x v="13"/>
    <m/>
    <s v="Small Sites Trend"/>
    <m/>
    <m/>
    <m/>
    <m/>
    <m/>
    <m/>
    <m/>
    <m/>
    <m/>
    <m/>
    <m/>
    <m/>
    <m/>
    <m/>
    <m/>
    <m/>
    <m/>
    <m/>
    <m/>
    <m/>
    <m/>
    <m/>
    <m/>
    <m/>
    <m/>
    <m/>
    <m/>
    <n v="742"/>
    <x v="0"/>
    <m/>
    <n v="20"/>
    <n v="20"/>
    <n v="234"/>
    <n v="234"/>
    <n v="234"/>
    <n v="234"/>
    <n v="234"/>
    <n v="234"/>
    <n v="234"/>
    <n v="234"/>
    <n v="234"/>
    <n v="234"/>
    <n v="234"/>
    <n v="234"/>
    <n v="234"/>
    <n v="234"/>
    <n v="742"/>
    <n v="1912"/>
    <n v="3316"/>
    <m/>
    <m/>
    <m/>
    <m/>
    <m/>
    <x v="18"/>
    <m/>
    <m/>
    <m/>
    <m/>
    <m/>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548517-7B4C-4F6C-BD03-44C24A3895C3}" name="PivotTable3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01:E320" firstHeaderRow="0"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1"/>
    </i>
    <i>
      <x v="12"/>
    </i>
    <i>
      <x v="13"/>
    </i>
    <i>
      <x v="14"/>
    </i>
    <i>
      <x v="15"/>
    </i>
    <i>
      <x v="16"/>
    </i>
    <i>
      <x v="17"/>
    </i>
    <i>
      <x v="18"/>
    </i>
    <i t="grand">
      <x/>
    </i>
  </rowItems>
  <colFields count="1">
    <field x="-2"/>
  </colFields>
  <colItems count="3">
    <i>
      <x/>
    </i>
    <i i="1">
      <x v="1"/>
    </i>
    <i i="2">
      <x v="2"/>
    </i>
  </colItems>
  <pageFields count="1">
    <pageField fld="8" hier="-1"/>
  </pageFields>
  <dataFields count="3">
    <dataField name="Sum of Units Proposed" fld="31" baseField="0" baseItem="0"/>
    <dataField name="Sum of Units Existing" fld="22" baseField="0" baseItem="0"/>
    <dataField name="Sum of Net Dwellings" fld="40" baseField="0" baseItem="0"/>
  </dataFields>
  <formats count="41">
    <format dxfId="41">
      <pivotArea type="all" dataOnly="0" outline="0" fieldPosition="0"/>
    </format>
    <format dxfId="40">
      <pivotArea type="all" dataOnly="0" outline="0" fieldPosition="0"/>
    </format>
    <format dxfId="39">
      <pivotArea type="all" dataOnly="0" outline="0" fieldPosition="0"/>
    </format>
    <format dxfId="38">
      <pivotArea type="all" dataOnly="0" outline="0" fieldPosition="0"/>
    </format>
    <format dxfId="37">
      <pivotArea type="all" dataOnly="0" outline="0" fieldPosition="0"/>
    </format>
    <format dxfId="36">
      <pivotArea type="all" dataOnly="0" outline="0" fieldPosition="0"/>
    </format>
    <format dxfId="35">
      <pivotArea type="all" dataOnly="0" outline="0" fieldPosition="0"/>
    </format>
    <format dxfId="34">
      <pivotArea dataOnly="0" labelOnly="1" outline="0" fieldPosition="0">
        <references count="1">
          <reference field="4294967294" count="2">
            <x v="0"/>
            <x v="2"/>
          </reference>
        </references>
      </pivotArea>
    </format>
    <format dxfId="33">
      <pivotArea dataOnly="0" labelOnly="1" outline="0" fieldPosition="0">
        <references count="1">
          <reference field="4294967294" count="2">
            <x v="0"/>
            <x v="2"/>
          </reference>
        </references>
      </pivotArea>
    </format>
    <format dxfId="32">
      <pivotArea dataOnly="0" labelOnly="1" outline="0" fieldPosition="0">
        <references count="1">
          <reference field="4294967294" count="2">
            <x v="0"/>
            <x v="2"/>
          </reference>
        </references>
      </pivotArea>
    </format>
    <format dxfId="31">
      <pivotArea type="all" dataOnly="0" outline="0" fieldPosition="0"/>
    </format>
    <format dxfId="30">
      <pivotArea type="all" dataOnly="0" outline="0" fieldPosition="0"/>
    </format>
    <format dxfId="29">
      <pivotArea type="all" dataOnly="0" outline="0" fieldPosition="0"/>
    </format>
    <format dxfId="28">
      <pivotArea type="all" dataOnly="0" outline="0" fieldPosition="0"/>
    </format>
    <format dxfId="27">
      <pivotArea outline="0" collapsedLevelsAreSubtotals="1" fieldPosition="0"/>
    </format>
    <format dxfId="26">
      <pivotArea dataOnly="0" labelOnly="1" grandRow="1" outline="0" fieldPosition="0"/>
    </format>
    <format dxfId="25">
      <pivotArea dataOnly="0" labelOnly="1" outline="0" fieldPosition="0">
        <references count="1">
          <reference field="4294967294" count="2">
            <x v="0"/>
            <x v="2"/>
          </reference>
        </references>
      </pivotArea>
    </format>
    <format dxfId="24">
      <pivotArea type="all" dataOnly="0" outline="0" fieldPosition="0"/>
    </format>
    <format dxfId="23">
      <pivotArea outline="0" collapsedLevelsAreSubtotals="1" fieldPosition="0"/>
    </format>
    <format dxfId="22">
      <pivotArea dataOnly="0" labelOnly="1" grandRow="1" outline="0" fieldPosition="0"/>
    </format>
    <format dxfId="21">
      <pivotArea dataOnly="0" labelOnly="1" outline="0" fieldPosition="0">
        <references count="1">
          <reference field="4294967294" count="2">
            <x v="0"/>
            <x v="2"/>
          </reference>
        </references>
      </pivotArea>
    </format>
    <format dxfId="20">
      <pivotArea type="all" dataOnly="0" outline="0" fieldPosition="0"/>
    </format>
    <format dxfId="19">
      <pivotArea outline="0" collapsedLevelsAreSubtotals="1" fieldPosition="0"/>
    </format>
    <format dxfId="18">
      <pivotArea dataOnly="0" labelOnly="1" grandRow="1" outline="0" fieldPosition="0"/>
    </format>
    <format dxfId="17">
      <pivotArea dataOnly="0" labelOnly="1" outline="0" fieldPosition="0">
        <references count="1">
          <reference field="4294967294" count="2">
            <x v="0"/>
            <x v="2"/>
          </reference>
        </references>
      </pivotArea>
    </format>
    <format dxfId="16">
      <pivotArea type="all" dataOnly="0" outline="0" fieldPosition="0"/>
    </format>
    <format dxfId="15">
      <pivotArea outline="0" collapsedLevelsAreSubtotals="1" fieldPosition="0"/>
    </format>
    <format dxfId="14">
      <pivotArea field="67" type="button" dataOnly="0" labelOnly="1" outline="0" axis="axisRow" fieldPosition="0"/>
    </format>
    <format dxfId="13">
      <pivotArea dataOnly="0" labelOnly="1" grandRow="1" outline="0" fieldPosition="0"/>
    </format>
    <format dxfId="12">
      <pivotArea dataOnly="0" labelOnly="1" outline="0" fieldPosition="0">
        <references count="1">
          <reference field="4294967294" count="3">
            <x v="0"/>
            <x v="1"/>
            <x v="2"/>
          </reference>
        </references>
      </pivotArea>
    </format>
    <format dxfId="11">
      <pivotArea type="all" dataOnly="0" outline="0" fieldPosition="0"/>
    </format>
    <format dxfId="10">
      <pivotArea outline="0" collapsedLevelsAreSubtotals="1" fieldPosition="0"/>
    </format>
    <format dxfId="9">
      <pivotArea field="67" type="button" dataOnly="0" labelOnly="1" outline="0" axis="axisRow" fieldPosition="0"/>
    </format>
    <format dxfId="8">
      <pivotArea dataOnly="0" labelOnly="1" fieldPosition="0">
        <references count="1">
          <reference field="67" count="18">
            <x v="0"/>
            <x v="1"/>
            <x v="2"/>
            <x v="3"/>
            <x v="4"/>
            <x v="5"/>
            <x v="6"/>
            <x v="7"/>
            <x v="8"/>
            <x v="9"/>
            <x v="11"/>
            <x v="12"/>
            <x v="13"/>
            <x v="14"/>
            <x v="15"/>
            <x v="16"/>
            <x v="17"/>
            <x v="18"/>
          </reference>
        </references>
      </pivotArea>
    </format>
    <format dxfId="7">
      <pivotArea dataOnly="0" labelOnly="1" grandRow="1" outline="0" fieldPosition="0"/>
    </format>
    <format dxfId="6">
      <pivotArea dataOnly="0" labelOnly="1" outline="0" fieldPosition="0">
        <references count="1">
          <reference field="4294967294" count="3">
            <x v="0"/>
            <x v="1"/>
            <x v="2"/>
          </reference>
        </references>
      </pivotArea>
    </format>
    <format dxfId="5">
      <pivotArea type="all" dataOnly="0" outline="0" fieldPosition="0"/>
    </format>
    <format dxfId="4">
      <pivotArea outline="0" collapsedLevelsAreSubtotals="1" fieldPosition="0"/>
    </format>
    <format dxfId="3">
      <pivotArea field="67" type="button" dataOnly="0" labelOnly="1" outline="0" axis="axisRow" fieldPosition="0"/>
    </format>
    <format dxfId="2">
      <pivotArea dataOnly="0" labelOnly="1" grandRow="1" outline="0" fieldPosition="0"/>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2FFDB78-1396-47CB-A72B-3ACED0A71BAD}" name="PivotTable7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55:E156"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408">
      <pivotArea type="all" dataOnly="0" outline="0" fieldPosition="0"/>
    </format>
    <format dxfId="407">
      <pivotArea type="all" dataOnly="0" outline="0" fieldPosition="0"/>
    </format>
    <format dxfId="406">
      <pivotArea type="all" dataOnly="0" outline="0" fieldPosition="0"/>
    </format>
    <format dxfId="405">
      <pivotArea type="all" dataOnly="0" outline="0" fieldPosition="0"/>
    </format>
    <format dxfId="404">
      <pivotArea type="all" dataOnly="0" outline="0" fieldPosition="0"/>
    </format>
    <format dxfId="403">
      <pivotArea type="all" dataOnly="0" outline="0" fieldPosition="0"/>
    </format>
    <format dxfId="402">
      <pivotArea type="all" dataOnly="0" outline="0" fieldPosition="0"/>
    </format>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outline="0" collapsedLevelsAreSubtotals="1" fieldPosition="0"/>
    </format>
    <format dxfId="396">
      <pivotArea dataOnly="0" labelOnly="1" outline="0" axis="axisValues" fieldPosition="0"/>
    </format>
    <format dxfId="395">
      <pivotArea type="all" dataOnly="0" outline="0" fieldPosition="0"/>
    </format>
    <format dxfId="394">
      <pivotArea outline="0" collapsedLevelsAreSubtotals="1" fieldPosition="0"/>
    </format>
    <format dxfId="393">
      <pivotArea dataOnly="0" labelOnly="1" outline="0" axis="axisValues" fieldPosition="0"/>
    </format>
    <format dxfId="392">
      <pivotArea type="all" dataOnly="0" outline="0" fieldPosition="0"/>
    </format>
    <format dxfId="391">
      <pivotArea outline="0" collapsedLevelsAreSubtotals="1" fieldPosition="0"/>
    </format>
    <format dxfId="390">
      <pivotArea dataOnly="0" labelOnly="1" outline="0" axis="axisValues" fieldPosition="0"/>
    </format>
    <format dxfId="389">
      <pivotArea type="all" dataOnly="0" outline="0" fieldPosition="0"/>
    </format>
    <format dxfId="388">
      <pivotArea outline="0" collapsedLevelsAreSubtotals="1" fieldPosition="0"/>
    </format>
    <format dxfId="387">
      <pivotArea dataOnly="0" labelOnly="1" outline="0" axis="axisValues" fieldPosition="0"/>
    </format>
    <format dxfId="386">
      <pivotArea type="all" dataOnly="0" outline="0" fieldPosition="0"/>
    </format>
    <format dxfId="385">
      <pivotArea outline="0" collapsedLevelsAreSubtotals="1" fieldPosition="0"/>
    </format>
    <format dxfId="384">
      <pivotArea dataOnly="0" labelOnly="1" outline="0" axis="axisValues" fieldPosition="0"/>
    </format>
    <format dxfId="383">
      <pivotArea type="all" dataOnly="0" outline="0" fieldPosition="0"/>
    </format>
    <format dxfId="382">
      <pivotArea outline="0" collapsedLevelsAreSubtotals="1" fieldPosition="0"/>
    </format>
    <format dxfId="381">
      <pivotArea dataOnly="0" labelOnly="1" outline="0" axis="axisValues" fieldPosition="0"/>
    </format>
    <format dxfId="380">
      <pivotArea type="all" dataOnly="0" outline="0" fieldPosition="0"/>
    </format>
    <format dxfId="379">
      <pivotArea outline="0" collapsedLevelsAreSubtotals="1" fieldPosition="0"/>
    </format>
    <format dxfId="378">
      <pivotArea dataOnly="0" labelOnly="1" outline="0" axis="axisValues" fieldPosition="0"/>
    </format>
    <format dxfId="377">
      <pivotArea type="all" dataOnly="0" outline="0" fieldPosition="0"/>
    </format>
    <format dxfId="376">
      <pivotArea outline="0" collapsedLevelsAreSubtotals="1" fieldPosition="0"/>
    </format>
    <format dxfId="375">
      <pivotArea type="all" dataOnly="0" outline="0" fieldPosition="0"/>
    </format>
    <format dxfId="374">
      <pivotArea outline="0" collapsedLevelsAreSubtotals="1" fieldPosition="0"/>
    </format>
    <format dxfId="373">
      <pivotArea outline="0" collapsedLevelsAreSubtotals="1" fieldPosition="0"/>
    </format>
    <format dxfId="372">
      <pivotArea type="all" dataOnly="0" outline="0" fieldPosition="0"/>
    </format>
    <format dxfId="371">
      <pivotArea outline="0" collapsedLevelsAreSubtotals="1" fieldPosition="0"/>
    </format>
    <format dxfId="370">
      <pivotArea dataOnly="0" labelOnly="1" outline="0" axis="axisValues" fieldPosition="0"/>
    </format>
    <format dxfId="36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9FCA918-2901-417F-9080-8AE6BAD906CA}" name="PivotTable7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82:H18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h="1" x="0"/>
        <item h="1" x="2"/>
        <item x="5"/>
        <item h="1" x="4"/>
        <item h="1" x="3"/>
        <item h="1"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448">
      <pivotArea type="all" dataOnly="0" outline="0" fieldPosition="0"/>
    </format>
    <format dxfId="447">
      <pivotArea type="all" dataOnly="0" outline="0" fieldPosition="0"/>
    </format>
    <format dxfId="446">
      <pivotArea type="all" dataOnly="0" outline="0" fieldPosition="0"/>
    </format>
    <format dxfId="445">
      <pivotArea type="all" dataOnly="0" outline="0" fieldPosition="0"/>
    </format>
    <format dxfId="444">
      <pivotArea type="all" dataOnly="0" outline="0" fieldPosition="0"/>
    </format>
    <format dxfId="443">
      <pivotArea type="all" dataOnly="0" outline="0" fieldPosition="0"/>
    </format>
    <format dxfId="442">
      <pivotArea type="all" dataOnly="0" outline="0" fieldPosition="0"/>
    </format>
    <format dxfId="441">
      <pivotArea type="all" dataOnly="0" outline="0" fieldPosition="0"/>
    </format>
    <format dxfId="440">
      <pivotArea type="all" dataOnly="0" outline="0" fieldPosition="0"/>
    </format>
    <format dxfId="439">
      <pivotArea type="all" dataOnly="0" outline="0" fieldPosition="0"/>
    </format>
    <format dxfId="438">
      <pivotArea type="all" dataOnly="0" outline="0" fieldPosition="0"/>
    </format>
    <format dxfId="437">
      <pivotArea outline="0" collapsedLevelsAreSubtotals="1" fieldPosition="0"/>
    </format>
    <format dxfId="436">
      <pivotArea dataOnly="0" labelOnly="1" outline="0" axis="axisValues" fieldPosition="0"/>
    </format>
    <format dxfId="435">
      <pivotArea type="all" dataOnly="0" outline="0" fieldPosition="0"/>
    </format>
    <format dxfId="434">
      <pivotArea outline="0" collapsedLevelsAreSubtotals="1" fieldPosition="0"/>
    </format>
    <format dxfId="433">
      <pivotArea dataOnly="0" labelOnly="1" outline="0" axis="axisValues" fieldPosition="0"/>
    </format>
    <format dxfId="432">
      <pivotArea type="all" dataOnly="0" outline="0" fieldPosition="0"/>
    </format>
    <format dxfId="431">
      <pivotArea outline="0" collapsedLevelsAreSubtotals="1" fieldPosition="0"/>
    </format>
    <format dxfId="430">
      <pivotArea dataOnly="0" labelOnly="1" outline="0" axis="axisValues" fieldPosition="0"/>
    </format>
    <format dxfId="429">
      <pivotArea type="all" dataOnly="0" outline="0" fieldPosition="0"/>
    </format>
    <format dxfId="428">
      <pivotArea outline="0" collapsedLevelsAreSubtotals="1" fieldPosition="0"/>
    </format>
    <format dxfId="427">
      <pivotArea dataOnly="0" labelOnly="1" outline="0" axis="axisValues" fieldPosition="0"/>
    </format>
    <format dxfId="426">
      <pivotArea type="all" dataOnly="0" outline="0" fieldPosition="0"/>
    </format>
    <format dxfId="425">
      <pivotArea outline="0" collapsedLevelsAreSubtotals="1" fieldPosition="0"/>
    </format>
    <format dxfId="424">
      <pivotArea dataOnly="0" labelOnly="1" outline="0" axis="axisValues" fieldPosition="0"/>
    </format>
    <format dxfId="423">
      <pivotArea type="all" dataOnly="0" outline="0" fieldPosition="0"/>
    </format>
    <format dxfId="422">
      <pivotArea outline="0" collapsedLevelsAreSubtotals="1" fieldPosition="0"/>
    </format>
    <format dxfId="421">
      <pivotArea dataOnly="0" labelOnly="1" outline="0" axis="axisValues" fieldPosition="0"/>
    </format>
    <format dxfId="420">
      <pivotArea type="all" dataOnly="0" outline="0" fieldPosition="0"/>
    </format>
    <format dxfId="419">
      <pivotArea outline="0" collapsedLevelsAreSubtotals="1" fieldPosition="0"/>
    </format>
    <format dxfId="418">
      <pivotArea dataOnly="0" labelOnly="1" outline="0" axis="axisValues" fieldPosition="0"/>
    </format>
    <format dxfId="417">
      <pivotArea type="all" dataOnly="0" outline="0" fieldPosition="0"/>
    </format>
    <format dxfId="416">
      <pivotArea outline="0" collapsedLevelsAreSubtotals="1" fieldPosition="0"/>
    </format>
    <format dxfId="415">
      <pivotArea type="all" dataOnly="0" outline="0" fieldPosition="0"/>
    </format>
    <format dxfId="414">
      <pivotArea outline="0" collapsedLevelsAreSubtotals="1" fieldPosition="0"/>
    </format>
    <format dxfId="413">
      <pivotArea outline="0" collapsedLevelsAreSubtotals="1" fieldPosition="0"/>
    </format>
    <format dxfId="412">
      <pivotArea type="all" dataOnly="0" outline="0" fieldPosition="0"/>
    </format>
    <format dxfId="411">
      <pivotArea outline="0" collapsedLevelsAreSubtotals="1" fieldPosition="0"/>
    </format>
    <format dxfId="410">
      <pivotArea dataOnly="0" labelOnly="1" outline="0" axis="axisValues" fieldPosition="0"/>
    </format>
    <format dxfId="40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948ED1D-3B73-4ECC-A9B6-E57925CB6D0F}" name="PivotTable7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73:H17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h="1" x="0"/>
        <item h="1" x="2"/>
        <item x="5"/>
        <item h="1" x="4"/>
        <item h="1" x="3"/>
        <item h="1"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type="all" dataOnly="0" outline="0" fieldPosition="0"/>
    </format>
    <format dxfId="483">
      <pivotArea type="all" dataOnly="0" outline="0" fieldPosition="0"/>
    </format>
    <format dxfId="482">
      <pivotArea type="all" dataOnly="0" outline="0" fieldPosition="0"/>
    </format>
    <format dxfId="481">
      <pivotArea type="all" dataOnly="0" outline="0" fieldPosition="0"/>
    </format>
    <format dxfId="480">
      <pivotArea type="all" dataOnly="0" outline="0" fieldPosition="0"/>
    </format>
    <format dxfId="479">
      <pivotArea type="all" dataOnly="0" outline="0" fieldPosition="0"/>
    </format>
    <format dxfId="478">
      <pivotArea type="all" dataOnly="0" outline="0" fieldPosition="0"/>
    </format>
    <format dxfId="477">
      <pivotArea outline="0" collapsedLevelsAreSubtotals="1" fieldPosition="0"/>
    </format>
    <format dxfId="476">
      <pivotArea dataOnly="0" labelOnly="1" outline="0" axis="axisValues" fieldPosition="0"/>
    </format>
    <format dxfId="475">
      <pivotArea type="all" dataOnly="0" outline="0" fieldPosition="0"/>
    </format>
    <format dxfId="474">
      <pivotArea outline="0" collapsedLevelsAreSubtotals="1" fieldPosition="0"/>
    </format>
    <format dxfId="473">
      <pivotArea dataOnly="0" labelOnly="1" outline="0" axis="axisValues" fieldPosition="0"/>
    </format>
    <format dxfId="472">
      <pivotArea type="all" dataOnly="0" outline="0" fieldPosition="0"/>
    </format>
    <format dxfId="471">
      <pivotArea outline="0" collapsedLevelsAreSubtotals="1" fieldPosition="0"/>
    </format>
    <format dxfId="470">
      <pivotArea dataOnly="0" labelOnly="1" outline="0" axis="axisValues" fieldPosition="0"/>
    </format>
    <format dxfId="469">
      <pivotArea type="all" dataOnly="0" outline="0" fieldPosition="0"/>
    </format>
    <format dxfId="468">
      <pivotArea outline="0" collapsedLevelsAreSubtotals="1" fieldPosition="0"/>
    </format>
    <format dxfId="467">
      <pivotArea dataOnly="0" labelOnly="1" outline="0" axis="axisValues" fieldPosition="0"/>
    </format>
    <format dxfId="466">
      <pivotArea type="all" dataOnly="0" outline="0" fieldPosition="0"/>
    </format>
    <format dxfId="465">
      <pivotArea outline="0" collapsedLevelsAreSubtotals="1" fieldPosition="0"/>
    </format>
    <format dxfId="464">
      <pivotArea dataOnly="0" labelOnly="1" outline="0" axis="axisValues" fieldPosition="0"/>
    </format>
    <format dxfId="463">
      <pivotArea type="all" dataOnly="0" outline="0" fieldPosition="0"/>
    </format>
    <format dxfId="462">
      <pivotArea outline="0" collapsedLevelsAreSubtotals="1" fieldPosition="0"/>
    </format>
    <format dxfId="461">
      <pivotArea dataOnly="0" labelOnly="1" outline="0" axis="axisValues" fieldPosition="0"/>
    </format>
    <format dxfId="460">
      <pivotArea type="all" dataOnly="0" outline="0" fieldPosition="0"/>
    </format>
    <format dxfId="459">
      <pivotArea outline="0" collapsedLevelsAreSubtotals="1" fieldPosition="0"/>
    </format>
    <format dxfId="458">
      <pivotArea dataOnly="0" labelOnly="1" outline="0" axis="axisValues" fieldPosition="0"/>
    </format>
    <format dxfId="457">
      <pivotArea type="all" dataOnly="0" outline="0" fieldPosition="0"/>
    </format>
    <format dxfId="456">
      <pivotArea outline="0" collapsedLevelsAreSubtotals="1" fieldPosition="0"/>
    </format>
    <format dxfId="455">
      <pivotArea type="all" dataOnly="0" outline="0" fieldPosition="0"/>
    </format>
    <format dxfId="454">
      <pivotArea outline="0" collapsedLevelsAreSubtotals="1" fieldPosition="0"/>
    </format>
    <format dxfId="453">
      <pivotArea outline="0" collapsedLevelsAreSubtotals="1" fieldPosition="0"/>
    </format>
    <format dxfId="452">
      <pivotArea type="all" dataOnly="0" outline="0" fieldPosition="0"/>
    </format>
    <format dxfId="451">
      <pivotArea outline="0" collapsedLevelsAreSubtotals="1" fieldPosition="0"/>
    </format>
    <format dxfId="450">
      <pivotArea dataOnly="0" labelOnly="1" outline="0" axis="axisValues" fieldPosition="0"/>
    </format>
    <format dxfId="44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8DDA69C-B6B5-48CF-AE8F-93DE7DC2ED81}" name="PivotTable2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22:E223" firstHeaderRow="1" firstDataRow="1" firstDataCol="0" rowPageCount="3"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x="2"/>
        <item x="5"/>
        <item x="4"/>
        <item x="3"/>
        <item x="1"/>
        <item x="7"/>
        <item x="6"/>
        <item x="8"/>
        <item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528">
      <pivotArea type="all" dataOnly="0" outline="0" fieldPosition="0"/>
    </format>
    <format dxfId="527">
      <pivotArea type="all" dataOnly="0" outline="0" fieldPosition="0"/>
    </format>
    <format dxfId="526">
      <pivotArea type="all" dataOnly="0" outline="0" fieldPosition="0"/>
    </format>
    <format dxfId="525">
      <pivotArea type="all" dataOnly="0" outline="0" fieldPosition="0"/>
    </format>
    <format dxfId="524">
      <pivotArea type="all" dataOnly="0" outline="0" fieldPosition="0"/>
    </format>
    <format dxfId="523">
      <pivotArea type="all" dataOnly="0" outline="0" fieldPosition="0"/>
    </format>
    <format dxfId="522">
      <pivotArea type="all" dataOnly="0" outline="0" fieldPosition="0"/>
    </format>
    <format dxfId="521">
      <pivotArea type="all" dataOnly="0" outline="0" fieldPosition="0"/>
    </format>
    <format dxfId="520">
      <pivotArea type="all" dataOnly="0" outline="0" fieldPosition="0"/>
    </format>
    <format dxfId="519">
      <pivotArea type="all" dataOnly="0" outline="0" fieldPosition="0"/>
    </format>
    <format dxfId="518">
      <pivotArea type="all" dataOnly="0" outline="0" fieldPosition="0"/>
    </format>
    <format dxfId="517">
      <pivotArea outline="0" collapsedLevelsAreSubtotals="1" fieldPosition="0"/>
    </format>
    <format dxfId="516">
      <pivotArea dataOnly="0" labelOnly="1" outline="0" axis="axisValues" fieldPosition="0"/>
    </format>
    <format dxfId="515">
      <pivotArea type="all" dataOnly="0" outline="0" fieldPosition="0"/>
    </format>
    <format dxfId="514">
      <pivotArea outline="0" collapsedLevelsAreSubtotals="1" fieldPosition="0"/>
    </format>
    <format dxfId="513">
      <pivotArea dataOnly="0" labelOnly="1" outline="0" axis="axisValues" fieldPosition="0"/>
    </format>
    <format dxfId="512">
      <pivotArea type="all" dataOnly="0" outline="0" fieldPosition="0"/>
    </format>
    <format dxfId="511">
      <pivotArea outline="0" collapsedLevelsAreSubtotals="1" fieldPosition="0"/>
    </format>
    <format dxfId="510">
      <pivotArea dataOnly="0" labelOnly="1" outline="0" axis="axisValues" fieldPosition="0"/>
    </format>
    <format dxfId="509">
      <pivotArea type="all" dataOnly="0" outline="0" fieldPosition="0"/>
    </format>
    <format dxfId="508">
      <pivotArea outline="0" collapsedLevelsAreSubtotals="1" fieldPosition="0"/>
    </format>
    <format dxfId="507">
      <pivotArea dataOnly="0" labelOnly="1" outline="0" axis="axisValues" fieldPosition="0"/>
    </format>
    <format dxfId="506">
      <pivotArea type="all" dataOnly="0" outline="0" fieldPosition="0"/>
    </format>
    <format dxfId="505">
      <pivotArea outline="0" collapsedLevelsAreSubtotals="1" fieldPosition="0"/>
    </format>
    <format dxfId="504">
      <pivotArea dataOnly="0" labelOnly="1" outline="0" axis="axisValues" fieldPosition="0"/>
    </format>
    <format dxfId="503">
      <pivotArea type="all" dataOnly="0" outline="0" fieldPosition="0"/>
    </format>
    <format dxfId="502">
      <pivotArea outline="0" collapsedLevelsAreSubtotals="1" fieldPosition="0"/>
    </format>
    <format dxfId="501">
      <pivotArea dataOnly="0" labelOnly="1" outline="0" axis="axisValues" fieldPosition="0"/>
    </format>
    <format dxfId="500">
      <pivotArea type="all" dataOnly="0" outline="0" fieldPosition="0"/>
    </format>
    <format dxfId="499">
      <pivotArea outline="0" collapsedLevelsAreSubtotals="1" fieldPosition="0"/>
    </format>
    <format dxfId="498">
      <pivotArea dataOnly="0" labelOnly="1" outline="0" axis="axisValues" fieldPosition="0"/>
    </format>
    <format dxfId="497">
      <pivotArea type="all" dataOnly="0" outline="0" fieldPosition="0"/>
    </format>
    <format dxfId="496">
      <pivotArea outline="0" collapsedLevelsAreSubtotals="1" fieldPosition="0"/>
    </format>
    <format dxfId="495">
      <pivotArea type="all" dataOnly="0" outline="0" fieldPosition="0"/>
    </format>
    <format dxfId="494">
      <pivotArea outline="0" collapsedLevelsAreSubtotals="1" fieldPosition="0"/>
    </format>
    <format dxfId="493">
      <pivotArea outline="0" collapsedLevelsAreSubtotals="1" fieldPosition="0"/>
    </format>
    <format dxfId="492">
      <pivotArea type="all" dataOnly="0" outline="0" fieldPosition="0"/>
    </format>
    <format dxfId="491">
      <pivotArea outline="0" collapsedLevelsAreSubtotals="1" fieldPosition="0"/>
    </format>
    <format dxfId="490">
      <pivotArea dataOnly="0" labelOnly="1" outline="0" axis="axisValues" fieldPosition="0"/>
    </format>
    <format dxfId="48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9B96584-5F7A-46D1-A1E2-FBB09FDA106C}" name="PivotTable79" cacheId="2" applyNumberFormats="0" applyBorderFormats="0" applyFontFormats="0" applyPatternFormats="0" applyAlignmentFormats="0" applyWidthHeightFormats="1" dataCaption="Values" missingCaption="0" updatedVersion="8" minRefreshableVersion="3" itemPrintTitles="1" createdVersion="4" indent="0" outline="1" outlineData="1" multipleFieldFilters="0">
  <location ref="H375:I392" firstHeaderRow="1" firstDataRow="1" firstDataCol="1" rowPageCount="3" colPageCount="1"/>
  <pivotFields count="77">
    <pivotField showAll="0" defaultSubtotal="0"/>
    <pivotField showAll="0"/>
    <pivotField axis="axisPage" multipleItemSelectionAllowed="1" showAll="0" defaultSubtotal="0">
      <items count="5">
        <item x="1"/>
        <item x="2"/>
        <item x="4"/>
        <item h="1" x="0"/>
        <item h="1" x="3"/>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7">
        <item h="1" x="0"/>
        <item x="1"/>
        <item h="1" x="2"/>
        <item h="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7">
    <i>
      <x/>
    </i>
    <i>
      <x v="1"/>
    </i>
    <i>
      <x v="2"/>
    </i>
    <i>
      <x v="3"/>
    </i>
    <i>
      <x v="4"/>
    </i>
    <i>
      <x v="6"/>
    </i>
    <i>
      <x v="8"/>
    </i>
    <i>
      <x v="9"/>
    </i>
    <i>
      <x v="11"/>
    </i>
    <i>
      <x v="12"/>
    </i>
    <i>
      <x v="13"/>
    </i>
    <i>
      <x v="14"/>
    </i>
    <i>
      <x v="15"/>
    </i>
    <i>
      <x v="16"/>
    </i>
    <i>
      <x v="17"/>
    </i>
    <i>
      <x v="18"/>
    </i>
    <i t="grand">
      <x/>
    </i>
  </rowItems>
  <colItems count="1">
    <i/>
  </colItems>
  <pageFields count="3">
    <pageField fld="8" hier="-1"/>
    <pageField fld="3" hier="-1"/>
    <pageField fld="2" hier="-1"/>
  </pageFields>
  <dataFields count="1">
    <dataField name="Sum of Net Dwellings" fld="40" baseField="0" baseItem="0"/>
  </dataFields>
  <formats count="42">
    <format dxfId="570">
      <pivotArea type="all" dataOnly="0" outline="0" fieldPosition="0"/>
    </format>
    <format dxfId="569">
      <pivotArea type="all" dataOnly="0" outline="0" fieldPosition="0"/>
    </format>
    <format dxfId="568">
      <pivotArea type="all" dataOnly="0" outline="0" fieldPosition="0"/>
    </format>
    <format dxfId="567">
      <pivotArea type="all" dataOnly="0" outline="0" fieldPosition="0"/>
    </format>
    <format dxfId="566">
      <pivotArea type="all" dataOnly="0" outline="0" fieldPosition="0"/>
    </format>
    <format dxfId="565">
      <pivotArea type="all" dataOnly="0" outline="0" fieldPosition="0"/>
    </format>
    <format dxfId="564">
      <pivotArea type="all" dataOnly="0" outline="0" fieldPosition="0"/>
    </format>
    <format dxfId="563">
      <pivotArea dataOnly="0" labelOnly="1" outline="0" fieldPosition="0">
        <references count="1">
          <reference field="4294967294" count="1">
            <x v="0"/>
          </reference>
        </references>
      </pivotArea>
    </format>
    <format dxfId="562">
      <pivotArea dataOnly="0" labelOnly="1" outline="0" fieldPosition="0">
        <references count="1">
          <reference field="4294967294" count="1">
            <x v="0"/>
          </reference>
        </references>
      </pivotArea>
    </format>
    <format dxfId="561">
      <pivotArea dataOnly="0" labelOnly="1" outline="0" fieldPosition="0">
        <references count="1">
          <reference field="4294967294" count="1">
            <x v="0"/>
          </reference>
        </references>
      </pivotArea>
    </format>
    <format dxfId="560">
      <pivotArea type="all" dataOnly="0" outline="0" fieldPosition="0"/>
    </format>
    <format dxfId="559">
      <pivotArea type="all" dataOnly="0" outline="0" fieldPosition="0"/>
    </format>
    <format dxfId="558">
      <pivotArea type="all" dataOnly="0" outline="0" fieldPosition="0"/>
    </format>
    <format dxfId="557">
      <pivotArea type="all" dataOnly="0" outline="0" fieldPosition="0"/>
    </format>
    <format dxfId="556">
      <pivotArea outline="0" collapsedLevelsAreSubtotals="1" fieldPosition="0"/>
    </format>
    <format dxfId="555">
      <pivotArea dataOnly="0" labelOnly="1" grandRow="1" outline="0" fieldPosition="0"/>
    </format>
    <format dxfId="554">
      <pivotArea dataOnly="0" labelOnly="1" outline="0" axis="axisValues" fieldPosition="0"/>
    </format>
    <format dxfId="553">
      <pivotArea grandRow="1" outline="0" collapsedLevelsAreSubtotals="1" fieldPosition="0"/>
    </format>
    <format dxfId="552">
      <pivotArea type="all" dataOnly="0" outline="0" fieldPosition="0"/>
    </format>
    <format dxfId="551">
      <pivotArea outline="0" collapsedLevelsAreSubtotals="1" fieldPosition="0"/>
    </format>
    <format dxfId="550">
      <pivotArea dataOnly="0" labelOnly="1" grandRow="1" outline="0" fieldPosition="0"/>
    </format>
    <format dxfId="549">
      <pivotArea dataOnly="0" labelOnly="1" outline="0" axis="axisValues" fieldPosition="0"/>
    </format>
    <format dxfId="548">
      <pivotArea type="all" dataOnly="0" outline="0" fieldPosition="0"/>
    </format>
    <format dxfId="547">
      <pivotArea outline="0" collapsedLevelsAreSubtotals="1" fieldPosition="0"/>
    </format>
    <format dxfId="546">
      <pivotArea dataOnly="0" labelOnly="1" grandRow="1" outline="0" fieldPosition="0"/>
    </format>
    <format dxfId="545">
      <pivotArea dataOnly="0" labelOnly="1" outline="0" axis="axisValues" fieldPosition="0"/>
    </format>
    <format dxfId="544">
      <pivotArea type="all" dataOnly="0" outline="0" fieldPosition="0"/>
    </format>
    <format dxfId="543">
      <pivotArea outline="0" collapsedLevelsAreSubtotals="1" fieldPosition="0"/>
    </format>
    <format dxfId="542">
      <pivotArea field="67" type="button" dataOnly="0" labelOnly="1" outline="0" axis="axisRow" fieldPosition="0"/>
    </format>
    <format dxfId="541">
      <pivotArea dataOnly="0" labelOnly="1" grandRow="1" outline="0" fieldPosition="0"/>
    </format>
    <format dxfId="540">
      <pivotArea dataOnly="0" labelOnly="1" outline="0" axis="axisValues" fieldPosition="0"/>
    </format>
    <format dxfId="539">
      <pivotArea type="all" dataOnly="0" outline="0" fieldPosition="0"/>
    </format>
    <format dxfId="538">
      <pivotArea outline="0" collapsedLevelsAreSubtotals="1" fieldPosition="0"/>
    </format>
    <format dxfId="537">
      <pivotArea field="67" type="button" dataOnly="0" labelOnly="1" outline="0" axis="axisRow" fieldPosition="0"/>
    </format>
    <format dxfId="536">
      <pivotArea dataOnly="0" labelOnly="1" fieldPosition="0">
        <references count="1">
          <reference field="67" count="16">
            <x v="0"/>
            <x v="1"/>
            <x v="2"/>
            <x v="3"/>
            <x v="4"/>
            <x v="6"/>
            <x v="8"/>
            <x v="9"/>
            <x v="11"/>
            <x v="12"/>
            <x v="13"/>
            <x v="14"/>
            <x v="15"/>
            <x v="16"/>
            <x v="17"/>
            <x v="18"/>
          </reference>
        </references>
      </pivotArea>
    </format>
    <format dxfId="535">
      <pivotArea dataOnly="0" labelOnly="1" grandRow="1" outline="0" fieldPosition="0"/>
    </format>
    <format dxfId="534">
      <pivotArea dataOnly="0" labelOnly="1" outline="0" axis="axisValues" fieldPosition="0"/>
    </format>
    <format dxfId="533">
      <pivotArea type="all" dataOnly="0" outline="0" fieldPosition="0"/>
    </format>
    <format dxfId="532">
      <pivotArea outline="0" collapsedLevelsAreSubtotals="1" fieldPosition="0"/>
    </format>
    <format dxfId="531">
      <pivotArea field="67" type="button" dataOnly="0" labelOnly="1" outline="0" axis="axisRow" fieldPosition="0"/>
    </format>
    <format dxfId="530">
      <pivotArea dataOnly="0" labelOnly="1" grandRow="1" outline="0" fieldPosition="0"/>
    </format>
    <format dxfId="5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7BE681-B0E7-4DEB-8A71-1BC9501C6F0B}" name="PivotTable2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13:H21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x="0"/>
        <item x="2"/>
        <item x="5"/>
        <item x="4"/>
        <item x="3"/>
        <item x="1"/>
        <item x="8"/>
        <item x="9"/>
        <item x="6"/>
        <item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610">
      <pivotArea type="all" dataOnly="0" outline="0" fieldPosition="0"/>
    </format>
    <format dxfId="609">
      <pivotArea type="all" dataOnly="0" outline="0" fieldPosition="0"/>
    </format>
    <format dxfId="608">
      <pivotArea type="all" dataOnly="0" outline="0" fieldPosition="0"/>
    </format>
    <format dxfId="607">
      <pivotArea type="all" dataOnly="0" outline="0" fieldPosition="0"/>
    </format>
    <format dxfId="606">
      <pivotArea type="all" dataOnly="0" outline="0" fieldPosition="0"/>
    </format>
    <format dxfId="605">
      <pivotArea type="all" dataOnly="0" outline="0" fieldPosition="0"/>
    </format>
    <format dxfId="604">
      <pivotArea type="all" dataOnly="0" outline="0" fieldPosition="0"/>
    </format>
    <format dxfId="603">
      <pivotArea type="all" dataOnly="0" outline="0" fieldPosition="0"/>
    </format>
    <format dxfId="602">
      <pivotArea type="all" dataOnly="0" outline="0" fieldPosition="0"/>
    </format>
    <format dxfId="601">
      <pivotArea type="all" dataOnly="0" outline="0" fieldPosition="0"/>
    </format>
    <format dxfId="600">
      <pivotArea type="all" dataOnly="0" outline="0" fieldPosition="0"/>
    </format>
    <format dxfId="599">
      <pivotArea outline="0" collapsedLevelsAreSubtotals="1" fieldPosition="0"/>
    </format>
    <format dxfId="598">
      <pivotArea dataOnly="0" labelOnly="1" outline="0" axis="axisValues" fieldPosition="0"/>
    </format>
    <format dxfId="597">
      <pivotArea type="all" dataOnly="0" outline="0" fieldPosition="0"/>
    </format>
    <format dxfId="596">
      <pivotArea outline="0" collapsedLevelsAreSubtotals="1" fieldPosition="0"/>
    </format>
    <format dxfId="595">
      <pivotArea dataOnly="0" labelOnly="1" outline="0" axis="axisValues" fieldPosition="0"/>
    </format>
    <format dxfId="594">
      <pivotArea type="all" dataOnly="0" outline="0" fieldPosition="0"/>
    </format>
    <format dxfId="593">
      <pivotArea outline="0" collapsedLevelsAreSubtotals="1" fieldPosition="0"/>
    </format>
    <format dxfId="592">
      <pivotArea dataOnly="0" labelOnly="1" outline="0" axis="axisValues" fieldPosition="0"/>
    </format>
    <format dxfId="591">
      <pivotArea type="all" dataOnly="0" outline="0" fieldPosition="0"/>
    </format>
    <format dxfId="590">
      <pivotArea outline="0" collapsedLevelsAreSubtotals="1" fieldPosition="0"/>
    </format>
    <format dxfId="589">
      <pivotArea dataOnly="0" labelOnly="1" outline="0" axis="axisValues" fieldPosition="0"/>
    </format>
    <format dxfId="588">
      <pivotArea type="all" dataOnly="0" outline="0" fieldPosition="0"/>
    </format>
    <format dxfId="587">
      <pivotArea outline="0" collapsedLevelsAreSubtotals="1" fieldPosition="0"/>
    </format>
    <format dxfId="586">
      <pivotArea dataOnly="0" labelOnly="1" outline="0" axis="axisValues" fieldPosition="0"/>
    </format>
    <format dxfId="585">
      <pivotArea type="all" dataOnly="0" outline="0" fieldPosition="0"/>
    </format>
    <format dxfId="584">
      <pivotArea outline="0" collapsedLevelsAreSubtotals="1" fieldPosition="0"/>
    </format>
    <format dxfId="583">
      <pivotArea dataOnly="0" labelOnly="1" outline="0" axis="axisValues" fieldPosition="0"/>
    </format>
    <format dxfId="582">
      <pivotArea type="all" dataOnly="0" outline="0" fieldPosition="0"/>
    </format>
    <format dxfId="581">
      <pivotArea outline="0" collapsedLevelsAreSubtotals="1" fieldPosition="0"/>
    </format>
    <format dxfId="580">
      <pivotArea dataOnly="0" labelOnly="1" outline="0" axis="axisValues" fieldPosition="0"/>
    </format>
    <format dxfId="579">
      <pivotArea type="all" dataOnly="0" outline="0" fieldPosition="0"/>
    </format>
    <format dxfId="578">
      <pivotArea outline="0" collapsedLevelsAreSubtotals="1" fieldPosition="0"/>
    </format>
    <format dxfId="577">
      <pivotArea type="all" dataOnly="0" outline="0" fieldPosition="0"/>
    </format>
    <format dxfId="576">
      <pivotArea outline="0" collapsedLevelsAreSubtotals="1" fieldPosition="0"/>
    </format>
    <format dxfId="575">
      <pivotArea outline="0" collapsedLevelsAreSubtotals="1" fieldPosition="0"/>
    </format>
    <format dxfId="574">
      <pivotArea type="all" dataOnly="0" outline="0" fieldPosition="0"/>
    </format>
    <format dxfId="573">
      <pivotArea outline="0" collapsedLevelsAreSubtotals="1" fieldPosition="0"/>
    </format>
    <format dxfId="572">
      <pivotArea dataOnly="0" labelOnly="1" outline="0" axis="axisValues" fieldPosition="0"/>
    </format>
    <format dxfId="57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4F52CB1-4090-4BA8-8D49-B493421CF05F}" name="PivotTable2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13:B21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0"/>
        <item x="2"/>
        <item x="5"/>
        <item x="4"/>
        <item x="3"/>
        <item x="1"/>
        <item x="7"/>
        <item x="6"/>
        <item x="8"/>
        <item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650">
      <pivotArea type="all" dataOnly="0" outline="0" fieldPosition="0"/>
    </format>
    <format dxfId="649">
      <pivotArea type="all" dataOnly="0" outline="0" fieldPosition="0"/>
    </format>
    <format dxfId="648">
      <pivotArea type="all" dataOnly="0" outline="0" fieldPosition="0"/>
    </format>
    <format dxfId="647">
      <pivotArea type="all" dataOnly="0" outline="0" fieldPosition="0"/>
    </format>
    <format dxfId="646">
      <pivotArea type="all" dataOnly="0" outline="0" fieldPosition="0"/>
    </format>
    <format dxfId="645">
      <pivotArea type="all" dataOnly="0" outline="0" fieldPosition="0"/>
    </format>
    <format dxfId="644">
      <pivotArea type="all" dataOnly="0" outline="0" fieldPosition="0"/>
    </format>
    <format dxfId="643">
      <pivotArea type="all" dataOnly="0" outline="0" fieldPosition="0"/>
    </format>
    <format dxfId="642">
      <pivotArea type="all" dataOnly="0" outline="0" fieldPosition="0"/>
    </format>
    <format dxfId="641">
      <pivotArea type="all" dataOnly="0" outline="0" fieldPosition="0"/>
    </format>
    <format dxfId="640">
      <pivotArea type="all" dataOnly="0" outline="0" fieldPosition="0"/>
    </format>
    <format dxfId="639">
      <pivotArea outline="0" collapsedLevelsAreSubtotals="1" fieldPosition="0"/>
    </format>
    <format dxfId="638">
      <pivotArea dataOnly="0" labelOnly="1" outline="0" axis="axisValues" fieldPosition="0"/>
    </format>
    <format dxfId="637">
      <pivotArea type="all" dataOnly="0" outline="0" fieldPosition="0"/>
    </format>
    <format dxfId="636">
      <pivotArea outline="0" collapsedLevelsAreSubtotals="1" fieldPosition="0"/>
    </format>
    <format dxfId="635">
      <pivotArea dataOnly="0" labelOnly="1" outline="0" axis="axisValues" fieldPosition="0"/>
    </format>
    <format dxfId="634">
      <pivotArea type="all" dataOnly="0" outline="0" fieldPosition="0"/>
    </format>
    <format dxfId="633">
      <pivotArea outline="0" collapsedLevelsAreSubtotals="1" fieldPosition="0"/>
    </format>
    <format dxfId="632">
      <pivotArea dataOnly="0" labelOnly="1" outline="0" axis="axisValues" fieldPosition="0"/>
    </format>
    <format dxfId="631">
      <pivotArea type="all" dataOnly="0" outline="0" fieldPosition="0"/>
    </format>
    <format dxfId="630">
      <pivotArea outline="0" collapsedLevelsAreSubtotals="1" fieldPosition="0"/>
    </format>
    <format dxfId="629">
      <pivotArea dataOnly="0" labelOnly="1" outline="0" axis="axisValues" fieldPosition="0"/>
    </format>
    <format dxfId="628">
      <pivotArea type="all" dataOnly="0" outline="0" fieldPosition="0"/>
    </format>
    <format dxfId="627">
      <pivotArea outline="0" collapsedLevelsAreSubtotals="1" fieldPosition="0"/>
    </format>
    <format dxfId="626">
      <pivotArea dataOnly="0" labelOnly="1" outline="0" axis="axisValues" fieldPosition="0"/>
    </format>
    <format dxfId="625">
      <pivotArea type="all" dataOnly="0" outline="0" fieldPosition="0"/>
    </format>
    <format dxfId="624">
      <pivotArea outline="0" collapsedLevelsAreSubtotals="1" fieldPosition="0"/>
    </format>
    <format dxfId="623">
      <pivotArea dataOnly="0" labelOnly="1" outline="0" axis="axisValues" fieldPosition="0"/>
    </format>
    <format dxfId="622">
      <pivotArea type="all" dataOnly="0" outline="0" fieldPosition="0"/>
    </format>
    <format dxfId="621">
      <pivotArea outline="0" collapsedLevelsAreSubtotals="1" fieldPosition="0"/>
    </format>
    <format dxfId="620">
      <pivotArea dataOnly="0" labelOnly="1" outline="0" axis="axisValues" fieldPosition="0"/>
    </format>
    <format dxfId="619">
      <pivotArea type="all" dataOnly="0" outline="0" fieldPosition="0"/>
    </format>
    <format dxfId="618">
      <pivotArea outline="0" collapsedLevelsAreSubtotals="1" fieldPosition="0"/>
    </format>
    <format dxfId="617">
      <pivotArea type="all" dataOnly="0" outline="0" fieldPosition="0"/>
    </format>
    <format dxfId="616">
      <pivotArea outline="0" collapsedLevelsAreSubtotals="1" fieldPosition="0"/>
    </format>
    <format dxfId="615">
      <pivotArea outline="0" collapsedLevelsAreSubtotals="1" fieldPosition="0"/>
    </format>
    <format dxfId="614">
      <pivotArea type="all" dataOnly="0" outline="0" fieldPosition="0"/>
    </format>
    <format dxfId="613">
      <pivotArea outline="0" collapsedLevelsAreSubtotals="1" fieldPosition="0"/>
    </format>
    <format dxfId="612">
      <pivotArea dataOnly="0" labelOnly="1" outline="0" axis="axisValues" fieldPosition="0"/>
    </format>
    <format dxfId="61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E4233105-CEDD-4849-B4B6-B9541A309122}" name="PivotTable4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41:B142"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690">
      <pivotArea type="all" dataOnly="0" outline="0" fieldPosition="0"/>
    </format>
    <format dxfId="689">
      <pivotArea type="all" dataOnly="0" outline="0" fieldPosition="0"/>
    </format>
    <format dxfId="688">
      <pivotArea type="all" dataOnly="0" outline="0" fieldPosition="0"/>
    </format>
    <format dxfId="687">
      <pivotArea type="all" dataOnly="0" outline="0" fieldPosition="0"/>
    </format>
    <format dxfId="686">
      <pivotArea type="all" dataOnly="0" outline="0" fieldPosition="0"/>
    </format>
    <format dxfId="685">
      <pivotArea type="all" dataOnly="0" outline="0" fieldPosition="0"/>
    </format>
    <format dxfId="684">
      <pivotArea type="all" dataOnly="0" outline="0" fieldPosition="0"/>
    </format>
    <format dxfId="683">
      <pivotArea type="all" dataOnly="0" outline="0" fieldPosition="0"/>
    </format>
    <format dxfId="682">
      <pivotArea type="all" dataOnly="0" outline="0" fieldPosition="0"/>
    </format>
    <format dxfId="681">
      <pivotArea type="all" dataOnly="0" outline="0" fieldPosition="0"/>
    </format>
    <format dxfId="680">
      <pivotArea type="all" dataOnly="0" outline="0" fieldPosition="0"/>
    </format>
    <format dxfId="679">
      <pivotArea outline="0" collapsedLevelsAreSubtotals="1" fieldPosition="0"/>
    </format>
    <format dxfId="678">
      <pivotArea dataOnly="0" labelOnly="1" outline="0" axis="axisValues" fieldPosition="0"/>
    </format>
    <format dxfId="677">
      <pivotArea type="all" dataOnly="0" outline="0" fieldPosition="0"/>
    </format>
    <format dxfId="676">
      <pivotArea outline="0" collapsedLevelsAreSubtotals="1" fieldPosition="0"/>
    </format>
    <format dxfId="675">
      <pivotArea dataOnly="0" labelOnly="1" outline="0" axis="axisValues" fieldPosition="0"/>
    </format>
    <format dxfId="674">
      <pivotArea type="all" dataOnly="0" outline="0" fieldPosition="0"/>
    </format>
    <format dxfId="673">
      <pivotArea outline="0" collapsedLevelsAreSubtotals="1" fieldPosition="0"/>
    </format>
    <format dxfId="672">
      <pivotArea dataOnly="0" labelOnly="1" outline="0" axis="axisValues" fieldPosition="0"/>
    </format>
    <format dxfId="671">
      <pivotArea type="all" dataOnly="0" outline="0" fieldPosition="0"/>
    </format>
    <format dxfId="670">
      <pivotArea outline="0" collapsedLevelsAreSubtotals="1" fieldPosition="0"/>
    </format>
    <format dxfId="669">
      <pivotArea dataOnly="0" labelOnly="1" outline="0" axis="axisValues" fieldPosition="0"/>
    </format>
    <format dxfId="668">
      <pivotArea type="all" dataOnly="0" outline="0" fieldPosition="0"/>
    </format>
    <format dxfId="667">
      <pivotArea outline="0" collapsedLevelsAreSubtotals="1" fieldPosition="0"/>
    </format>
    <format dxfId="666">
      <pivotArea dataOnly="0" labelOnly="1" outline="0" axis="axisValues" fieldPosition="0"/>
    </format>
    <format dxfId="665">
      <pivotArea type="all" dataOnly="0" outline="0" fieldPosition="0"/>
    </format>
    <format dxfId="664">
      <pivotArea outline="0" collapsedLevelsAreSubtotals="1" fieldPosition="0"/>
    </format>
    <format dxfId="663">
      <pivotArea dataOnly="0" labelOnly="1" outline="0" axis="axisValues" fieldPosition="0"/>
    </format>
    <format dxfId="662">
      <pivotArea type="all" dataOnly="0" outline="0" fieldPosition="0"/>
    </format>
    <format dxfId="661">
      <pivotArea outline="0" collapsedLevelsAreSubtotals="1" fieldPosition="0"/>
    </format>
    <format dxfId="660">
      <pivotArea dataOnly="0" labelOnly="1" outline="0" axis="axisValues" fieldPosition="0"/>
    </format>
    <format dxfId="659">
      <pivotArea type="all" dataOnly="0" outline="0" fieldPosition="0"/>
    </format>
    <format dxfId="658">
      <pivotArea outline="0" collapsedLevelsAreSubtotals="1" fieldPosition="0"/>
    </format>
    <format dxfId="657">
      <pivotArea type="all" dataOnly="0" outline="0" fieldPosition="0"/>
    </format>
    <format dxfId="656">
      <pivotArea outline="0" collapsedLevelsAreSubtotals="1" fieldPosition="0"/>
    </format>
    <format dxfId="655">
      <pivotArea outline="0" collapsedLevelsAreSubtotals="1" fieldPosition="0"/>
    </format>
    <format dxfId="654">
      <pivotArea type="all" dataOnly="0" outline="0" fieldPosition="0"/>
    </format>
    <format dxfId="653">
      <pivotArea outline="0" collapsedLevelsAreSubtotals="1" fieldPosition="0"/>
    </format>
    <format dxfId="652">
      <pivotArea dataOnly="0" labelOnly="1" outline="0" axis="axisValues" fieldPosition="0"/>
    </format>
    <format dxfId="6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66ED5E06-AD25-4F8D-B811-5A3902BDDC2D}" name="PivotTable3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47:F250"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s>
  <rowFields count="1">
    <field x="74"/>
  </rowFields>
  <rowItems count="3">
    <i>
      <x/>
    </i>
    <i>
      <x v="1"/>
    </i>
    <i t="grand">
      <x/>
    </i>
  </rowItems>
  <colItems count="1">
    <i/>
  </colItems>
  <pageFields count="1">
    <pageField fld="8" hier="-1"/>
  </pageFields>
  <dataFields count="1">
    <dataField name="Sum of Net Dwellings" fld="40" baseField="0" baseItem="0"/>
  </dataFields>
  <formats count="39">
    <format dxfId="729">
      <pivotArea type="all" dataOnly="0" outline="0" fieldPosition="0"/>
    </format>
    <format dxfId="728">
      <pivotArea type="all" dataOnly="0" outline="0" fieldPosition="0"/>
    </format>
    <format dxfId="727">
      <pivotArea type="all" dataOnly="0" outline="0" fieldPosition="0"/>
    </format>
    <format dxfId="726">
      <pivotArea type="all" dataOnly="0" outline="0" fieldPosition="0"/>
    </format>
    <format dxfId="725">
      <pivotArea type="all" dataOnly="0" outline="0" fieldPosition="0"/>
    </format>
    <format dxfId="724">
      <pivotArea type="all" dataOnly="0" outline="0" fieldPosition="0"/>
    </format>
    <format dxfId="723">
      <pivotArea type="all" dataOnly="0" outline="0" fieldPosition="0"/>
    </format>
    <format dxfId="722">
      <pivotArea type="all" dataOnly="0" outline="0" fieldPosition="0"/>
    </format>
    <format dxfId="721">
      <pivotArea type="all" dataOnly="0" outline="0" fieldPosition="0"/>
    </format>
    <format dxfId="720">
      <pivotArea type="all" dataOnly="0" outline="0" fieldPosition="0"/>
    </format>
    <format dxfId="719">
      <pivotArea type="all" dataOnly="0" outline="0" fieldPosition="0"/>
    </format>
    <format dxfId="718">
      <pivotArea outline="0" collapsedLevelsAreSubtotals="1" fieldPosition="0"/>
    </format>
    <format dxfId="717">
      <pivotArea dataOnly="0" labelOnly="1" grandRow="1" outline="0" fieldPosition="0"/>
    </format>
    <format dxfId="716">
      <pivotArea dataOnly="0" labelOnly="1" outline="0" axis="axisValues" fieldPosition="0"/>
    </format>
    <format dxfId="715">
      <pivotArea type="all" dataOnly="0" outline="0" fieldPosition="0"/>
    </format>
    <format dxfId="714">
      <pivotArea outline="0" collapsedLevelsAreSubtotals="1" fieldPosition="0"/>
    </format>
    <format dxfId="713">
      <pivotArea dataOnly="0" labelOnly="1" grandRow="1" outline="0" fieldPosition="0"/>
    </format>
    <format dxfId="712">
      <pivotArea dataOnly="0" labelOnly="1" outline="0" axis="axisValues" fieldPosition="0"/>
    </format>
    <format dxfId="711">
      <pivotArea type="all" dataOnly="0" outline="0" fieldPosition="0"/>
    </format>
    <format dxfId="710">
      <pivotArea outline="0" collapsedLevelsAreSubtotals="1" fieldPosition="0"/>
    </format>
    <format dxfId="709">
      <pivotArea dataOnly="0" labelOnly="1" grandRow="1" outline="0" fieldPosition="0"/>
    </format>
    <format dxfId="708">
      <pivotArea dataOnly="0" labelOnly="1" outline="0" axis="axisValues" fieldPosition="0"/>
    </format>
    <format dxfId="707">
      <pivotArea type="all" dataOnly="0" outline="0" fieldPosition="0"/>
    </format>
    <format dxfId="706">
      <pivotArea outline="0" collapsedLevelsAreSubtotals="1" fieldPosition="0"/>
    </format>
    <format dxfId="705">
      <pivotArea dataOnly="0" labelOnly="1" grandRow="1" outline="0" fieldPosition="0"/>
    </format>
    <format dxfId="704">
      <pivotArea dataOnly="0" labelOnly="1" outline="0" axis="axisValues" fieldPosition="0"/>
    </format>
    <format dxfId="703">
      <pivotArea type="all" dataOnly="0" outline="0" fieldPosition="0"/>
    </format>
    <format dxfId="702">
      <pivotArea outline="0" collapsedLevelsAreSubtotals="1" fieldPosition="0"/>
    </format>
    <format dxfId="701">
      <pivotArea type="all" dataOnly="0" outline="0" fieldPosition="0"/>
    </format>
    <format dxfId="700">
      <pivotArea outline="0" collapsedLevelsAreSubtotals="1" fieldPosition="0"/>
    </format>
    <format dxfId="699">
      <pivotArea outline="0" collapsedLevelsAreSubtotals="1" fieldPosition="0"/>
    </format>
    <format dxfId="698">
      <pivotArea type="all" dataOnly="0" outline="0" fieldPosition="0"/>
    </format>
    <format dxfId="697">
      <pivotArea outline="0" collapsedLevelsAreSubtotals="1" fieldPosition="0"/>
    </format>
    <format dxfId="696">
      <pivotArea field="74" type="button" dataOnly="0" labelOnly="1" outline="0" axis="axisRow" fieldPosition="0"/>
    </format>
    <format dxfId="695">
      <pivotArea dataOnly="0" labelOnly="1" fieldPosition="0">
        <references count="1">
          <reference field="74" count="0"/>
        </references>
      </pivotArea>
    </format>
    <format dxfId="694">
      <pivotArea dataOnly="0" labelOnly="1" grandRow="1" outline="0" fieldPosition="0"/>
    </format>
    <format dxfId="693">
      <pivotArea dataOnly="0" labelOnly="1" outline="0" axis="axisValues" fieldPosition="0"/>
    </format>
    <format dxfId="692">
      <pivotArea type="all" dataOnly="0" outline="0" fieldPosition="0"/>
    </format>
    <format dxfId="69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48911908-6698-45A4-B51B-394D26CC8395}" name="PivotTable2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22:B223" firstHeaderRow="1" firstDataRow="1" firstDataCol="0" rowPageCount="3"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0"/>
        <item x="2"/>
        <item x="5"/>
        <item x="4"/>
        <item x="3"/>
        <item x="1"/>
        <item x="7"/>
        <item x="6"/>
        <item x="8"/>
        <item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769">
      <pivotArea type="all" dataOnly="0" outline="0" fieldPosition="0"/>
    </format>
    <format dxfId="768">
      <pivotArea type="all" dataOnly="0" outline="0" fieldPosition="0"/>
    </format>
    <format dxfId="767">
      <pivotArea type="all" dataOnly="0" outline="0" fieldPosition="0"/>
    </format>
    <format dxfId="766">
      <pivotArea type="all" dataOnly="0" outline="0" fieldPosition="0"/>
    </format>
    <format dxfId="765">
      <pivotArea type="all" dataOnly="0" outline="0" fieldPosition="0"/>
    </format>
    <format dxfId="764">
      <pivotArea type="all" dataOnly="0" outline="0" fieldPosition="0"/>
    </format>
    <format dxfId="763">
      <pivotArea type="all" dataOnly="0" outline="0" fieldPosition="0"/>
    </format>
    <format dxfId="762">
      <pivotArea type="all" dataOnly="0" outline="0" fieldPosition="0"/>
    </format>
    <format dxfId="761">
      <pivotArea type="all" dataOnly="0" outline="0" fieldPosition="0"/>
    </format>
    <format dxfId="760">
      <pivotArea type="all" dataOnly="0" outline="0" fieldPosition="0"/>
    </format>
    <format dxfId="759">
      <pivotArea type="all" dataOnly="0" outline="0" fieldPosition="0"/>
    </format>
    <format dxfId="758">
      <pivotArea outline="0" collapsedLevelsAreSubtotals="1" fieldPosition="0"/>
    </format>
    <format dxfId="757">
      <pivotArea dataOnly="0" labelOnly="1" outline="0" axis="axisValues" fieldPosition="0"/>
    </format>
    <format dxfId="756">
      <pivotArea type="all" dataOnly="0" outline="0" fieldPosition="0"/>
    </format>
    <format dxfId="755">
      <pivotArea outline="0" collapsedLevelsAreSubtotals="1" fieldPosition="0"/>
    </format>
    <format dxfId="754">
      <pivotArea dataOnly="0" labelOnly="1" outline="0" axis="axisValues" fieldPosition="0"/>
    </format>
    <format dxfId="753">
      <pivotArea type="all" dataOnly="0" outline="0" fieldPosition="0"/>
    </format>
    <format dxfId="752">
      <pivotArea outline="0" collapsedLevelsAreSubtotals="1" fieldPosition="0"/>
    </format>
    <format dxfId="751">
      <pivotArea dataOnly="0" labelOnly="1" outline="0" axis="axisValues" fieldPosition="0"/>
    </format>
    <format dxfId="750">
      <pivotArea type="all" dataOnly="0" outline="0" fieldPosition="0"/>
    </format>
    <format dxfId="749">
      <pivotArea outline="0" collapsedLevelsAreSubtotals="1" fieldPosition="0"/>
    </format>
    <format dxfId="748">
      <pivotArea dataOnly="0" labelOnly="1" outline="0" axis="axisValues" fieldPosition="0"/>
    </format>
    <format dxfId="747">
      <pivotArea type="all" dataOnly="0" outline="0" fieldPosition="0"/>
    </format>
    <format dxfId="746">
      <pivotArea outline="0" collapsedLevelsAreSubtotals="1" fieldPosition="0"/>
    </format>
    <format dxfId="745">
      <pivotArea dataOnly="0" labelOnly="1" outline="0" axis="axisValues" fieldPosition="0"/>
    </format>
    <format dxfId="744">
      <pivotArea type="all" dataOnly="0" outline="0" fieldPosition="0"/>
    </format>
    <format dxfId="743">
      <pivotArea outline="0" collapsedLevelsAreSubtotals="1" fieldPosition="0"/>
    </format>
    <format dxfId="742">
      <pivotArea dataOnly="0" labelOnly="1" outline="0" axis="axisValues" fieldPosition="0"/>
    </format>
    <format dxfId="741">
      <pivotArea type="all" dataOnly="0" outline="0" fieldPosition="0"/>
    </format>
    <format dxfId="740">
      <pivotArea outline="0" collapsedLevelsAreSubtotals="1" fieldPosition="0"/>
    </format>
    <format dxfId="739">
      <pivotArea dataOnly="0" labelOnly="1" outline="0" axis="axisValues" fieldPosition="0"/>
    </format>
    <format dxfId="738">
      <pivotArea type="all" dataOnly="0" outline="0" fieldPosition="0"/>
    </format>
    <format dxfId="737">
      <pivotArea outline="0" collapsedLevelsAreSubtotals="1" fieldPosition="0"/>
    </format>
    <format dxfId="736">
      <pivotArea type="all" dataOnly="0" outline="0" fieldPosition="0"/>
    </format>
    <format dxfId="735">
      <pivotArea outline="0" collapsedLevelsAreSubtotals="1" fieldPosition="0"/>
    </format>
    <format dxfId="734">
      <pivotArea outline="0" collapsedLevelsAreSubtotals="1" fieldPosition="0"/>
    </format>
    <format dxfId="733">
      <pivotArea type="all" dataOnly="0" outline="0" fieldPosition="0"/>
    </format>
    <format dxfId="732">
      <pivotArea outline="0" collapsedLevelsAreSubtotals="1" fieldPosition="0"/>
    </format>
    <format dxfId="731">
      <pivotArea dataOnly="0" labelOnly="1" outline="0" axis="axisValues" fieldPosition="0"/>
    </format>
    <format dxfId="73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5433D86-1EC4-4E50-946C-81503345DF53}" name="PivotTable7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82:E18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type="all" dataOnly="0" outline="0" fieldPosition="0"/>
    </format>
    <format dxfId="73">
      <pivotArea type="all" dataOnly="0" outline="0" fieldPosition="0"/>
    </format>
    <format dxfId="72">
      <pivotArea type="all" dataOnly="0" outline="0"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type="all" dataOnly="0" outline="0" fieldPosition="0"/>
    </format>
    <format dxfId="67">
      <pivotArea outline="0" collapsedLevelsAreSubtotals="1" fieldPosition="0"/>
    </format>
    <format dxfId="66">
      <pivotArea dataOnly="0" labelOnly="1" outline="0" axis="axisValues" fieldPosition="0"/>
    </format>
    <format dxfId="65">
      <pivotArea type="all" dataOnly="0" outline="0" fieldPosition="0"/>
    </format>
    <format dxfId="64">
      <pivotArea outline="0" collapsedLevelsAreSubtotals="1"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dataOnly="0" labelOnly="1" outline="0" axis="axisValues" fieldPosition="0"/>
    </format>
    <format dxfId="59">
      <pivotArea type="all" dataOnly="0" outline="0" fieldPosition="0"/>
    </format>
    <format dxfId="58">
      <pivotArea outline="0" collapsedLevelsAreSubtotals="1" fieldPosition="0"/>
    </format>
    <format dxfId="57">
      <pivotArea dataOnly="0" labelOnly="1" outline="0" axis="axisValues" fieldPosition="0"/>
    </format>
    <format dxfId="56">
      <pivotArea type="all" dataOnly="0" outline="0" fieldPosition="0"/>
    </format>
    <format dxfId="55">
      <pivotArea outline="0" collapsedLevelsAreSubtotals="1"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type="all" dataOnly="0" outline="0" fieldPosition="0"/>
    </format>
    <format dxfId="47">
      <pivotArea outline="0" collapsedLevelsAreSubtotals="1" fieldPosition="0"/>
    </format>
    <format dxfId="46">
      <pivotArea outline="0" collapsedLevelsAreSubtotals="1"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C7F4D800-365B-4D5B-BD74-E7D16F250F25}" name="PivotTable8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407:I420" firstHeaderRow="1" firstDataRow="1" firstDataCol="1" rowPageCount="3" colPageCount="1"/>
  <pivotFields count="77">
    <pivotField showAll="0" defaultSubtotal="0"/>
    <pivotField showAll="0"/>
    <pivotField axis="axisPage" multipleItemSelectionAllowed="1" showAll="0" defaultSubtotal="0">
      <items count="5">
        <item x="1"/>
        <item x="2"/>
        <item x="4"/>
        <item x="0"/>
        <item x="3"/>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0">
        <item x="7"/>
        <item x="13"/>
        <item x="15"/>
        <item x="1"/>
        <item x="16"/>
        <item x="3"/>
        <item x="4"/>
        <item x="6"/>
        <item x="5"/>
        <item x="0"/>
        <item x="9"/>
        <item x="11"/>
        <item x="12"/>
        <item x="14"/>
        <item x="10"/>
        <item x="2"/>
        <item x="8"/>
        <item x="17"/>
        <item x="18"/>
        <item t="default"/>
      </items>
    </pivotField>
    <pivotField showAll="0"/>
    <pivotField showAll="0"/>
    <pivotField showAll="0"/>
    <pivotField showAll="0"/>
    <pivotField showAll="0"/>
    <pivotField showAll="0"/>
    <pivotField showAll="0"/>
    <pivotField showAll="0"/>
    <pivotField showAll="0"/>
  </pivotFields>
  <rowFields count="1">
    <field x="67"/>
  </rowFields>
  <rowItems count="13">
    <i>
      <x v="1"/>
    </i>
    <i>
      <x v="2"/>
    </i>
    <i>
      <x v="3"/>
    </i>
    <i>
      <x v="5"/>
    </i>
    <i>
      <x v="6"/>
    </i>
    <i>
      <x v="7"/>
    </i>
    <i>
      <x v="8"/>
    </i>
    <i>
      <x v="9"/>
    </i>
    <i>
      <x v="10"/>
    </i>
    <i>
      <x v="13"/>
    </i>
    <i>
      <x v="14"/>
    </i>
    <i>
      <x v="17"/>
    </i>
    <i t="grand">
      <x/>
    </i>
  </rowItems>
  <colItems count="1">
    <i/>
  </colItems>
  <pageFields count="3">
    <pageField fld="8" hier="-1"/>
    <pageField fld="3" hier="-1"/>
    <pageField fld="2" hier="-1"/>
  </pageFields>
  <dataFields count="1">
    <dataField name="Sum of Net Dwellings" fld="40" baseField="0" baseItem="0"/>
  </dataFields>
  <formats count="41">
    <format dxfId="810">
      <pivotArea type="all" dataOnly="0" outline="0" fieldPosition="0"/>
    </format>
    <format dxfId="809">
      <pivotArea type="all" dataOnly="0" outline="0" fieldPosition="0"/>
    </format>
    <format dxfId="808">
      <pivotArea type="all" dataOnly="0" outline="0" fieldPosition="0"/>
    </format>
    <format dxfId="807">
      <pivotArea type="all" dataOnly="0" outline="0" fieldPosition="0"/>
    </format>
    <format dxfId="806">
      <pivotArea type="all" dataOnly="0" outline="0" fieldPosition="0"/>
    </format>
    <format dxfId="805">
      <pivotArea type="all" dataOnly="0" outline="0" fieldPosition="0"/>
    </format>
    <format dxfId="804">
      <pivotArea type="all" dataOnly="0" outline="0" fieldPosition="0"/>
    </format>
    <format dxfId="803">
      <pivotArea dataOnly="0" labelOnly="1" outline="0" fieldPosition="0">
        <references count="1">
          <reference field="4294967294" count="1">
            <x v="0"/>
          </reference>
        </references>
      </pivotArea>
    </format>
    <format dxfId="802">
      <pivotArea dataOnly="0" labelOnly="1" outline="0" fieldPosition="0">
        <references count="1">
          <reference field="4294967294" count="1">
            <x v="0"/>
          </reference>
        </references>
      </pivotArea>
    </format>
    <format dxfId="801">
      <pivotArea dataOnly="0" labelOnly="1" outline="0" fieldPosition="0">
        <references count="1">
          <reference field="4294967294" count="1">
            <x v="0"/>
          </reference>
        </references>
      </pivotArea>
    </format>
    <format dxfId="800">
      <pivotArea type="all" dataOnly="0" outline="0" fieldPosition="0"/>
    </format>
    <format dxfId="799">
      <pivotArea type="all" dataOnly="0" outline="0" fieldPosition="0"/>
    </format>
    <format dxfId="798">
      <pivotArea type="all" dataOnly="0" outline="0" fieldPosition="0"/>
    </format>
    <format dxfId="797">
      <pivotArea type="all" dataOnly="0" outline="0" fieldPosition="0"/>
    </format>
    <format dxfId="796">
      <pivotArea outline="0" collapsedLevelsAreSubtotals="1" fieldPosition="0"/>
    </format>
    <format dxfId="795">
      <pivotArea dataOnly="0" labelOnly="1" grandRow="1" outline="0" fieldPosition="0"/>
    </format>
    <format dxfId="794">
      <pivotArea dataOnly="0" labelOnly="1" outline="0" axis="axisValues" fieldPosition="0"/>
    </format>
    <format dxfId="793">
      <pivotArea type="all" dataOnly="0" outline="0" fieldPosition="0"/>
    </format>
    <format dxfId="792">
      <pivotArea outline="0" collapsedLevelsAreSubtotals="1" fieldPosition="0"/>
    </format>
    <format dxfId="791">
      <pivotArea dataOnly="0" labelOnly="1" grandRow="1" outline="0" fieldPosition="0"/>
    </format>
    <format dxfId="790">
      <pivotArea dataOnly="0" labelOnly="1" outline="0" axis="axisValues" fieldPosition="0"/>
    </format>
    <format dxfId="789">
      <pivotArea type="all" dataOnly="0" outline="0" fieldPosition="0"/>
    </format>
    <format dxfId="788">
      <pivotArea outline="0" collapsedLevelsAreSubtotals="1" fieldPosition="0"/>
    </format>
    <format dxfId="787">
      <pivotArea dataOnly="0" labelOnly="1" grandRow="1" outline="0" fieldPosition="0"/>
    </format>
    <format dxfId="786">
      <pivotArea dataOnly="0" labelOnly="1" outline="0" axis="axisValues" fieldPosition="0"/>
    </format>
    <format dxfId="785">
      <pivotArea type="all" dataOnly="0" outline="0" fieldPosition="0"/>
    </format>
    <format dxfId="784">
      <pivotArea outline="0" collapsedLevelsAreSubtotals="1" fieldPosition="0"/>
    </format>
    <format dxfId="783">
      <pivotArea field="67" type="button" dataOnly="0" labelOnly="1" outline="0" axis="axisRow" fieldPosition="0"/>
    </format>
    <format dxfId="782">
      <pivotArea dataOnly="0" labelOnly="1" grandRow="1" outline="0" fieldPosition="0"/>
    </format>
    <format dxfId="781">
      <pivotArea dataOnly="0" labelOnly="1" outline="0" axis="axisValues" fieldPosition="0"/>
    </format>
    <format dxfId="780">
      <pivotArea type="all" dataOnly="0" outline="0" fieldPosition="0"/>
    </format>
    <format dxfId="779">
      <pivotArea outline="0" collapsedLevelsAreSubtotals="1" fieldPosition="0"/>
    </format>
    <format dxfId="778">
      <pivotArea field="67" type="button" dataOnly="0" labelOnly="1" outline="0" axis="axisRow" fieldPosition="0"/>
    </format>
    <format dxfId="777">
      <pivotArea dataOnly="0" labelOnly="1" fieldPosition="0">
        <references count="1">
          <reference field="67" count="12">
            <x v="1"/>
            <x v="2"/>
            <x v="3"/>
            <x v="5"/>
            <x v="6"/>
            <x v="7"/>
            <x v="8"/>
            <x v="9"/>
            <x v="10"/>
            <x v="13"/>
            <x v="14"/>
            <x v="17"/>
          </reference>
        </references>
      </pivotArea>
    </format>
    <format dxfId="776">
      <pivotArea dataOnly="0" labelOnly="1" grandRow="1" outline="0" fieldPosition="0"/>
    </format>
    <format dxfId="775">
      <pivotArea dataOnly="0" labelOnly="1" outline="0" axis="axisValues" fieldPosition="0"/>
    </format>
    <format dxfId="774">
      <pivotArea type="all" dataOnly="0" outline="0" fieldPosition="0"/>
    </format>
    <format dxfId="773">
      <pivotArea outline="0" collapsedLevelsAreSubtotals="1" fieldPosition="0"/>
    </format>
    <format dxfId="772">
      <pivotArea field="67" type="button" dataOnly="0" labelOnly="1" outline="0" axis="axisRow" fieldPosition="0"/>
    </format>
    <format dxfId="771">
      <pivotArea dataOnly="0" labelOnly="1" grandRow="1" outline="0" fieldPosition="0"/>
    </format>
    <format dxfId="7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4A2048AB-3F92-4787-9C12-3E3A9916F9C8}" name="PivotTable30" cacheId="1"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46:C252"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4"/>
        <item x="0"/>
        <item x="2"/>
        <item x="5"/>
        <item x="1"/>
        <item t="default"/>
      </items>
    </pivotField>
    <pivotField showAll="0"/>
    <pivotField showAll="0"/>
    <pivotField showAll="0"/>
    <pivotField showAll="0"/>
    <pivotField showAll="0"/>
    <pivotField showAll="0"/>
    <pivotField showAll="0"/>
    <pivotField showAll="0"/>
  </pivotFields>
  <rowFields count="1">
    <field x="68"/>
  </rowFields>
  <rowItems count="6">
    <i>
      <x/>
    </i>
    <i>
      <x v="1"/>
    </i>
    <i>
      <x v="2"/>
    </i>
    <i>
      <x v="3"/>
    </i>
    <i>
      <x v="5"/>
    </i>
    <i t="grand">
      <x/>
    </i>
  </rowItems>
  <colItems count="1">
    <i/>
  </colItems>
  <pageFields count="1">
    <pageField fld="8" hier="-1"/>
  </pageFields>
  <dataFields count="1">
    <dataField name="Sum of Net Dwellings" fld="40" baseField="0" baseItem="0"/>
  </dataFields>
  <formats count="42">
    <format dxfId="852">
      <pivotArea type="all" dataOnly="0" outline="0" fieldPosition="0"/>
    </format>
    <format dxfId="851">
      <pivotArea type="all" dataOnly="0" outline="0" fieldPosition="0"/>
    </format>
    <format dxfId="850">
      <pivotArea type="all" dataOnly="0" outline="0" fieldPosition="0"/>
    </format>
    <format dxfId="849">
      <pivotArea type="all" dataOnly="0" outline="0" fieldPosition="0"/>
    </format>
    <format dxfId="848">
      <pivotArea type="all" dataOnly="0" outline="0" fieldPosition="0"/>
    </format>
    <format dxfId="847">
      <pivotArea type="all" dataOnly="0" outline="0" fieldPosition="0"/>
    </format>
    <format dxfId="846">
      <pivotArea type="all" dataOnly="0" outline="0" fieldPosition="0"/>
    </format>
    <format dxfId="845">
      <pivotArea type="all" dataOnly="0" outline="0" fieldPosition="0"/>
    </format>
    <format dxfId="844">
      <pivotArea type="all" dataOnly="0" outline="0" fieldPosition="0"/>
    </format>
    <format dxfId="843">
      <pivotArea type="all" dataOnly="0" outline="0" fieldPosition="0"/>
    </format>
    <format dxfId="842">
      <pivotArea type="all" dataOnly="0" outline="0" fieldPosition="0"/>
    </format>
    <format dxfId="841">
      <pivotArea outline="0" collapsedLevelsAreSubtotals="1" fieldPosition="0"/>
    </format>
    <format dxfId="840">
      <pivotArea dataOnly="0" labelOnly="1" grandRow="1" outline="0" fieldPosition="0"/>
    </format>
    <format dxfId="839">
      <pivotArea dataOnly="0" labelOnly="1" outline="0" axis="axisValues" fieldPosition="0"/>
    </format>
    <format dxfId="838">
      <pivotArea type="all" dataOnly="0" outline="0" fieldPosition="0"/>
    </format>
    <format dxfId="837">
      <pivotArea outline="0" collapsedLevelsAreSubtotals="1" fieldPosition="0"/>
    </format>
    <format dxfId="836">
      <pivotArea dataOnly="0" labelOnly="1" grandRow="1" outline="0" fieldPosition="0"/>
    </format>
    <format dxfId="835">
      <pivotArea dataOnly="0" labelOnly="1" outline="0" axis="axisValues" fieldPosition="0"/>
    </format>
    <format dxfId="834">
      <pivotArea type="all" dataOnly="0" outline="0" fieldPosition="0"/>
    </format>
    <format dxfId="833">
      <pivotArea outline="0" collapsedLevelsAreSubtotals="1" fieldPosition="0"/>
    </format>
    <format dxfId="832">
      <pivotArea dataOnly="0" labelOnly="1" grandRow="1" outline="0" fieldPosition="0"/>
    </format>
    <format dxfId="831">
      <pivotArea dataOnly="0" labelOnly="1" outline="0" axis="axisValues" fieldPosition="0"/>
    </format>
    <format dxfId="830">
      <pivotArea type="all" dataOnly="0" outline="0" fieldPosition="0"/>
    </format>
    <format dxfId="829">
      <pivotArea outline="0" collapsedLevelsAreSubtotals="1" fieldPosition="0"/>
    </format>
    <format dxfId="828">
      <pivotArea dataOnly="0" labelOnly="1" grandRow="1" outline="0" fieldPosition="0"/>
    </format>
    <format dxfId="827">
      <pivotArea dataOnly="0" labelOnly="1" outline="0" axis="axisValues" fieldPosition="0"/>
    </format>
    <format dxfId="826">
      <pivotArea type="all" dataOnly="0" outline="0" fieldPosition="0"/>
    </format>
    <format dxfId="825">
      <pivotArea outline="0" collapsedLevelsAreSubtotals="1" fieldPosition="0"/>
    </format>
    <format dxfId="824">
      <pivotArea type="all" dataOnly="0" outline="0" fieldPosition="0"/>
    </format>
    <format dxfId="823">
      <pivotArea outline="0" collapsedLevelsAreSubtotals="1" fieldPosition="0"/>
    </format>
    <format dxfId="822">
      <pivotArea outline="0" collapsedLevelsAreSubtotals="1" fieldPosition="0"/>
    </format>
    <format dxfId="821">
      <pivotArea collapsedLevelsAreSubtotals="1" fieldPosition="0">
        <references count="1">
          <reference field="68" count="5">
            <x v="0"/>
            <x v="1"/>
            <x v="2"/>
            <x v="3"/>
            <x v="5"/>
          </reference>
        </references>
      </pivotArea>
    </format>
    <format dxfId="820">
      <pivotArea grandRow="1" outline="0" collapsedLevelsAreSubtotals="1" fieldPosition="0"/>
    </format>
    <format dxfId="819">
      <pivotArea grandRow="1" outline="0" collapsedLevelsAreSubtotals="1" fieldPosition="0"/>
    </format>
    <format dxfId="818">
      <pivotArea type="all" dataOnly="0" outline="0" fieldPosition="0"/>
    </format>
    <format dxfId="817">
      <pivotArea outline="0" collapsedLevelsAreSubtotals="1" fieldPosition="0"/>
    </format>
    <format dxfId="816">
      <pivotArea field="68" type="button" dataOnly="0" labelOnly="1" outline="0" axis="axisRow" fieldPosition="0"/>
    </format>
    <format dxfId="815">
      <pivotArea dataOnly="0" labelOnly="1" fieldPosition="0">
        <references count="1">
          <reference field="68" count="5">
            <x v="0"/>
            <x v="1"/>
            <x v="2"/>
            <x v="3"/>
            <x v="5"/>
          </reference>
        </references>
      </pivotArea>
    </format>
    <format dxfId="814">
      <pivotArea dataOnly="0" labelOnly="1" grandRow="1" outline="0" fieldPosition="0"/>
    </format>
    <format dxfId="813">
      <pivotArea dataOnly="0" labelOnly="1" outline="0" axis="axisValues" fieldPosition="0"/>
    </format>
    <format dxfId="812">
      <pivotArea type="all" dataOnly="0" outline="0" fieldPosition="0"/>
    </format>
    <format dxfId="8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78C5B82-D53C-4F47-9B1C-C4E2E7A54183}" name="PivotTable6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55:B156"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892">
      <pivotArea type="all" dataOnly="0" outline="0" fieldPosition="0"/>
    </format>
    <format dxfId="891">
      <pivotArea type="all" dataOnly="0" outline="0" fieldPosition="0"/>
    </format>
    <format dxfId="890">
      <pivotArea type="all" dataOnly="0" outline="0" fieldPosition="0"/>
    </format>
    <format dxfId="889">
      <pivotArea type="all" dataOnly="0" outline="0" fieldPosition="0"/>
    </format>
    <format dxfId="888">
      <pivotArea type="all" dataOnly="0" outline="0" fieldPosition="0"/>
    </format>
    <format dxfId="887">
      <pivotArea type="all" dataOnly="0" outline="0" fieldPosition="0"/>
    </format>
    <format dxfId="886">
      <pivotArea type="all" dataOnly="0" outline="0" fieldPosition="0"/>
    </format>
    <format dxfId="885">
      <pivotArea type="all" dataOnly="0" outline="0" fieldPosition="0"/>
    </format>
    <format dxfId="884">
      <pivotArea type="all" dataOnly="0" outline="0" fieldPosition="0"/>
    </format>
    <format dxfId="883">
      <pivotArea type="all" dataOnly="0" outline="0" fieldPosition="0"/>
    </format>
    <format dxfId="882">
      <pivotArea type="all" dataOnly="0" outline="0" fieldPosition="0"/>
    </format>
    <format dxfId="881">
      <pivotArea outline="0" collapsedLevelsAreSubtotals="1" fieldPosition="0"/>
    </format>
    <format dxfId="880">
      <pivotArea dataOnly="0" labelOnly="1" outline="0" axis="axisValues" fieldPosition="0"/>
    </format>
    <format dxfId="879">
      <pivotArea type="all" dataOnly="0" outline="0" fieldPosition="0"/>
    </format>
    <format dxfId="878">
      <pivotArea outline="0" collapsedLevelsAreSubtotals="1" fieldPosition="0"/>
    </format>
    <format dxfId="877">
      <pivotArea dataOnly="0" labelOnly="1" outline="0" axis="axisValues" fieldPosition="0"/>
    </format>
    <format dxfId="876">
      <pivotArea type="all" dataOnly="0" outline="0" fieldPosition="0"/>
    </format>
    <format dxfId="875">
      <pivotArea outline="0" collapsedLevelsAreSubtotals="1" fieldPosition="0"/>
    </format>
    <format dxfId="874">
      <pivotArea dataOnly="0" labelOnly="1" outline="0" axis="axisValues" fieldPosition="0"/>
    </format>
    <format dxfId="873">
      <pivotArea type="all" dataOnly="0" outline="0" fieldPosition="0"/>
    </format>
    <format dxfId="872">
      <pivotArea outline="0" collapsedLevelsAreSubtotals="1" fieldPosition="0"/>
    </format>
    <format dxfId="871">
      <pivotArea dataOnly="0" labelOnly="1" outline="0" axis="axisValues" fieldPosition="0"/>
    </format>
    <format dxfId="870">
      <pivotArea type="all" dataOnly="0" outline="0" fieldPosition="0"/>
    </format>
    <format dxfId="869">
      <pivotArea outline="0" collapsedLevelsAreSubtotals="1" fieldPosition="0"/>
    </format>
    <format dxfId="868">
      <pivotArea dataOnly="0" labelOnly="1" outline="0" axis="axisValues" fieldPosition="0"/>
    </format>
    <format dxfId="867">
      <pivotArea type="all" dataOnly="0" outline="0" fieldPosition="0"/>
    </format>
    <format dxfId="866">
      <pivotArea outline="0" collapsedLevelsAreSubtotals="1" fieldPosition="0"/>
    </format>
    <format dxfId="865">
      <pivotArea dataOnly="0" labelOnly="1" outline="0" axis="axisValues" fieldPosition="0"/>
    </format>
    <format dxfId="864">
      <pivotArea type="all" dataOnly="0" outline="0" fieldPosition="0"/>
    </format>
    <format dxfId="863">
      <pivotArea outline="0" collapsedLevelsAreSubtotals="1" fieldPosition="0"/>
    </format>
    <format dxfId="862">
      <pivotArea dataOnly="0" labelOnly="1" outline="0" axis="axisValues" fieldPosition="0"/>
    </format>
    <format dxfId="861">
      <pivotArea type="all" dataOnly="0" outline="0" fieldPosition="0"/>
    </format>
    <format dxfId="860">
      <pivotArea outline="0" collapsedLevelsAreSubtotals="1" fieldPosition="0"/>
    </format>
    <format dxfId="859">
      <pivotArea type="all" dataOnly="0" outline="0" fieldPosition="0"/>
    </format>
    <format dxfId="858">
      <pivotArea outline="0" collapsedLevelsAreSubtotals="1" fieldPosition="0"/>
    </format>
    <format dxfId="857">
      <pivotArea outline="0" collapsedLevelsAreSubtotals="1" fieldPosition="0"/>
    </format>
    <format dxfId="856">
      <pivotArea type="all" dataOnly="0" outline="0" fieldPosition="0"/>
    </format>
    <format dxfId="855">
      <pivotArea outline="0" collapsedLevelsAreSubtotals="1" fieldPosition="0"/>
    </format>
    <format dxfId="854">
      <pivotArea dataOnly="0" labelOnly="1" outline="0" axis="axisValues" fieldPosition="0"/>
    </format>
    <format dxfId="8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ABA866C0-C3AB-47F8-A109-C79CA7316D52}" name="PivotTable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9:B50" firstHeaderRow="1" firstDataRow="1" firstDataCol="0" rowPageCount="4" colPageCount="1"/>
  <pivotFields count="77">
    <pivotField showAll="0"/>
    <pivotField showAll="0"/>
    <pivotField axis="axisPage" multipleItemSelectionAllowed="1" showAll="0" defaultSubtotal="0">
      <items count="5">
        <item x="1"/>
        <item x="2"/>
        <item x="4"/>
        <item h="1" x="0"/>
        <item h="1" x="3"/>
      </items>
    </pivotField>
    <pivotField axis="axisPage" multipleItemSelectionAllowed="1" showAll="0">
      <items count="3">
        <item x="1"/>
        <item h="1" x="0"/>
        <item t="default"/>
      </items>
    </pivotField>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showAll="0"/>
    <pivotField axis="axisPage" multipleItemSelectionAllowed="1" showAll="0">
      <items count="15">
        <item x="1"/>
        <item x="6"/>
        <item x="7"/>
        <item x="5"/>
        <item x="2"/>
        <item x="13"/>
        <item x="4"/>
        <item x="8"/>
        <item x="9"/>
        <item x="3"/>
        <item x="10"/>
        <item x="11"/>
        <item x="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4">
    <pageField fld="2" hier="-1"/>
    <pageField fld="3" hier="-1"/>
    <pageField fld="8" hier="-1"/>
    <pageField fld="10" hier="-1"/>
  </pageFields>
  <dataFields count="1">
    <dataField name="Sum of Net Dwellings" fld="40" baseField="0" baseItem="0"/>
  </dataFields>
  <formats count="40">
    <format dxfId="932">
      <pivotArea type="all" dataOnly="0" outline="0" fieldPosition="0"/>
    </format>
    <format dxfId="931">
      <pivotArea type="all" dataOnly="0" outline="0" fieldPosition="0"/>
    </format>
    <format dxfId="930">
      <pivotArea type="all" dataOnly="0" outline="0" fieldPosition="0"/>
    </format>
    <format dxfId="929">
      <pivotArea type="all" dataOnly="0" outline="0" fieldPosition="0"/>
    </format>
    <format dxfId="928">
      <pivotArea type="all" dataOnly="0" outline="0" fieldPosition="0"/>
    </format>
    <format dxfId="927">
      <pivotArea type="all" dataOnly="0" outline="0" fieldPosition="0"/>
    </format>
    <format dxfId="926">
      <pivotArea type="all" dataOnly="0" outline="0" fieldPosition="0"/>
    </format>
    <format dxfId="925">
      <pivotArea type="all" dataOnly="0" outline="0" fieldPosition="0"/>
    </format>
    <format dxfId="924">
      <pivotArea type="all" dataOnly="0" outline="0" fieldPosition="0"/>
    </format>
    <format dxfId="923">
      <pivotArea type="all" dataOnly="0" outline="0" fieldPosition="0"/>
    </format>
    <format dxfId="922">
      <pivotArea type="all" dataOnly="0" outline="0" fieldPosition="0"/>
    </format>
    <format dxfId="921">
      <pivotArea outline="0" collapsedLevelsAreSubtotals="1" fieldPosition="0"/>
    </format>
    <format dxfId="920">
      <pivotArea dataOnly="0" labelOnly="1" outline="0" axis="axisValues" fieldPosition="0"/>
    </format>
    <format dxfId="919">
      <pivotArea type="all" dataOnly="0" outline="0" fieldPosition="0"/>
    </format>
    <format dxfId="918">
      <pivotArea outline="0" collapsedLevelsAreSubtotals="1" fieldPosition="0"/>
    </format>
    <format dxfId="917">
      <pivotArea dataOnly="0" labelOnly="1" outline="0" axis="axisValues" fieldPosition="0"/>
    </format>
    <format dxfId="916">
      <pivotArea type="all" dataOnly="0" outline="0" fieldPosition="0"/>
    </format>
    <format dxfId="915">
      <pivotArea outline="0" collapsedLevelsAreSubtotals="1" fieldPosition="0"/>
    </format>
    <format dxfId="914">
      <pivotArea dataOnly="0" labelOnly="1" outline="0" axis="axisValues" fieldPosition="0"/>
    </format>
    <format dxfId="913">
      <pivotArea type="all" dataOnly="0" outline="0" fieldPosition="0"/>
    </format>
    <format dxfId="912">
      <pivotArea outline="0" collapsedLevelsAreSubtotals="1" fieldPosition="0"/>
    </format>
    <format dxfId="911">
      <pivotArea dataOnly="0" labelOnly="1" outline="0" axis="axisValues" fieldPosition="0"/>
    </format>
    <format dxfId="910">
      <pivotArea type="all" dataOnly="0" outline="0" fieldPosition="0"/>
    </format>
    <format dxfId="909">
      <pivotArea outline="0" collapsedLevelsAreSubtotals="1" fieldPosition="0"/>
    </format>
    <format dxfId="908">
      <pivotArea dataOnly="0" labelOnly="1" outline="0" axis="axisValues" fieldPosition="0"/>
    </format>
    <format dxfId="907">
      <pivotArea type="all" dataOnly="0" outline="0" fieldPosition="0"/>
    </format>
    <format dxfId="906">
      <pivotArea outline="0" collapsedLevelsAreSubtotals="1" fieldPosition="0"/>
    </format>
    <format dxfId="905">
      <pivotArea dataOnly="0" labelOnly="1" outline="0" axis="axisValues" fieldPosition="0"/>
    </format>
    <format dxfId="904">
      <pivotArea type="all" dataOnly="0" outline="0" fieldPosition="0"/>
    </format>
    <format dxfId="903">
      <pivotArea outline="0" collapsedLevelsAreSubtotals="1" fieldPosition="0"/>
    </format>
    <format dxfId="902">
      <pivotArea dataOnly="0" labelOnly="1" outline="0" axis="axisValues" fieldPosition="0"/>
    </format>
    <format dxfId="901">
      <pivotArea type="all" dataOnly="0" outline="0" fieldPosition="0"/>
    </format>
    <format dxfId="900">
      <pivotArea outline="0" collapsedLevelsAreSubtotals="1" fieldPosition="0"/>
    </format>
    <format dxfId="899">
      <pivotArea type="all" dataOnly="0" outline="0" fieldPosition="0"/>
    </format>
    <format dxfId="898">
      <pivotArea outline="0" collapsedLevelsAreSubtotals="1" fieldPosition="0"/>
    </format>
    <format dxfId="897">
      <pivotArea outline="0" collapsedLevelsAreSubtotals="1" fieldPosition="0"/>
    </format>
    <format dxfId="896">
      <pivotArea type="all" dataOnly="0" outline="0" fieldPosition="0"/>
    </format>
    <format dxfId="895">
      <pivotArea outline="0" collapsedLevelsAreSubtotals="1" fieldPosition="0"/>
    </format>
    <format dxfId="894">
      <pivotArea dataOnly="0" labelOnly="1" outline="0" axis="axisValues" fieldPosition="0"/>
    </format>
    <format dxfId="89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D0A4A17-D956-4069-896E-0C4BD2F0DE0C}" name="PivotTable35" cacheId="1"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47:I250"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s>
  <rowFields count="1">
    <field x="69"/>
  </rowFields>
  <rowItems count="3">
    <i>
      <x/>
    </i>
    <i>
      <x v="1"/>
    </i>
    <i t="grand">
      <x/>
    </i>
  </rowItems>
  <colItems count="1">
    <i/>
  </colItems>
  <pageFields count="1">
    <pageField fld="8" hier="-1"/>
  </pageFields>
  <dataFields count="1">
    <dataField name="Sum of Net Dwellings" fld="40" baseField="0" baseItem="0"/>
  </dataFields>
  <formats count="39">
    <format dxfId="971">
      <pivotArea type="all" dataOnly="0" outline="0" fieldPosition="0"/>
    </format>
    <format dxfId="970">
      <pivotArea type="all" dataOnly="0" outline="0" fieldPosition="0"/>
    </format>
    <format dxfId="969">
      <pivotArea type="all" dataOnly="0" outline="0" fieldPosition="0"/>
    </format>
    <format dxfId="968">
      <pivotArea type="all" dataOnly="0" outline="0" fieldPosition="0"/>
    </format>
    <format dxfId="967">
      <pivotArea type="all" dataOnly="0" outline="0" fieldPosition="0"/>
    </format>
    <format dxfId="966">
      <pivotArea type="all" dataOnly="0" outline="0" fieldPosition="0"/>
    </format>
    <format dxfId="965">
      <pivotArea type="all" dataOnly="0" outline="0" fieldPosition="0"/>
    </format>
    <format dxfId="964">
      <pivotArea type="all" dataOnly="0" outline="0" fieldPosition="0"/>
    </format>
    <format dxfId="963">
      <pivotArea type="all" dataOnly="0" outline="0" fieldPosition="0"/>
    </format>
    <format dxfId="962">
      <pivotArea type="all" dataOnly="0" outline="0" fieldPosition="0"/>
    </format>
    <format dxfId="961">
      <pivotArea type="all" dataOnly="0" outline="0" fieldPosition="0"/>
    </format>
    <format dxfId="960">
      <pivotArea outline="0" collapsedLevelsAreSubtotals="1" fieldPosition="0"/>
    </format>
    <format dxfId="959">
      <pivotArea dataOnly="0" labelOnly="1" grandRow="1" outline="0" fieldPosition="0"/>
    </format>
    <format dxfId="958">
      <pivotArea dataOnly="0" labelOnly="1" outline="0" axis="axisValues" fieldPosition="0"/>
    </format>
    <format dxfId="957">
      <pivotArea type="all" dataOnly="0" outline="0" fieldPosition="0"/>
    </format>
    <format dxfId="956">
      <pivotArea outline="0" collapsedLevelsAreSubtotals="1" fieldPosition="0"/>
    </format>
    <format dxfId="955">
      <pivotArea dataOnly="0" labelOnly="1" grandRow="1" outline="0" fieldPosition="0"/>
    </format>
    <format dxfId="954">
      <pivotArea dataOnly="0" labelOnly="1" outline="0" axis="axisValues" fieldPosition="0"/>
    </format>
    <format dxfId="953">
      <pivotArea type="all" dataOnly="0" outline="0" fieldPosition="0"/>
    </format>
    <format dxfId="952">
      <pivotArea outline="0" collapsedLevelsAreSubtotals="1" fieldPosition="0"/>
    </format>
    <format dxfId="951">
      <pivotArea dataOnly="0" labelOnly="1" grandRow="1" outline="0" fieldPosition="0"/>
    </format>
    <format dxfId="950">
      <pivotArea dataOnly="0" labelOnly="1" outline="0" axis="axisValues" fieldPosition="0"/>
    </format>
    <format dxfId="949">
      <pivotArea type="all" dataOnly="0" outline="0" fieldPosition="0"/>
    </format>
    <format dxfId="948">
      <pivotArea outline="0" collapsedLevelsAreSubtotals="1" fieldPosition="0"/>
    </format>
    <format dxfId="947">
      <pivotArea dataOnly="0" labelOnly="1" grandRow="1" outline="0" fieldPosition="0"/>
    </format>
    <format dxfId="946">
      <pivotArea dataOnly="0" labelOnly="1" outline="0" axis="axisValues" fieldPosition="0"/>
    </format>
    <format dxfId="945">
      <pivotArea type="all" dataOnly="0" outline="0" fieldPosition="0"/>
    </format>
    <format dxfId="944">
      <pivotArea outline="0" collapsedLevelsAreSubtotals="1" fieldPosition="0"/>
    </format>
    <format dxfId="943">
      <pivotArea type="all" dataOnly="0" outline="0" fieldPosition="0"/>
    </format>
    <format dxfId="942">
      <pivotArea outline="0" collapsedLevelsAreSubtotals="1" fieldPosition="0"/>
    </format>
    <format dxfId="941">
      <pivotArea outline="0" collapsedLevelsAreSubtotals="1" fieldPosition="0"/>
    </format>
    <format dxfId="940">
      <pivotArea type="all" dataOnly="0" outline="0" fieldPosition="0"/>
    </format>
    <format dxfId="939">
      <pivotArea outline="0" collapsedLevelsAreSubtotals="1" fieldPosition="0"/>
    </format>
    <format dxfId="938">
      <pivotArea field="69" type="button" dataOnly="0" labelOnly="1" outline="0" axis="axisRow" fieldPosition="0"/>
    </format>
    <format dxfId="937">
      <pivotArea dataOnly="0" labelOnly="1" fieldPosition="0">
        <references count="1">
          <reference field="69" count="0"/>
        </references>
      </pivotArea>
    </format>
    <format dxfId="936">
      <pivotArea dataOnly="0" labelOnly="1" grandRow="1" outline="0" fieldPosition="0"/>
    </format>
    <format dxfId="935">
      <pivotArea dataOnly="0" labelOnly="1" outline="0" axis="axisValues" fieldPosition="0"/>
    </format>
    <format dxfId="934">
      <pivotArea type="all" dataOnly="0" outline="0" fieldPosition="0"/>
    </format>
    <format dxfId="9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16A67566-EAB2-433D-89CD-B2C223B964C2}" name="PivotTable9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rowHeaderCaption="SELECT SITES">
  <location ref="E46:F49" firstHeaderRow="1" firstDataRow="1" firstDataCol="1" rowPageCount="1" colPageCount="1"/>
  <pivotFields count="77">
    <pivotField showAll="0"/>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8">
        <item h="1" x="0"/>
        <item h="1" x="1"/>
        <item h="1" x="2"/>
        <item h="1" x="6"/>
        <item x="3"/>
        <item h="1" x="4"/>
        <item h="1" x="5"/>
        <item t="default"/>
      </items>
    </pivotField>
    <pivotField showAll="0"/>
    <pivotField axis="axisRow" showAll="0" sortType="ascending">
      <items count="15">
        <item x="1"/>
        <item x="6"/>
        <item x="12"/>
        <item x="7"/>
        <item x="5"/>
        <item x="2"/>
        <item x="13"/>
        <item x="4"/>
        <item x="8"/>
        <item x="9"/>
        <item x="3"/>
        <item x="10"/>
        <item x="1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3">
    <i>
      <x v="5"/>
    </i>
    <i>
      <x v="10"/>
    </i>
    <i t="grand">
      <x/>
    </i>
  </rowItems>
  <colItems count="1">
    <i/>
  </colItems>
  <pageFields count="1">
    <pageField fld="8" hier="-1"/>
  </pageFields>
  <dataFields count="1">
    <dataField name="Sum of 2023-2033 Total" fld="60" baseField="26" baseItem="4"/>
  </dataFields>
  <formats count="79">
    <format dxfId="1050">
      <pivotArea type="all" dataOnly="0" outline="0" fieldPosition="0"/>
    </format>
    <format dxfId="1049">
      <pivotArea type="all" dataOnly="0" outline="0" fieldPosition="0"/>
    </format>
    <format dxfId="1048">
      <pivotArea type="all" dataOnly="0" outline="0" fieldPosition="0"/>
    </format>
    <format dxfId="1047">
      <pivotArea type="all" dataOnly="0" outline="0" fieldPosition="0"/>
    </format>
    <format dxfId="1046">
      <pivotArea type="all" dataOnly="0" outline="0" fieldPosition="0"/>
    </format>
    <format dxfId="1045">
      <pivotArea type="all" dataOnly="0" outline="0" fieldPosition="0"/>
    </format>
    <format dxfId="1044">
      <pivotArea type="all" dataOnly="0" outline="0" fieldPosition="0"/>
    </format>
    <format dxfId="1043">
      <pivotArea type="all" dataOnly="0" outline="0" fieldPosition="0"/>
    </format>
    <format dxfId="1042">
      <pivotArea type="all" dataOnly="0" outline="0" fieldPosition="0"/>
    </format>
    <format dxfId="1041">
      <pivotArea type="all" dataOnly="0" outline="0" fieldPosition="0"/>
    </format>
    <format dxfId="1040">
      <pivotArea type="all" dataOnly="0" outline="0" fieldPosition="0"/>
    </format>
    <format dxfId="1039">
      <pivotArea outline="0" collapsedLevelsAreSubtotals="1" fieldPosition="0"/>
    </format>
    <format dxfId="1038">
      <pivotArea dataOnly="0" labelOnly="1" outline="0" axis="axisValues" fieldPosition="0"/>
    </format>
    <format dxfId="1037">
      <pivotArea type="all" dataOnly="0" outline="0" fieldPosition="0"/>
    </format>
    <format dxfId="1036">
      <pivotArea outline="0" collapsedLevelsAreSubtotals="1" fieldPosition="0"/>
    </format>
    <format dxfId="1035">
      <pivotArea dataOnly="0" labelOnly="1" grandRow="1" outline="0" fieldPosition="0"/>
    </format>
    <format dxfId="1034">
      <pivotArea dataOnly="0" labelOnly="1" outline="0" axis="axisValues" fieldPosition="0"/>
    </format>
    <format dxfId="1033">
      <pivotArea type="all" dataOnly="0" outline="0" fieldPosition="0"/>
    </format>
    <format dxfId="1032">
      <pivotArea outline="0" collapsedLevelsAreSubtotals="1" fieldPosition="0"/>
    </format>
    <format dxfId="1031">
      <pivotArea dataOnly="0" labelOnly="1" grandRow="1" outline="0" fieldPosition="0"/>
    </format>
    <format dxfId="1030">
      <pivotArea dataOnly="0" labelOnly="1" outline="0" axis="axisValues" fieldPosition="0"/>
    </format>
    <format dxfId="1029">
      <pivotArea type="all" dataOnly="0" outline="0" fieldPosition="0"/>
    </format>
    <format dxfId="1028">
      <pivotArea type="all" dataOnly="0" outline="0" fieldPosition="0"/>
    </format>
    <format dxfId="1027">
      <pivotArea outline="0" collapsedLevelsAreSubtotals="1" fieldPosition="0"/>
    </format>
    <format dxfId="1026">
      <pivotArea dataOnly="0" labelOnly="1" grandRow="1" outline="0" fieldPosition="0"/>
    </format>
    <format dxfId="1025">
      <pivotArea dataOnly="0" labelOnly="1" outline="0" axis="axisValues" fieldPosition="0"/>
    </format>
    <format dxfId="1024">
      <pivotArea type="all" dataOnly="0" outline="0" fieldPosition="0"/>
    </format>
    <format dxfId="1023">
      <pivotArea outline="0" collapsedLevelsAreSubtotals="1" fieldPosition="0"/>
    </format>
    <format dxfId="1022">
      <pivotArea dataOnly="0" labelOnly="1" grandRow="1" outline="0" fieldPosition="0"/>
    </format>
    <format dxfId="1021">
      <pivotArea dataOnly="0" labelOnly="1" outline="0" axis="axisValues" fieldPosition="0"/>
    </format>
    <format dxfId="1020">
      <pivotArea type="all" dataOnly="0" outline="0" fieldPosition="0"/>
    </format>
    <format dxfId="1019">
      <pivotArea outline="0" collapsedLevelsAreSubtotals="1" fieldPosition="0"/>
    </format>
    <format dxfId="1018">
      <pivotArea dataOnly="0" labelOnly="1" grandRow="1" outline="0" fieldPosition="0"/>
    </format>
    <format dxfId="1017">
      <pivotArea dataOnly="0" labelOnly="1" outline="0" axis="axisValues" fieldPosition="0"/>
    </format>
    <format dxfId="1016">
      <pivotArea type="all" dataOnly="0" outline="0" fieldPosition="0"/>
    </format>
    <format dxfId="1015">
      <pivotArea outline="0" collapsedLevelsAreSubtotals="1" fieldPosition="0"/>
    </format>
    <format dxfId="1014">
      <pivotArea dataOnly="0" labelOnly="1" grandRow="1" outline="0" fieldPosition="0"/>
    </format>
    <format dxfId="1013">
      <pivotArea dataOnly="0" labelOnly="1" outline="0" axis="axisValues" fieldPosition="0"/>
    </format>
    <format dxfId="1012">
      <pivotArea type="all" dataOnly="0" outline="0" fieldPosition="0"/>
    </format>
    <format dxfId="1011">
      <pivotArea outline="0" collapsedLevelsAreSubtotals="1" fieldPosition="0"/>
    </format>
    <format dxfId="1010">
      <pivotArea dataOnly="0" labelOnly="1" grandRow="1" outline="0" fieldPosition="0"/>
    </format>
    <format dxfId="1009">
      <pivotArea dataOnly="0" labelOnly="1" outline="0" axis="axisValues" fieldPosition="0"/>
    </format>
    <format dxfId="1008">
      <pivotArea type="all" dataOnly="0" outline="0" fieldPosition="0"/>
    </format>
    <format dxfId="1007">
      <pivotArea outline="0" collapsedLevelsAreSubtotals="1" fieldPosition="0"/>
    </format>
    <format dxfId="1006">
      <pivotArea dataOnly="0" labelOnly="1" grandRow="1" outline="0" fieldPosition="0"/>
    </format>
    <format dxfId="1005">
      <pivotArea dataOnly="0" labelOnly="1" outline="0" axis="axisValues" fieldPosition="0"/>
    </format>
    <format dxfId="1004">
      <pivotArea type="all" dataOnly="0" outline="0" fieldPosition="0"/>
    </format>
    <format dxfId="1003">
      <pivotArea outline="0" collapsedLevelsAreSubtotals="1" fieldPosition="0"/>
    </format>
    <format dxfId="1002">
      <pivotArea dataOnly="0" labelOnly="1" grandRow="1" outline="0" fieldPosition="0"/>
    </format>
    <format dxfId="1001">
      <pivotArea dataOnly="0" labelOnly="1" outline="0" axis="axisValues" fieldPosition="0"/>
    </format>
    <format dxfId="1000">
      <pivotArea type="all" dataOnly="0" outline="0" fieldPosition="0"/>
    </format>
    <format dxfId="999">
      <pivotArea outline="0" collapsedLevelsAreSubtotals="1" fieldPosition="0"/>
    </format>
    <format dxfId="998">
      <pivotArea dataOnly="0" labelOnly="1" grandRow="1" outline="0" fieldPosition="0"/>
    </format>
    <format dxfId="997">
      <pivotArea dataOnly="0" labelOnly="1" outline="0" axis="axisValues" fieldPosition="0"/>
    </format>
    <format dxfId="996">
      <pivotArea type="all" dataOnly="0" outline="0" fieldPosition="0"/>
    </format>
    <format dxfId="995">
      <pivotArea type="all" dataOnly="0" outline="0" fieldPosition="0"/>
    </format>
    <format dxfId="994">
      <pivotArea dataOnly="0" labelOnly="1" grandRow="1" outline="0" fieldPosition="0"/>
    </format>
    <format dxfId="993">
      <pivotArea dataOnly="0" labelOnly="1" grandRow="1" outline="0" fieldPosition="0"/>
    </format>
    <format dxfId="992">
      <pivotArea type="all" dataOnly="0" outline="0" fieldPosition="0"/>
    </format>
    <format dxfId="991">
      <pivotArea outline="0" collapsedLevelsAreSubtotals="1" fieldPosition="0"/>
    </format>
    <format dxfId="990">
      <pivotArea field="10" type="button" dataOnly="0" labelOnly="1" outline="0" axis="axisRow" fieldPosition="0"/>
    </format>
    <format dxfId="989">
      <pivotArea dataOnly="0" labelOnly="1" fieldPosition="0">
        <references count="1">
          <reference field="10" count="7">
            <x v="1"/>
            <x v="3"/>
            <x v="6"/>
            <x v="8"/>
            <x v="9"/>
            <x v="11"/>
            <x v="12"/>
          </reference>
        </references>
      </pivotArea>
    </format>
    <format dxfId="988">
      <pivotArea dataOnly="0" labelOnly="1" grandRow="1" outline="0" fieldPosition="0"/>
    </format>
    <format dxfId="987">
      <pivotArea dataOnly="0" labelOnly="1" outline="0" axis="axisValues" fieldPosition="0"/>
    </format>
    <format dxfId="986">
      <pivotArea type="all" dataOnly="0" outline="0" fieldPosition="0"/>
    </format>
    <format dxfId="985">
      <pivotArea dataOnly="0" labelOnly="1" fieldPosition="0">
        <references count="1">
          <reference field="10" count="7">
            <x v="1"/>
            <x v="3"/>
            <x v="6"/>
            <x v="8"/>
            <x v="9"/>
            <x v="11"/>
            <x v="12"/>
          </reference>
        </references>
      </pivotArea>
    </format>
    <format dxfId="984">
      <pivotArea type="all" dataOnly="0" outline="0" fieldPosition="0"/>
    </format>
    <format dxfId="983">
      <pivotArea dataOnly="0" labelOnly="1" fieldPosition="0">
        <references count="1">
          <reference field="10" count="7">
            <x v="1"/>
            <x v="3"/>
            <x v="6"/>
            <x v="8"/>
            <x v="9"/>
            <x v="11"/>
            <x v="12"/>
          </reference>
        </references>
      </pivotArea>
    </format>
    <format dxfId="982">
      <pivotArea collapsedLevelsAreSubtotals="1" fieldPosition="0">
        <references count="1">
          <reference field="10" count="7">
            <x v="1"/>
            <x v="3"/>
            <x v="6"/>
            <x v="8"/>
            <x v="9"/>
            <x v="11"/>
            <x v="12"/>
          </reference>
        </references>
      </pivotArea>
    </format>
    <format dxfId="981">
      <pivotArea type="all" dataOnly="0" outline="0" fieldPosition="0"/>
    </format>
    <format dxfId="980">
      <pivotArea outline="0" collapsedLevelsAreSubtotals="1" fieldPosition="0"/>
    </format>
    <format dxfId="979">
      <pivotArea field="10" type="button" dataOnly="0" labelOnly="1" outline="0" axis="axisRow" fieldPosition="0"/>
    </format>
    <format dxfId="978">
      <pivotArea dataOnly="0" labelOnly="1" fieldPosition="0">
        <references count="1">
          <reference field="10" count="2">
            <x v="5"/>
            <x v="10"/>
          </reference>
        </references>
      </pivotArea>
    </format>
    <format dxfId="977">
      <pivotArea dataOnly="0" labelOnly="1" grandRow="1" outline="0" fieldPosition="0"/>
    </format>
    <format dxfId="976">
      <pivotArea dataOnly="0" labelOnly="1" outline="0" axis="axisValues" fieldPosition="0"/>
    </format>
    <format dxfId="975">
      <pivotArea type="all" dataOnly="0" outline="0" fieldPosition="0"/>
    </format>
    <format dxfId="974">
      <pivotArea outline="0" collapsedLevelsAreSubtotals="1" fieldPosition="0"/>
    </format>
    <format dxfId="973">
      <pivotArea field="10" type="button" dataOnly="0" labelOnly="1" outline="0" axis="axisRow" fieldPosition="0"/>
    </format>
    <format dxfId="972">
      <pivotArea dataOnly="0" labelOnly="1" fieldPosition="0">
        <references count="1">
          <reference field="10" count="2">
            <x v="5"/>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175286FE-3F9C-40BD-9221-6AFE1B185F08}" name="PivotTable5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41:H142"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090">
      <pivotArea type="all" dataOnly="0" outline="0" fieldPosition="0"/>
    </format>
    <format dxfId="1089">
      <pivotArea type="all" dataOnly="0" outline="0" fieldPosition="0"/>
    </format>
    <format dxfId="1088">
      <pivotArea type="all" dataOnly="0" outline="0" fieldPosition="0"/>
    </format>
    <format dxfId="1087">
      <pivotArea type="all" dataOnly="0" outline="0" fieldPosition="0"/>
    </format>
    <format dxfId="1086">
      <pivotArea type="all" dataOnly="0" outline="0" fieldPosition="0"/>
    </format>
    <format dxfId="1085">
      <pivotArea type="all" dataOnly="0" outline="0" fieldPosition="0"/>
    </format>
    <format dxfId="1084">
      <pivotArea type="all" dataOnly="0" outline="0" fieldPosition="0"/>
    </format>
    <format dxfId="1083">
      <pivotArea type="all" dataOnly="0" outline="0" fieldPosition="0"/>
    </format>
    <format dxfId="1082">
      <pivotArea type="all" dataOnly="0" outline="0" fieldPosition="0"/>
    </format>
    <format dxfId="1081">
      <pivotArea type="all" dataOnly="0" outline="0" fieldPosition="0"/>
    </format>
    <format dxfId="1080">
      <pivotArea type="all" dataOnly="0" outline="0" fieldPosition="0"/>
    </format>
    <format dxfId="1079">
      <pivotArea outline="0" collapsedLevelsAreSubtotals="1" fieldPosition="0"/>
    </format>
    <format dxfId="1078">
      <pivotArea dataOnly="0" labelOnly="1" outline="0" axis="axisValues" fieldPosition="0"/>
    </format>
    <format dxfId="1077">
      <pivotArea type="all" dataOnly="0" outline="0" fieldPosition="0"/>
    </format>
    <format dxfId="1076">
      <pivotArea outline="0" collapsedLevelsAreSubtotals="1" fieldPosition="0"/>
    </format>
    <format dxfId="1075">
      <pivotArea dataOnly="0" labelOnly="1" outline="0" axis="axisValues" fieldPosition="0"/>
    </format>
    <format dxfId="1074">
      <pivotArea type="all" dataOnly="0" outline="0" fieldPosition="0"/>
    </format>
    <format dxfId="1073">
      <pivotArea outline="0" collapsedLevelsAreSubtotals="1" fieldPosition="0"/>
    </format>
    <format dxfId="1072">
      <pivotArea dataOnly="0" labelOnly="1" outline="0" axis="axisValues" fieldPosition="0"/>
    </format>
    <format dxfId="1071">
      <pivotArea type="all" dataOnly="0" outline="0" fieldPosition="0"/>
    </format>
    <format dxfId="1070">
      <pivotArea outline="0" collapsedLevelsAreSubtotals="1" fieldPosition="0"/>
    </format>
    <format dxfId="1069">
      <pivotArea dataOnly="0" labelOnly="1" outline="0" axis="axisValues" fieldPosition="0"/>
    </format>
    <format dxfId="1068">
      <pivotArea type="all" dataOnly="0" outline="0" fieldPosition="0"/>
    </format>
    <format dxfId="1067">
      <pivotArea outline="0" collapsedLevelsAreSubtotals="1" fieldPosition="0"/>
    </format>
    <format dxfId="1066">
      <pivotArea dataOnly="0" labelOnly="1" outline="0" axis="axisValues" fieldPosition="0"/>
    </format>
    <format dxfId="1065">
      <pivotArea type="all" dataOnly="0" outline="0" fieldPosition="0"/>
    </format>
    <format dxfId="1064">
      <pivotArea outline="0" collapsedLevelsAreSubtotals="1" fieldPosition="0"/>
    </format>
    <format dxfId="1063">
      <pivotArea dataOnly="0" labelOnly="1" outline="0" axis="axisValues" fieldPosition="0"/>
    </format>
    <format dxfId="1062">
      <pivotArea type="all" dataOnly="0" outline="0" fieldPosition="0"/>
    </format>
    <format dxfId="1061">
      <pivotArea outline="0" collapsedLevelsAreSubtotals="1" fieldPosition="0"/>
    </format>
    <format dxfId="1060">
      <pivotArea dataOnly="0" labelOnly="1" outline="0" axis="axisValues" fieldPosition="0"/>
    </format>
    <format dxfId="1059">
      <pivotArea type="all" dataOnly="0" outline="0" fieldPosition="0"/>
    </format>
    <format dxfId="1058">
      <pivotArea outline="0" collapsedLevelsAreSubtotals="1" fieldPosition="0"/>
    </format>
    <format dxfId="1057">
      <pivotArea type="all" dataOnly="0" outline="0" fieldPosition="0"/>
    </format>
    <format dxfId="1056">
      <pivotArea outline="0" collapsedLevelsAreSubtotals="1" fieldPosition="0"/>
    </format>
    <format dxfId="1055">
      <pivotArea outline="0" collapsedLevelsAreSubtotals="1" fieldPosition="0"/>
    </format>
    <format dxfId="1054">
      <pivotArea type="all" dataOnly="0" outline="0" fieldPosition="0"/>
    </format>
    <format dxfId="1053">
      <pivotArea outline="0" collapsedLevelsAreSubtotals="1" fieldPosition="0"/>
    </format>
    <format dxfId="1052">
      <pivotArea dataOnly="0" labelOnly="1" outline="0" axis="axisValues" fieldPosition="0"/>
    </format>
    <format dxfId="105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773EAD18-0806-4CA0-B176-D88DCDBE827B}" name="PivotTable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61:C264"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3">
    <i>
      <x/>
    </i>
    <i>
      <x v="1"/>
    </i>
    <i t="grand">
      <x/>
    </i>
  </rowItems>
  <colItems count="1">
    <i/>
  </colItems>
  <pageFields count="1">
    <pageField fld="8" hier="-1"/>
  </pageFields>
  <dataFields count="1">
    <dataField name="Sum of Net Dwellings" fld="40" baseField="0" baseItem="0"/>
  </dataFields>
  <formats count="42">
    <format dxfId="1132">
      <pivotArea type="all" dataOnly="0" outline="0" fieldPosition="0"/>
    </format>
    <format dxfId="1131">
      <pivotArea type="all" dataOnly="0" outline="0" fieldPosition="0"/>
    </format>
    <format dxfId="1130">
      <pivotArea type="all" dataOnly="0" outline="0" fieldPosition="0"/>
    </format>
    <format dxfId="1129">
      <pivotArea type="all" dataOnly="0" outline="0" fieldPosition="0"/>
    </format>
    <format dxfId="1128">
      <pivotArea type="all" dataOnly="0" outline="0" fieldPosition="0"/>
    </format>
    <format dxfId="1127">
      <pivotArea type="all" dataOnly="0" outline="0" fieldPosition="0"/>
    </format>
    <format dxfId="1126">
      <pivotArea type="all" dataOnly="0" outline="0" fieldPosition="0"/>
    </format>
    <format dxfId="1125">
      <pivotArea type="all" dataOnly="0" outline="0" fieldPosition="0"/>
    </format>
    <format dxfId="1124">
      <pivotArea type="all" dataOnly="0" outline="0" fieldPosition="0"/>
    </format>
    <format dxfId="1123">
      <pivotArea type="all" dataOnly="0" outline="0" fieldPosition="0"/>
    </format>
    <format dxfId="1122">
      <pivotArea type="all" dataOnly="0" outline="0" fieldPosition="0"/>
    </format>
    <format dxfId="1121">
      <pivotArea outline="0" collapsedLevelsAreSubtotals="1" fieldPosition="0"/>
    </format>
    <format dxfId="1120">
      <pivotArea dataOnly="0" labelOnly="1" grandRow="1" outline="0" fieldPosition="0"/>
    </format>
    <format dxfId="1119">
      <pivotArea dataOnly="0" labelOnly="1" outline="0" axis="axisValues" fieldPosition="0"/>
    </format>
    <format dxfId="1118">
      <pivotArea type="all" dataOnly="0" outline="0" fieldPosition="0"/>
    </format>
    <format dxfId="1117">
      <pivotArea outline="0" collapsedLevelsAreSubtotals="1" fieldPosition="0"/>
    </format>
    <format dxfId="1116">
      <pivotArea dataOnly="0" labelOnly="1" grandRow="1" outline="0" fieldPosition="0"/>
    </format>
    <format dxfId="1115">
      <pivotArea dataOnly="0" labelOnly="1" outline="0" axis="axisValues" fieldPosition="0"/>
    </format>
    <format dxfId="1114">
      <pivotArea type="all" dataOnly="0" outline="0" fieldPosition="0"/>
    </format>
    <format dxfId="1113">
      <pivotArea outline="0" collapsedLevelsAreSubtotals="1" fieldPosition="0"/>
    </format>
    <format dxfId="1112">
      <pivotArea dataOnly="0" labelOnly="1" grandRow="1" outline="0" fieldPosition="0"/>
    </format>
    <format dxfId="1111">
      <pivotArea dataOnly="0" labelOnly="1" outline="0" axis="axisValues" fieldPosition="0"/>
    </format>
    <format dxfId="1110">
      <pivotArea type="all" dataOnly="0" outline="0" fieldPosition="0"/>
    </format>
    <format dxfId="1109">
      <pivotArea outline="0" collapsedLevelsAreSubtotals="1" fieldPosition="0"/>
    </format>
    <format dxfId="1108">
      <pivotArea field="41" type="button" dataOnly="0" labelOnly="1" outline="0" axis="axisRow" fieldPosition="0"/>
    </format>
    <format dxfId="1107">
      <pivotArea dataOnly="0" labelOnly="1" fieldPosition="0">
        <references count="1">
          <reference field="41" count="0"/>
        </references>
      </pivotArea>
    </format>
    <format dxfId="1106">
      <pivotArea dataOnly="0" labelOnly="1" grandRow="1" outline="0" fieldPosition="0"/>
    </format>
    <format dxfId="1105">
      <pivotArea dataOnly="0" labelOnly="1" outline="0" axis="axisValues" fieldPosition="0"/>
    </format>
    <format dxfId="1104">
      <pivotArea type="all" dataOnly="0" outline="0" fieldPosition="0"/>
    </format>
    <format dxfId="1103">
      <pivotArea type="all" dataOnly="0" outline="0" fieldPosition="0"/>
    </format>
    <format dxfId="1102">
      <pivotArea collapsedLevelsAreSubtotals="1" fieldPosition="0">
        <references count="1">
          <reference field="41" count="0"/>
        </references>
      </pivotArea>
    </format>
    <format dxfId="1101">
      <pivotArea type="all" dataOnly="0" outline="0" fieldPosition="0"/>
    </format>
    <format dxfId="1100">
      <pivotArea outline="0" collapsedLevelsAreSubtotals="1" fieldPosition="0"/>
    </format>
    <format dxfId="1099">
      <pivotArea field="41" type="button" dataOnly="0" labelOnly="1" outline="0" axis="axisRow" fieldPosition="0"/>
    </format>
    <format dxfId="1098">
      <pivotArea dataOnly="0" labelOnly="1" fieldPosition="0">
        <references count="1">
          <reference field="41" count="0"/>
        </references>
      </pivotArea>
    </format>
    <format dxfId="1097">
      <pivotArea dataOnly="0" labelOnly="1" grandRow="1" outline="0" fieldPosition="0"/>
    </format>
    <format dxfId="1096">
      <pivotArea dataOnly="0" labelOnly="1" outline="0" axis="axisValues" fieldPosition="0"/>
    </format>
    <format dxfId="1095">
      <pivotArea type="all" dataOnly="0" outline="0" fieldPosition="0"/>
    </format>
    <format dxfId="1094">
      <pivotArea outline="0" collapsedLevelsAreSubtotals="1" fieldPosition="0"/>
    </format>
    <format dxfId="1093">
      <pivotArea field="41" type="button" dataOnly="0" labelOnly="1" outline="0" axis="axisRow" fieldPosition="0"/>
    </format>
    <format dxfId="1092">
      <pivotArea dataOnly="0" labelOnly="1" fieldPosition="0">
        <references count="1">
          <reference field="41" count="0"/>
        </references>
      </pivotArea>
    </format>
    <format dxfId="109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A9DB38A1-9746-4834-924B-E4493B521B75}" name="PivotTable9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69:Q470" firstHeaderRow="0" firstDataRow="1" firstDataCol="0" rowPageCount="2"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x="2"/>
        <item x="3"/>
        <item x="6"/>
        <item h="1" x="4"/>
        <item h="1" x="5"/>
      </items>
    </pivotField>
    <pivotField showAll="0" defaultSubtotal="0"/>
    <pivotField axis="axisPage" multipleItemSelectionAllowed="1" showAll="0">
      <items count="15">
        <item x="5"/>
        <item x="13"/>
        <item x="8"/>
        <item x="9"/>
        <item x="10"/>
        <item x="11"/>
        <item x="2"/>
        <item x="3"/>
        <item x="7"/>
        <item x="6"/>
        <item x="0"/>
        <item x="1"/>
        <item x="4"/>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6">
    <i>
      <x/>
    </i>
    <i i="1">
      <x v="1"/>
    </i>
    <i i="2">
      <x v="2"/>
    </i>
    <i i="3">
      <x v="3"/>
    </i>
    <i i="4">
      <x v="4"/>
    </i>
    <i i="5">
      <x v="5"/>
    </i>
    <i i="6">
      <x v="6"/>
    </i>
    <i i="7">
      <x v="7"/>
    </i>
    <i i="8">
      <x v="8"/>
    </i>
    <i i="9">
      <x v="9"/>
    </i>
    <i i="10">
      <x v="10"/>
    </i>
    <i i="11">
      <x v="11"/>
    </i>
    <i i="12">
      <x v="12"/>
    </i>
    <i i="13">
      <x v="13"/>
    </i>
    <i i="14">
      <x v="14"/>
    </i>
    <i i="15">
      <x v="15"/>
    </i>
  </colItems>
  <pageFields count="2">
    <pageField fld="8" hier="-1"/>
    <pageField fld="10" hier="-1"/>
  </pageFields>
  <dataFields count="16">
    <dataField name="Sum of 2023/24 (1)" fld="43" baseField="0" baseItem="0"/>
    <dataField name="Sum of 2024/25 (2)" fld="44" baseField="0" baseItem="0"/>
    <dataField name="Sum of 2025/26 (3)" fld="45" baseField="0" baseItem="0"/>
    <dataField name="Sum of 2026/27 (4)" fld="46" baseField="0" baseItem="0"/>
    <dataField name="Sum of 2027/28 (5)" fld="47" baseField="0" baseItem="0"/>
    <dataField name="Sum of 2028/29 (6)" fld="48" baseField="0" baseItem="0"/>
    <dataField name="Sum of 2029/30 (7)" fld="49" baseField="0" baseItem="0"/>
    <dataField name="Sum of 2030/31 (8)" fld="50" baseField="0" baseItem="0"/>
    <dataField name="Sum of 2031/32 (9)" fld="51" baseField="0" baseItem="0"/>
    <dataField name="Sum of 2032/33 (10)" fld="52" baseField="0" baseItem="0"/>
    <dataField name="Sum of 2033/34" fld="53" baseField="0" baseItem="0"/>
    <dataField name="Sum of 2034/35" fld="54" baseField="0" baseItem="0"/>
    <dataField name="Sum of 2035/36" fld="55" baseField="0" baseItem="0"/>
    <dataField name="Sum of 2036/37" fld="56" baseField="0" baseItem="0"/>
    <dataField name="Sum of 2037/38" fld="57" baseField="0" baseItem="0"/>
    <dataField name="Sum of 2038/39" fld="58" baseField="0" baseItem="0"/>
  </dataFields>
  <formats count="27">
    <format dxfId="1159">
      <pivotArea type="all" dataOnly="0" outline="0" fieldPosition="0"/>
    </format>
    <format dxfId="1158">
      <pivotArea type="all" dataOnly="0" outline="0" fieldPosition="0"/>
    </format>
    <format dxfId="1157">
      <pivotArea type="all" dataOnly="0" outline="0" fieldPosition="0"/>
    </format>
    <format dxfId="1156">
      <pivotArea type="all" dataOnly="0" outline="0" fieldPosition="0"/>
    </format>
    <format dxfId="1155">
      <pivotArea type="all" dataOnly="0" outline="0" fieldPosition="0"/>
    </format>
    <format dxfId="1154">
      <pivotArea type="all" dataOnly="0" outline="0" fieldPosition="0"/>
    </format>
    <format dxfId="1153">
      <pivotArea type="all" dataOnly="0" outline="0" fieldPosition="0"/>
    </format>
    <format dxfId="1152">
      <pivotArea outline="0" collapsedLevelsAreSubtotals="1" fieldPosition="0"/>
    </format>
    <format dxfId="1151">
      <pivotArea type="all" dataOnly="0" outline="0" fieldPosition="0"/>
    </format>
    <format dxfId="1150">
      <pivotArea type="all" dataOnly="0" outline="0" fieldPosition="0"/>
    </format>
    <format dxfId="1149">
      <pivotArea type="all" dataOnly="0" outline="0" fieldPosition="0"/>
    </format>
    <format dxfId="1148">
      <pivotArea type="all" dataOnly="0" outline="0" fieldPosition="0"/>
    </format>
    <format dxfId="1147">
      <pivotArea outline="0" collapsedLevelsAreSubtotals="1" fieldPosition="0"/>
    </format>
    <format dxfId="1146">
      <pivotArea type="all" dataOnly="0" outline="0" fieldPosition="0"/>
    </format>
    <format dxfId="1145">
      <pivotArea outline="0" collapsedLevelsAreSubtotals="1" fieldPosition="0"/>
    </format>
    <format dxfId="1144">
      <pivotArea type="all" dataOnly="0" outline="0" fieldPosition="0"/>
    </format>
    <format dxfId="1143">
      <pivotArea outline="0" collapsedLevelsAreSubtotals="1" fieldPosition="0"/>
    </format>
    <format dxfId="1142">
      <pivotArea type="all" dataOnly="0" outline="0" fieldPosition="0"/>
    </format>
    <format dxfId="1141">
      <pivotArea outline="0" collapsedLevelsAreSubtotals="1" fieldPosition="0"/>
    </format>
    <format dxfId="1140">
      <pivotArea type="all" dataOnly="0" outline="0" fieldPosition="0"/>
    </format>
    <format dxfId="1139">
      <pivotArea outline="0" collapsedLevelsAreSubtotals="1" fieldPosition="0"/>
    </format>
    <format dxfId="1138">
      <pivotArea type="all" dataOnly="0" outline="0" fieldPosition="0"/>
    </format>
    <format dxfId="1137">
      <pivotArea outline="0" collapsedLevelsAreSubtotals="1" fieldPosition="0"/>
    </format>
    <format dxfId="1136">
      <pivotArea outline="0" collapsedLevelsAreSubtotals="1" fieldPosition="0"/>
    </format>
    <format dxfId="1135">
      <pivotArea type="all" dataOnly="0" outline="0" fieldPosition="0"/>
    </format>
    <format dxfId="1134">
      <pivotArea outline="0" collapsedLevelsAreSubtotals="1" fieldPosition="0"/>
    </format>
    <format dxfId="1133">
      <pivotArea dataOnly="0" labelOnly="1" outline="0" fieldPosition="0">
        <references count="1">
          <reference field="4294967294" count="16">
            <x v="0"/>
            <x v="1"/>
            <x v="2"/>
            <x v="3"/>
            <x v="4"/>
            <x v="5"/>
            <x v="6"/>
            <x v="7"/>
            <x v="8"/>
            <x v="9"/>
            <x v="10"/>
            <x v="11"/>
            <x v="12"/>
            <x v="13"/>
            <x v="14"/>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74B7B300-9A94-43E0-B5D0-7EB00DA85CC3}" name="PivotTable2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80:B81"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0">
    <format dxfId="1199">
      <pivotArea type="all" dataOnly="0" outline="0" fieldPosition="0"/>
    </format>
    <format dxfId="1198">
      <pivotArea type="all" dataOnly="0" outline="0" fieldPosition="0"/>
    </format>
    <format dxfId="1197">
      <pivotArea type="all" dataOnly="0" outline="0" fieldPosition="0"/>
    </format>
    <format dxfId="1196">
      <pivotArea type="all" dataOnly="0" outline="0" fieldPosition="0"/>
    </format>
    <format dxfId="1195">
      <pivotArea type="all" dataOnly="0" outline="0" fieldPosition="0"/>
    </format>
    <format dxfId="1194">
      <pivotArea type="all" dataOnly="0" outline="0" fieldPosition="0"/>
    </format>
    <format dxfId="1193">
      <pivotArea type="all" dataOnly="0" outline="0" fieldPosition="0"/>
    </format>
    <format dxfId="1192">
      <pivotArea type="all" dataOnly="0" outline="0" fieldPosition="0"/>
    </format>
    <format dxfId="1191">
      <pivotArea type="all" dataOnly="0" outline="0" fieldPosition="0"/>
    </format>
    <format dxfId="1190">
      <pivotArea type="all" dataOnly="0" outline="0" fieldPosition="0"/>
    </format>
    <format dxfId="1189">
      <pivotArea type="all" dataOnly="0" outline="0" fieldPosition="0"/>
    </format>
    <format dxfId="1188">
      <pivotArea outline="0" collapsedLevelsAreSubtotals="1" fieldPosition="0"/>
    </format>
    <format dxfId="1187">
      <pivotArea dataOnly="0" labelOnly="1" outline="0" axis="axisValues" fieldPosition="0"/>
    </format>
    <format dxfId="1186">
      <pivotArea type="all" dataOnly="0" outline="0" fieldPosition="0"/>
    </format>
    <format dxfId="1185">
      <pivotArea outline="0" collapsedLevelsAreSubtotals="1" fieldPosition="0"/>
    </format>
    <format dxfId="1184">
      <pivotArea dataOnly="0" labelOnly="1" outline="0" axis="axisValues" fieldPosition="0"/>
    </format>
    <format dxfId="1183">
      <pivotArea type="all" dataOnly="0" outline="0" fieldPosition="0"/>
    </format>
    <format dxfId="1182">
      <pivotArea outline="0" collapsedLevelsAreSubtotals="1" fieldPosition="0"/>
    </format>
    <format dxfId="1181">
      <pivotArea dataOnly="0" labelOnly="1" outline="0" axis="axisValues" fieldPosition="0"/>
    </format>
    <format dxfId="1180">
      <pivotArea type="all" dataOnly="0" outline="0" fieldPosition="0"/>
    </format>
    <format dxfId="1179">
      <pivotArea outline="0" collapsedLevelsAreSubtotals="1" fieldPosition="0"/>
    </format>
    <format dxfId="1178">
      <pivotArea dataOnly="0" labelOnly="1" outline="0" axis="axisValues" fieldPosition="0"/>
    </format>
    <format dxfId="1177">
      <pivotArea type="all" dataOnly="0" outline="0" fieldPosition="0"/>
    </format>
    <format dxfId="1176">
      <pivotArea outline="0" collapsedLevelsAreSubtotals="1" fieldPosition="0"/>
    </format>
    <format dxfId="1175">
      <pivotArea dataOnly="0" labelOnly="1" outline="0" axis="axisValues" fieldPosition="0"/>
    </format>
    <format dxfId="1174">
      <pivotArea type="all" dataOnly="0" outline="0" fieldPosition="0"/>
    </format>
    <format dxfId="1173">
      <pivotArea outline="0" collapsedLevelsAreSubtotals="1" fieldPosition="0"/>
    </format>
    <format dxfId="1172">
      <pivotArea dataOnly="0" labelOnly="1" outline="0" axis="axisValues" fieldPosition="0"/>
    </format>
    <format dxfId="1171">
      <pivotArea type="all" dataOnly="0" outline="0" fieldPosition="0"/>
    </format>
    <format dxfId="1170">
      <pivotArea outline="0" collapsedLevelsAreSubtotals="1" fieldPosition="0"/>
    </format>
    <format dxfId="1169">
      <pivotArea dataOnly="0" labelOnly="1" outline="0" axis="axisValues" fieldPosition="0"/>
    </format>
    <format dxfId="1168">
      <pivotArea type="all" dataOnly="0" outline="0" fieldPosition="0"/>
    </format>
    <format dxfId="1167">
      <pivotArea outline="0" collapsedLevelsAreSubtotals="1" fieldPosition="0"/>
    </format>
    <format dxfId="1166">
      <pivotArea type="all" dataOnly="0" outline="0" fieldPosition="0"/>
    </format>
    <format dxfId="1165">
      <pivotArea outline="0" collapsedLevelsAreSubtotals="1" fieldPosition="0"/>
    </format>
    <format dxfId="1164">
      <pivotArea outline="0" collapsedLevelsAreSubtotals="1" fieldPosition="0"/>
    </format>
    <format dxfId="1163">
      <pivotArea type="all" dataOnly="0" outline="0" fieldPosition="0"/>
    </format>
    <format dxfId="1162">
      <pivotArea outline="0" collapsedLevelsAreSubtotals="1" fieldPosition="0"/>
    </format>
    <format dxfId="1161">
      <pivotArea dataOnly="0" labelOnly="1" outline="0" axis="axisValues" fieldPosition="0"/>
    </format>
    <format dxfId="116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9A179F7-75FF-4CF2-935B-FFB7D0D9415F}" name="PivotTable5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41:E142"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21">
      <pivotArea type="all" dataOnly="0" outline="0" fieldPosition="0"/>
    </format>
    <format dxfId="120">
      <pivotArea type="all" dataOnly="0" outline="0" fieldPosition="0"/>
    </format>
    <format dxfId="119">
      <pivotArea type="all" dataOnly="0" outline="0" fieldPosition="0"/>
    </format>
    <format dxfId="118">
      <pivotArea type="all" dataOnly="0" outline="0" fieldPosition="0"/>
    </format>
    <format dxfId="117">
      <pivotArea type="all" dataOnly="0" outline="0" fieldPosition="0"/>
    </format>
    <format dxfId="116">
      <pivotArea type="all" dataOnly="0" outline="0" fieldPosition="0"/>
    </format>
    <format dxfId="115">
      <pivotArea type="all" dataOnly="0" outline="0" fieldPosition="0"/>
    </format>
    <format dxfId="114">
      <pivotArea type="all" dataOnly="0" outline="0" fieldPosition="0"/>
    </format>
    <format dxfId="113">
      <pivotArea type="all" dataOnly="0" outline="0" fieldPosition="0"/>
    </format>
    <format dxfId="112">
      <pivotArea type="all" dataOnly="0" outline="0" fieldPosition="0"/>
    </format>
    <format dxfId="111">
      <pivotArea type="all" dataOnly="0" outline="0" fieldPosition="0"/>
    </format>
    <format dxfId="110">
      <pivotArea outline="0" collapsedLevelsAreSubtotals="1" fieldPosition="0"/>
    </format>
    <format dxfId="109">
      <pivotArea dataOnly="0" labelOnly="1" outline="0" axis="axisValues" fieldPosition="0"/>
    </format>
    <format dxfId="108">
      <pivotArea type="all" dataOnly="0" outline="0" fieldPosition="0"/>
    </format>
    <format dxfId="107">
      <pivotArea outline="0" collapsedLevelsAreSubtotals="1" fieldPosition="0"/>
    </format>
    <format dxfId="106">
      <pivotArea dataOnly="0" labelOnly="1" outline="0" axis="axisValues" fieldPosition="0"/>
    </format>
    <format dxfId="105">
      <pivotArea type="all" dataOnly="0" outline="0" fieldPosition="0"/>
    </format>
    <format dxfId="104">
      <pivotArea outline="0" collapsedLevelsAreSubtotals="1" fieldPosition="0"/>
    </format>
    <format dxfId="103">
      <pivotArea dataOnly="0" labelOnly="1" outline="0" axis="axisValues" fieldPosition="0"/>
    </format>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type="all" dataOnly="0" outline="0" fieldPosition="0"/>
    </format>
    <format dxfId="98">
      <pivotArea outline="0" collapsedLevelsAreSubtotals="1" fieldPosition="0"/>
    </format>
    <format dxfId="97">
      <pivotArea dataOnly="0" labelOnly="1" outline="0" axis="axisValues"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type="all" dataOnly="0" outline="0" fieldPosition="0"/>
    </format>
    <format dxfId="89">
      <pivotArea outline="0" collapsedLevelsAreSubtotals="1" fieldPosition="0"/>
    </format>
    <format dxfId="88">
      <pivotArea type="all" dataOnly="0" outline="0" fieldPosition="0"/>
    </format>
    <format dxfId="87">
      <pivotArea outline="0" collapsedLevelsAreSubtotals="1" fieldPosition="0"/>
    </format>
    <format dxfId="86">
      <pivotArea outline="0" collapsedLevelsAreSubtotals="1" fieldPosition="0"/>
    </format>
    <format dxfId="85">
      <pivotArea type="all" dataOnly="0" outline="0" fieldPosition="0"/>
    </format>
    <format dxfId="84">
      <pivotArea outline="0" collapsedLevelsAreSubtotals="1" fieldPosition="0"/>
    </format>
    <format dxfId="83">
      <pivotArea dataOnly="0" labelOnly="1" outline="0" axis="axisValues" fieldPosition="0"/>
    </format>
    <format dxfId="8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6424C603-7535-40EC-8C75-B290D4751B55}" name="PivotTable1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89:E90"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1239">
      <pivotArea type="all" dataOnly="0" outline="0" fieldPosition="0"/>
    </format>
    <format dxfId="1238">
      <pivotArea type="all" dataOnly="0" outline="0" fieldPosition="0"/>
    </format>
    <format dxfId="1237">
      <pivotArea type="all" dataOnly="0" outline="0" fieldPosition="0"/>
    </format>
    <format dxfId="1236">
      <pivotArea type="all" dataOnly="0" outline="0" fieldPosition="0"/>
    </format>
    <format dxfId="1235">
      <pivotArea type="all" dataOnly="0" outline="0" fieldPosition="0"/>
    </format>
    <format dxfId="1234">
      <pivotArea type="all" dataOnly="0" outline="0" fieldPosition="0"/>
    </format>
    <format dxfId="1233">
      <pivotArea type="all" dataOnly="0" outline="0" fieldPosition="0"/>
    </format>
    <format dxfId="1232">
      <pivotArea type="all" dataOnly="0" outline="0" fieldPosition="0"/>
    </format>
    <format dxfId="1231">
      <pivotArea type="all" dataOnly="0" outline="0" fieldPosition="0"/>
    </format>
    <format dxfId="1230">
      <pivotArea type="all" dataOnly="0" outline="0" fieldPosition="0"/>
    </format>
    <format dxfId="1229">
      <pivotArea type="all" dataOnly="0" outline="0" fieldPosition="0"/>
    </format>
    <format dxfId="1228">
      <pivotArea outline="0" collapsedLevelsAreSubtotals="1" fieldPosition="0"/>
    </format>
    <format dxfId="1227">
      <pivotArea dataOnly="0" labelOnly="1" outline="0" axis="axisValues" fieldPosition="0"/>
    </format>
    <format dxfId="1226">
      <pivotArea type="all" dataOnly="0" outline="0" fieldPosition="0"/>
    </format>
    <format dxfId="1225">
      <pivotArea outline="0" collapsedLevelsAreSubtotals="1" fieldPosition="0"/>
    </format>
    <format dxfId="1224">
      <pivotArea dataOnly="0" labelOnly="1" outline="0" axis="axisValues" fieldPosition="0"/>
    </format>
    <format dxfId="1223">
      <pivotArea type="all" dataOnly="0" outline="0" fieldPosition="0"/>
    </format>
    <format dxfId="1222">
      <pivotArea outline="0" collapsedLevelsAreSubtotals="1" fieldPosition="0"/>
    </format>
    <format dxfId="1221">
      <pivotArea dataOnly="0" labelOnly="1" outline="0" axis="axisValues" fieldPosition="0"/>
    </format>
    <format dxfId="1220">
      <pivotArea type="all" dataOnly="0" outline="0" fieldPosition="0"/>
    </format>
    <format dxfId="1219">
      <pivotArea outline="0" collapsedLevelsAreSubtotals="1" fieldPosition="0"/>
    </format>
    <format dxfId="1218">
      <pivotArea dataOnly="0" labelOnly="1" outline="0" axis="axisValues" fieldPosition="0"/>
    </format>
    <format dxfId="1217">
      <pivotArea type="all" dataOnly="0" outline="0" fieldPosition="0"/>
    </format>
    <format dxfId="1216">
      <pivotArea outline="0" collapsedLevelsAreSubtotals="1" fieldPosition="0"/>
    </format>
    <format dxfId="1215">
      <pivotArea dataOnly="0" labelOnly="1" outline="0" axis="axisValues" fieldPosition="0"/>
    </format>
    <format dxfId="1214">
      <pivotArea type="all" dataOnly="0" outline="0" fieldPosition="0"/>
    </format>
    <format dxfId="1213">
      <pivotArea outline="0" collapsedLevelsAreSubtotals="1" fieldPosition="0"/>
    </format>
    <format dxfId="1212">
      <pivotArea dataOnly="0" labelOnly="1" outline="0" axis="axisValues" fieldPosition="0"/>
    </format>
    <format dxfId="1211">
      <pivotArea type="all" dataOnly="0" outline="0" fieldPosition="0"/>
    </format>
    <format dxfId="1210">
      <pivotArea outline="0" collapsedLevelsAreSubtotals="1" fieldPosition="0"/>
    </format>
    <format dxfId="1209">
      <pivotArea dataOnly="0" labelOnly="1" outline="0" axis="axisValues" fieldPosition="0"/>
    </format>
    <format dxfId="1208">
      <pivotArea type="all" dataOnly="0" outline="0" fieldPosition="0"/>
    </format>
    <format dxfId="1207">
      <pivotArea outline="0" collapsedLevelsAreSubtotals="1" fieldPosition="0"/>
    </format>
    <format dxfId="1206">
      <pivotArea type="all" dataOnly="0" outline="0" fieldPosition="0"/>
    </format>
    <format dxfId="1205">
      <pivotArea outline="0" collapsedLevelsAreSubtotals="1" fieldPosition="0"/>
    </format>
    <format dxfId="1204">
      <pivotArea outline="0" collapsedLevelsAreSubtotals="1" fieldPosition="0"/>
    </format>
    <format dxfId="1203">
      <pivotArea type="all" dataOnly="0" outline="0" fieldPosition="0"/>
    </format>
    <format dxfId="1202">
      <pivotArea outline="0" collapsedLevelsAreSubtotals="1" fieldPosition="0"/>
    </format>
    <format dxfId="1201">
      <pivotArea dataOnly="0" labelOnly="1" outline="0" axis="axisValues" fieldPosition="0"/>
    </format>
    <format dxfId="120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B8ACC4DC-50C2-43AD-B9E1-948869666AB9}" name="PivotTable1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80:H81"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0">
    <format dxfId="1279">
      <pivotArea type="all" dataOnly="0" outline="0" fieldPosition="0"/>
    </format>
    <format dxfId="1278">
      <pivotArea type="all" dataOnly="0" outline="0" fieldPosition="0"/>
    </format>
    <format dxfId="1277">
      <pivotArea type="all" dataOnly="0" outline="0" fieldPosition="0"/>
    </format>
    <format dxfId="1276">
      <pivotArea type="all" dataOnly="0" outline="0" fieldPosition="0"/>
    </format>
    <format dxfId="1275">
      <pivotArea type="all" dataOnly="0" outline="0" fieldPosition="0"/>
    </format>
    <format dxfId="1274">
      <pivotArea type="all" dataOnly="0" outline="0" fieldPosition="0"/>
    </format>
    <format dxfId="1273">
      <pivotArea type="all" dataOnly="0" outline="0" fieldPosition="0"/>
    </format>
    <format dxfId="1272">
      <pivotArea type="all" dataOnly="0" outline="0" fieldPosition="0"/>
    </format>
    <format dxfId="1271">
      <pivotArea type="all" dataOnly="0" outline="0" fieldPosition="0"/>
    </format>
    <format dxfId="1270">
      <pivotArea type="all" dataOnly="0" outline="0" fieldPosition="0"/>
    </format>
    <format dxfId="1269">
      <pivotArea type="all" dataOnly="0" outline="0" fieldPosition="0"/>
    </format>
    <format dxfId="1268">
      <pivotArea outline="0" collapsedLevelsAreSubtotals="1" fieldPosition="0"/>
    </format>
    <format dxfId="1267">
      <pivotArea dataOnly="0" labelOnly="1" outline="0" axis="axisValues" fieldPosition="0"/>
    </format>
    <format dxfId="1266">
      <pivotArea type="all" dataOnly="0" outline="0" fieldPosition="0"/>
    </format>
    <format dxfId="1265">
      <pivotArea outline="0" collapsedLevelsAreSubtotals="1" fieldPosition="0"/>
    </format>
    <format dxfId="1264">
      <pivotArea dataOnly="0" labelOnly="1" outline="0" axis="axisValues" fieldPosition="0"/>
    </format>
    <format dxfId="1263">
      <pivotArea type="all" dataOnly="0" outline="0" fieldPosition="0"/>
    </format>
    <format dxfId="1262">
      <pivotArea outline="0" collapsedLevelsAreSubtotals="1" fieldPosition="0"/>
    </format>
    <format dxfId="1261">
      <pivotArea dataOnly="0" labelOnly="1" outline="0" axis="axisValues" fieldPosition="0"/>
    </format>
    <format dxfId="1260">
      <pivotArea type="all" dataOnly="0" outline="0" fieldPosition="0"/>
    </format>
    <format dxfId="1259">
      <pivotArea outline="0" collapsedLevelsAreSubtotals="1" fieldPosition="0"/>
    </format>
    <format dxfId="1258">
      <pivotArea dataOnly="0" labelOnly="1" outline="0" axis="axisValues" fieldPosition="0"/>
    </format>
    <format dxfId="1257">
      <pivotArea type="all" dataOnly="0" outline="0" fieldPosition="0"/>
    </format>
    <format dxfId="1256">
      <pivotArea outline="0" collapsedLevelsAreSubtotals="1" fieldPosition="0"/>
    </format>
    <format dxfId="1255">
      <pivotArea dataOnly="0" labelOnly="1" outline="0" axis="axisValues" fieldPosition="0"/>
    </format>
    <format dxfId="1254">
      <pivotArea type="all" dataOnly="0" outline="0" fieldPosition="0"/>
    </format>
    <format dxfId="1253">
      <pivotArea outline="0" collapsedLevelsAreSubtotals="1" fieldPosition="0"/>
    </format>
    <format dxfId="1252">
      <pivotArea dataOnly="0" labelOnly="1" outline="0" axis="axisValues" fieldPosition="0"/>
    </format>
    <format dxfId="1251">
      <pivotArea type="all" dataOnly="0" outline="0" fieldPosition="0"/>
    </format>
    <format dxfId="1250">
      <pivotArea outline="0" collapsedLevelsAreSubtotals="1" fieldPosition="0"/>
    </format>
    <format dxfId="1249">
      <pivotArea dataOnly="0" labelOnly="1" outline="0" axis="axisValues" fieldPosition="0"/>
    </format>
    <format dxfId="1248">
      <pivotArea type="all" dataOnly="0" outline="0" fieldPosition="0"/>
    </format>
    <format dxfId="1247">
      <pivotArea outline="0" collapsedLevelsAreSubtotals="1" fieldPosition="0"/>
    </format>
    <format dxfId="1246">
      <pivotArea type="all" dataOnly="0" outline="0" fieldPosition="0"/>
    </format>
    <format dxfId="1245">
      <pivotArea outline="0" collapsedLevelsAreSubtotals="1" fieldPosition="0"/>
    </format>
    <format dxfId="1244">
      <pivotArea outline="0" collapsedLevelsAreSubtotals="1" fieldPosition="0"/>
    </format>
    <format dxfId="1243">
      <pivotArea type="all" dataOnly="0" outline="0" fieldPosition="0"/>
    </format>
    <format dxfId="1242">
      <pivotArea outline="0" collapsedLevelsAreSubtotals="1" fieldPosition="0"/>
    </format>
    <format dxfId="1241">
      <pivotArea dataOnly="0" labelOnly="1" outline="0" axis="axisValues" fieldPosition="0"/>
    </format>
    <format dxfId="124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B60D0638-14A1-4276-967E-12FB864E3A1F}" name="PivotTable2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73:I292"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1"/>
    </i>
    <i>
      <x v="12"/>
    </i>
    <i>
      <x v="13"/>
    </i>
    <i>
      <x v="14"/>
    </i>
    <i>
      <x v="15"/>
    </i>
    <i>
      <x v="16"/>
    </i>
    <i>
      <x v="17"/>
    </i>
    <i>
      <x v="18"/>
    </i>
    <i t="grand">
      <x/>
    </i>
  </rowItems>
  <colItems count="1">
    <i/>
  </colItems>
  <pageFields count="1">
    <pageField fld="8" hier="-1"/>
  </pageFields>
  <dataFields count="1">
    <dataField name="Sum of Net Dwellings" fld="40" baseField="0" baseItem="0"/>
  </dataFields>
  <formats count="38">
    <format dxfId="1317">
      <pivotArea type="all" dataOnly="0" outline="0" fieldPosition="0"/>
    </format>
    <format dxfId="1316">
      <pivotArea type="all" dataOnly="0" outline="0" fieldPosition="0"/>
    </format>
    <format dxfId="1315">
      <pivotArea type="all" dataOnly="0" outline="0" fieldPosition="0"/>
    </format>
    <format dxfId="1314">
      <pivotArea type="all" dataOnly="0" outline="0" fieldPosition="0"/>
    </format>
    <format dxfId="1313">
      <pivotArea type="all" dataOnly="0" outline="0" fieldPosition="0"/>
    </format>
    <format dxfId="1312">
      <pivotArea type="all" dataOnly="0" outline="0" fieldPosition="0"/>
    </format>
    <format dxfId="1311">
      <pivotArea type="all" dataOnly="0" outline="0" fieldPosition="0"/>
    </format>
    <format dxfId="1310">
      <pivotArea type="all" dataOnly="0" outline="0" fieldPosition="0"/>
    </format>
    <format dxfId="1309">
      <pivotArea type="all" dataOnly="0" outline="0" fieldPosition="0"/>
    </format>
    <format dxfId="1308">
      <pivotArea type="all" dataOnly="0" outline="0" fieldPosition="0"/>
    </format>
    <format dxfId="1307">
      <pivotArea type="all" dataOnly="0" outline="0" fieldPosition="0"/>
    </format>
    <format dxfId="1306">
      <pivotArea outline="0" collapsedLevelsAreSubtotals="1" fieldPosition="0"/>
    </format>
    <format dxfId="1305">
      <pivotArea dataOnly="0" labelOnly="1" grandRow="1" outline="0" fieldPosition="0"/>
    </format>
    <format dxfId="1304">
      <pivotArea dataOnly="0" labelOnly="1" outline="0" axis="axisValues" fieldPosition="0"/>
    </format>
    <format dxfId="1303">
      <pivotArea type="all" dataOnly="0" outline="0" fieldPosition="0"/>
    </format>
    <format dxfId="1302">
      <pivotArea outline="0" collapsedLevelsAreSubtotals="1" fieldPosition="0"/>
    </format>
    <format dxfId="1301">
      <pivotArea dataOnly="0" labelOnly="1" grandRow="1" outline="0" fieldPosition="0"/>
    </format>
    <format dxfId="1300">
      <pivotArea dataOnly="0" labelOnly="1" outline="0" axis="axisValues" fieldPosition="0"/>
    </format>
    <format dxfId="1299">
      <pivotArea type="all" dataOnly="0" outline="0" fieldPosition="0"/>
    </format>
    <format dxfId="1298">
      <pivotArea outline="0" collapsedLevelsAreSubtotals="1" fieldPosition="0"/>
    </format>
    <format dxfId="1297">
      <pivotArea dataOnly="0" labelOnly="1" grandRow="1" outline="0" fieldPosition="0"/>
    </format>
    <format dxfId="1296">
      <pivotArea dataOnly="0" labelOnly="1" outline="0" axis="axisValues" fieldPosition="0"/>
    </format>
    <format dxfId="1295">
      <pivotArea type="all" dataOnly="0" outline="0" fieldPosition="0"/>
    </format>
    <format dxfId="1294">
      <pivotArea outline="0" collapsedLevelsAreSubtotals="1" fieldPosition="0"/>
    </format>
    <format dxfId="1293">
      <pivotArea field="67" type="button" dataOnly="0" labelOnly="1" outline="0" axis="axisRow" fieldPosition="0"/>
    </format>
    <format dxfId="1292">
      <pivotArea dataOnly="0" labelOnly="1" grandRow="1" outline="0" fieldPosition="0"/>
    </format>
    <format dxfId="1291">
      <pivotArea dataOnly="0" labelOnly="1" outline="0" axis="axisValues" fieldPosition="0"/>
    </format>
    <format dxfId="1290">
      <pivotArea type="all" dataOnly="0" outline="0" fieldPosition="0"/>
    </format>
    <format dxfId="1289">
      <pivotArea outline="0" collapsedLevelsAreSubtotals="1" fieldPosition="0"/>
    </format>
    <format dxfId="1288">
      <pivotArea field="67" type="button" dataOnly="0" labelOnly="1" outline="0" axis="axisRow" fieldPosition="0"/>
    </format>
    <format dxfId="1287">
      <pivotArea dataOnly="0" labelOnly="1" fieldPosition="0">
        <references count="1">
          <reference field="67" count="18">
            <x v="0"/>
            <x v="1"/>
            <x v="2"/>
            <x v="3"/>
            <x v="4"/>
            <x v="5"/>
            <x v="6"/>
            <x v="7"/>
            <x v="8"/>
            <x v="9"/>
            <x v="11"/>
            <x v="12"/>
            <x v="13"/>
            <x v="14"/>
            <x v="15"/>
            <x v="16"/>
            <x v="17"/>
            <x v="18"/>
          </reference>
        </references>
      </pivotArea>
    </format>
    <format dxfId="1286">
      <pivotArea dataOnly="0" labelOnly="1" grandRow="1" outline="0" fieldPosition="0"/>
    </format>
    <format dxfId="1285">
      <pivotArea dataOnly="0" labelOnly="1" outline="0" axis="axisValues" fieldPosition="0"/>
    </format>
    <format dxfId="1284">
      <pivotArea type="all" dataOnly="0" outline="0" fieldPosition="0"/>
    </format>
    <format dxfId="1283">
      <pivotArea outline="0" collapsedLevelsAreSubtotals="1" fieldPosition="0"/>
    </format>
    <format dxfId="1282">
      <pivotArea field="67" type="button" dataOnly="0" labelOnly="1" outline="0" axis="axisRow" fieldPosition="0"/>
    </format>
    <format dxfId="1281">
      <pivotArea dataOnly="0" labelOnly="1" grandRow="1" outline="0" fieldPosition="0"/>
    </format>
    <format dxfId="12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C28CACF3-156E-4BC5-BCC5-B1B365FE243E}" name="PivotTable1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71:H72"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1357">
      <pivotArea type="all" dataOnly="0" outline="0" fieldPosition="0"/>
    </format>
    <format dxfId="1356">
      <pivotArea type="all" dataOnly="0" outline="0" fieldPosition="0"/>
    </format>
    <format dxfId="1355">
      <pivotArea type="all" dataOnly="0" outline="0" fieldPosition="0"/>
    </format>
    <format dxfId="1354">
      <pivotArea type="all" dataOnly="0" outline="0" fieldPosition="0"/>
    </format>
    <format dxfId="1353">
      <pivotArea type="all" dataOnly="0" outline="0" fieldPosition="0"/>
    </format>
    <format dxfId="1352">
      <pivotArea type="all" dataOnly="0" outline="0" fieldPosition="0"/>
    </format>
    <format dxfId="1351">
      <pivotArea type="all" dataOnly="0" outline="0" fieldPosition="0"/>
    </format>
    <format dxfId="1350">
      <pivotArea type="all" dataOnly="0" outline="0" fieldPosition="0"/>
    </format>
    <format dxfId="1349">
      <pivotArea type="all" dataOnly="0" outline="0" fieldPosition="0"/>
    </format>
    <format dxfId="1348">
      <pivotArea type="all" dataOnly="0" outline="0" fieldPosition="0"/>
    </format>
    <format dxfId="1347">
      <pivotArea type="all" dataOnly="0" outline="0" fieldPosition="0"/>
    </format>
    <format dxfId="1346">
      <pivotArea outline="0" collapsedLevelsAreSubtotals="1" fieldPosition="0"/>
    </format>
    <format dxfId="1345">
      <pivotArea dataOnly="0" labelOnly="1" outline="0" axis="axisValues" fieldPosition="0"/>
    </format>
    <format dxfId="1344">
      <pivotArea type="all" dataOnly="0" outline="0" fieldPosition="0"/>
    </format>
    <format dxfId="1343">
      <pivotArea outline="0" collapsedLevelsAreSubtotals="1" fieldPosition="0"/>
    </format>
    <format dxfId="1342">
      <pivotArea dataOnly="0" labelOnly="1" outline="0" axis="axisValues" fieldPosition="0"/>
    </format>
    <format dxfId="1341">
      <pivotArea type="all" dataOnly="0" outline="0" fieldPosition="0"/>
    </format>
    <format dxfId="1340">
      <pivotArea outline="0" collapsedLevelsAreSubtotals="1" fieldPosition="0"/>
    </format>
    <format dxfId="1339">
      <pivotArea dataOnly="0" labelOnly="1" outline="0" axis="axisValues" fieldPosition="0"/>
    </format>
    <format dxfId="1338">
      <pivotArea type="all" dataOnly="0" outline="0" fieldPosition="0"/>
    </format>
    <format dxfId="1337">
      <pivotArea outline="0" collapsedLevelsAreSubtotals="1" fieldPosition="0"/>
    </format>
    <format dxfId="1336">
      <pivotArea dataOnly="0" labelOnly="1" outline="0" axis="axisValues" fieldPosition="0"/>
    </format>
    <format dxfId="1335">
      <pivotArea type="all" dataOnly="0" outline="0" fieldPosition="0"/>
    </format>
    <format dxfId="1334">
      <pivotArea outline="0" collapsedLevelsAreSubtotals="1" fieldPosition="0"/>
    </format>
    <format dxfId="1333">
      <pivotArea dataOnly="0" labelOnly="1" outline="0" axis="axisValues" fieldPosition="0"/>
    </format>
    <format dxfId="1332">
      <pivotArea type="all" dataOnly="0" outline="0" fieldPosition="0"/>
    </format>
    <format dxfId="1331">
      <pivotArea outline="0" collapsedLevelsAreSubtotals="1" fieldPosition="0"/>
    </format>
    <format dxfId="1330">
      <pivotArea dataOnly="0" labelOnly="1" outline="0" axis="axisValues" fieldPosition="0"/>
    </format>
    <format dxfId="1329">
      <pivotArea type="all" dataOnly="0" outline="0" fieldPosition="0"/>
    </format>
    <format dxfId="1328">
      <pivotArea outline="0" collapsedLevelsAreSubtotals="1" fieldPosition="0"/>
    </format>
    <format dxfId="1327">
      <pivotArea dataOnly="0" labelOnly="1" outline="0" axis="axisValues" fieldPosition="0"/>
    </format>
    <format dxfId="1326">
      <pivotArea type="all" dataOnly="0" outline="0" fieldPosition="0"/>
    </format>
    <format dxfId="1325">
      <pivotArea outline="0" collapsedLevelsAreSubtotals="1" fieldPosition="0"/>
    </format>
    <format dxfId="1324">
      <pivotArea type="all" dataOnly="0" outline="0" fieldPosition="0"/>
    </format>
    <format dxfId="1323">
      <pivotArea outline="0" collapsedLevelsAreSubtotals="1" fieldPosition="0"/>
    </format>
    <format dxfId="1322">
      <pivotArea outline="0" collapsedLevelsAreSubtotals="1" fieldPosition="0"/>
    </format>
    <format dxfId="1321">
      <pivotArea type="all" dataOnly="0" outline="0" fieldPosition="0"/>
    </format>
    <format dxfId="1320">
      <pivotArea outline="0" collapsedLevelsAreSubtotals="1" fieldPosition="0"/>
    </format>
    <format dxfId="1319">
      <pivotArea dataOnly="0" labelOnly="1" outline="0" axis="axisValues" fieldPosition="0"/>
    </format>
    <format dxfId="131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B6E600A7-F6E6-4A22-AAD6-C03C20AF0EF0}" name="PivotTable6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01:E202"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x="2"/>
        <item h="1" x="5"/>
        <item h="1" x="4"/>
        <item h="1" x="3"/>
        <item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1397">
      <pivotArea type="all" dataOnly="0" outline="0" fieldPosition="0"/>
    </format>
    <format dxfId="1396">
      <pivotArea type="all" dataOnly="0" outline="0" fieldPosition="0"/>
    </format>
    <format dxfId="1395">
      <pivotArea type="all" dataOnly="0" outline="0" fieldPosition="0"/>
    </format>
    <format dxfId="1394">
      <pivotArea type="all" dataOnly="0" outline="0" fieldPosition="0"/>
    </format>
    <format dxfId="1393">
      <pivotArea type="all" dataOnly="0" outline="0" fieldPosition="0"/>
    </format>
    <format dxfId="1392">
      <pivotArea type="all" dataOnly="0" outline="0" fieldPosition="0"/>
    </format>
    <format dxfId="1391">
      <pivotArea type="all" dataOnly="0" outline="0" fieldPosition="0"/>
    </format>
    <format dxfId="1390">
      <pivotArea type="all" dataOnly="0" outline="0" fieldPosition="0"/>
    </format>
    <format dxfId="1389">
      <pivotArea type="all" dataOnly="0" outline="0" fieldPosition="0"/>
    </format>
    <format dxfId="1388">
      <pivotArea type="all" dataOnly="0" outline="0" fieldPosition="0"/>
    </format>
    <format dxfId="1387">
      <pivotArea type="all" dataOnly="0" outline="0" fieldPosition="0"/>
    </format>
    <format dxfId="1386">
      <pivotArea outline="0" collapsedLevelsAreSubtotals="1" fieldPosition="0"/>
    </format>
    <format dxfId="1385">
      <pivotArea dataOnly="0" labelOnly="1" outline="0" axis="axisValues" fieldPosition="0"/>
    </format>
    <format dxfId="1384">
      <pivotArea type="all" dataOnly="0" outline="0" fieldPosition="0"/>
    </format>
    <format dxfId="1383">
      <pivotArea outline="0" collapsedLevelsAreSubtotals="1" fieldPosition="0"/>
    </format>
    <format dxfId="1382">
      <pivotArea dataOnly="0" labelOnly="1" outline="0" axis="axisValues" fieldPosition="0"/>
    </format>
    <format dxfId="1381">
      <pivotArea type="all" dataOnly="0" outline="0" fieldPosition="0"/>
    </format>
    <format dxfId="1380">
      <pivotArea outline="0" collapsedLevelsAreSubtotals="1" fieldPosition="0"/>
    </format>
    <format dxfId="1379">
      <pivotArea dataOnly="0" labelOnly="1" outline="0" axis="axisValues" fieldPosition="0"/>
    </format>
    <format dxfId="1378">
      <pivotArea type="all" dataOnly="0" outline="0" fieldPosition="0"/>
    </format>
    <format dxfId="1377">
      <pivotArea outline="0" collapsedLevelsAreSubtotals="1" fieldPosition="0"/>
    </format>
    <format dxfId="1376">
      <pivotArea dataOnly="0" labelOnly="1" outline="0" axis="axisValues" fieldPosition="0"/>
    </format>
    <format dxfId="1375">
      <pivotArea type="all" dataOnly="0" outline="0" fieldPosition="0"/>
    </format>
    <format dxfId="1374">
      <pivotArea outline="0" collapsedLevelsAreSubtotals="1" fieldPosition="0"/>
    </format>
    <format dxfId="1373">
      <pivotArea dataOnly="0" labelOnly="1" outline="0" axis="axisValues" fieldPosition="0"/>
    </format>
    <format dxfId="1372">
      <pivotArea type="all" dataOnly="0" outline="0" fieldPosition="0"/>
    </format>
    <format dxfId="1371">
      <pivotArea outline="0" collapsedLevelsAreSubtotals="1" fieldPosition="0"/>
    </format>
    <format dxfId="1370">
      <pivotArea dataOnly="0" labelOnly="1" outline="0" axis="axisValues" fieldPosition="0"/>
    </format>
    <format dxfId="1369">
      <pivotArea type="all" dataOnly="0" outline="0" fieldPosition="0"/>
    </format>
    <format dxfId="1368">
      <pivotArea outline="0" collapsedLevelsAreSubtotals="1" fieldPosition="0"/>
    </format>
    <format dxfId="1367">
      <pivotArea dataOnly="0" labelOnly="1" outline="0" axis="axisValues" fieldPosition="0"/>
    </format>
    <format dxfId="1366">
      <pivotArea type="all" dataOnly="0" outline="0" fieldPosition="0"/>
    </format>
    <format dxfId="1365">
      <pivotArea outline="0" collapsedLevelsAreSubtotals="1" fieldPosition="0"/>
    </format>
    <format dxfId="1364">
      <pivotArea type="all" dataOnly="0" outline="0" fieldPosition="0"/>
    </format>
    <format dxfId="1363">
      <pivotArea outline="0" collapsedLevelsAreSubtotals="1" fieldPosition="0"/>
    </format>
    <format dxfId="1362">
      <pivotArea outline="0" collapsedLevelsAreSubtotals="1" fieldPosition="0"/>
    </format>
    <format dxfId="1361">
      <pivotArea type="all" dataOnly="0" outline="0" fieldPosition="0"/>
    </format>
    <format dxfId="1360">
      <pivotArea outline="0" collapsedLevelsAreSubtotals="1" fieldPosition="0"/>
    </format>
    <format dxfId="1359">
      <pivotArea dataOnly="0" labelOnly="1" outline="0" axis="axisValues" fieldPosition="0"/>
    </format>
    <format dxfId="135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ED782C1-5546-4FC6-99DC-6085D462B702}" name="PivotTable5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33:E134"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x="2"/>
        <item h="1" x="5"/>
        <item h="1" x="4"/>
        <item h="1" x="3"/>
        <item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437">
      <pivotArea type="all" dataOnly="0" outline="0" fieldPosition="0"/>
    </format>
    <format dxfId="1436">
      <pivotArea type="all" dataOnly="0" outline="0" fieldPosition="0"/>
    </format>
    <format dxfId="1435">
      <pivotArea type="all" dataOnly="0" outline="0" fieldPosition="0"/>
    </format>
    <format dxfId="1434">
      <pivotArea type="all" dataOnly="0" outline="0" fieldPosition="0"/>
    </format>
    <format dxfId="1433">
      <pivotArea type="all" dataOnly="0" outline="0" fieldPosition="0"/>
    </format>
    <format dxfId="1432">
      <pivotArea type="all" dataOnly="0" outline="0" fieldPosition="0"/>
    </format>
    <format dxfId="1431">
      <pivotArea type="all" dataOnly="0" outline="0" fieldPosition="0"/>
    </format>
    <format dxfId="1430">
      <pivotArea type="all" dataOnly="0" outline="0" fieldPosition="0"/>
    </format>
    <format dxfId="1429">
      <pivotArea type="all" dataOnly="0" outline="0" fieldPosition="0"/>
    </format>
    <format dxfId="1428">
      <pivotArea type="all" dataOnly="0" outline="0" fieldPosition="0"/>
    </format>
    <format dxfId="1427">
      <pivotArea type="all" dataOnly="0" outline="0" fieldPosition="0"/>
    </format>
    <format dxfId="1426">
      <pivotArea outline="0" collapsedLevelsAreSubtotals="1" fieldPosition="0"/>
    </format>
    <format dxfId="1425">
      <pivotArea dataOnly="0" labelOnly="1" outline="0" axis="axisValues" fieldPosition="0"/>
    </format>
    <format dxfId="1424">
      <pivotArea type="all" dataOnly="0" outline="0" fieldPosition="0"/>
    </format>
    <format dxfId="1423">
      <pivotArea outline="0" collapsedLevelsAreSubtotals="1" fieldPosition="0"/>
    </format>
    <format dxfId="1422">
      <pivotArea dataOnly="0" labelOnly="1" outline="0" axis="axisValues" fieldPosition="0"/>
    </format>
    <format dxfId="1421">
      <pivotArea type="all" dataOnly="0" outline="0" fieldPosition="0"/>
    </format>
    <format dxfId="1420">
      <pivotArea outline="0" collapsedLevelsAreSubtotals="1" fieldPosition="0"/>
    </format>
    <format dxfId="1419">
      <pivotArea dataOnly="0" labelOnly="1" outline="0" axis="axisValues" fieldPosition="0"/>
    </format>
    <format dxfId="1418">
      <pivotArea type="all" dataOnly="0" outline="0" fieldPosition="0"/>
    </format>
    <format dxfId="1417">
      <pivotArea outline="0" collapsedLevelsAreSubtotals="1" fieldPosition="0"/>
    </format>
    <format dxfId="1416">
      <pivotArea dataOnly="0" labelOnly="1" outline="0" axis="axisValues" fieldPosition="0"/>
    </format>
    <format dxfId="1415">
      <pivotArea type="all" dataOnly="0" outline="0" fieldPosition="0"/>
    </format>
    <format dxfId="1414">
      <pivotArea outline="0" collapsedLevelsAreSubtotals="1" fieldPosition="0"/>
    </format>
    <format dxfId="1413">
      <pivotArea dataOnly="0" labelOnly="1" outline="0" axis="axisValues" fieldPosition="0"/>
    </format>
    <format dxfId="1412">
      <pivotArea type="all" dataOnly="0" outline="0" fieldPosition="0"/>
    </format>
    <format dxfId="1411">
      <pivotArea outline="0" collapsedLevelsAreSubtotals="1" fieldPosition="0"/>
    </format>
    <format dxfId="1410">
      <pivotArea dataOnly="0" labelOnly="1" outline="0" axis="axisValues" fieldPosition="0"/>
    </format>
    <format dxfId="1409">
      <pivotArea type="all" dataOnly="0" outline="0" fieldPosition="0"/>
    </format>
    <format dxfId="1408">
      <pivotArea outline="0" collapsedLevelsAreSubtotals="1" fieldPosition="0"/>
    </format>
    <format dxfId="1407">
      <pivotArea dataOnly="0" labelOnly="1" outline="0" axis="axisValues" fieldPosition="0"/>
    </format>
    <format dxfId="1406">
      <pivotArea type="all" dataOnly="0" outline="0" fieldPosition="0"/>
    </format>
    <format dxfId="1405">
      <pivotArea outline="0" collapsedLevelsAreSubtotals="1" fieldPosition="0"/>
    </format>
    <format dxfId="1404">
      <pivotArea type="all" dataOnly="0" outline="0" fieldPosition="0"/>
    </format>
    <format dxfId="1403">
      <pivotArea outline="0" collapsedLevelsAreSubtotals="1" fieldPosition="0"/>
    </format>
    <format dxfId="1402">
      <pivotArea outline="0" collapsedLevelsAreSubtotals="1" fieldPosition="0"/>
    </format>
    <format dxfId="1401">
      <pivotArea type="all" dataOnly="0" outline="0" fieldPosition="0"/>
    </format>
    <format dxfId="1400">
      <pivotArea outline="0" collapsedLevelsAreSubtotals="1" fieldPosition="0"/>
    </format>
    <format dxfId="1399">
      <pivotArea dataOnly="0" labelOnly="1" outline="0" axis="axisValues" fieldPosition="0"/>
    </format>
    <format dxfId="139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ED1F2DDC-0E29-459F-8EA4-58D54BA3E08F}" name="PivotTable1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62:E63"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0">
    <format dxfId="1477">
      <pivotArea type="all" dataOnly="0" outline="0" fieldPosition="0"/>
    </format>
    <format dxfId="1476">
      <pivotArea type="all" dataOnly="0" outline="0" fieldPosition="0"/>
    </format>
    <format dxfId="1475">
      <pivotArea type="all" dataOnly="0" outline="0" fieldPosition="0"/>
    </format>
    <format dxfId="1474">
      <pivotArea type="all" dataOnly="0" outline="0" fieldPosition="0"/>
    </format>
    <format dxfId="1473">
      <pivotArea type="all" dataOnly="0" outline="0" fieldPosition="0"/>
    </format>
    <format dxfId="1472">
      <pivotArea type="all" dataOnly="0" outline="0" fieldPosition="0"/>
    </format>
    <format dxfId="1471">
      <pivotArea type="all" dataOnly="0" outline="0" fieldPosition="0"/>
    </format>
    <format dxfId="1470">
      <pivotArea type="all" dataOnly="0" outline="0" fieldPosition="0"/>
    </format>
    <format dxfId="1469">
      <pivotArea type="all" dataOnly="0" outline="0" fieldPosition="0"/>
    </format>
    <format dxfId="1468">
      <pivotArea type="all" dataOnly="0" outline="0" fieldPosition="0"/>
    </format>
    <format dxfId="1467">
      <pivotArea type="all" dataOnly="0" outline="0" fieldPosition="0"/>
    </format>
    <format dxfId="1466">
      <pivotArea outline="0" collapsedLevelsAreSubtotals="1" fieldPosition="0"/>
    </format>
    <format dxfId="1465">
      <pivotArea dataOnly="0" labelOnly="1" outline="0" axis="axisValues" fieldPosition="0"/>
    </format>
    <format dxfId="1464">
      <pivotArea type="all" dataOnly="0" outline="0" fieldPosition="0"/>
    </format>
    <format dxfId="1463">
      <pivotArea outline="0" collapsedLevelsAreSubtotals="1" fieldPosition="0"/>
    </format>
    <format dxfId="1462">
      <pivotArea dataOnly="0" labelOnly="1" outline="0" axis="axisValues" fieldPosition="0"/>
    </format>
    <format dxfId="1461">
      <pivotArea type="all" dataOnly="0" outline="0" fieldPosition="0"/>
    </format>
    <format dxfId="1460">
      <pivotArea outline="0" collapsedLevelsAreSubtotals="1" fieldPosition="0"/>
    </format>
    <format dxfId="1459">
      <pivotArea dataOnly="0" labelOnly="1" outline="0" axis="axisValues" fieldPosition="0"/>
    </format>
    <format dxfId="1458">
      <pivotArea type="all" dataOnly="0" outline="0" fieldPosition="0"/>
    </format>
    <format dxfId="1457">
      <pivotArea outline="0" collapsedLevelsAreSubtotals="1" fieldPosition="0"/>
    </format>
    <format dxfId="1456">
      <pivotArea dataOnly="0" labelOnly="1" outline="0" axis="axisValues" fieldPosition="0"/>
    </format>
    <format dxfId="1455">
      <pivotArea type="all" dataOnly="0" outline="0" fieldPosition="0"/>
    </format>
    <format dxfId="1454">
      <pivotArea outline="0" collapsedLevelsAreSubtotals="1" fieldPosition="0"/>
    </format>
    <format dxfId="1453">
      <pivotArea dataOnly="0" labelOnly="1" outline="0" axis="axisValues" fieldPosition="0"/>
    </format>
    <format dxfId="1452">
      <pivotArea type="all" dataOnly="0" outline="0" fieldPosition="0"/>
    </format>
    <format dxfId="1451">
      <pivotArea outline="0" collapsedLevelsAreSubtotals="1" fieldPosition="0"/>
    </format>
    <format dxfId="1450">
      <pivotArea dataOnly="0" labelOnly="1" outline="0" axis="axisValues" fieldPosition="0"/>
    </format>
    <format dxfId="1449">
      <pivotArea type="all" dataOnly="0" outline="0" fieldPosition="0"/>
    </format>
    <format dxfId="1448">
      <pivotArea outline="0" collapsedLevelsAreSubtotals="1" fieldPosition="0"/>
    </format>
    <format dxfId="1447">
      <pivotArea dataOnly="0" labelOnly="1" outline="0" axis="axisValues" fieldPosition="0"/>
    </format>
    <format dxfId="1446">
      <pivotArea type="all" dataOnly="0" outline="0" fieldPosition="0"/>
    </format>
    <format dxfId="1445">
      <pivotArea outline="0" collapsedLevelsAreSubtotals="1" fieldPosition="0"/>
    </format>
    <format dxfId="1444">
      <pivotArea type="all" dataOnly="0" outline="0" fieldPosition="0"/>
    </format>
    <format dxfId="1443">
      <pivotArea outline="0" collapsedLevelsAreSubtotals="1" fieldPosition="0"/>
    </format>
    <format dxfId="1442">
      <pivotArea outline="0" collapsedLevelsAreSubtotals="1" fieldPosition="0"/>
    </format>
    <format dxfId="1441">
      <pivotArea type="all" dataOnly="0" outline="0" fieldPosition="0"/>
    </format>
    <format dxfId="1440">
      <pivotArea outline="0" collapsedLevelsAreSubtotals="1" fieldPosition="0"/>
    </format>
    <format dxfId="1439">
      <pivotArea dataOnly="0" labelOnly="1" outline="0" axis="axisValues" fieldPosition="0"/>
    </format>
    <format dxfId="143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7FE2B693-D645-4C10-9766-8CFF8B7F3D5E}" name="PivotTable8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48:N458" firstHeaderRow="0" firstDataRow="1" firstDataCol="1" rowPageCount="1" colPageCount="1"/>
  <pivotFields count="77">
    <pivotField showAll="0" defaultSubtotal="0"/>
    <pivotField showAl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7">
        <item h="1" x="0"/>
        <item h="1" x="1"/>
        <item h="1" x="2"/>
        <item x="3"/>
        <item x="6"/>
        <item x="4"/>
        <item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axis="axisRow" showAll="0">
      <items count="20">
        <item x="7"/>
        <item x="13"/>
        <item x="14"/>
        <item x="2"/>
        <item x="15"/>
        <item x="1"/>
        <item x="10"/>
        <item x="16"/>
        <item x="3"/>
        <item x="8"/>
        <item x="4"/>
        <item x="6"/>
        <item x="5"/>
        <item x="17"/>
        <item x="0"/>
        <item x="9"/>
        <item x="11"/>
        <item x="12"/>
        <item x="18"/>
        <item t="default"/>
      </items>
    </pivotField>
    <pivotField showAll="0"/>
    <pivotField showAll="0"/>
    <pivotField showAll="0"/>
    <pivotField showAll="0"/>
    <pivotField showAll="0"/>
    <pivotField showAll="0"/>
    <pivotField showAll="0"/>
    <pivotField showAll="0"/>
    <pivotField showAll="0"/>
  </pivotFields>
  <rowFields count="1">
    <field x="67"/>
  </rowFields>
  <rowItems count="10">
    <i>
      <x v="2"/>
    </i>
    <i>
      <x v="9"/>
    </i>
    <i>
      <x v="10"/>
    </i>
    <i>
      <x v="11"/>
    </i>
    <i>
      <x v="12"/>
    </i>
    <i>
      <x v="14"/>
    </i>
    <i>
      <x v="15"/>
    </i>
    <i>
      <x v="17"/>
    </i>
    <i>
      <x v="18"/>
    </i>
    <i t="grand">
      <x/>
    </i>
  </rowItems>
  <colFields count="1">
    <field x="-2"/>
  </colFields>
  <colItems count="12">
    <i>
      <x/>
    </i>
    <i i="1">
      <x v="1"/>
    </i>
    <i i="2">
      <x v="2"/>
    </i>
    <i i="3">
      <x v="3"/>
    </i>
    <i i="4">
      <x v="4"/>
    </i>
    <i i="5">
      <x v="5"/>
    </i>
    <i i="6">
      <x v="6"/>
    </i>
    <i i="7">
      <x v="7"/>
    </i>
    <i i="8">
      <x v="8"/>
    </i>
    <i i="9">
      <x v="9"/>
    </i>
    <i i="10">
      <x v="10"/>
    </i>
    <i i="11">
      <x v="11"/>
    </i>
  </colItems>
  <pageFields count="1">
    <pageField fld="8" hier="-1"/>
  </pageFields>
  <dataFields count="12">
    <dataField name="Sum of 2023/24 (1)" fld="43" baseField="0" baseItem="0"/>
    <dataField name="Sum of 2024/25 (2)" fld="44" baseField="0" baseItem="0"/>
    <dataField name="Sum of 2025/26 (3)" fld="45" baseField="0" baseItem="0"/>
    <dataField name="Sum of 2026/27 (4)" fld="46" baseField="0" baseItem="0"/>
    <dataField name="Sum of 2027/28 (5)" fld="47" baseField="0" baseItem="0"/>
    <dataField name="Sum of 5 year total" fld="59" baseField="0" baseItem="0"/>
    <dataField name="Sum of 2028/29 (6)" fld="48" baseField="0" baseItem="0"/>
    <dataField name="Sum of 2029/30 (7)" fld="49" baseField="0" baseItem="0"/>
    <dataField name="Sum of 2030/31 (8)" fld="50" baseField="0" baseItem="0"/>
    <dataField name="Sum of 2031/32 (9)" fld="51" baseField="0" baseItem="0"/>
    <dataField name="Sum of 2032/33 (10)" fld="52" baseField="0" baseItem="0"/>
    <dataField name="Sum of 2023-2033 Total" fld="60" baseField="0" baseItem="0"/>
  </dataFields>
  <formats count="37">
    <format dxfId="1514">
      <pivotArea type="all" dataOnly="0" outline="0" fieldPosition="0"/>
    </format>
    <format dxfId="1513">
      <pivotArea type="all" dataOnly="0" outline="0" fieldPosition="0"/>
    </format>
    <format dxfId="1512">
      <pivotArea type="all" dataOnly="0" outline="0" fieldPosition="0"/>
    </format>
    <format dxfId="1511">
      <pivotArea type="all" dataOnly="0" outline="0" fieldPosition="0"/>
    </format>
    <format dxfId="1510">
      <pivotArea type="all" dataOnly="0" outline="0" fieldPosition="0"/>
    </format>
    <format dxfId="1509">
      <pivotArea type="all" dataOnly="0" outline="0" fieldPosition="0"/>
    </format>
    <format dxfId="1508">
      <pivotArea type="all" dataOnly="0" outline="0" fieldPosition="0"/>
    </format>
    <format dxfId="1507">
      <pivotArea type="all" dataOnly="0" outline="0" fieldPosition="0"/>
    </format>
    <format dxfId="1506">
      <pivotArea type="all" dataOnly="0" outline="0" fieldPosition="0"/>
    </format>
    <format dxfId="1505">
      <pivotArea type="all" dataOnly="0" outline="0" fieldPosition="0"/>
    </format>
    <format dxfId="1504">
      <pivotArea type="all" dataOnly="0" outline="0" fieldPosition="0"/>
    </format>
    <format dxfId="1503">
      <pivotArea outline="0" collapsedLevelsAreSubtotals="1" fieldPosition="0"/>
    </format>
    <format dxfId="1502">
      <pivotArea dataOnly="0" labelOnly="1" grandRow="1" outline="0" fieldPosition="0"/>
    </format>
    <format dxfId="1501">
      <pivotArea outline="0" collapsedLevelsAreSubtotals="1" fieldPosition="0"/>
    </format>
    <format dxfId="1500">
      <pivotArea type="all" dataOnly="0" outline="0" fieldPosition="0"/>
    </format>
    <format dxfId="1499">
      <pivotArea outline="0" collapsedLevelsAreSubtotals="1" fieldPosition="0"/>
    </format>
    <format dxfId="1498">
      <pivotArea dataOnly="0" labelOnly="1" grandRow="1" outline="0" fieldPosition="0"/>
    </format>
    <format dxfId="1497">
      <pivotArea type="all" dataOnly="0" outline="0" fieldPosition="0"/>
    </format>
    <format dxfId="1496">
      <pivotArea outline="0" collapsedLevelsAreSubtotals="1" fieldPosition="0"/>
    </format>
    <format dxfId="1495">
      <pivotArea dataOnly="0" labelOnly="1" grandRow="1" outline="0" fieldPosition="0"/>
    </format>
    <format dxfId="1494">
      <pivotArea type="all" dataOnly="0" outline="0" fieldPosition="0"/>
    </format>
    <format dxfId="1493">
      <pivotArea outline="0" collapsedLevelsAreSubtotals="1" fieldPosition="0"/>
    </format>
    <format dxfId="1492">
      <pivotArea outline="0" collapsedLevelsAreSubtotals="1" fieldPosition="0"/>
    </format>
    <format dxfId="1491">
      <pivotArea type="all" dataOnly="0" outline="0" fieldPosition="0"/>
    </format>
    <format dxfId="1490">
      <pivotArea outline="0" collapsedLevelsAreSubtotals="1" fieldPosition="0"/>
    </format>
    <format dxfId="1489">
      <pivotArea field="67" type="button" dataOnly="0" labelOnly="1" outline="0" axis="axisRow" fieldPosition="0"/>
    </format>
    <format dxfId="1488">
      <pivotArea dataOnly="0" labelOnly="1" grandRow="1" outline="0" fieldPosition="0"/>
    </format>
    <format dxfId="1487">
      <pivotArea type="all" dataOnly="0" outline="0" fieldPosition="0"/>
    </format>
    <format dxfId="1486">
      <pivotArea outline="0" collapsedLevelsAreSubtotals="1" fieldPosition="0"/>
    </format>
    <format dxfId="1485">
      <pivotArea field="67" type="button" dataOnly="0" labelOnly="1" outline="0" axis="axisRow" fieldPosition="0"/>
    </format>
    <format dxfId="1484">
      <pivotArea dataOnly="0" labelOnly="1" fieldPosition="0">
        <references count="1">
          <reference field="67" count="9">
            <x v="2"/>
            <x v="9"/>
            <x v="10"/>
            <x v="11"/>
            <x v="12"/>
            <x v="14"/>
            <x v="15"/>
            <x v="17"/>
            <x v="18"/>
          </reference>
        </references>
      </pivotArea>
    </format>
    <format dxfId="1483">
      <pivotArea dataOnly="0" labelOnly="1" grandRow="1" outline="0" fieldPosition="0"/>
    </format>
    <format dxfId="1482">
      <pivotArea dataOnly="0" labelOnly="1" outline="0" fieldPosition="0">
        <references count="1">
          <reference field="4294967294" count="12">
            <x v="0"/>
            <x v="1"/>
            <x v="2"/>
            <x v="3"/>
            <x v="4"/>
            <x v="5"/>
            <x v="6"/>
            <x v="7"/>
            <x v="8"/>
            <x v="9"/>
            <x v="10"/>
            <x v="11"/>
          </reference>
        </references>
      </pivotArea>
    </format>
    <format dxfId="1481">
      <pivotArea type="all" dataOnly="0" outline="0" fieldPosition="0"/>
    </format>
    <format dxfId="1480">
      <pivotArea outline="0" collapsedLevelsAreSubtotals="1" fieldPosition="0"/>
    </format>
    <format dxfId="1479">
      <pivotArea field="67" type="button" dataOnly="0" labelOnly="1" outline="0" axis="axisRow" fieldPosition="0"/>
    </format>
    <format dxfId="147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56DEBFCD-A3FC-442A-B813-84887851D369}" name="PivotTable8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0:Q11" firstHeaderRow="0" firstDataRow="1" firstDataCol="0" rowPageCount="2" colPageCount="1"/>
  <pivotFields count="77">
    <pivotField showAll="0"/>
    <pivotField showAll="0"/>
    <pivotField axis="axisPage" multipleItemSelectionAllowed="1" showAll="0" defaultSubtotal="0">
      <items count="5">
        <item h="1" x="1"/>
        <item h="1" x="2"/>
        <item h="1" x="4"/>
        <item x="0"/>
        <item x="3"/>
      </items>
    </pivotField>
    <pivotField showAll="0"/>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2">
    <pageField fld="2" hier="-1"/>
    <pageField fld="8" hier="-1"/>
  </pageFields>
  <dataFields count="10">
    <dataField name="Sum of 2023/24 (1)" fld="43" baseField="0" baseItem="0"/>
    <dataField name="Sum of 2024/25 (2)" fld="44" baseField="0" baseItem="0"/>
    <dataField name="Sum of 2025/26 (3)" fld="45" baseField="0" baseItem="0"/>
    <dataField name="Sum of 2026/27 (4)" fld="46" baseField="0" baseItem="0"/>
    <dataField name="Sum of 2027/28 (5)" fld="47" baseField="0" baseItem="0"/>
    <dataField name="Sum of 2028/29 (6)" fld="48" baseField="0" baseItem="0"/>
    <dataField name="Sum of 2029/30 (7)" fld="49" baseField="0" baseItem="0"/>
    <dataField name="Sum of 2030/31 (8)" fld="50" baseField="0" baseItem="0"/>
    <dataField name="Sum of 2031/32 (9)" fld="51" baseField="0" baseItem="0"/>
    <dataField name="Sum of 2032/33 (10)" fld="52" baseField="0" baseItem="0"/>
  </dataFields>
  <formats count="43">
    <format dxfId="1557">
      <pivotArea type="all" dataOnly="0" outline="0" fieldPosition="0"/>
    </format>
    <format dxfId="1556">
      <pivotArea type="all" dataOnly="0" outline="0" fieldPosition="0"/>
    </format>
    <format dxfId="1555">
      <pivotArea type="all" dataOnly="0" outline="0" fieldPosition="0"/>
    </format>
    <format dxfId="1554">
      <pivotArea type="all" dataOnly="0" outline="0" fieldPosition="0"/>
    </format>
    <format dxfId="1553">
      <pivotArea type="all" dataOnly="0" outline="0" fieldPosition="0"/>
    </format>
    <format dxfId="1552">
      <pivotArea type="all" dataOnly="0" outline="0" fieldPosition="0"/>
    </format>
    <format dxfId="1551">
      <pivotArea type="all" dataOnly="0" outline="0" fieldPosition="0"/>
    </format>
    <format dxfId="1550">
      <pivotArea type="all" dataOnly="0" outline="0" fieldPosition="0"/>
    </format>
    <format dxfId="1549">
      <pivotArea type="all" dataOnly="0" outline="0" fieldPosition="0"/>
    </format>
    <format dxfId="1548">
      <pivotArea type="all" dataOnly="0" outline="0" fieldPosition="0"/>
    </format>
    <format dxfId="1547">
      <pivotArea type="all" dataOnly="0" outline="0" fieldPosition="0"/>
    </format>
    <format dxfId="1546">
      <pivotArea outline="0" collapsedLevelsAreSubtotals="1" fieldPosition="0"/>
    </format>
    <format dxfId="1545">
      <pivotArea dataOnly="0" labelOnly="1" outline="0" axis="axisValues" fieldPosition="0"/>
    </format>
    <format dxfId="1544">
      <pivotArea type="all" dataOnly="0" outline="0" fieldPosition="0"/>
    </format>
    <format dxfId="1543">
      <pivotArea outline="0" collapsedLevelsAreSubtotals="1" fieldPosition="0"/>
    </format>
    <format dxfId="1542">
      <pivotArea dataOnly="0" labelOnly="1" outline="0" axis="axisValues" fieldPosition="0"/>
    </format>
    <format dxfId="1541">
      <pivotArea type="all" dataOnly="0" outline="0" fieldPosition="0"/>
    </format>
    <format dxfId="1540">
      <pivotArea outline="0" collapsedLevelsAreSubtotals="1" fieldPosition="0"/>
    </format>
    <format dxfId="1539">
      <pivotArea dataOnly="0" labelOnly="1" outline="0" axis="axisValues" fieldPosition="0"/>
    </format>
    <format dxfId="1538">
      <pivotArea type="all" dataOnly="0" outline="0" fieldPosition="0"/>
    </format>
    <format dxfId="1537">
      <pivotArea outline="0" collapsedLevelsAreSubtotals="1" fieldPosition="0"/>
    </format>
    <format dxfId="1536">
      <pivotArea dataOnly="0" labelOnly="1" outline="0" axis="axisValues" fieldPosition="0"/>
    </format>
    <format dxfId="1535">
      <pivotArea outline="0" collapsedLevelsAreSubtotals="1" fieldPosition="0"/>
    </format>
    <format dxfId="1534">
      <pivotArea outline="0" collapsedLevelsAreSubtotals="1" fieldPosition="0"/>
    </format>
    <format dxfId="1533">
      <pivotArea type="all" dataOnly="0" outline="0" fieldPosition="0"/>
    </format>
    <format dxfId="1532">
      <pivotArea outline="0" collapsedLevelsAreSubtotals="1" fieldPosition="0"/>
    </format>
    <format dxfId="1531">
      <pivotArea dataOnly="0" labelOnly="1" outline="0" axis="axisValues" fieldPosition="0"/>
    </format>
    <format dxfId="1530">
      <pivotArea type="all" dataOnly="0" outline="0" fieldPosition="0"/>
    </format>
    <format dxfId="1529">
      <pivotArea outline="0" collapsedLevelsAreSubtotals="1" fieldPosition="0"/>
    </format>
    <format dxfId="1528">
      <pivotArea dataOnly="0" labelOnly="1" outline="0" axis="axisValues" fieldPosition="0"/>
    </format>
    <format dxfId="1527">
      <pivotArea type="all" dataOnly="0" outline="0" fieldPosition="0"/>
    </format>
    <format dxfId="1526">
      <pivotArea outline="0" collapsedLevelsAreSubtotals="1" fieldPosition="0"/>
    </format>
    <format dxfId="1525">
      <pivotArea dataOnly="0" labelOnly="1" outline="0" axis="axisValues" fieldPosition="0"/>
    </format>
    <format dxfId="1524">
      <pivotArea type="all" dataOnly="0" outline="0" fieldPosition="0"/>
    </format>
    <format dxfId="1523">
      <pivotArea outline="0" collapsedLevelsAreSubtotals="1" fieldPosition="0"/>
    </format>
    <format dxfId="1522">
      <pivotArea dataOnly="0" labelOnly="1" outline="0" axis="axisValues" fieldPosition="0"/>
    </format>
    <format dxfId="1521">
      <pivotArea type="all" dataOnly="0" outline="0" fieldPosition="0"/>
    </format>
    <format dxfId="1520">
      <pivotArea outline="0" collapsedLevelsAreSubtotals="1" fieldPosition="0"/>
    </format>
    <format dxfId="1519">
      <pivotArea dataOnly="0" labelOnly="1" outline="0" axis="axisValues" fieldPosition="0"/>
    </format>
    <format dxfId="1518">
      <pivotArea outline="0" collapsedLevelsAreSubtotals="1" fieldPosition="0"/>
    </format>
    <format dxfId="1517">
      <pivotArea type="all" dataOnly="0" outline="0" fieldPosition="0"/>
    </format>
    <format dxfId="1516">
      <pivotArea outline="0" collapsedLevelsAreSubtotals="1" fieldPosition="0"/>
    </format>
    <format dxfId="1515">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98FF2028-D44B-463D-AC90-9FCDEA196DD9}" name="PivotTable5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33:B134"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x="2"/>
        <item h="1" x="5"/>
        <item h="1" x="4"/>
        <item h="1" x="3"/>
        <item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597">
      <pivotArea type="all" dataOnly="0" outline="0" fieldPosition="0"/>
    </format>
    <format dxfId="1596">
      <pivotArea type="all" dataOnly="0" outline="0" fieldPosition="0"/>
    </format>
    <format dxfId="1595">
      <pivotArea type="all" dataOnly="0" outline="0" fieldPosition="0"/>
    </format>
    <format dxfId="1594">
      <pivotArea type="all" dataOnly="0" outline="0" fieldPosition="0"/>
    </format>
    <format dxfId="1593">
      <pivotArea type="all" dataOnly="0" outline="0" fieldPosition="0"/>
    </format>
    <format dxfId="1592">
      <pivotArea type="all" dataOnly="0" outline="0" fieldPosition="0"/>
    </format>
    <format dxfId="1591">
      <pivotArea type="all" dataOnly="0" outline="0" fieldPosition="0"/>
    </format>
    <format dxfId="1590">
      <pivotArea type="all" dataOnly="0" outline="0" fieldPosition="0"/>
    </format>
    <format dxfId="1589">
      <pivotArea type="all" dataOnly="0" outline="0" fieldPosition="0"/>
    </format>
    <format dxfId="1588">
      <pivotArea type="all" dataOnly="0" outline="0" fieldPosition="0"/>
    </format>
    <format dxfId="1587">
      <pivotArea type="all" dataOnly="0" outline="0" fieldPosition="0"/>
    </format>
    <format dxfId="1586">
      <pivotArea outline="0" collapsedLevelsAreSubtotals="1" fieldPosition="0"/>
    </format>
    <format dxfId="1585">
      <pivotArea dataOnly="0" labelOnly="1" outline="0" axis="axisValues" fieldPosition="0"/>
    </format>
    <format dxfId="1584">
      <pivotArea type="all" dataOnly="0" outline="0" fieldPosition="0"/>
    </format>
    <format dxfId="1583">
      <pivotArea outline="0" collapsedLevelsAreSubtotals="1" fieldPosition="0"/>
    </format>
    <format dxfId="1582">
      <pivotArea dataOnly="0" labelOnly="1" outline="0" axis="axisValues" fieldPosition="0"/>
    </format>
    <format dxfId="1581">
      <pivotArea type="all" dataOnly="0" outline="0" fieldPosition="0"/>
    </format>
    <format dxfId="1580">
      <pivotArea outline="0" collapsedLevelsAreSubtotals="1" fieldPosition="0"/>
    </format>
    <format dxfId="1579">
      <pivotArea dataOnly="0" labelOnly="1" outline="0" axis="axisValues" fieldPosition="0"/>
    </format>
    <format dxfId="1578">
      <pivotArea type="all" dataOnly="0" outline="0" fieldPosition="0"/>
    </format>
    <format dxfId="1577">
      <pivotArea outline="0" collapsedLevelsAreSubtotals="1" fieldPosition="0"/>
    </format>
    <format dxfId="1576">
      <pivotArea dataOnly="0" labelOnly="1" outline="0" axis="axisValues" fieldPosition="0"/>
    </format>
    <format dxfId="1575">
      <pivotArea type="all" dataOnly="0" outline="0" fieldPosition="0"/>
    </format>
    <format dxfId="1574">
      <pivotArea outline="0" collapsedLevelsAreSubtotals="1" fieldPosition="0"/>
    </format>
    <format dxfId="1573">
      <pivotArea dataOnly="0" labelOnly="1" outline="0" axis="axisValues" fieldPosition="0"/>
    </format>
    <format dxfId="1572">
      <pivotArea type="all" dataOnly="0" outline="0" fieldPosition="0"/>
    </format>
    <format dxfId="1571">
      <pivotArea outline="0" collapsedLevelsAreSubtotals="1" fieldPosition="0"/>
    </format>
    <format dxfId="1570">
      <pivotArea dataOnly="0" labelOnly="1" outline="0" axis="axisValues" fieldPosition="0"/>
    </format>
    <format dxfId="1569">
      <pivotArea type="all" dataOnly="0" outline="0" fieldPosition="0"/>
    </format>
    <format dxfId="1568">
      <pivotArea outline="0" collapsedLevelsAreSubtotals="1" fieldPosition="0"/>
    </format>
    <format dxfId="1567">
      <pivotArea dataOnly="0" labelOnly="1" outline="0" axis="axisValues" fieldPosition="0"/>
    </format>
    <format dxfId="1566">
      <pivotArea type="all" dataOnly="0" outline="0" fieldPosition="0"/>
    </format>
    <format dxfId="1565">
      <pivotArea outline="0" collapsedLevelsAreSubtotals="1" fieldPosition="0"/>
    </format>
    <format dxfId="1564">
      <pivotArea type="all" dataOnly="0" outline="0" fieldPosition="0"/>
    </format>
    <format dxfId="1563">
      <pivotArea outline="0" collapsedLevelsAreSubtotals="1" fieldPosition="0"/>
    </format>
    <format dxfId="1562">
      <pivotArea outline="0" collapsedLevelsAreSubtotals="1" fieldPosition="0"/>
    </format>
    <format dxfId="1561">
      <pivotArea type="all" dataOnly="0" outline="0" fieldPosition="0"/>
    </format>
    <format dxfId="1560">
      <pivotArea outline="0" collapsedLevelsAreSubtotals="1" fieldPosition="0"/>
    </format>
    <format dxfId="1559">
      <pivotArea dataOnly="0" labelOnly="1" outline="0" axis="axisValues" fieldPosition="0"/>
    </format>
    <format dxfId="1558">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93ACE-7721-4FF8-948A-5AB297886ECB}" name="PivotTable8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407:F416" firstHeaderRow="1" firstDataRow="1" firstDataCol="1" rowPageCount="3" colPageCount="1"/>
  <pivotFields count="77">
    <pivotField showAll="0" defaultSubtotal="0"/>
    <pivotField showAll="0"/>
    <pivotField axis="axisPage" multipleItemSelectionAllowed="1" showAll="0" defaultSubtotal="0">
      <items count="5">
        <item x="1"/>
        <item x="2"/>
        <item x="4"/>
        <item x="0"/>
        <item x="3"/>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0">
        <item x="7"/>
        <item x="13"/>
        <item x="15"/>
        <item x="1"/>
        <item x="16"/>
        <item x="3"/>
        <item x="4"/>
        <item x="6"/>
        <item x="5"/>
        <item x="0"/>
        <item x="9"/>
        <item x="11"/>
        <item x="12"/>
        <item x="14"/>
        <item x="10"/>
        <item x="2"/>
        <item x="8"/>
        <item x="17"/>
        <item x="18"/>
        <item t="default"/>
      </items>
    </pivotField>
    <pivotField showAll="0"/>
    <pivotField showAll="0"/>
    <pivotField showAll="0"/>
    <pivotField showAll="0"/>
    <pivotField showAll="0"/>
    <pivotField showAll="0"/>
    <pivotField showAll="0"/>
    <pivotField showAll="0"/>
    <pivotField showAll="0"/>
  </pivotFields>
  <rowFields count="1">
    <field x="67"/>
  </rowFields>
  <rowItems count="9">
    <i>
      <x v="1"/>
    </i>
    <i>
      <x v="5"/>
    </i>
    <i>
      <x v="7"/>
    </i>
    <i>
      <x v="9"/>
    </i>
    <i>
      <x v="10"/>
    </i>
    <i>
      <x v="13"/>
    </i>
    <i>
      <x v="16"/>
    </i>
    <i>
      <x v="17"/>
    </i>
    <i t="grand">
      <x/>
    </i>
  </rowItems>
  <colItems count="1">
    <i/>
  </colItems>
  <pageFields count="3">
    <pageField fld="8" hier="-1"/>
    <pageField fld="3" hier="-1"/>
    <pageField fld="2" hier="-1"/>
  </pageFields>
  <dataFields count="1">
    <dataField name="Sum of Net Dwellings" fld="40" baseField="0" baseItem="0"/>
  </dataFields>
  <formats count="51">
    <format dxfId="172">
      <pivotArea type="all" dataOnly="0" outline="0" fieldPosition="0"/>
    </format>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type="all" dataOnly="0" outline="0" fieldPosition="0"/>
    </format>
    <format dxfId="166">
      <pivotArea type="all" dataOnly="0" outline="0" fieldPosition="0"/>
    </format>
    <format dxfId="165">
      <pivotArea dataOnly="0" labelOnly="1" outline="0" fieldPosition="0">
        <references count="1">
          <reference field="4294967294" count="1">
            <x v="0"/>
          </reference>
        </references>
      </pivotArea>
    </format>
    <format dxfId="164">
      <pivotArea dataOnly="0" labelOnly="1" outline="0" fieldPosition="0">
        <references count="1">
          <reference field="4294967294" count="1">
            <x v="0"/>
          </reference>
        </references>
      </pivotArea>
    </format>
    <format dxfId="163">
      <pivotArea dataOnly="0" labelOnly="1" outline="0" fieldPosition="0">
        <references count="1">
          <reference field="4294967294" count="1">
            <x v="0"/>
          </reference>
        </references>
      </pivotArea>
    </format>
    <format dxfId="162">
      <pivotArea type="all" dataOnly="0" outline="0" fieldPosition="0"/>
    </format>
    <format dxfId="161">
      <pivotArea type="all" dataOnly="0" outline="0" fieldPosition="0"/>
    </format>
    <format dxfId="160">
      <pivotArea type="all" dataOnly="0" outline="0" fieldPosition="0"/>
    </format>
    <format dxfId="159">
      <pivotArea type="all" dataOnly="0" outline="0" fieldPosition="0"/>
    </format>
    <format dxfId="158">
      <pivotArea outline="0" collapsedLevelsAreSubtotals="1" fieldPosition="0"/>
    </format>
    <format dxfId="157">
      <pivotArea dataOnly="0" labelOnly="1" grandRow="1" outline="0" fieldPosition="0"/>
    </format>
    <format dxfId="156">
      <pivotArea dataOnly="0" labelOnly="1" outline="0" axis="axisValues" fieldPosition="0"/>
    </format>
    <format dxfId="155">
      <pivotArea type="all" dataOnly="0" outline="0" fieldPosition="0"/>
    </format>
    <format dxfId="154">
      <pivotArea outline="0" collapsedLevelsAreSubtotals="1" fieldPosition="0"/>
    </format>
    <format dxfId="153">
      <pivotArea dataOnly="0" labelOnly="1" grandRow="1" outline="0" fieldPosition="0"/>
    </format>
    <format dxfId="152">
      <pivotArea dataOnly="0" labelOnly="1" outline="0" axis="axisValues" fieldPosition="0"/>
    </format>
    <format dxfId="151">
      <pivotArea type="all" dataOnly="0" outline="0" fieldPosition="0"/>
    </format>
    <format dxfId="150">
      <pivotArea outline="0" collapsedLevelsAreSubtotals="1" fieldPosition="0"/>
    </format>
    <format dxfId="149">
      <pivotArea dataOnly="0" labelOnly="1" grandRow="1" outline="0" fieldPosition="0"/>
    </format>
    <format dxfId="148">
      <pivotArea dataOnly="0" labelOnly="1" outline="0" axis="axisValues" fieldPosition="0"/>
    </format>
    <format dxfId="147">
      <pivotArea type="all" dataOnly="0" outline="0" fieldPosition="0"/>
    </format>
    <format dxfId="146">
      <pivotArea outline="0" collapsedLevelsAreSubtotals="1" fieldPosition="0"/>
    </format>
    <format dxfId="145">
      <pivotArea field="67" type="button" dataOnly="0" labelOnly="1" outline="0" axis="axisRow" fieldPosition="0"/>
    </format>
    <format dxfId="144">
      <pivotArea dataOnly="0" labelOnly="1" grandRow="1" outline="0" fieldPosition="0"/>
    </format>
    <format dxfId="143">
      <pivotArea dataOnly="0" labelOnly="1" outline="0" axis="axisValues" fieldPosition="0"/>
    </format>
    <format dxfId="142">
      <pivotArea type="all" dataOnly="0" outline="0" fieldPosition="0"/>
    </format>
    <format dxfId="141">
      <pivotArea outline="0" collapsedLevelsAreSubtotals="1" fieldPosition="0"/>
    </format>
    <format dxfId="140">
      <pivotArea field="67" type="button" dataOnly="0" labelOnly="1" outline="0" axis="axisRow" fieldPosition="0"/>
    </format>
    <format dxfId="139">
      <pivotArea dataOnly="0" labelOnly="1" grandRow="1" outline="0" fieldPosition="0"/>
    </format>
    <format dxfId="138">
      <pivotArea dataOnly="0" labelOnly="1" outline="0" axis="axisValues" fieldPosition="0"/>
    </format>
    <format dxfId="137">
      <pivotArea type="all" dataOnly="0" outline="0" fieldPosition="0"/>
    </format>
    <format dxfId="136">
      <pivotArea outline="0" collapsedLevelsAreSubtotals="1" fieldPosition="0"/>
    </format>
    <format dxfId="135">
      <pivotArea field="67" type="button" dataOnly="0" labelOnly="1" outline="0" axis="axisRow" fieldPosition="0"/>
    </format>
    <format dxfId="134">
      <pivotArea dataOnly="0" labelOnly="1" grandRow="1" outline="0" fieldPosition="0"/>
    </format>
    <format dxfId="133">
      <pivotArea dataOnly="0" labelOnly="1" outline="0" axis="axisValues" fieldPosition="0"/>
    </format>
    <format dxfId="132">
      <pivotArea type="all" dataOnly="0" outline="0" fieldPosition="0"/>
    </format>
    <format dxfId="131">
      <pivotArea outline="0" collapsedLevelsAreSubtotals="1" fieldPosition="0"/>
    </format>
    <format dxfId="130">
      <pivotArea field="67" type="button" dataOnly="0" labelOnly="1" outline="0" axis="axisRow" fieldPosition="0"/>
    </format>
    <format dxfId="129">
      <pivotArea dataOnly="0" labelOnly="1" fieldPosition="0">
        <references count="1">
          <reference field="67" count="8">
            <x v="1"/>
            <x v="5"/>
            <x v="7"/>
            <x v="9"/>
            <x v="10"/>
            <x v="13"/>
            <x v="16"/>
            <x v="17"/>
          </reference>
        </references>
      </pivotArea>
    </format>
    <format dxfId="128">
      <pivotArea dataOnly="0" labelOnly="1" grandRow="1" outline="0" fieldPosition="0"/>
    </format>
    <format dxfId="127">
      <pivotArea dataOnly="0" labelOnly="1" outline="0" axis="axisValues" fieldPosition="0"/>
    </format>
    <format dxfId="126">
      <pivotArea type="all" dataOnly="0" outline="0" fieldPosition="0"/>
    </format>
    <format dxfId="125">
      <pivotArea outline="0" collapsedLevelsAreSubtotals="1" fieldPosition="0"/>
    </format>
    <format dxfId="124">
      <pivotArea field="67" type="button" dataOnly="0" labelOnly="1" outline="0" axis="axisRow" fieldPosition="0"/>
    </format>
    <format dxfId="123">
      <pivotArea dataOnly="0" labelOnly="1" grandRow="1" outline="0" fieldPosition="0"/>
    </format>
    <format dxfId="12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984DC238-155A-4405-BCE1-79067A55A5A6}" name="PivotTable3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56:I364" firstHeaderRow="0" firstDataRow="1" firstDataCol="1"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Row" multipleItemSelectionAllowed="1" showAll="0" defaultSubtotal="0">
      <items count="10">
        <item x="0"/>
        <item x="2"/>
        <item x="5"/>
        <item x="4"/>
        <item x="3"/>
        <item x="1"/>
        <item x="8"/>
        <item x="9"/>
        <item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8"/>
    </i>
    <i t="grand">
      <x/>
    </i>
  </rowItems>
  <colFields count="1">
    <field x="-2"/>
  </colFields>
  <colItems count="7">
    <i>
      <x/>
    </i>
    <i i="1">
      <x v="1"/>
    </i>
    <i i="2">
      <x v="2"/>
    </i>
    <i i="3">
      <x v="3"/>
    </i>
    <i i="4">
      <x v="4"/>
    </i>
    <i i="5">
      <x v="5"/>
    </i>
    <i i="6">
      <x v="6"/>
    </i>
  </colItems>
  <pageFields count="2">
    <pageField fld="8" hier="-1"/>
    <pageField fld="2" hier="-1"/>
  </pageFields>
  <dataFields count="7">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48">
    <format dxfId="1645">
      <pivotArea type="all" dataOnly="0" outline="0" fieldPosition="0"/>
    </format>
    <format dxfId="1644">
      <pivotArea type="all" dataOnly="0" outline="0" fieldPosition="0"/>
    </format>
    <format dxfId="1643">
      <pivotArea type="all" dataOnly="0" outline="0" fieldPosition="0"/>
    </format>
    <format dxfId="1642">
      <pivotArea type="all" dataOnly="0" outline="0" fieldPosition="0"/>
    </format>
    <format dxfId="1641">
      <pivotArea type="all" dataOnly="0" outline="0" fieldPosition="0"/>
    </format>
    <format dxfId="1640">
      <pivotArea type="all" dataOnly="0" outline="0" fieldPosition="0"/>
    </format>
    <format dxfId="1639">
      <pivotArea type="all" dataOnly="0" outline="0" fieldPosition="0"/>
    </format>
    <format dxfId="1638">
      <pivotArea type="all" dataOnly="0" outline="0" fieldPosition="0"/>
    </format>
    <format dxfId="1637">
      <pivotArea type="all" dataOnly="0" outline="0" fieldPosition="0"/>
    </format>
    <format dxfId="1636">
      <pivotArea type="all" dataOnly="0" outline="0" fieldPosition="0"/>
    </format>
    <format dxfId="1635">
      <pivotArea type="all" dataOnly="0" outline="0" fieldPosition="0"/>
    </format>
    <format dxfId="1634">
      <pivotArea outline="0" collapsedLevelsAreSubtotals="1" fieldPosition="0"/>
    </format>
    <format dxfId="1633">
      <pivotArea field="9" type="button" dataOnly="0" labelOnly="1" outline="0" axis="axisRow" fieldPosition="0"/>
    </format>
    <format dxfId="1632">
      <pivotArea dataOnly="0" labelOnly="1" fieldPosition="0">
        <references count="1">
          <reference field="9" count="1">
            <x v="0"/>
          </reference>
        </references>
      </pivotArea>
    </format>
    <format dxfId="1631">
      <pivotArea dataOnly="0" labelOnly="1" grandRow="1" outline="0" fieldPosition="0"/>
    </format>
    <format dxfId="1630">
      <pivotArea dataOnly="0" labelOnly="1" outline="0" fieldPosition="0">
        <references count="1">
          <reference field="4294967294" count="7">
            <x v="0"/>
            <x v="1"/>
            <x v="2"/>
            <x v="3"/>
            <x v="4"/>
            <x v="5"/>
            <x v="6"/>
          </reference>
        </references>
      </pivotArea>
    </format>
    <format dxfId="1629">
      <pivotArea type="all" dataOnly="0" outline="0" fieldPosition="0"/>
    </format>
    <format dxfId="1628">
      <pivotArea outline="0" collapsedLevelsAreSubtotals="1" fieldPosition="0"/>
    </format>
    <format dxfId="1627">
      <pivotArea field="9" type="button" dataOnly="0" labelOnly="1" outline="0" axis="axisRow" fieldPosition="0"/>
    </format>
    <format dxfId="1626">
      <pivotArea dataOnly="0" labelOnly="1" fieldPosition="0">
        <references count="1">
          <reference field="9" count="1">
            <x v="0"/>
          </reference>
        </references>
      </pivotArea>
    </format>
    <format dxfId="1625">
      <pivotArea dataOnly="0" labelOnly="1" grandRow="1" outline="0" fieldPosition="0"/>
    </format>
    <format dxfId="1624">
      <pivotArea dataOnly="0" labelOnly="1" outline="0" fieldPosition="0">
        <references count="1">
          <reference field="4294967294" count="7">
            <x v="0"/>
            <x v="1"/>
            <x v="2"/>
            <x v="3"/>
            <x v="4"/>
            <x v="5"/>
            <x v="6"/>
          </reference>
        </references>
      </pivotArea>
    </format>
    <format dxfId="1623">
      <pivotArea type="all" dataOnly="0" outline="0" fieldPosition="0"/>
    </format>
    <format dxfId="1622">
      <pivotArea outline="0" collapsedLevelsAreSubtotals="1" fieldPosition="0"/>
    </format>
    <format dxfId="1621">
      <pivotArea field="9" type="button" dataOnly="0" labelOnly="1" outline="0" axis="axisRow" fieldPosition="0"/>
    </format>
    <format dxfId="1620">
      <pivotArea dataOnly="0" labelOnly="1" fieldPosition="0">
        <references count="1">
          <reference field="9" count="1">
            <x v="0"/>
          </reference>
        </references>
      </pivotArea>
    </format>
    <format dxfId="1619">
      <pivotArea dataOnly="0" labelOnly="1" grandRow="1" outline="0" fieldPosition="0"/>
    </format>
    <format dxfId="1618">
      <pivotArea dataOnly="0" labelOnly="1" outline="0" fieldPosition="0">
        <references count="1">
          <reference field="4294967294" count="7">
            <x v="0"/>
            <x v="1"/>
            <x v="2"/>
            <x v="3"/>
            <x v="4"/>
            <x v="5"/>
            <x v="6"/>
          </reference>
        </references>
      </pivotArea>
    </format>
    <format dxfId="1617">
      <pivotArea type="all" dataOnly="0" outline="0" fieldPosition="0"/>
    </format>
    <format dxfId="1616">
      <pivotArea outline="0" collapsedLevelsAreSubtotals="1" fieldPosition="0"/>
    </format>
    <format dxfId="1615">
      <pivotArea field="9" type="button" dataOnly="0" labelOnly="1" outline="0" axis="axisRow" fieldPosition="0"/>
    </format>
    <format dxfId="1614">
      <pivotArea dataOnly="0" labelOnly="1" fieldPosition="0">
        <references count="1">
          <reference field="9" count="4">
            <x v="0"/>
            <x v="1"/>
            <x v="2"/>
            <x v="4"/>
          </reference>
        </references>
      </pivotArea>
    </format>
    <format dxfId="1613">
      <pivotArea dataOnly="0" labelOnly="1" grandRow="1" outline="0" fieldPosition="0"/>
    </format>
    <format dxfId="1612">
      <pivotArea dataOnly="0" labelOnly="1" outline="0" fieldPosition="0">
        <references count="1">
          <reference field="4294967294" count="7">
            <x v="0"/>
            <x v="1"/>
            <x v="2"/>
            <x v="3"/>
            <x v="4"/>
            <x v="5"/>
            <x v="6"/>
          </reference>
        </references>
      </pivotArea>
    </format>
    <format dxfId="1611">
      <pivotArea type="all" dataOnly="0" outline="0" fieldPosition="0"/>
    </format>
    <format dxfId="1610">
      <pivotArea type="all" dataOnly="0" outline="0" fieldPosition="0"/>
    </format>
    <format dxfId="1609">
      <pivotArea collapsedLevelsAreSubtotals="1" fieldPosition="0">
        <references count="1">
          <reference field="9" count="7">
            <x v="0"/>
            <x v="1"/>
            <x v="2"/>
            <x v="3"/>
            <x v="4"/>
            <x v="5"/>
            <x v="8"/>
          </reference>
        </references>
      </pivotArea>
    </format>
    <format dxfId="1608">
      <pivotArea type="all" dataOnly="0" outline="0" fieldPosition="0"/>
    </format>
    <format dxfId="1607">
      <pivotArea outline="0" collapsedLevelsAreSubtotals="1" fieldPosition="0"/>
    </format>
    <format dxfId="1606">
      <pivotArea field="9" type="button" dataOnly="0" labelOnly="1" outline="0" axis="axisRow" fieldPosition="0"/>
    </format>
    <format dxfId="1605">
      <pivotArea dataOnly="0" labelOnly="1" fieldPosition="0">
        <references count="1">
          <reference field="9" count="7">
            <x v="0"/>
            <x v="1"/>
            <x v="2"/>
            <x v="3"/>
            <x v="4"/>
            <x v="5"/>
            <x v="8"/>
          </reference>
        </references>
      </pivotArea>
    </format>
    <format dxfId="1604">
      <pivotArea dataOnly="0" labelOnly="1" grandRow="1" outline="0" fieldPosition="0"/>
    </format>
    <format dxfId="1603">
      <pivotArea dataOnly="0" labelOnly="1" outline="0" fieldPosition="0">
        <references count="1">
          <reference field="4294967294" count="7">
            <x v="0"/>
            <x v="1"/>
            <x v="2"/>
            <x v="3"/>
            <x v="4"/>
            <x v="5"/>
            <x v="6"/>
          </reference>
        </references>
      </pivotArea>
    </format>
    <format dxfId="1602">
      <pivotArea type="all" dataOnly="0" outline="0" fieldPosition="0"/>
    </format>
    <format dxfId="1601">
      <pivotArea outline="0" collapsedLevelsAreSubtotals="1" fieldPosition="0"/>
    </format>
    <format dxfId="1600">
      <pivotArea field="9" type="button" dataOnly="0" labelOnly="1" outline="0" axis="axisRow" fieldPosition="0"/>
    </format>
    <format dxfId="1599">
      <pivotArea dataOnly="0" labelOnly="1" fieldPosition="0">
        <references count="1">
          <reference field="9" count="7">
            <x v="0"/>
            <x v="1"/>
            <x v="2"/>
            <x v="3"/>
            <x v="4"/>
            <x v="5"/>
            <x v="8"/>
          </reference>
        </references>
      </pivotArea>
    </format>
    <format dxfId="159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F0C6C73C-1A2D-4508-BA03-4410D6901C20}" name="PivotTable8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rowHeaderCaption="SELECT SITES">
  <location ref="E7:F17" firstHeaderRow="1" firstDataRow="1" firstDataCol="1" rowPageCount="1" colPageCount="1"/>
  <pivotFields count="77">
    <pivotField showAll="0"/>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8">
        <item h="1" x="0"/>
        <item h="1" x="1"/>
        <item h="1" x="2"/>
        <item h="1" x="3"/>
        <item x="6"/>
        <item x="4"/>
        <item x="5"/>
        <item t="default"/>
      </items>
    </pivotField>
    <pivotField showAll="0"/>
    <pivotField axis="axisRow" showAll="0" sortType="ascending">
      <items count="15">
        <item h="1" x="1"/>
        <item x="6"/>
        <item h="1" x="12"/>
        <item x="7"/>
        <item x="5"/>
        <item x="2"/>
        <item x="13"/>
        <item x="4"/>
        <item x="8"/>
        <item x="9"/>
        <item x="3"/>
        <item x="10"/>
        <item x="1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0">
    <i>
      <x v="1"/>
    </i>
    <i>
      <x v="3"/>
    </i>
    <i>
      <x v="4"/>
    </i>
    <i>
      <x v="6"/>
    </i>
    <i>
      <x v="7"/>
    </i>
    <i>
      <x v="8"/>
    </i>
    <i>
      <x v="9"/>
    </i>
    <i>
      <x v="11"/>
    </i>
    <i>
      <x v="12"/>
    </i>
    <i t="grand">
      <x/>
    </i>
  </rowItems>
  <colItems count="1">
    <i/>
  </colItems>
  <pageFields count="1">
    <pageField fld="8" hier="-1"/>
  </pageFields>
  <dataFields count="1">
    <dataField name="Sum of 2023/2027 Total" fld="59" baseField="0" baseItem="0"/>
  </dataFields>
  <formats count="78">
    <format dxfId="1723">
      <pivotArea type="all" dataOnly="0" outline="0" fieldPosition="0"/>
    </format>
    <format dxfId="1722">
      <pivotArea type="all" dataOnly="0" outline="0" fieldPosition="0"/>
    </format>
    <format dxfId="1721">
      <pivotArea type="all" dataOnly="0" outline="0" fieldPosition="0"/>
    </format>
    <format dxfId="1720">
      <pivotArea type="all" dataOnly="0" outline="0" fieldPosition="0"/>
    </format>
    <format dxfId="1719">
      <pivotArea type="all" dataOnly="0" outline="0" fieldPosition="0"/>
    </format>
    <format dxfId="1718">
      <pivotArea type="all" dataOnly="0" outline="0" fieldPosition="0"/>
    </format>
    <format dxfId="1717">
      <pivotArea type="all" dataOnly="0" outline="0" fieldPosition="0"/>
    </format>
    <format dxfId="1716">
      <pivotArea type="all" dataOnly="0" outline="0" fieldPosition="0"/>
    </format>
    <format dxfId="1715">
      <pivotArea type="all" dataOnly="0" outline="0" fieldPosition="0"/>
    </format>
    <format dxfId="1714">
      <pivotArea type="all" dataOnly="0" outline="0" fieldPosition="0"/>
    </format>
    <format dxfId="1713">
      <pivotArea type="all" dataOnly="0" outline="0" fieldPosition="0"/>
    </format>
    <format dxfId="1712">
      <pivotArea outline="0" collapsedLevelsAreSubtotals="1" fieldPosition="0"/>
    </format>
    <format dxfId="1711">
      <pivotArea dataOnly="0" labelOnly="1" outline="0" axis="axisValues" fieldPosition="0"/>
    </format>
    <format dxfId="1710">
      <pivotArea type="all" dataOnly="0" outline="0" fieldPosition="0"/>
    </format>
    <format dxfId="1709">
      <pivotArea outline="0" collapsedLevelsAreSubtotals="1" fieldPosition="0"/>
    </format>
    <format dxfId="1708">
      <pivotArea dataOnly="0" labelOnly="1" grandRow="1" outline="0" fieldPosition="0"/>
    </format>
    <format dxfId="1707">
      <pivotArea dataOnly="0" labelOnly="1" outline="0" axis="axisValues" fieldPosition="0"/>
    </format>
    <format dxfId="1706">
      <pivotArea type="all" dataOnly="0" outline="0" fieldPosition="0"/>
    </format>
    <format dxfId="1705">
      <pivotArea outline="0" collapsedLevelsAreSubtotals="1" fieldPosition="0"/>
    </format>
    <format dxfId="1704">
      <pivotArea dataOnly="0" labelOnly="1" grandRow="1" outline="0" fieldPosition="0"/>
    </format>
    <format dxfId="1703">
      <pivotArea dataOnly="0" labelOnly="1" outline="0" axis="axisValues" fieldPosition="0"/>
    </format>
    <format dxfId="1702">
      <pivotArea type="all" dataOnly="0" outline="0" fieldPosition="0"/>
    </format>
    <format dxfId="1701">
      <pivotArea type="all" dataOnly="0" outline="0" fieldPosition="0"/>
    </format>
    <format dxfId="1700">
      <pivotArea outline="0" collapsedLevelsAreSubtotals="1" fieldPosition="0"/>
    </format>
    <format dxfId="1699">
      <pivotArea dataOnly="0" labelOnly="1" grandRow="1" outline="0" fieldPosition="0"/>
    </format>
    <format dxfId="1698">
      <pivotArea dataOnly="0" labelOnly="1" outline="0" axis="axisValues" fieldPosition="0"/>
    </format>
    <format dxfId="1697">
      <pivotArea type="all" dataOnly="0" outline="0" fieldPosition="0"/>
    </format>
    <format dxfId="1696">
      <pivotArea outline="0" collapsedLevelsAreSubtotals="1" fieldPosition="0"/>
    </format>
    <format dxfId="1695">
      <pivotArea dataOnly="0" labelOnly="1" grandRow="1" outline="0" fieldPosition="0"/>
    </format>
    <format dxfId="1694">
      <pivotArea dataOnly="0" labelOnly="1" outline="0" axis="axisValues" fieldPosition="0"/>
    </format>
    <format dxfId="1693">
      <pivotArea type="all" dataOnly="0" outline="0" fieldPosition="0"/>
    </format>
    <format dxfId="1692">
      <pivotArea outline="0" collapsedLevelsAreSubtotals="1" fieldPosition="0"/>
    </format>
    <format dxfId="1691">
      <pivotArea dataOnly="0" labelOnly="1" grandRow="1" outline="0" fieldPosition="0"/>
    </format>
    <format dxfId="1690">
      <pivotArea dataOnly="0" labelOnly="1" outline="0" axis="axisValues" fieldPosition="0"/>
    </format>
    <format dxfId="1689">
      <pivotArea type="all" dataOnly="0" outline="0" fieldPosition="0"/>
    </format>
    <format dxfId="1688">
      <pivotArea outline="0" collapsedLevelsAreSubtotals="1" fieldPosition="0"/>
    </format>
    <format dxfId="1687">
      <pivotArea dataOnly="0" labelOnly="1" grandRow="1" outline="0" fieldPosition="0"/>
    </format>
    <format dxfId="1686">
      <pivotArea dataOnly="0" labelOnly="1" outline="0" axis="axisValues" fieldPosition="0"/>
    </format>
    <format dxfId="1685">
      <pivotArea type="all" dataOnly="0" outline="0" fieldPosition="0"/>
    </format>
    <format dxfId="1684">
      <pivotArea outline="0" collapsedLevelsAreSubtotals="1" fieldPosition="0"/>
    </format>
    <format dxfId="1683">
      <pivotArea dataOnly="0" labelOnly="1" grandRow="1" outline="0" fieldPosition="0"/>
    </format>
    <format dxfId="1682">
      <pivotArea dataOnly="0" labelOnly="1" outline="0" axis="axisValues" fieldPosition="0"/>
    </format>
    <format dxfId="1681">
      <pivotArea type="all" dataOnly="0" outline="0" fieldPosition="0"/>
    </format>
    <format dxfId="1680">
      <pivotArea outline="0" collapsedLevelsAreSubtotals="1" fieldPosition="0"/>
    </format>
    <format dxfId="1679">
      <pivotArea dataOnly="0" labelOnly="1" grandRow="1" outline="0" fieldPosition="0"/>
    </format>
    <format dxfId="1678">
      <pivotArea dataOnly="0" labelOnly="1" outline="0" axis="axisValues" fieldPosition="0"/>
    </format>
    <format dxfId="1677">
      <pivotArea type="all" dataOnly="0" outline="0" fieldPosition="0"/>
    </format>
    <format dxfId="1676">
      <pivotArea outline="0" collapsedLevelsAreSubtotals="1" fieldPosition="0"/>
    </format>
    <format dxfId="1675">
      <pivotArea dataOnly="0" labelOnly="1" grandRow="1" outline="0" fieldPosition="0"/>
    </format>
    <format dxfId="1674">
      <pivotArea dataOnly="0" labelOnly="1" outline="0" axis="axisValues" fieldPosition="0"/>
    </format>
    <format dxfId="1673">
      <pivotArea type="all" dataOnly="0" outline="0" fieldPosition="0"/>
    </format>
    <format dxfId="1672">
      <pivotArea outline="0" collapsedLevelsAreSubtotals="1" fieldPosition="0"/>
    </format>
    <format dxfId="1671">
      <pivotArea dataOnly="0" labelOnly="1" grandRow="1" outline="0" fieldPosition="0"/>
    </format>
    <format dxfId="1670">
      <pivotArea dataOnly="0" labelOnly="1" outline="0" axis="axisValues" fieldPosition="0"/>
    </format>
    <format dxfId="1669">
      <pivotArea type="all" dataOnly="0" outline="0" fieldPosition="0"/>
    </format>
    <format dxfId="1668">
      <pivotArea type="all" dataOnly="0" outline="0" fieldPosition="0"/>
    </format>
    <format dxfId="1667">
      <pivotArea dataOnly="0" labelOnly="1" grandRow="1" outline="0" fieldPosition="0"/>
    </format>
    <format dxfId="1666">
      <pivotArea dataOnly="0" labelOnly="1" grandRow="1" outline="0" fieldPosition="0"/>
    </format>
    <format dxfId="1665">
      <pivotArea dataOnly="0" labelOnly="1" outline="0" fieldPosition="0">
        <references count="1">
          <reference field="8" count="0"/>
        </references>
      </pivotArea>
    </format>
    <format dxfId="1664">
      <pivotArea type="all" dataOnly="0" outline="0" fieldPosition="0"/>
    </format>
    <format dxfId="1663">
      <pivotArea outline="0" collapsedLevelsAreSubtotals="1" fieldPosition="0"/>
    </format>
    <format dxfId="1662">
      <pivotArea field="10" type="button" dataOnly="0" labelOnly="1" outline="0" axis="axisRow" fieldPosition="0"/>
    </format>
    <format dxfId="1661">
      <pivotArea dataOnly="0" labelOnly="1" grandRow="1" outline="0" fieldPosition="0"/>
    </format>
    <format dxfId="1660">
      <pivotArea dataOnly="0" labelOnly="1" outline="0" axis="axisValues" fieldPosition="0"/>
    </format>
    <format dxfId="1659">
      <pivotArea type="all" dataOnly="0" outline="0" fieldPosition="0"/>
    </format>
    <format dxfId="1658">
      <pivotArea type="all" dataOnly="0" outline="0" fieldPosition="0"/>
    </format>
    <format dxfId="1657">
      <pivotArea collapsedLevelsAreSubtotals="1" fieldPosition="0">
        <references count="1">
          <reference field="10" count="8">
            <x v="1"/>
            <x v="3"/>
            <x v="6"/>
            <x v="8"/>
            <x v="9"/>
            <x v="11"/>
            <x v="12"/>
            <x v="13"/>
          </reference>
        </references>
      </pivotArea>
    </format>
    <format dxfId="1656">
      <pivotArea collapsedLevelsAreSubtotals="1" fieldPosition="0">
        <references count="1">
          <reference field="10" count="7">
            <x v="1"/>
            <x v="3"/>
            <x v="6"/>
            <x v="8"/>
            <x v="9"/>
            <x v="11"/>
            <x v="12"/>
          </reference>
        </references>
      </pivotArea>
    </format>
    <format dxfId="1655">
      <pivotArea type="all" dataOnly="0" outline="0" fieldPosition="0"/>
    </format>
    <format dxfId="1654">
      <pivotArea outline="0" collapsedLevelsAreSubtotals="1" fieldPosition="0"/>
    </format>
    <format dxfId="1653">
      <pivotArea field="10" type="button" dataOnly="0" labelOnly="1" outline="0" axis="axisRow" fieldPosition="0"/>
    </format>
    <format dxfId="1652">
      <pivotArea dataOnly="0" labelOnly="1" fieldPosition="0">
        <references count="1">
          <reference field="10" count="9">
            <x v="1"/>
            <x v="3"/>
            <x v="4"/>
            <x v="6"/>
            <x v="7"/>
            <x v="8"/>
            <x v="9"/>
            <x v="11"/>
            <x v="12"/>
          </reference>
        </references>
      </pivotArea>
    </format>
    <format dxfId="1651">
      <pivotArea dataOnly="0" labelOnly="1" grandRow="1" outline="0" fieldPosition="0"/>
    </format>
    <format dxfId="1650">
      <pivotArea dataOnly="0" labelOnly="1" outline="0" axis="axisValues" fieldPosition="0"/>
    </format>
    <format dxfId="1649">
      <pivotArea type="all" dataOnly="0" outline="0" fieldPosition="0"/>
    </format>
    <format dxfId="1648">
      <pivotArea outline="0" collapsedLevelsAreSubtotals="1" fieldPosition="0"/>
    </format>
    <format dxfId="1647">
      <pivotArea field="10" type="button" dataOnly="0" labelOnly="1" outline="0" axis="axisRow" fieldPosition="0"/>
    </format>
    <format dxfId="1646">
      <pivotArea dataOnly="0" labelOnly="1" fieldPosition="0">
        <references count="1">
          <reference field="10" count="9">
            <x v="1"/>
            <x v="3"/>
            <x v="4"/>
            <x v="6"/>
            <x v="7"/>
            <x v="8"/>
            <x v="9"/>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64ACBEB6-45F2-4B75-AE91-DCDD1A0F9264}" name="PivotTable4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25:B12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763">
      <pivotArea type="all" dataOnly="0" outline="0" fieldPosition="0"/>
    </format>
    <format dxfId="1762">
      <pivotArea type="all" dataOnly="0" outline="0" fieldPosition="0"/>
    </format>
    <format dxfId="1761">
      <pivotArea type="all" dataOnly="0" outline="0" fieldPosition="0"/>
    </format>
    <format dxfId="1760">
      <pivotArea type="all" dataOnly="0" outline="0" fieldPosition="0"/>
    </format>
    <format dxfId="1759">
      <pivotArea type="all" dataOnly="0" outline="0" fieldPosition="0"/>
    </format>
    <format dxfId="1758">
      <pivotArea type="all" dataOnly="0" outline="0" fieldPosition="0"/>
    </format>
    <format dxfId="1757">
      <pivotArea type="all" dataOnly="0" outline="0" fieldPosition="0"/>
    </format>
    <format dxfId="1756">
      <pivotArea type="all" dataOnly="0" outline="0" fieldPosition="0"/>
    </format>
    <format dxfId="1755">
      <pivotArea type="all" dataOnly="0" outline="0" fieldPosition="0"/>
    </format>
    <format dxfId="1754">
      <pivotArea type="all" dataOnly="0" outline="0" fieldPosition="0"/>
    </format>
    <format dxfId="1753">
      <pivotArea type="all" dataOnly="0" outline="0" fieldPosition="0"/>
    </format>
    <format dxfId="1752">
      <pivotArea outline="0" collapsedLevelsAreSubtotals="1" fieldPosition="0"/>
    </format>
    <format dxfId="1751">
      <pivotArea dataOnly="0" labelOnly="1" outline="0" axis="axisValues" fieldPosition="0"/>
    </format>
    <format dxfId="1750">
      <pivotArea type="all" dataOnly="0" outline="0" fieldPosition="0"/>
    </format>
    <format dxfId="1749">
      <pivotArea outline="0" collapsedLevelsAreSubtotals="1" fieldPosition="0"/>
    </format>
    <format dxfId="1748">
      <pivotArea dataOnly="0" labelOnly="1" outline="0" axis="axisValues" fieldPosition="0"/>
    </format>
    <format dxfId="1747">
      <pivotArea type="all" dataOnly="0" outline="0" fieldPosition="0"/>
    </format>
    <format dxfId="1746">
      <pivotArea outline="0" collapsedLevelsAreSubtotals="1" fieldPosition="0"/>
    </format>
    <format dxfId="1745">
      <pivotArea dataOnly="0" labelOnly="1" outline="0" axis="axisValues" fieldPosition="0"/>
    </format>
    <format dxfId="1744">
      <pivotArea type="all" dataOnly="0" outline="0" fieldPosition="0"/>
    </format>
    <format dxfId="1743">
      <pivotArea outline="0" collapsedLevelsAreSubtotals="1" fieldPosition="0"/>
    </format>
    <format dxfId="1742">
      <pivotArea dataOnly="0" labelOnly="1" outline="0" axis="axisValues" fieldPosition="0"/>
    </format>
    <format dxfId="1741">
      <pivotArea type="all" dataOnly="0" outline="0" fieldPosition="0"/>
    </format>
    <format dxfId="1740">
      <pivotArea outline="0" collapsedLevelsAreSubtotals="1" fieldPosition="0"/>
    </format>
    <format dxfId="1739">
      <pivotArea dataOnly="0" labelOnly="1" outline="0" axis="axisValues" fieldPosition="0"/>
    </format>
    <format dxfId="1738">
      <pivotArea type="all" dataOnly="0" outline="0" fieldPosition="0"/>
    </format>
    <format dxfId="1737">
      <pivotArea outline="0" collapsedLevelsAreSubtotals="1" fieldPosition="0"/>
    </format>
    <format dxfId="1736">
      <pivotArea dataOnly="0" labelOnly="1" outline="0" axis="axisValues" fieldPosition="0"/>
    </format>
    <format dxfId="1735">
      <pivotArea type="all" dataOnly="0" outline="0" fieldPosition="0"/>
    </format>
    <format dxfId="1734">
      <pivotArea outline="0" collapsedLevelsAreSubtotals="1" fieldPosition="0"/>
    </format>
    <format dxfId="1733">
      <pivotArea dataOnly="0" labelOnly="1" outline="0" axis="axisValues" fieldPosition="0"/>
    </format>
    <format dxfId="1732">
      <pivotArea type="all" dataOnly="0" outline="0" fieldPosition="0"/>
    </format>
    <format dxfId="1731">
      <pivotArea outline="0" collapsedLevelsAreSubtotals="1" fieldPosition="0"/>
    </format>
    <format dxfId="1730">
      <pivotArea type="all" dataOnly="0" outline="0" fieldPosition="0"/>
    </format>
    <format dxfId="1729">
      <pivotArea outline="0" collapsedLevelsAreSubtotals="1" fieldPosition="0"/>
    </format>
    <format dxfId="1728">
      <pivotArea outline="0" collapsedLevelsAreSubtotals="1" fieldPosition="0"/>
    </format>
    <format dxfId="1727">
      <pivotArea type="all" dataOnly="0" outline="0" fieldPosition="0"/>
    </format>
    <format dxfId="1726">
      <pivotArea outline="0" collapsedLevelsAreSubtotals="1" fieldPosition="0"/>
    </format>
    <format dxfId="1725">
      <pivotArea dataOnly="0" labelOnly="1" outline="0" axis="axisValues" fieldPosition="0"/>
    </format>
    <format dxfId="172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EAAE5FDF-D808-4023-A6AB-78465D98B78A}" name="PivotTable7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82:B18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1803">
      <pivotArea type="all" dataOnly="0" outline="0" fieldPosition="0"/>
    </format>
    <format dxfId="1802">
      <pivotArea type="all" dataOnly="0" outline="0" fieldPosition="0"/>
    </format>
    <format dxfId="1801">
      <pivotArea type="all" dataOnly="0" outline="0" fieldPosition="0"/>
    </format>
    <format dxfId="1800">
      <pivotArea type="all" dataOnly="0" outline="0" fieldPosition="0"/>
    </format>
    <format dxfId="1799">
      <pivotArea type="all" dataOnly="0" outline="0" fieldPosition="0"/>
    </format>
    <format dxfId="1798">
      <pivotArea type="all" dataOnly="0" outline="0" fieldPosition="0"/>
    </format>
    <format dxfId="1797">
      <pivotArea type="all" dataOnly="0" outline="0" fieldPosition="0"/>
    </format>
    <format dxfId="1796">
      <pivotArea type="all" dataOnly="0" outline="0" fieldPosition="0"/>
    </format>
    <format dxfId="1795">
      <pivotArea type="all" dataOnly="0" outline="0" fieldPosition="0"/>
    </format>
    <format dxfId="1794">
      <pivotArea type="all" dataOnly="0" outline="0" fieldPosition="0"/>
    </format>
    <format dxfId="1793">
      <pivotArea type="all" dataOnly="0" outline="0" fieldPosition="0"/>
    </format>
    <format dxfId="1792">
      <pivotArea outline="0" collapsedLevelsAreSubtotals="1" fieldPosition="0"/>
    </format>
    <format dxfId="1791">
      <pivotArea dataOnly="0" labelOnly="1" outline="0" axis="axisValues" fieldPosition="0"/>
    </format>
    <format dxfId="1790">
      <pivotArea type="all" dataOnly="0" outline="0" fieldPosition="0"/>
    </format>
    <format dxfId="1789">
      <pivotArea outline="0" collapsedLevelsAreSubtotals="1" fieldPosition="0"/>
    </format>
    <format dxfId="1788">
      <pivotArea dataOnly="0" labelOnly="1" outline="0" axis="axisValues" fieldPosition="0"/>
    </format>
    <format dxfId="1787">
      <pivotArea type="all" dataOnly="0" outline="0" fieldPosition="0"/>
    </format>
    <format dxfId="1786">
      <pivotArea outline="0" collapsedLevelsAreSubtotals="1" fieldPosition="0"/>
    </format>
    <format dxfId="1785">
      <pivotArea dataOnly="0" labelOnly="1" outline="0" axis="axisValues" fieldPosition="0"/>
    </format>
    <format dxfId="1784">
      <pivotArea type="all" dataOnly="0" outline="0" fieldPosition="0"/>
    </format>
    <format dxfId="1783">
      <pivotArea outline="0" collapsedLevelsAreSubtotals="1" fieldPosition="0"/>
    </format>
    <format dxfId="1782">
      <pivotArea dataOnly="0" labelOnly="1" outline="0" axis="axisValues" fieldPosition="0"/>
    </format>
    <format dxfId="1781">
      <pivotArea type="all" dataOnly="0" outline="0" fieldPosition="0"/>
    </format>
    <format dxfId="1780">
      <pivotArea outline="0" collapsedLevelsAreSubtotals="1" fieldPosition="0"/>
    </format>
    <format dxfId="1779">
      <pivotArea dataOnly="0" labelOnly="1" outline="0" axis="axisValues" fieldPosition="0"/>
    </format>
    <format dxfId="1778">
      <pivotArea type="all" dataOnly="0" outline="0" fieldPosition="0"/>
    </format>
    <format dxfId="1777">
      <pivotArea outline="0" collapsedLevelsAreSubtotals="1" fieldPosition="0"/>
    </format>
    <format dxfId="1776">
      <pivotArea dataOnly="0" labelOnly="1" outline="0" axis="axisValues" fieldPosition="0"/>
    </format>
    <format dxfId="1775">
      <pivotArea type="all" dataOnly="0" outline="0" fieldPosition="0"/>
    </format>
    <format dxfId="1774">
      <pivotArea outline="0" collapsedLevelsAreSubtotals="1" fieldPosition="0"/>
    </format>
    <format dxfId="1773">
      <pivotArea dataOnly="0" labelOnly="1" outline="0" axis="axisValues" fieldPosition="0"/>
    </format>
    <format dxfId="1772">
      <pivotArea type="all" dataOnly="0" outline="0" fieldPosition="0"/>
    </format>
    <format dxfId="1771">
      <pivotArea outline="0" collapsedLevelsAreSubtotals="1" fieldPosition="0"/>
    </format>
    <format dxfId="1770">
      <pivotArea type="all" dataOnly="0" outline="0" fieldPosition="0"/>
    </format>
    <format dxfId="1769">
      <pivotArea outline="0" collapsedLevelsAreSubtotals="1" fieldPosition="0"/>
    </format>
    <format dxfId="1768">
      <pivotArea outline="0" collapsedLevelsAreSubtotals="1" fieldPosition="0"/>
    </format>
    <format dxfId="1767">
      <pivotArea type="all" dataOnly="0" outline="0" fieldPosition="0"/>
    </format>
    <format dxfId="1766">
      <pivotArea outline="0" collapsedLevelsAreSubtotals="1" fieldPosition="0"/>
    </format>
    <format dxfId="1765">
      <pivotArea dataOnly="0" labelOnly="1" outline="0" axis="axisValues" fieldPosition="0"/>
    </format>
    <format dxfId="17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87AA84DE-5834-4772-9688-A020C08A7702}" name="PivotTable7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375:F394" firstHeaderRow="1" firstDataRow="1" firstDataCol="1" rowPageCount="3" colPageCount="1"/>
  <pivotFields count="77">
    <pivotField showAll="0" defaultSubtotal="0"/>
    <pivotField showAll="0"/>
    <pivotField axis="axisPage" multipleItemSelectionAllowed="1" showAll="0" defaultSubtotal="0">
      <items count="5">
        <item h="1" x="1"/>
        <item h="1" x="2"/>
        <item h="1" x="4"/>
        <item x="0"/>
        <item x="3"/>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0">
        <item x="7"/>
        <item x="13"/>
        <item x="15"/>
        <item x="1"/>
        <item x="16"/>
        <item x="3"/>
        <item x="4"/>
        <item x="6"/>
        <item x="5"/>
        <item x="0"/>
        <item x="9"/>
        <item x="11"/>
        <item x="12"/>
        <item x="14"/>
        <item x="10"/>
        <item x="2"/>
        <item x="8"/>
        <item x="17"/>
        <item x="18"/>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0"/>
    </i>
    <i>
      <x v="11"/>
    </i>
    <i>
      <x v="12"/>
    </i>
    <i>
      <x v="13"/>
    </i>
    <i>
      <x v="14"/>
    </i>
    <i>
      <x v="15"/>
    </i>
    <i>
      <x v="16"/>
    </i>
    <i>
      <x v="17"/>
    </i>
    <i t="grand">
      <x/>
    </i>
  </rowItems>
  <colItems count="1">
    <i/>
  </colItems>
  <pageFields count="3">
    <pageField fld="8" hier="-1"/>
    <pageField fld="3" hier="-1"/>
    <pageField fld="2" hier="-1"/>
  </pageFields>
  <dataFields count="1">
    <dataField name="Sum of Net Dwellings" fld="40" baseField="0" baseItem="0"/>
  </dataFields>
  <formats count="41">
    <format dxfId="1844">
      <pivotArea type="all" dataOnly="0" outline="0" fieldPosition="0"/>
    </format>
    <format dxfId="1843">
      <pivotArea type="all" dataOnly="0" outline="0" fieldPosition="0"/>
    </format>
    <format dxfId="1842">
      <pivotArea type="all" dataOnly="0" outline="0" fieldPosition="0"/>
    </format>
    <format dxfId="1841">
      <pivotArea type="all" dataOnly="0" outline="0" fieldPosition="0"/>
    </format>
    <format dxfId="1840">
      <pivotArea type="all" dataOnly="0" outline="0" fieldPosition="0"/>
    </format>
    <format dxfId="1839">
      <pivotArea type="all" dataOnly="0" outline="0" fieldPosition="0"/>
    </format>
    <format dxfId="1838">
      <pivotArea type="all" dataOnly="0" outline="0" fieldPosition="0"/>
    </format>
    <format dxfId="1837">
      <pivotArea dataOnly="0" labelOnly="1" outline="0" fieldPosition="0">
        <references count="1">
          <reference field="4294967294" count="1">
            <x v="0"/>
          </reference>
        </references>
      </pivotArea>
    </format>
    <format dxfId="1836">
      <pivotArea dataOnly="0" labelOnly="1" outline="0" fieldPosition="0">
        <references count="1">
          <reference field="4294967294" count="1">
            <x v="0"/>
          </reference>
        </references>
      </pivotArea>
    </format>
    <format dxfId="1835">
      <pivotArea dataOnly="0" labelOnly="1" outline="0" fieldPosition="0">
        <references count="1">
          <reference field="4294967294" count="1">
            <x v="0"/>
          </reference>
        </references>
      </pivotArea>
    </format>
    <format dxfId="1834">
      <pivotArea type="all" dataOnly="0" outline="0" fieldPosition="0"/>
    </format>
    <format dxfId="1833">
      <pivotArea type="all" dataOnly="0" outline="0" fieldPosition="0"/>
    </format>
    <format dxfId="1832">
      <pivotArea type="all" dataOnly="0" outline="0" fieldPosition="0"/>
    </format>
    <format dxfId="1831">
      <pivotArea type="all" dataOnly="0" outline="0" fieldPosition="0"/>
    </format>
    <format dxfId="1830">
      <pivotArea outline="0" collapsedLevelsAreSubtotals="1" fieldPosition="0"/>
    </format>
    <format dxfId="1829">
      <pivotArea dataOnly="0" labelOnly="1" grandRow="1" outline="0" fieldPosition="0"/>
    </format>
    <format dxfId="1828">
      <pivotArea dataOnly="0" labelOnly="1" outline="0" axis="axisValues" fieldPosition="0"/>
    </format>
    <format dxfId="1827">
      <pivotArea type="all" dataOnly="0" outline="0" fieldPosition="0"/>
    </format>
    <format dxfId="1826">
      <pivotArea outline="0" collapsedLevelsAreSubtotals="1" fieldPosition="0"/>
    </format>
    <format dxfId="1825">
      <pivotArea dataOnly="0" labelOnly="1" grandRow="1" outline="0" fieldPosition="0"/>
    </format>
    <format dxfId="1824">
      <pivotArea dataOnly="0" labelOnly="1" outline="0" axis="axisValues" fieldPosition="0"/>
    </format>
    <format dxfId="1823">
      <pivotArea type="all" dataOnly="0" outline="0" fieldPosition="0"/>
    </format>
    <format dxfId="1822">
      <pivotArea outline="0" collapsedLevelsAreSubtotals="1" fieldPosition="0"/>
    </format>
    <format dxfId="1821">
      <pivotArea dataOnly="0" labelOnly="1" grandRow="1" outline="0" fieldPosition="0"/>
    </format>
    <format dxfId="1820">
      <pivotArea dataOnly="0" labelOnly="1" outline="0" axis="axisValues" fieldPosition="0"/>
    </format>
    <format dxfId="1819">
      <pivotArea type="all" dataOnly="0" outline="0" fieldPosition="0"/>
    </format>
    <format dxfId="1818">
      <pivotArea outline="0" collapsedLevelsAreSubtotals="1" fieldPosition="0"/>
    </format>
    <format dxfId="1817">
      <pivotArea field="67" type="button" dataOnly="0" labelOnly="1" outline="0" axis="axisRow" fieldPosition="0"/>
    </format>
    <format dxfId="1816">
      <pivotArea dataOnly="0" labelOnly="1" grandRow="1" outline="0" fieldPosition="0"/>
    </format>
    <format dxfId="1815">
      <pivotArea dataOnly="0" labelOnly="1" outline="0" axis="axisValues" fieldPosition="0"/>
    </format>
    <format dxfId="1814">
      <pivotArea type="all" dataOnly="0" outline="0" fieldPosition="0"/>
    </format>
    <format dxfId="1813">
      <pivotArea outline="0" collapsedLevelsAreSubtotals="1" fieldPosition="0"/>
    </format>
    <format dxfId="1812">
      <pivotArea field="67" type="button" dataOnly="0" labelOnly="1" outline="0" axis="axisRow" fieldPosition="0"/>
    </format>
    <format dxfId="1811">
      <pivotArea dataOnly="0" labelOnly="1" fieldPosition="0">
        <references count="1">
          <reference field="67" count="18">
            <x v="0"/>
            <x v="1"/>
            <x v="2"/>
            <x v="3"/>
            <x v="4"/>
            <x v="5"/>
            <x v="6"/>
            <x v="7"/>
            <x v="8"/>
            <x v="9"/>
            <x v="10"/>
            <x v="11"/>
            <x v="12"/>
            <x v="13"/>
            <x v="14"/>
            <x v="15"/>
            <x v="16"/>
            <x v="17"/>
          </reference>
        </references>
      </pivotArea>
    </format>
    <format dxfId="1810">
      <pivotArea dataOnly="0" labelOnly="1" grandRow="1" outline="0" fieldPosition="0"/>
    </format>
    <format dxfId="1809">
      <pivotArea dataOnly="0" labelOnly="1" outline="0" axis="axisValues" fieldPosition="0"/>
    </format>
    <format dxfId="1808">
      <pivotArea type="all" dataOnly="0" outline="0" fieldPosition="0"/>
    </format>
    <format dxfId="1807">
      <pivotArea outline="0" collapsedLevelsAreSubtotals="1" fieldPosition="0"/>
    </format>
    <format dxfId="1806">
      <pivotArea field="67" type="button" dataOnly="0" labelOnly="1" outline="0" axis="axisRow" fieldPosition="0"/>
    </format>
    <format dxfId="1805">
      <pivotArea dataOnly="0" labelOnly="1" grandRow="1" outline="0" fieldPosition="0"/>
    </format>
    <format dxfId="18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8D2E3B64-3854-481D-8C28-EA453025519E}" name="PivotTable7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39:I347" firstHeaderRow="0" firstDataRow="1" firstDataCol="1"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Row" multipleItemSelectionAllowed="1" showAll="0" defaultSubtotal="0">
      <items count="10">
        <item x="0"/>
        <item x="2"/>
        <item x="5"/>
        <item x="4"/>
        <item x="3"/>
        <item x="1"/>
        <item x="8"/>
        <item x="9"/>
        <item x="6"/>
        <item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8"/>
    </i>
    <i t="grand">
      <x/>
    </i>
  </rowItems>
  <colFields count="1">
    <field x="-2"/>
  </colFields>
  <colItems count="7">
    <i>
      <x/>
    </i>
    <i i="1">
      <x v="1"/>
    </i>
    <i i="2">
      <x v="2"/>
    </i>
    <i i="3">
      <x v="3"/>
    </i>
    <i i="4">
      <x v="4"/>
    </i>
    <i i="5">
      <x v="5"/>
    </i>
    <i i="6">
      <x v="6"/>
    </i>
  </colItems>
  <pageFields count="2">
    <pageField fld="8" hier="-1"/>
    <pageField fld="2" hier="-1"/>
  </pageFields>
  <dataFields count="7">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48">
    <format dxfId="1892">
      <pivotArea type="all" dataOnly="0" outline="0" fieldPosition="0"/>
    </format>
    <format dxfId="1891">
      <pivotArea type="all" dataOnly="0" outline="0" fieldPosition="0"/>
    </format>
    <format dxfId="1890">
      <pivotArea type="all" dataOnly="0" outline="0" fieldPosition="0"/>
    </format>
    <format dxfId="1889">
      <pivotArea type="all" dataOnly="0" outline="0" fieldPosition="0"/>
    </format>
    <format dxfId="1888">
      <pivotArea type="all" dataOnly="0" outline="0" fieldPosition="0"/>
    </format>
    <format dxfId="1887">
      <pivotArea type="all" dataOnly="0" outline="0" fieldPosition="0"/>
    </format>
    <format dxfId="1886">
      <pivotArea type="all" dataOnly="0" outline="0" fieldPosition="0"/>
    </format>
    <format dxfId="1885">
      <pivotArea type="all" dataOnly="0" outline="0" fieldPosition="0"/>
    </format>
    <format dxfId="1884">
      <pivotArea type="all" dataOnly="0" outline="0" fieldPosition="0"/>
    </format>
    <format dxfId="1883">
      <pivotArea type="all" dataOnly="0" outline="0" fieldPosition="0"/>
    </format>
    <format dxfId="1882">
      <pivotArea type="all" dataOnly="0" outline="0" fieldPosition="0"/>
    </format>
    <format dxfId="1881">
      <pivotArea outline="0" collapsedLevelsAreSubtotals="1" fieldPosition="0"/>
    </format>
    <format dxfId="1880">
      <pivotArea field="9" type="button" dataOnly="0" labelOnly="1" outline="0" axis="axisRow" fieldPosition="0"/>
    </format>
    <format dxfId="1879">
      <pivotArea dataOnly="0" labelOnly="1" fieldPosition="0">
        <references count="1">
          <reference field="9" count="1">
            <x v="0"/>
          </reference>
        </references>
      </pivotArea>
    </format>
    <format dxfId="1878">
      <pivotArea dataOnly="0" labelOnly="1" grandRow="1" outline="0" fieldPosition="0"/>
    </format>
    <format dxfId="1877">
      <pivotArea dataOnly="0" labelOnly="1" outline="0" fieldPosition="0">
        <references count="1">
          <reference field="4294967294" count="7">
            <x v="0"/>
            <x v="1"/>
            <x v="2"/>
            <x v="3"/>
            <x v="4"/>
            <x v="5"/>
            <x v="6"/>
          </reference>
        </references>
      </pivotArea>
    </format>
    <format dxfId="1876">
      <pivotArea type="all" dataOnly="0" outline="0" fieldPosition="0"/>
    </format>
    <format dxfId="1875">
      <pivotArea outline="0" collapsedLevelsAreSubtotals="1" fieldPosition="0"/>
    </format>
    <format dxfId="1874">
      <pivotArea field="9" type="button" dataOnly="0" labelOnly="1" outline="0" axis="axisRow" fieldPosition="0"/>
    </format>
    <format dxfId="1873">
      <pivotArea dataOnly="0" labelOnly="1" fieldPosition="0">
        <references count="1">
          <reference field="9" count="1">
            <x v="0"/>
          </reference>
        </references>
      </pivotArea>
    </format>
    <format dxfId="1872">
      <pivotArea dataOnly="0" labelOnly="1" grandRow="1" outline="0" fieldPosition="0"/>
    </format>
    <format dxfId="1871">
      <pivotArea dataOnly="0" labelOnly="1" outline="0" fieldPosition="0">
        <references count="1">
          <reference field="4294967294" count="7">
            <x v="0"/>
            <x v="1"/>
            <x v="2"/>
            <x v="3"/>
            <x v="4"/>
            <x v="5"/>
            <x v="6"/>
          </reference>
        </references>
      </pivotArea>
    </format>
    <format dxfId="1870">
      <pivotArea type="all" dataOnly="0" outline="0" fieldPosition="0"/>
    </format>
    <format dxfId="1869">
      <pivotArea outline="0" collapsedLevelsAreSubtotals="1" fieldPosition="0"/>
    </format>
    <format dxfId="1868">
      <pivotArea field="9" type="button" dataOnly="0" labelOnly="1" outline="0" axis="axisRow" fieldPosition="0"/>
    </format>
    <format dxfId="1867">
      <pivotArea dataOnly="0" labelOnly="1" fieldPosition="0">
        <references count="1">
          <reference field="9" count="1">
            <x v="0"/>
          </reference>
        </references>
      </pivotArea>
    </format>
    <format dxfId="1866">
      <pivotArea dataOnly="0" labelOnly="1" grandRow="1" outline="0" fieldPosition="0"/>
    </format>
    <format dxfId="1865">
      <pivotArea dataOnly="0" labelOnly="1" outline="0" fieldPosition="0">
        <references count="1">
          <reference field="4294967294" count="7">
            <x v="0"/>
            <x v="1"/>
            <x v="2"/>
            <x v="3"/>
            <x v="4"/>
            <x v="5"/>
            <x v="6"/>
          </reference>
        </references>
      </pivotArea>
    </format>
    <format dxfId="1864">
      <pivotArea type="all" dataOnly="0" outline="0" fieldPosition="0"/>
    </format>
    <format dxfId="1863">
      <pivotArea outline="0" collapsedLevelsAreSubtotals="1" fieldPosition="0"/>
    </format>
    <format dxfId="1862">
      <pivotArea field="9" type="button" dataOnly="0" labelOnly="1" outline="0" axis="axisRow" fieldPosition="0"/>
    </format>
    <format dxfId="1861">
      <pivotArea dataOnly="0" labelOnly="1" fieldPosition="0">
        <references count="1">
          <reference field="9" count="6">
            <x v="0"/>
            <x v="1"/>
            <x v="2"/>
            <x v="3"/>
            <x v="4"/>
            <x v="5"/>
          </reference>
        </references>
      </pivotArea>
    </format>
    <format dxfId="1860">
      <pivotArea dataOnly="0" labelOnly="1" grandRow="1" outline="0" fieldPosition="0"/>
    </format>
    <format dxfId="1859">
      <pivotArea dataOnly="0" labelOnly="1" outline="0" fieldPosition="0">
        <references count="1">
          <reference field="4294967294" count="7">
            <x v="0"/>
            <x v="1"/>
            <x v="2"/>
            <x v="3"/>
            <x v="4"/>
            <x v="5"/>
            <x v="6"/>
          </reference>
        </references>
      </pivotArea>
    </format>
    <format dxfId="1858">
      <pivotArea type="all" dataOnly="0" outline="0" fieldPosition="0"/>
    </format>
    <format dxfId="1857">
      <pivotArea type="all" dataOnly="0" outline="0" fieldPosition="0"/>
    </format>
    <format dxfId="1856">
      <pivotArea collapsedLevelsAreSubtotals="1" fieldPosition="0">
        <references count="1">
          <reference field="9" count="7">
            <x v="0"/>
            <x v="1"/>
            <x v="2"/>
            <x v="3"/>
            <x v="4"/>
            <x v="5"/>
            <x v="8"/>
          </reference>
        </references>
      </pivotArea>
    </format>
    <format dxfId="1855">
      <pivotArea type="all" dataOnly="0" outline="0" fieldPosition="0"/>
    </format>
    <format dxfId="1854">
      <pivotArea outline="0" collapsedLevelsAreSubtotals="1" fieldPosition="0"/>
    </format>
    <format dxfId="1853">
      <pivotArea field="9" type="button" dataOnly="0" labelOnly="1" outline="0" axis="axisRow" fieldPosition="0"/>
    </format>
    <format dxfId="1852">
      <pivotArea dataOnly="0" labelOnly="1" fieldPosition="0">
        <references count="1">
          <reference field="9" count="7">
            <x v="0"/>
            <x v="1"/>
            <x v="2"/>
            <x v="3"/>
            <x v="4"/>
            <x v="5"/>
            <x v="8"/>
          </reference>
        </references>
      </pivotArea>
    </format>
    <format dxfId="1851">
      <pivotArea dataOnly="0" labelOnly="1" grandRow="1" outline="0" fieldPosition="0"/>
    </format>
    <format dxfId="1850">
      <pivotArea dataOnly="0" labelOnly="1" outline="0" fieldPosition="0">
        <references count="1">
          <reference field="4294967294" count="7">
            <x v="0"/>
            <x v="1"/>
            <x v="2"/>
            <x v="3"/>
            <x v="4"/>
            <x v="5"/>
            <x v="6"/>
          </reference>
        </references>
      </pivotArea>
    </format>
    <format dxfId="1849">
      <pivotArea type="all" dataOnly="0" outline="0" fieldPosition="0"/>
    </format>
    <format dxfId="1848">
      <pivotArea outline="0" collapsedLevelsAreSubtotals="1" fieldPosition="0"/>
    </format>
    <format dxfId="1847">
      <pivotArea field="9" type="button" dataOnly="0" labelOnly="1" outline="0" axis="axisRow" fieldPosition="0"/>
    </format>
    <format dxfId="1846">
      <pivotArea dataOnly="0" labelOnly="1" fieldPosition="0">
        <references count="1">
          <reference field="9" count="7">
            <x v="0"/>
            <x v="1"/>
            <x v="2"/>
            <x v="3"/>
            <x v="4"/>
            <x v="5"/>
            <x v="8"/>
          </reference>
        </references>
      </pivotArea>
    </format>
    <format dxfId="184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7B688B5A-4137-4772-BA55-0AB51B6E7267}" name="PivotTable2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73:F292"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1"/>
    </i>
    <i>
      <x v="12"/>
    </i>
    <i>
      <x v="13"/>
    </i>
    <i>
      <x v="14"/>
    </i>
    <i>
      <x v="15"/>
    </i>
    <i>
      <x v="16"/>
    </i>
    <i>
      <x v="17"/>
    </i>
    <i>
      <x v="18"/>
    </i>
    <i t="grand">
      <x/>
    </i>
  </rowItems>
  <colItems count="1">
    <i/>
  </colItems>
  <pageFields count="1">
    <pageField fld="8" hier="-1"/>
  </pageFields>
  <dataFields count="1">
    <dataField name="Sum of Net Dwellings" fld="40" baseField="0" baseItem="0"/>
  </dataFields>
  <formats count="38">
    <format dxfId="1930">
      <pivotArea type="all" dataOnly="0" outline="0" fieldPosition="0"/>
    </format>
    <format dxfId="1929">
      <pivotArea type="all" dataOnly="0" outline="0" fieldPosition="0"/>
    </format>
    <format dxfId="1928">
      <pivotArea type="all" dataOnly="0" outline="0" fieldPosition="0"/>
    </format>
    <format dxfId="1927">
      <pivotArea type="all" dataOnly="0" outline="0" fieldPosition="0"/>
    </format>
    <format dxfId="1926">
      <pivotArea type="all" dataOnly="0" outline="0" fieldPosition="0"/>
    </format>
    <format dxfId="1925">
      <pivotArea type="all" dataOnly="0" outline="0" fieldPosition="0"/>
    </format>
    <format dxfId="1924">
      <pivotArea type="all" dataOnly="0" outline="0" fieldPosition="0"/>
    </format>
    <format dxfId="1923">
      <pivotArea type="all" dataOnly="0" outline="0" fieldPosition="0"/>
    </format>
    <format dxfId="1922">
      <pivotArea type="all" dataOnly="0" outline="0" fieldPosition="0"/>
    </format>
    <format dxfId="1921">
      <pivotArea type="all" dataOnly="0" outline="0" fieldPosition="0"/>
    </format>
    <format dxfId="1920">
      <pivotArea type="all" dataOnly="0" outline="0" fieldPosition="0"/>
    </format>
    <format dxfId="1919">
      <pivotArea outline="0" collapsedLevelsAreSubtotals="1" fieldPosition="0"/>
    </format>
    <format dxfId="1918">
      <pivotArea dataOnly="0" labelOnly="1" grandRow="1" outline="0" fieldPosition="0"/>
    </format>
    <format dxfId="1917">
      <pivotArea dataOnly="0" labelOnly="1" outline="0" axis="axisValues" fieldPosition="0"/>
    </format>
    <format dxfId="1916">
      <pivotArea type="all" dataOnly="0" outline="0" fieldPosition="0"/>
    </format>
    <format dxfId="1915">
      <pivotArea outline="0" collapsedLevelsAreSubtotals="1" fieldPosition="0"/>
    </format>
    <format dxfId="1914">
      <pivotArea dataOnly="0" labelOnly="1" grandRow="1" outline="0" fieldPosition="0"/>
    </format>
    <format dxfId="1913">
      <pivotArea dataOnly="0" labelOnly="1" outline="0" axis="axisValues" fieldPosition="0"/>
    </format>
    <format dxfId="1912">
      <pivotArea type="all" dataOnly="0" outline="0" fieldPosition="0"/>
    </format>
    <format dxfId="1911">
      <pivotArea outline="0" collapsedLevelsAreSubtotals="1" fieldPosition="0"/>
    </format>
    <format dxfId="1910">
      <pivotArea dataOnly="0" labelOnly="1" grandRow="1" outline="0" fieldPosition="0"/>
    </format>
    <format dxfId="1909">
      <pivotArea dataOnly="0" labelOnly="1" outline="0" axis="axisValues" fieldPosition="0"/>
    </format>
    <format dxfId="1908">
      <pivotArea type="all" dataOnly="0" outline="0" fieldPosition="0"/>
    </format>
    <format dxfId="1907">
      <pivotArea outline="0" collapsedLevelsAreSubtotals="1" fieldPosition="0"/>
    </format>
    <format dxfId="1906">
      <pivotArea field="67" type="button" dataOnly="0" labelOnly="1" outline="0" axis="axisRow" fieldPosition="0"/>
    </format>
    <format dxfId="1905">
      <pivotArea dataOnly="0" labelOnly="1" grandRow="1" outline="0" fieldPosition="0"/>
    </format>
    <format dxfId="1904">
      <pivotArea dataOnly="0" labelOnly="1" outline="0" axis="axisValues" fieldPosition="0"/>
    </format>
    <format dxfId="1903">
      <pivotArea type="all" dataOnly="0" outline="0" fieldPosition="0"/>
    </format>
    <format dxfId="1902">
      <pivotArea outline="0" collapsedLevelsAreSubtotals="1" fieldPosition="0"/>
    </format>
    <format dxfId="1901">
      <pivotArea field="67" type="button" dataOnly="0" labelOnly="1" outline="0" axis="axisRow" fieldPosition="0"/>
    </format>
    <format dxfId="1900">
      <pivotArea dataOnly="0" labelOnly="1" fieldPosition="0">
        <references count="1">
          <reference field="67" count="18">
            <x v="0"/>
            <x v="1"/>
            <x v="2"/>
            <x v="3"/>
            <x v="4"/>
            <x v="5"/>
            <x v="6"/>
            <x v="7"/>
            <x v="8"/>
            <x v="9"/>
            <x v="11"/>
            <x v="12"/>
            <x v="13"/>
            <x v="14"/>
            <x v="15"/>
            <x v="16"/>
            <x v="17"/>
            <x v="18"/>
          </reference>
        </references>
      </pivotArea>
    </format>
    <format dxfId="1899">
      <pivotArea dataOnly="0" labelOnly="1" grandRow="1" outline="0" fieldPosition="0"/>
    </format>
    <format dxfId="1898">
      <pivotArea dataOnly="0" labelOnly="1" outline="0" axis="axisValues" fieldPosition="0"/>
    </format>
    <format dxfId="1897">
      <pivotArea type="all" dataOnly="0" outline="0" fieldPosition="0"/>
    </format>
    <format dxfId="1896">
      <pivotArea outline="0" collapsedLevelsAreSubtotals="1" fieldPosition="0"/>
    </format>
    <format dxfId="1895">
      <pivotArea field="67" type="button" dataOnly="0" labelOnly="1" outline="0" axis="axisRow" fieldPosition="0"/>
    </format>
    <format dxfId="1894">
      <pivotArea dataOnly="0" labelOnly="1" grandRow="1" outline="0" fieldPosition="0"/>
    </format>
    <format dxfId="189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C50E73FA-6B9D-407E-9B57-C861E9693D12}" name="PivotTable4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33:H134"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h="1" x="0"/>
        <item x="2"/>
        <item h="1" x="5"/>
        <item h="1" x="4"/>
        <item h="1" x="3"/>
        <item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1970">
      <pivotArea type="all" dataOnly="0" outline="0" fieldPosition="0"/>
    </format>
    <format dxfId="1969">
      <pivotArea type="all" dataOnly="0" outline="0" fieldPosition="0"/>
    </format>
    <format dxfId="1968">
      <pivotArea type="all" dataOnly="0" outline="0" fieldPosition="0"/>
    </format>
    <format dxfId="1967">
      <pivotArea type="all" dataOnly="0" outline="0" fieldPosition="0"/>
    </format>
    <format dxfId="1966">
      <pivotArea type="all" dataOnly="0" outline="0" fieldPosition="0"/>
    </format>
    <format dxfId="1965">
      <pivotArea type="all" dataOnly="0" outline="0" fieldPosition="0"/>
    </format>
    <format dxfId="1964">
      <pivotArea type="all" dataOnly="0" outline="0" fieldPosition="0"/>
    </format>
    <format dxfId="1963">
      <pivotArea type="all" dataOnly="0" outline="0" fieldPosition="0"/>
    </format>
    <format dxfId="1962">
      <pivotArea type="all" dataOnly="0" outline="0" fieldPosition="0"/>
    </format>
    <format dxfId="1961">
      <pivotArea type="all" dataOnly="0" outline="0" fieldPosition="0"/>
    </format>
    <format dxfId="1960">
      <pivotArea type="all" dataOnly="0" outline="0" fieldPosition="0"/>
    </format>
    <format dxfId="1959">
      <pivotArea outline="0" collapsedLevelsAreSubtotals="1" fieldPosition="0"/>
    </format>
    <format dxfId="1958">
      <pivotArea dataOnly="0" labelOnly="1" outline="0" axis="axisValues" fieldPosition="0"/>
    </format>
    <format dxfId="1957">
      <pivotArea type="all" dataOnly="0" outline="0" fieldPosition="0"/>
    </format>
    <format dxfId="1956">
      <pivotArea outline="0" collapsedLevelsAreSubtotals="1" fieldPosition="0"/>
    </format>
    <format dxfId="1955">
      <pivotArea dataOnly="0" labelOnly="1" outline="0" axis="axisValues" fieldPosition="0"/>
    </format>
    <format dxfId="1954">
      <pivotArea type="all" dataOnly="0" outline="0" fieldPosition="0"/>
    </format>
    <format dxfId="1953">
      <pivotArea outline="0" collapsedLevelsAreSubtotals="1" fieldPosition="0"/>
    </format>
    <format dxfId="1952">
      <pivotArea dataOnly="0" labelOnly="1" outline="0" axis="axisValues" fieldPosition="0"/>
    </format>
    <format dxfId="1951">
      <pivotArea type="all" dataOnly="0" outline="0" fieldPosition="0"/>
    </format>
    <format dxfId="1950">
      <pivotArea outline="0" collapsedLevelsAreSubtotals="1" fieldPosition="0"/>
    </format>
    <format dxfId="1949">
      <pivotArea dataOnly="0" labelOnly="1" outline="0" axis="axisValues" fieldPosition="0"/>
    </format>
    <format dxfId="1948">
      <pivotArea type="all" dataOnly="0" outline="0" fieldPosition="0"/>
    </format>
    <format dxfId="1947">
      <pivotArea outline="0" collapsedLevelsAreSubtotals="1" fieldPosition="0"/>
    </format>
    <format dxfId="1946">
      <pivotArea dataOnly="0" labelOnly="1" outline="0" axis="axisValues" fieldPosition="0"/>
    </format>
    <format dxfId="1945">
      <pivotArea type="all" dataOnly="0" outline="0" fieldPosition="0"/>
    </format>
    <format dxfId="1944">
      <pivotArea outline="0" collapsedLevelsAreSubtotals="1" fieldPosition="0"/>
    </format>
    <format dxfId="1943">
      <pivotArea dataOnly="0" labelOnly="1" outline="0" axis="axisValues" fieldPosition="0"/>
    </format>
    <format dxfId="1942">
      <pivotArea type="all" dataOnly="0" outline="0" fieldPosition="0"/>
    </format>
    <format dxfId="1941">
      <pivotArea outline="0" collapsedLevelsAreSubtotals="1" fieldPosition="0"/>
    </format>
    <format dxfId="1940">
      <pivotArea dataOnly="0" labelOnly="1" outline="0" axis="axisValues" fieldPosition="0"/>
    </format>
    <format dxfId="1939">
      <pivotArea type="all" dataOnly="0" outline="0" fieldPosition="0"/>
    </format>
    <format dxfId="1938">
      <pivotArea outline="0" collapsedLevelsAreSubtotals="1" fieldPosition="0"/>
    </format>
    <format dxfId="1937">
      <pivotArea type="all" dataOnly="0" outline="0" fieldPosition="0"/>
    </format>
    <format dxfId="1936">
      <pivotArea outline="0" collapsedLevelsAreSubtotals="1" fieldPosition="0"/>
    </format>
    <format dxfId="1935">
      <pivotArea outline="0" collapsedLevelsAreSubtotals="1" fieldPosition="0"/>
    </format>
    <format dxfId="1934">
      <pivotArea type="all" dataOnly="0" outline="0" fieldPosition="0"/>
    </format>
    <format dxfId="1933">
      <pivotArea outline="0" collapsedLevelsAreSubtotals="1" fieldPosition="0"/>
    </format>
    <format dxfId="1932">
      <pivotArea dataOnly="0" labelOnly="1" outline="0" axis="axisValues" fieldPosition="0"/>
    </format>
    <format dxfId="193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59778869-5BDF-4B80-ACEA-31856540154B}" name="PivotTable5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15:E11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010">
      <pivotArea type="all" dataOnly="0" outline="0" fieldPosition="0"/>
    </format>
    <format dxfId="2009">
      <pivotArea type="all" dataOnly="0" outline="0" fieldPosition="0"/>
    </format>
    <format dxfId="2008">
      <pivotArea type="all" dataOnly="0" outline="0" fieldPosition="0"/>
    </format>
    <format dxfId="2007">
      <pivotArea type="all" dataOnly="0" outline="0" fieldPosition="0"/>
    </format>
    <format dxfId="2006">
      <pivotArea type="all" dataOnly="0" outline="0" fieldPosition="0"/>
    </format>
    <format dxfId="2005">
      <pivotArea type="all" dataOnly="0" outline="0" fieldPosition="0"/>
    </format>
    <format dxfId="2004">
      <pivotArea type="all" dataOnly="0" outline="0" fieldPosition="0"/>
    </format>
    <format dxfId="2003">
      <pivotArea type="all" dataOnly="0" outline="0" fieldPosition="0"/>
    </format>
    <format dxfId="2002">
      <pivotArea type="all" dataOnly="0" outline="0" fieldPosition="0"/>
    </format>
    <format dxfId="2001">
      <pivotArea type="all" dataOnly="0" outline="0" fieldPosition="0"/>
    </format>
    <format dxfId="2000">
      <pivotArea type="all" dataOnly="0" outline="0" fieldPosition="0"/>
    </format>
    <format dxfId="1999">
      <pivotArea outline="0" collapsedLevelsAreSubtotals="1" fieldPosition="0"/>
    </format>
    <format dxfId="1998">
      <pivotArea dataOnly="0" labelOnly="1" outline="0" axis="axisValues" fieldPosition="0"/>
    </format>
    <format dxfId="1997">
      <pivotArea type="all" dataOnly="0" outline="0" fieldPosition="0"/>
    </format>
    <format dxfId="1996">
      <pivotArea outline="0" collapsedLevelsAreSubtotals="1" fieldPosition="0"/>
    </format>
    <format dxfId="1995">
      <pivotArea dataOnly="0" labelOnly="1" outline="0" axis="axisValues" fieldPosition="0"/>
    </format>
    <format dxfId="1994">
      <pivotArea type="all" dataOnly="0" outline="0" fieldPosition="0"/>
    </format>
    <format dxfId="1993">
      <pivotArea outline="0" collapsedLevelsAreSubtotals="1" fieldPosition="0"/>
    </format>
    <format dxfId="1992">
      <pivotArea dataOnly="0" labelOnly="1" outline="0" axis="axisValues" fieldPosition="0"/>
    </format>
    <format dxfId="1991">
      <pivotArea type="all" dataOnly="0" outline="0" fieldPosition="0"/>
    </format>
    <format dxfId="1990">
      <pivotArea outline="0" collapsedLevelsAreSubtotals="1" fieldPosition="0"/>
    </format>
    <format dxfId="1989">
      <pivotArea dataOnly="0" labelOnly="1" outline="0" axis="axisValues" fieldPosition="0"/>
    </format>
    <format dxfId="1988">
      <pivotArea type="all" dataOnly="0" outline="0" fieldPosition="0"/>
    </format>
    <format dxfId="1987">
      <pivotArea outline="0" collapsedLevelsAreSubtotals="1" fieldPosition="0"/>
    </format>
    <format dxfId="1986">
      <pivotArea dataOnly="0" labelOnly="1" outline="0" axis="axisValues" fieldPosition="0"/>
    </format>
    <format dxfId="1985">
      <pivotArea type="all" dataOnly="0" outline="0" fieldPosition="0"/>
    </format>
    <format dxfId="1984">
      <pivotArea outline="0" collapsedLevelsAreSubtotals="1" fieldPosition="0"/>
    </format>
    <format dxfId="1983">
      <pivotArea dataOnly="0" labelOnly="1" outline="0" axis="axisValues" fieldPosition="0"/>
    </format>
    <format dxfId="1982">
      <pivotArea type="all" dataOnly="0" outline="0" fieldPosition="0"/>
    </format>
    <format dxfId="1981">
      <pivotArea outline="0" collapsedLevelsAreSubtotals="1" fieldPosition="0"/>
    </format>
    <format dxfId="1980">
      <pivotArea dataOnly="0" labelOnly="1" outline="0" axis="axisValues" fieldPosition="0"/>
    </format>
    <format dxfId="1979">
      <pivotArea type="all" dataOnly="0" outline="0" fieldPosition="0"/>
    </format>
    <format dxfId="1978">
      <pivotArea outline="0" collapsedLevelsAreSubtotals="1" fieldPosition="0"/>
    </format>
    <format dxfId="1977">
      <pivotArea type="all" dataOnly="0" outline="0" fieldPosition="0"/>
    </format>
    <format dxfId="1976">
      <pivotArea outline="0" collapsedLevelsAreSubtotals="1" fieldPosition="0"/>
    </format>
    <format dxfId="1975">
      <pivotArea outline="0" collapsedLevelsAreSubtotals="1" fieldPosition="0"/>
    </format>
    <format dxfId="1974">
      <pivotArea type="all" dataOnly="0" outline="0" fieldPosition="0"/>
    </format>
    <format dxfId="1973">
      <pivotArea outline="0" collapsedLevelsAreSubtotals="1" fieldPosition="0"/>
    </format>
    <format dxfId="1972">
      <pivotArea dataOnly="0" labelOnly="1" outline="0" axis="axisValues" fieldPosition="0"/>
    </format>
    <format dxfId="197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6B4E2711-93BC-4E4A-8665-8619D8D529C8}" name="PivotTable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3:B24" firstHeaderRow="1" firstDataRow="1" firstDataCol="0" rowPageCount="3" colPageCount="1"/>
  <pivotFields count="77">
    <pivotField showAll="0"/>
    <pivotField showAll="0"/>
    <pivotField axis="axisPage" multipleItemSelectionAllowed="1" showAll="0" defaultSubtotal="0">
      <items count="5">
        <item h="1" x="1"/>
        <item h="1" x="2"/>
        <item h="1" x="4"/>
        <item x="0"/>
        <item x="3"/>
      </items>
    </pivotField>
    <pivotField showAll="0"/>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axis="axisPage" showAll="0">
      <items count="11">
        <item x="9"/>
        <item x="2"/>
        <item x="7"/>
        <item x="5"/>
        <item x="1"/>
        <item x="6"/>
        <item x="0"/>
        <item x="8"/>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2" hier="-1"/>
    <pageField fld="8" hier="-1"/>
    <pageField fld="9" hier="-1"/>
  </pageFields>
  <dataFields count="1">
    <dataField name="Sum of Net Dwellings" fld="40" baseField="0" baseItem="0" numFmtId="1"/>
  </dataFields>
  <formats count="44">
    <format dxfId="2054">
      <pivotArea type="all" dataOnly="0" outline="0" fieldPosition="0"/>
    </format>
    <format dxfId="2053">
      <pivotArea type="all" dataOnly="0" outline="0" fieldPosition="0"/>
    </format>
    <format dxfId="2052">
      <pivotArea type="all" dataOnly="0" outline="0" fieldPosition="0"/>
    </format>
    <format dxfId="2051">
      <pivotArea type="all" dataOnly="0" outline="0" fieldPosition="0"/>
    </format>
    <format dxfId="2050">
      <pivotArea type="all" dataOnly="0" outline="0" fieldPosition="0"/>
    </format>
    <format dxfId="2049">
      <pivotArea type="all" dataOnly="0" outline="0" fieldPosition="0"/>
    </format>
    <format dxfId="2048">
      <pivotArea type="all" dataOnly="0" outline="0" fieldPosition="0"/>
    </format>
    <format dxfId="2047">
      <pivotArea type="all" dataOnly="0" outline="0" fieldPosition="0"/>
    </format>
    <format dxfId="2046">
      <pivotArea type="all" dataOnly="0" outline="0" fieldPosition="0"/>
    </format>
    <format dxfId="2045">
      <pivotArea type="all" dataOnly="0" outline="0" fieldPosition="0"/>
    </format>
    <format dxfId="2044">
      <pivotArea type="all" dataOnly="0" outline="0" fieldPosition="0"/>
    </format>
    <format dxfId="2043">
      <pivotArea outline="0" collapsedLevelsAreSubtotals="1" fieldPosition="0"/>
    </format>
    <format dxfId="2042">
      <pivotArea dataOnly="0" labelOnly="1" outline="0" axis="axisValues" fieldPosition="0"/>
    </format>
    <format dxfId="2041">
      <pivotArea type="all" dataOnly="0" outline="0" fieldPosition="0"/>
    </format>
    <format dxfId="2040">
      <pivotArea outline="0" collapsedLevelsAreSubtotals="1" fieldPosition="0"/>
    </format>
    <format dxfId="2039">
      <pivotArea dataOnly="0" labelOnly="1" outline="0" axis="axisValues" fieldPosition="0"/>
    </format>
    <format dxfId="2038">
      <pivotArea type="all" dataOnly="0" outline="0" fieldPosition="0"/>
    </format>
    <format dxfId="2037">
      <pivotArea outline="0" collapsedLevelsAreSubtotals="1" fieldPosition="0"/>
    </format>
    <format dxfId="2036">
      <pivotArea dataOnly="0" labelOnly="1" outline="0" axis="axisValues" fieldPosition="0"/>
    </format>
    <format dxfId="2035">
      <pivotArea type="all" dataOnly="0" outline="0" fieldPosition="0"/>
    </format>
    <format dxfId="2034">
      <pivotArea outline="0" collapsedLevelsAreSubtotals="1" fieldPosition="0"/>
    </format>
    <format dxfId="2033">
      <pivotArea dataOnly="0" labelOnly="1" outline="0" axis="axisValues" fieldPosition="0"/>
    </format>
    <format dxfId="2032">
      <pivotArea outline="0" collapsedLevelsAreSubtotals="1" fieldPosition="0"/>
    </format>
    <format dxfId="2031">
      <pivotArea outline="0" collapsedLevelsAreSubtotals="1" fieldPosition="0"/>
    </format>
    <format dxfId="2030">
      <pivotArea type="all" dataOnly="0" outline="0" fieldPosition="0"/>
    </format>
    <format dxfId="2029">
      <pivotArea outline="0" collapsedLevelsAreSubtotals="1" fieldPosition="0"/>
    </format>
    <format dxfId="2028">
      <pivotArea dataOnly="0" labelOnly="1" outline="0" axis="axisValues" fieldPosition="0"/>
    </format>
    <format dxfId="2027">
      <pivotArea type="all" dataOnly="0" outline="0" fieldPosition="0"/>
    </format>
    <format dxfId="2026">
      <pivotArea outline="0" collapsedLevelsAreSubtotals="1" fieldPosition="0"/>
    </format>
    <format dxfId="2025">
      <pivotArea dataOnly="0" labelOnly="1" outline="0" axis="axisValues" fieldPosition="0"/>
    </format>
    <format dxfId="2024">
      <pivotArea type="all" dataOnly="0" outline="0" fieldPosition="0"/>
    </format>
    <format dxfId="2023">
      <pivotArea outline="0" collapsedLevelsAreSubtotals="1" fieldPosition="0"/>
    </format>
    <format dxfId="2022">
      <pivotArea dataOnly="0" labelOnly="1" outline="0" axis="axisValues" fieldPosition="0"/>
    </format>
    <format dxfId="2021">
      <pivotArea type="all" dataOnly="0" outline="0" fieldPosition="0"/>
    </format>
    <format dxfId="2020">
      <pivotArea outline="0" collapsedLevelsAreSubtotals="1" fieldPosition="0"/>
    </format>
    <format dxfId="2019">
      <pivotArea type="all" dataOnly="0" outline="0" fieldPosition="0"/>
    </format>
    <format dxfId="2018">
      <pivotArea outline="0" collapsedLevelsAreSubtotals="1" fieldPosition="0"/>
    </format>
    <format dxfId="2017">
      <pivotArea outline="0" collapsedLevelsAreSubtotals="1" fieldPosition="0"/>
    </format>
    <format dxfId="2016">
      <pivotArea outline="0" collapsedLevelsAreSubtotals="1" fieldPosition="0"/>
    </format>
    <format dxfId="2015">
      <pivotArea outline="0" collapsedLevelsAreSubtotals="1" fieldPosition="0"/>
    </format>
    <format dxfId="2014">
      <pivotArea type="all" dataOnly="0" outline="0" fieldPosition="0"/>
    </format>
    <format dxfId="2013">
      <pivotArea outline="0" collapsedLevelsAreSubtotals="1" fieldPosition="0"/>
    </format>
    <format dxfId="2012">
      <pivotArea dataOnly="0" labelOnly="1" outline="0" axis="axisValues" fieldPosition="0"/>
    </format>
    <format dxfId="201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AB256D5-C97A-4D97-9EE8-724CD3CD46DE}" name="PivotTable34" cacheId="1"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61:F264"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m="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s>
  <rowFields count="1">
    <field x="71"/>
  </rowFields>
  <rowItems count="3">
    <i>
      <x/>
    </i>
    <i>
      <x v="1"/>
    </i>
    <i t="grand">
      <x/>
    </i>
  </rowItems>
  <colItems count="1">
    <i/>
  </colItems>
  <pageFields count="1">
    <pageField fld="8" hier="-1"/>
  </pageFields>
  <dataFields count="1">
    <dataField name="Sum of Net Dwellings" fld="40" baseField="0" baseItem="0"/>
  </dataFields>
  <formats count="36">
    <format dxfId="208">
      <pivotArea type="all" dataOnly="0" outline="0" fieldPosition="0"/>
    </format>
    <format dxfId="207">
      <pivotArea type="all" dataOnly="0" outline="0" fieldPosition="0"/>
    </format>
    <format dxfId="206">
      <pivotArea type="all" dataOnly="0" outline="0" fieldPosition="0"/>
    </format>
    <format dxfId="205">
      <pivotArea type="all" dataOnly="0" outline="0" fieldPosition="0"/>
    </format>
    <format dxfId="204">
      <pivotArea type="all" dataOnly="0" outline="0" fieldPosition="0"/>
    </format>
    <format dxfId="203">
      <pivotArea type="all" dataOnly="0" outline="0" fieldPosition="0"/>
    </format>
    <format dxfId="202">
      <pivotArea type="all" dataOnly="0" outline="0" fieldPosition="0"/>
    </format>
    <format dxfId="201">
      <pivotArea type="all" dataOnly="0" outline="0" fieldPosition="0"/>
    </format>
    <format dxfId="200">
      <pivotArea type="all" dataOnly="0" outline="0" fieldPosition="0"/>
    </format>
    <format dxfId="199">
      <pivotArea type="all" dataOnly="0" outline="0" fieldPosition="0"/>
    </format>
    <format dxfId="198">
      <pivotArea type="all" dataOnly="0" outline="0" fieldPosition="0"/>
    </format>
    <format dxfId="197">
      <pivotArea outline="0" collapsedLevelsAreSubtotals="1" fieldPosition="0"/>
    </format>
    <format dxfId="196">
      <pivotArea dataOnly="0" labelOnly="1" grandRow="1" outline="0" fieldPosition="0"/>
    </format>
    <format dxfId="195">
      <pivotArea dataOnly="0" labelOnly="1" outline="0" axis="axisValues" fieldPosition="0"/>
    </format>
    <format dxfId="194">
      <pivotArea type="all" dataOnly="0" outline="0" fieldPosition="0"/>
    </format>
    <format dxfId="193">
      <pivotArea outline="0" collapsedLevelsAreSubtotals="1" fieldPosition="0"/>
    </format>
    <format dxfId="192">
      <pivotArea dataOnly="0" labelOnly="1" grandRow="1" outline="0" fieldPosition="0"/>
    </format>
    <format dxfId="191">
      <pivotArea dataOnly="0" labelOnly="1" outline="0" axis="axisValues" fieldPosition="0"/>
    </format>
    <format dxfId="190">
      <pivotArea type="all" dataOnly="0" outline="0" fieldPosition="0"/>
    </format>
    <format dxfId="189">
      <pivotArea outline="0" collapsedLevelsAreSubtotals="1" fieldPosition="0"/>
    </format>
    <format dxfId="188">
      <pivotArea dataOnly="0" labelOnly="1" grandRow="1" outline="0" fieldPosition="0"/>
    </format>
    <format dxfId="187">
      <pivotArea dataOnly="0" labelOnly="1" outline="0" axis="axisValues" fieldPosition="0"/>
    </format>
    <format dxfId="186">
      <pivotArea type="all" dataOnly="0" outline="0" fieldPosition="0"/>
    </format>
    <format dxfId="185">
      <pivotArea outline="0" collapsedLevelsAreSubtotals="1" fieldPosition="0"/>
    </format>
    <format dxfId="184">
      <pivotArea dataOnly="0" labelOnly="1" grandRow="1" outline="0" fieldPosition="0"/>
    </format>
    <format dxfId="183">
      <pivotArea dataOnly="0" labelOnly="1" outline="0" axis="axisValues" fieldPosition="0"/>
    </format>
    <format dxfId="182">
      <pivotArea type="all" dataOnly="0" outline="0" fieldPosition="0"/>
    </format>
    <format dxfId="181">
      <pivotArea outline="0" collapsedLevelsAreSubtotals="1" fieldPosition="0"/>
    </format>
    <format dxfId="180">
      <pivotArea field="71" type="button" dataOnly="0" labelOnly="1" outline="0" axis="axisRow" fieldPosition="0"/>
    </format>
    <format dxfId="179">
      <pivotArea dataOnly="0" labelOnly="1" fieldPosition="0">
        <references count="1">
          <reference field="71" count="0"/>
        </references>
      </pivotArea>
    </format>
    <format dxfId="178">
      <pivotArea dataOnly="0" labelOnly="1" grandRow="1" outline="0" fieldPosition="0"/>
    </format>
    <format dxfId="177">
      <pivotArea dataOnly="0" labelOnly="1" outline="0" axis="axisValues" fieldPosition="0"/>
    </format>
    <format dxfId="176">
      <pivotArea type="all" dataOnly="0" outline="0" fieldPosition="0"/>
    </format>
    <format dxfId="175">
      <pivotArea outline="0" collapsedLevelsAreSubtotals="1" fieldPosition="0"/>
    </format>
    <format dxfId="174">
      <pivotArea dataOnly="0" labelOnly="1" grandRow="1" outline="0" fieldPosition="0"/>
    </format>
    <format dxfId="17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59A40835-40F4-4BC8-9AC2-61872E6343B1}" name="PivotTable4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07:B108"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2"/>
        <item x="5"/>
        <item x="4"/>
        <item x="3"/>
        <item x="1"/>
        <item h="1" x="6"/>
        <item h="1" x="7"/>
        <item h="1" x="0"/>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094">
      <pivotArea type="all" dataOnly="0" outline="0" fieldPosition="0"/>
    </format>
    <format dxfId="2093">
      <pivotArea type="all" dataOnly="0" outline="0" fieldPosition="0"/>
    </format>
    <format dxfId="2092">
      <pivotArea type="all" dataOnly="0" outline="0" fieldPosition="0"/>
    </format>
    <format dxfId="2091">
      <pivotArea type="all" dataOnly="0" outline="0" fieldPosition="0"/>
    </format>
    <format dxfId="2090">
      <pivotArea type="all" dataOnly="0" outline="0" fieldPosition="0"/>
    </format>
    <format dxfId="2089">
      <pivotArea type="all" dataOnly="0" outline="0" fieldPosition="0"/>
    </format>
    <format dxfId="2088">
      <pivotArea type="all" dataOnly="0" outline="0" fieldPosition="0"/>
    </format>
    <format dxfId="2087">
      <pivotArea type="all" dataOnly="0" outline="0" fieldPosition="0"/>
    </format>
    <format dxfId="2086">
      <pivotArea type="all" dataOnly="0" outline="0" fieldPosition="0"/>
    </format>
    <format dxfId="2085">
      <pivotArea type="all" dataOnly="0" outline="0" fieldPosition="0"/>
    </format>
    <format dxfId="2084">
      <pivotArea type="all" dataOnly="0" outline="0" fieldPosition="0"/>
    </format>
    <format dxfId="2083">
      <pivotArea outline="0" collapsedLevelsAreSubtotals="1" fieldPosition="0"/>
    </format>
    <format dxfId="2082">
      <pivotArea dataOnly="0" labelOnly="1" outline="0" axis="axisValues" fieldPosition="0"/>
    </format>
    <format dxfId="2081">
      <pivotArea type="all" dataOnly="0" outline="0" fieldPosition="0"/>
    </format>
    <format dxfId="2080">
      <pivotArea outline="0" collapsedLevelsAreSubtotals="1" fieldPosition="0"/>
    </format>
    <format dxfId="2079">
      <pivotArea dataOnly="0" labelOnly="1" outline="0" axis="axisValues" fieldPosition="0"/>
    </format>
    <format dxfId="2078">
      <pivotArea type="all" dataOnly="0" outline="0" fieldPosition="0"/>
    </format>
    <format dxfId="2077">
      <pivotArea outline="0" collapsedLevelsAreSubtotals="1" fieldPosition="0"/>
    </format>
    <format dxfId="2076">
      <pivotArea dataOnly="0" labelOnly="1" outline="0" axis="axisValues" fieldPosition="0"/>
    </format>
    <format dxfId="2075">
      <pivotArea type="all" dataOnly="0" outline="0" fieldPosition="0"/>
    </format>
    <format dxfId="2074">
      <pivotArea outline="0" collapsedLevelsAreSubtotals="1" fieldPosition="0"/>
    </format>
    <format dxfId="2073">
      <pivotArea dataOnly="0" labelOnly="1" outline="0" axis="axisValues" fieldPosition="0"/>
    </format>
    <format dxfId="2072">
      <pivotArea type="all" dataOnly="0" outline="0" fieldPosition="0"/>
    </format>
    <format dxfId="2071">
      <pivotArea outline="0" collapsedLevelsAreSubtotals="1" fieldPosition="0"/>
    </format>
    <format dxfId="2070">
      <pivotArea dataOnly="0" labelOnly="1" outline="0" axis="axisValues" fieldPosition="0"/>
    </format>
    <format dxfId="2069">
      <pivotArea type="all" dataOnly="0" outline="0" fieldPosition="0"/>
    </format>
    <format dxfId="2068">
      <pivotArea outline="0" collapsedLevelsAreSubtotals="1" fieldPosition="0"/>
    </format>
    <format dxfId="2067">
      <pivotArea dataOnly="0" labelOnly="1" outline="0" axis="axisValues" fieldPosition="0"/>
    </format>
    <format dxfId="2066">
      <pivotArea type="all" dataOnly="0" outline="0" fieldPosition="0"/>
    </format>
    <format dxfId="2065">
      <pivotArea outline="0" collapsedLevelsAreSubtotals="1" fieldPosition="0"/>
    </format>
    <format dxfId="2064">
      <pivotArea dataOnly="0" labelOnly="1" outline="0" axis="axisValues" fieldPosition="0"/>
    </format>
    <format dxfId="2063">
      <pivotArea type="all" dataOnly="0" outline="0" fieldPosition="0"/>
    </format>
    <format dxfId="2062">
      <pivotArea outline="0" collapsedLevelsAreSubtotals="1" fieldPosition="0"/>
    </format>
    <format dxfId="2061">
      <pivotArea type="all" dataOnly="0" outline="0" fieldPosition="0"/>
    </format>
    <format dxfId="2060">
      <pivotArea outline="0" collapsedLevelsAreSubtotals="1" fieldPosition="0"/>
    </format>
    <format dxfId="2059">
      <pivotArea outline="0" collapsedLevelsAreSubtotals="1" fieldPosition="0"/>
    </format>
    <format dxfId="2058">
      <pivotArea type="all" dataOnly="0" outline="0" fieldPosition="0"/>
    </format>
    <format dxfId="2057">
      <pivotArea outline="0" collapsedLevelsAreSubtotals="1" fieldPosition="0"/>
    </format>
    <format dxfId="2056">
      <pivotArea dataOnly="0" labelOnly="1" outline="0" axis="axisValues" fieldPosition="0"/>
    </format>
    <format dxfId="205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B5A38E90-7F87-49D2-9563-72078E72088F}" name="PivotTable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6:B7" firstHeaderRow="1" firstDataRow="1" firstDataCol="0" rowPageCount="1" colPageCount="1"/>
  <pivotFields count="77">
    <pivotField showAll="0"/>
    <pivotField showAll="0"/>
    <pivotField multipleItemSelectionAllowed="1" showAll="0" defaultSubtotal="0"/>
    <pivotField showAll="0"/>
    <pivotField numFmtId="14" showAll="0"/>
    <pivotField numFmtId="14" showAll="0"/>
    <pivotField showAll="0" defaultSubtotal="0"/>
    <pivotField showAll="0" defaultSubtotal="0"/>
    <pivotField axis="axisPage" multipleItemSelectionAllowed="1" showAll="0">
      <items count="8">
        <item x="0"/>
        <item h="1" x="1"/>
        <item h="1"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8" hier="-1"/>
  </pageFields>
  <dataFields count="1">
    <dataField name="Sum of Net Dwellings" fld="40" baseField="0" baseItem="0"/>
  </dataFields>
  <formats count="43">
    <format dxfId="2137">
      <pivotArea type="all" dataOnly="0" outline="0" fieldPosition="0"/>
    </format>
    <format dxfId="2136">
      <pivotArea type="all" dataOnly="0" outline="0" fieldPosition="0"/>
    </format>
    <format dxfId="2135">
      <pivotArea type="all" dataOnly="0" outline="0" fieldPosition="0"/>
    </format>
    <format dxfId="2134">
      <pivotArea type="all" dataOnly="0" outline="0" fieldPosition="0"/>
    </format>
    <format dxfId="2133">
      <pivotArea type="all" dataOnly="0" outline="0" fieldPosition="0"/>
    </format>
    <format dxfId="2132">
      <pivotArea type="all" dataOnly="0" outline="0" fieldPosition="0"/>
    </format>
    <format dxfId="2131">
      <pivotArea type="all" dataOnly="0" outline="0" fieldPosition="0"/>
    </format>
    <format dxfId="2130">
      <pivotArea type="all" dataOnly="0" outline="0" fieldPosition="0"/>
    </format>
    <format dxfId="2129">
      <pivotArea type="all" dataOnly="0" outline="0" fieldPosition="0"/>
    </format>
    <format dxfId="2128">
      <pivotArea type="all" dataOnly="0" outline="0" fieldPosition="0"/>
    </format>
    <format dxfId="2127">
      <pivotArea type="all" dataOnly="0" outline="0" fieldPosition="0"/>
    </format>
    <format dxfId="2126">
      <pivotArea outline="0" collapsedLevelsAreSubtotals="1" fieldPosition="0"/>
    </format>
    <format dxfId="2125">
      <pivotArea dataOnly="0" labelOnly="1" outline="0" axis="axisValues" fieldPosition="0"/>
    </format>
    <format dxfId="2124">
      <pivotArea type="all" dataOnly="0" outline="0" fieldPosition="0"/>
    </format>
    <format dxfId="2123">
      <pivotArea outline="0" collapsedLevelsAreSubtotals="1" fieldPosition="0"/>
    </format>
    <format dxfId="2122">
      <pivotArea dataOnly="0" labelOnly="1" outline="0" axis="axisValues" fieldPosition="0"/>
    </format>
    <format dxfId="2121">
      <pivotArea type="all" dataOnly="0" outline="0" fieldPosition="0"/>
    </format>
    <format dxfId="2120">
      <pivotArea outline="0" collapsedLevelsAreSubtotals="1" fieldPosition="0"/>
    </format>
    <format dxfId="2119">
      <pivotArea dataOnly="0" labelOnly="1" outline="0" axis="axisValues" fieldPosition="0"/>
    </format>
    <format dxfId="2118">
      <pivotArea type="all" dataOnly="0" outline="0" fieldPosition="0"/>
    </format>
    <format dxfId="2117">
      <pivotArea outline="0" collapsedLevelsAreSubtotals="1" fieldPosition="0"/>
    </format>
    <format dxfId="2116">
      <pivotArea dataOnly="0" labelOnly="1" outline="0" axis="axisValues" fieldPosition="0"/>
    </format>
    <format dxfId="2115">
      <pivotArea type="all" dataOnly="0" outline="0" fieldPosition="0"/>
    </format>
    <format dxfId="2114">
      <pivotArea outline="0" collapsedLevelsAreSubtotals="1" fieldPosition="0"/>
    </format>
    <format dxfId="2113">
      <pivotArea dataOnly="0" labelOnly="1" outline="0" axis="axisValues" fieldPosition="0"/>
    </format>
    <format dxfId="2112">
      <pivotArea type="all" dataOnly="0" outline="0" fieldPosition="0"/>
    </format>
    <format dxfId="2111">
      <pivotArea outline="0" collapsedLevelsAreSubtotals="1" fieldPosition="0"/>
    </format>
    <format dxfId="2110">
      <pivotArea dataOnly="0" labelOnly="1" outline="0" axis="axisValues" fieldPosition="0"/>
    </format>
    <format dxfId="2109">
      <pivotArea type="all" dataOnly="0" outline="0" fieldPosition="0"/>
    </format>
    <format dxfId="2108">
      <pivotArea outline="0" collapsedLevelsAreSubtotals="1" fieldPosition="0"/>
    </format>
    <format dxfId="2107">
      <pivotArea outline="0" collapsedLevelsAreSubtotals="1" fieldPosition="0"/>
    </format>
    <format dxfId="2106">
      <pivotArea type="all" dataOnly="0" outline="0" fieldPosition="0"/>
    </format>
    <format dxfId="2105">
      <pivotArea outline="0" collapsedLevelsAreSubtotals="1" fieldPosition="0"/>
    </format>
    <format dxfId="2104">
      <pivotArea dataOnly="0" labelOnly="1" outline="0" axis="axisValues" fieldPosition="0"/>
    </format>
    <format dxfId="2103">
      <pivotArea type="all" dataOnly="0" outline="0" fieldPosition="0"/>
    </format>
    <format dxfId="2102">
      <pivotArea outline="0" collapsedLevelsAreSubtotals="1" fieldPosition="0"/>
    </format>
    <format dxfId="2101">
      <pivotArea type="all" dataOnly="0" outline="0" fieldPosition="0"/>
    </format>
    <format dxfId="2100">
      <pivotArea outline="0" collapsedLevelsAreSubtotals="1" fieldPosition="0"/>
    </format>
    <format dxfId="2099">
      <pivotArea outline="0" collapsedLevelsAreSubtotals="1" fieldPosition="0"/>
    </format>
    <format dxfId="2098">
      <pivotArea type="all" dataOnly="0" outline="0" fieldPosition="0"/>
    </format>
    <format dxfId="2097">
      <pivotArea outline="0" collapsedLevelsAreSubtotals="1" fieldPosition="0"/>
    </format>
    <format dxfId="2096">
      <pivotArea dataOnly="0" labelOnly="1" outline="0" axis="axisValues" fieldPosition="0"/>
    </format>
    <format dxfId="209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220B4904-5C93-4D46-800B-29AA4C977587}" name="PivotTable31" cacheId="0"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41:K442" firstHeaderRow="0" firstDataRow="1" firstDataCol="0" rowPageCount="1" colPageCount="1"/>
  <pivotFields count="44">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x="2"/>
        <item x="3"/>
        <item x="4"/>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1">
    <pageField fld="7" hier="-1"/>
  </pageFields>
  <dataFields count="10">
    <dataField name="Sum of 2023/24 (1)" fld="32" baseField="0" baseItem="0"/>
    <dataField name="Sum of 2024/25 (2)" fld="33" baseField="0" baseItem="0"/>
    <dataField name="Sum of 2025/26 (3)" fld="34" baseField="0" baseItem="0"/>
    <dataField name="Sum of 2026/27 (4)" fld="35" baseField="0" baseItem="0"/>
    <dataField name="Sum of 2027/28 (5)" fld="36" baseField="0" baseItem="0"/>
    <dataField name="Sum of 2028/29 (6)" fld="37" baseField="0" baseItem="0"/>
    <dataField name="Sum of 2029/30 (7)" fld="38" baseField="0" baseItem="0"/>
    <dataField name="Sum of 2030/31 (8)" fld="39" baseField="0" baseItem="0"/>
    <dataField name="Sum of 2031/32 (9)" fld="40" baseField="0" baseItem="0"/>
    <dataField name="Sum of 2032/33 (10)" fld="41" baseField="0" baseItem="0"/>
  </dataFields>
  <formats count="27">
    <format dxfId="2164">
      <pivotArea type="all" dataOnly="0" outline="0" fieldPosition="0"/>
    </format>
    <format dxfId="2163">
      <pivotArea type="all" dataOnly="0" outline="0" fieldPosition="0"/>
    </format>
    <format dxfId="2162">
      <pivotArea type="all" dataOnly="0" outline="0" fieldPosition="0"/>
    </format>
    <format dxfId="2161">
      <pivotArea type="all" dataOnly="0" outline="0" fieldPosition="0"/>
    </format>
    <format dxfId="2160">
      <pivotArea type="all" dataOnly="0" outline="0" fieldPosition="0"/>
    </format>
    <format dxfId="2159">
      <pivotArea type="all" dataOnly="0" outline="0" fieldPosition="0"/>
    </format>
    <format dxfId="2158">
      <pivotArea type="all" dataOnly="0" outline="0" fieldPosition="0"/>
    </format>
    <format dxfId="2157">
      <pivotArea outline="0" collapsedLevelsAreSubtotals="1" fieldPosition="0"/>
    </format>
    <format dxfId="2156">
      <pivotArea type="all" dataOnly="0" outline="0" fieldPosition="0"/>
    </format>
    <format dxfId="2155">
      <pivotArea type="all" dataOnly="0" outline="0" fieldPosition="0"/>
    </format>
    <format dxfId="2154">
      <pivotArea type="all" dataOnly="0" outline="0" fieldPosition="0"/>
    </format>
    <format dxfId="2153">
      <pivotArea type="all" dataOnly="0" outline="0" fieldPosition="0"/>
    </format>
    <format dxfId="2152">
      <pivotArea outline="0" collapsedLevelsAreSubtotals="1" fieldPosition="0"/>
    </format>
    <format dxfId="2151">
      <pivotArea type="all" dataOnly="0" outline="0" fieldPosition="0"/>
    </format>
    <format dxfId="2150">
      <pivotArea outline="0" collapsedLevelsAreSubtotals="1" fieldPosition="0"/>
    </format>
    <format dxfId="2149">
      <pivotArea type="all" dataOnly="0" outline="0" fieldPosition="0"/>
    </format>
    <format dxfId="2148">
      <pivotArea outline="0" collapsedLevelsAreSubtotals="1" fieldPosition="0"/>
    </format>
    <format dxfId="2147">
      <pivotArea type="all" dataOnly="0" outline="0" fieldPosition="0"/>
    </format>
    <format dxfId="2146">
      <pivotArea outline="0" collapsedLevelsAreSubtotals="1" fieldPosition="0"/>
    </format>
    <format dxfId="2145">
      <pivotArea type="all" dataOnly="0" outline="0" fieldPosition="0"/>
    </format>
    <format dxfId="2144">
      <pivotArea outline="0" collapsedLevelsAreSubtotals="1" fieldPosition="0"/>
    </format>
    <format dxfId="2143">
      <pivotArea type="all" dataOnly="0" outline="0" fieldPosition="0"/>
    </format>
    <format dxfId="2142">
      <pivotArea outline="0" collapsedLevelsAreSubtotals="1" fieldPosition="0"/>
    </format>
    <format dxfId="2141">
      <pivotArea outline="0" collapsedLevelsAreSubtotals="1" fieldPosition="0"/>
    </format>
    <format dxfId="2140">
      <pivotArea type="all" dataOnly="0" outline="0" fieldPosition="0"/>
    </format>
    <format dxfId="2139">
      <pivotArea outline="0" collapsedLevelsAreSubtotals="1" fieldPosition="0"/>
    </format>
    <format dxfId="2138">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8433CBD6-C219-4F06-8A94-41BF86EFA283}" name="PivotTable1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80:E81"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0">
    <format dxfId="2204">
      <pivotArea type="all" dataOnly="0" outline="0" fieldPosition="0"/>
    </format>
    <format dxfId="2203">
      <pivotArea type="all" dataOnly="0" outline="0" fieldPosition="0"/>
    </format>
    <format dxfId="2202">
      <pivotArea type="all" dataOnly="0" outline="0" fieldPosition="0"/>
    </format>
    <format dxfId="2201">
      <pivotArea type="all" dataOnly="0" outline="0" fieldPosition="0"/>
    </format>
    <format dxfId="2200">
      <pivotArea type="all" dataOnly="0" outline="0" fieldPosition="0"/>
    </format>
    <format dxfId="2199">
      <pivotArea type="all" dataOnly="0" outline="0" fieldPosition="0"/>
    </format>
    <format dxfId="2198">
      <pivotArea type="all" dataOnly="0" outline="0" fieldPosition="0"/>
    </format>
    <format dxfId="2197">
      <pivotArea type="all" dataOnly="0" outline="0" fieldPosition="0"/>
    </format>
    <format dxfId="2196">
      <pivotArea type="all" dataOnly="0" outline="0" fieldPosition="0"/>
    </format>
    <format dxfId="2195">
      <pivotArea type="all" dataOnly="0" outline="0" fieldPosition="0"/>
    </format>
    <format dxfId="2194">
      <pivotArea type="all" dataOnly="0" outline="0" fieldPosition="0"/>
    </format>
    <format dxfId="2193">
      <pivotArea outline="0" collapsedLevelsAreSubtotals="1" fieldPosition="0"/>
    </format>
    <format dxfId="2192">
      <pivotArea dataOnly="0" labelOnly="1" outline="0" axis="axisValues" fieldPosition="0"/>
    </format>
    <format dxfId="2191">
      <pivotArea type="all" dataOnly="0" outline="0" fieldPosition="0"/>
    </format>
    <format dxfId="2190">
      <pivotArea outline="0" collapsedLevelsAreSubtotals="1" fieldPosition="0"/>
    </format>
    <format dxfId="2189">
      <pivotArea dataOnly="0" labelOnly="1" outline="0" axis="axisValues" fieldPosition="0"/>
    </format>
    <format dxfId="2188">
      <pivotArea type="all" dataOnly="0" outline="0" fieldPosition="0"/>
    </format>
    <format dxfId="2187">
      <pivotArea outline="0" collapsedLevelsAreSubtotals="1" fieldPosition="0"/>
    </format>
    <format dxfId="2186">
      <pivotArea dataOnly="0" labelOnly="1" outline="0" axis="axisValues" fieldPosition="0"/>
    </format>
    <format dxfId="2185">
      <pivotArea type="all" dataOnly="0" outline="0" fieldPosition="0"/>
    </format>
    <format dxfId="2184">
      <pivotArea outline="0" collapsedLevelsAreSubtotals="1" fieldPosition="0"/>
    </format>
    <format dxfId="2183">
      <pivotArea dataOnly="0" labelOnly="1" outline="0" axis="axisValues" fieldPosition="0"/>
    </format>
    <format dxfId="2182">
      <pivotArea type="all" dataOnly="0" outline="0" fieldPosition="0"/>
    </format>
    <format dxfId="2181">
      <pivotArea outline="0" collapsedLevelsAreSubtotals="1" fieldPosition="0"/>
    </format>
    <format dxfId="2180">
      <pivotArea dataOnly="0" labelOnly="1" outline="0" axis="axisValues" fieldPosition="0"/>
    </format>
    <format dxfId="2179">
      <pivotArea type="all" dataOnly="0" outline="0" fieldPosition="0"/>
    </format>
    <format dxfId="2178">
      <pivotArea outline="0" collapsedLevelsAreSubtotals="1" fieldPosition="0"/>
    </format>
    <format dxfId="2177">
      <pivotArea dataOnly="0" labelOnly="1" outline="0" axis="axisValues" fieldPosition="0"/>
    </format>
    <format dxfId="2176">
      <pivotArea type="all" dataOnly="0" outline="0" fieldPosition="0"/>
    </format>
    <format dxfId="2175">
      <pivotArea outline="0" collapsedLevelsAreSubtotals="1" fieldPosition="0"/>
    </format>
    <format dxfId="2174">
      <pivotArea dataOnly="0" labelOnly="1" outline="0" axis="axisValues" fieldPosition="0"/>
    </format>
    <format dxfId="2173">
      <pivotArea type="all" dataOnly="0" outline="0" fieldPosition="0"/>
    </format>
    <format dxfId="2172">
      <pivotArea outline="0" collapsedLevelsAreSubtotals="1" fieldPosition="0"/>
    </format>
    <format dxfId="2171">
      <pivotArea type="all" dataOnly="0" outline="0" fieldPosition="0"/>
    </format>
    <format dxfId="2170">
      <pivotArea outline="0" collapsedLevelsAreSubtotals="1" fieldPosition="0"/>
    </format>
    <format dxfId="2169">
      <pivotArea outline="0" collapsedLevelsAreSubtotals="1" fieldPosition="0"/>
    </format>
    <format dxfId="2168">
      <pivotArea type="all" dataOnly="0" outline="0" fieldPosition="0"/>
    </format>
    <format dxfId="2167">
      <pivotArea outline="0" collapsedLevelsAreSubtotals="1" fieldPosition="0"/>
    </format>
    <format dxfId="2166">
      <pivotArea dataOnly="0" labelOnly="1" outline="0" axis="axisValues" fieldPosition="0"/>
    </format>
    <format dxfId="21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820D50A6-0F7A-4193-9568-08146C26C640}" name="PivotTable6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73:E17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2244">
      <pivotArea type="all" dataOnly="0" outline="0" fieldPosition="0"/>
    </format>
    <format dxfId="2243">
      <pivotArea type="all" dataOnly="0" outline="0" fieldPosition="0"/>
    </format>
    <format dxfId="2242">
      <pivotArea type="all" dataOnly="0" outline="0" fieldPosition="0"/>
    </format>
    <format dxfId="2241">
      <pivotArea type="all" dataOnly="0" outline="0" fieldPosition="0"/>
    </format>
    <format dxfId="2240">
      <pivotArea type="all" dataOnly="0" outline="0" fieldPosition="0"/>
    </format>
    <format dxfId="2239">
      <pivotArea type="all" dataOnly="0" outline="0" fieldPosition="0"/>
    </format>
    <format dxfId="2238">
      <pivotArea type="all" dataOnly="0" outline="0" fieldPosition="0"/>
    </format>
    <format dxfId="2237">
      <pivotArea type="all" dataOnly="0" outline="0" fieldPosition="0"/>
    </format>
    <format dxfId="2236">
      <pivotArea type="all" dataOnly="0" outline="0" fieldPosition="0"/>
    </format>
    <format dxfId="2235">
      <pivotArea type="all" dataOnly="0" outline="0" fieldPosition="0"/>
    </format>
    <format dxfId="2234">
      <pivotArea type="all" dataOnly="0" outline="0" fieldPosition="0"/>
    </format>
    <format dxfId="2233">
      <pivotArea outline="0" collapsedLevelsAreSubtotals="1" fieldPosition="0"/>
    </format>
    <format dxfId="2232">
      <pivotArea dataOnly="0" labelOnly="1" outline="0" axis="axisValues" fieldPosition="0"/>
    </format>
    <format dxfId="2231">
      <pivotArea type="all" dataOnly="0" outline="0" fieldPosition="0"/>
    </format>
    <format dxfId="2230">
      <pivotArea outline="0" collapsedLevelsAreSubtotals="1" fieldPosition="0"/>
    </format>
    <format dxfId="2229">
      <pivotArea dataOnly="0" labelOnly="1" outline="0" axis="axisValues" fieldPosition="0"/>
    </format>
    <format dxfId="2228">
      <pivotArea type="all" dataOnly="0" outline="0" fieldPosition="0"/>
    </format>
    <format dxfId="2227">
      <pivotArea outline="0" collapsedLevelsAreSubtotals="1" fieldPosition="0"/>
    </format>
    <format dxfId="2226">
      <pivotArea dataOnly="0" labelOnly="1" outline="0" axis="axisValues" fieldPosition="0"/>
    </format>
    <format dxfId="2225">
      <pivotArea type="all" dataOnly="0" outline="0" fieldPosition="0"/>
    </format>
    <format dxfId="2224">
      <pivotArea outline="0" collapsedLevelsAreSubtotals="1" fieldPosition="0"/>
    </format>
    <format dxfId="2223">
      <pivotArea dataOnly="0" labelOnly="1" outline="0" axis="axisValues" fieldPosition="0"/>
    </format>
    <format dxfId="2222">
      <pivotArea type="all" dataOnly="0" outline="0" fieldPosition="0"/>
    </format>
    <format dxfId="2221">
      <pivotArea outline="0" collapsedLevelsAreSubtotals="1" fieldPosition="0"/>
    </format>
    <format dxfId="2220">
      <pivotArea dataOnly="0" labelOnly="1" outline="0" axis="axisValues" fieldPosition="0"/>
    </format>
    <format dxfId="2219">
      <pivotArea type="all" dataOnly="0" outline="0" fieldPosition="0"/>
    </format>
    <format dxfId="2218">
      <pivotArea outline="0" collapsedLevelsAreSubtotals="1" fieldPosition="0"/>
    </format>
    <format dxfId="2217">
      <pivotArea dataOnly="0" labelOnly="1" outline="0" axis="axisValues" fieldPosition="0"/>
    </format>
    <format dxfId="2216">
      <pivotArea type="all" dataOnly="0" outline="0" fieldPosition="0"/>
    </format>
    <format dxfId="2215">
      <pivotArea outline="0" collapsedLevelsAreSubtotals="1" fieldPosition="0"/>
    </format>
    <format dxfId="2214">
      <pivotArea dataOnly="0" labelOnly="1" outline="0" axis="axisValues" fieldPosition="0"/>
    </format>
    <format dxfId="2213">
      <pivotArea type="all" dataOnly="0" outline="0" fieldPosition="0"/>
    </format>
    <format dxfId="2212">
      <pivotArea outline="0" collapsedLevelsAreSubtotals="1" fieldPosition="0"/>
    </format>
    <format dxfId="2211">
      <pivotArea type="all" dataOnly="0" outline="0" fieldPosition="0"/>
    </format>
    <format dxfId="2210">
      <pivotArea outline="0" collapsedLevelsAreSubtotals="1" fieldPosition="0"/>
    </format>
    <format dxfId="2209">
      <pivotArea outline="0" collapsedLevelsAreSubtotals="1" fieldPosition="0"/>
    </format>
    <format dxfId="2208">
      <pivotArea type="all" dataOnly="0" outline="0" fieldPosition="0"/>
    </format>
    <format dxfId="2207">
      <pivotArea outline="0" collapsedLevelsAreSubtotals="1" fieldPosition="0"/>
    </format>
    <format dxfId="2206">
      <pivotArea dataOnly="0" labelOnly="1" outline="0" axis="axisValues" fieldPosition="0"/>
    </format>
    <format dxfId="220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4FB4C1DB-C521-4E77-84A9-029AB4F64074}" name="PivotTable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0:B41" firstHeaderRow="1" firstDataRow="1" firstDataCol="0" rowPageCount="3" colPageCount="1"/>
  <pivotFields count="77">
    <pivotField showAll="0"/>
    <pivotField showAll="0"/>
    <pivotField axis="axisPage" multipleItemSelectionAllowed="1" showAll="0" defaultSubtotal="0">
      <items count="5">
        <item x="1"/>
        <item x="2"/>
        <item x="4"/>
        <item h="1" x="0"/>
        <item h="1" x="3"/>
      </items>
    </pivotField>
    <pivotField axis="axisPage" multipleItemSelectionAllowed="1" showAll="0">
      <items count="3">
        <item h="1" x="1"/>
        <item x="0"/>
        <item t="default"/>
      </items>
    </pivotField>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2" hier="-1"/>
    <pageField fld="3" hier="-1"/>
    <pageField fld="8" hier="-1"/>
  </pageFields>
  <dataFields count="1">
    <dataField name="Sum of Net Dwellings" fld="40" baseField="0" baseItem="0"/>
  </dataFields>
  <formats count="40">
    <format dxfId="2284">
      <pivotArea type="all" dataOnly="0" outline="0" fieldPosition="0"/>
    </format>
    <format dxfId="2283">
      <pivotArea type="all" dataOnly="0" outline="0" fieldPosition="0"/>
    </format>
    <format dxfId="2282">
      <pivotArea type="all" dataOnly="0" outline="0" fieldPosition="0"/>
    </format>
    <format dxfId="2281">
      <pivotArea type="all" dataOnly="0" outline="0" fieldPosition="0"/>
    </format>
    <format dxfId="2280">
      <pivotArea type="all" dataOnly="0" outline="0" fieldPosition="0"/>
    </format>
    <format dxfId="2279">
      <pivotArea type="all" dataOnly="0" outline="0" fieldPosition="0"/>
    </format>
    <format dxfId="2278">
      <pivotArea type="all" dataOnly="0" outline="0" fieldPosition="0"/>
    </format>
    <format dxfId="2277">
      <pivotArea type="all" dataOnly="0" outline="0" fieldPosition="0"/>
    </format>
    <format dxfId="2276">
      <pivotArea type="all" dataOnly="0" outline="0" fieldPosition="0"/>
    </format>
    <format dxfId="2275">
      <pivotArea type="all" dataOnly="0" outline="0" fieldPosition="0"/>
    </format>
    <format dxfId="2274">
      <pivotArea type="all" dataOnly="0" outline="0" fieldPosition="0"/>
    </format>
    <format dxfId="2273">
      <pivotArea outline="0" collapsedLevelsAreSubtotals="1" fieldPosition="0"/>
    </format>
    <format dxfId="2272">
      <pivotArea dataOnly="0" labelOnly="1" outline="0" axis="axisValues" fieldPosition="0"/>
    </format>
    <format dxfId="2271">
      <pivotArea type="all" dataOnly="0" outline="0" fieldPosition="0"/>
    </format>
    <format dxfId="2270">
      <pivotArea outline="0" collapsedLevelsAreSubtotals="1" fieldPosition="0"/>
    </format>
    <format dxfId="2269">
      <pivotArea dataOnly="0" labelOnly="1" outline="0" axis="axisValues" fieldPosition="0"/>
    </format>
    <format dxfId="2268">
      <pivotArea type="all" dataOnly="0" outline="0" fieldPosition="0"/>
    </format>
    <format dxfId="2267">
      <pivotArea outline="0" collapsedLevelsAreSubtotals="1" fieldPosition="0"/>
    </format>
    <format dxfId="2266">
      <pivotArea dataOnly="0" labelOnly="1" outline="0" axis="axisValues" fieldPosition="0"/>
    </format>
    <format dxfId="2265">
      <pivotArea type="all" dataOnly="0" outline="0" fieldPosition="0"/>
    </format>
    <format dxfId="2264">
      <pivotArea outline="0" collapsedLevelsAreSubtotals="1" fieldPosition="0"/>
    </format>
    <format dxfId="2263">
      <pivotArea dataOnly="0" labelOnly="1" outline="0" axis="axisValues" fieldPosition="0"/>
    </format>
    <format dxfId="2262">
      <pivotArea type="all" dataOnly="0" outline="0" fieldPosition="0"/>
    </format>
    <format dxfId="2261">
      <pivotArea outline="0" collapsedLevelsAreSubtotals="1" fieldPosition="0"/>
    </format>
    <format dxfId="2260">
      <pivotArea dataOnly="0" labelOnly="1" outline="0" axis="axisValues" fieldPosition="0"/>
    </format>
    <format dxfId="2259">
      <pivotArea type="all" dataOnly="0" outline="0" fieldPosition="0"/>
    </format>
    <format dxfId="2258">
      <pivotArea outline="0" collapsedLevelsAreSubtotals="1" fieldPosition="0"/>
    </format>
    <format dxfId="2257">
      <pivotArea dataOnly="0" labelOnly="1" outline="0" axis="axisValues" fieldPosition="0"/>
    </format>
    <format dxfId="2256">
      <pivotArea type="all" dataOnly="0" outline="0" fieldPosition="0"/>
    </format>
    <format dxfId="2255">
      <pivotArea outline="0" collapsedLevelsAreSubtotals="1" fieldPosition="0"/>
    </format>
    <format dxfId="2254">
      <pivotArea dataOnly="0" labelOnly="1" outline="0" axis="axisValues" fieldPosition="0"/>
    </format>
    <format dxfId="2253">
      <pivotArea type="all" dataOnly="0" outline="0" fieldPosition="0"/>
    </format>
    <format dxfId="2252">
      <pivotArea outline="0" collapsedLevelsAreSubtotals="1" fieldPosition="0"/>
    </format>
    <format dxfId="2251">
      <pivotArea type="all" dataOnly="0" outline="0" fieldPosition="0"/>
    </format>
    <format dxfId="2250">
      <pivotArea outline="0" collapsedLevelsAreSubtotals="1" fieldPosition="0"/>
    </format>
    <format dxfId="2249">
      <pivotArea outline="0" collapsedLevelsAreSubtotals="1" fieldPosition="0"/>
    </format>
    <format dxfId="2248">
      <pivotArea type="all" dataOnly="0" outline="0" fieldPosition="0"/>
    </format>
    <format dxfId="2247">
      <pivotArea outline="0" collapsedLevelsAreSubtotals="1" fieldPosition="0"/>
    </format>
    <format dxfId="2246">
      <pivotArea dataOnly="0" labelOnly="1" outline="0" axis="axisValues" fieldPosition="0"/>
    </format>
    <format dxfId="224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72D73F36-440A-4C8F-B301-791D19DEE141}" name="PivotTable4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07:E108"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324">
      <pivotArea type="all" dataOnly="0" outline="0" fieldPosition="0"/>
    </format>
    <format dxfId="2323">
      <pivotArea type="all" dataOnly="0" outline="0" fieldPosition="0"/>
    </format>
    <format dxfId="2322">
      <pivotArea type="all" dataOnly="0" outline="0" fieldPosition="0"/>
    </format>
    <format dxfId="2321">
      <pivotArea type="all" dataOnly="0" outline="0" fieldPosition="0"/>
    </format>
    <format dxfId="2320">
      <pivotArea type="all" dataOnly="0" outline="0" fieldPosition="0"/>
    </format>
    <format dxfId="2319">
      <pivotArea type="all" dataOnly="0" outline="0" fieldPosition="0"/>
    </format>
    <format dxfId="2318">
      <pivotArea type="all" dataOnly="0" outline="0" fieldPosition="0"/>
    </format>
    <format dxfId="2317">
      <pivotArea type="all" dataOnly="0" outline="0" fieldPosition="0"/>
    </format>
    <format dxfId="2316">
      <pivotArea type="all" dataOnly="0" outline="0" fieldPosition="0"/>
    </format>
    <format dxfId="2315">
      <pivotArea type="all" dataOnly="0" outline="0" fieldPosition="0"/>
    </format>
    <format dxfId="2314">
      <pivotArea type="all" dataOnly="0" outline="0" fieldPosition="0"/>
    </format>
    <format dxfId="2313">
      <pivotArea outline="0" collapsedLevelsAreSubtotals="1" fieldPosition="0"/>
    </format>
    <format dxfId="2312">
      <pivotArea dataOnly="0" labelOnly="1" outline="0" axis="axisValues" fieldPosition="0"/>
    </format>
    <format dxfId="2311">
      <pivotArea type="all" dataOnly="0" outline="0" fieldPosition="0"/>
    </format>
    <format dxfId="2310">
      <pivotArea outline="0" collapsedLevelsAreSubtotals="1" fieldPosition="0"/>
    </format>
    <format dxfId="2309">
      <pivotArea dataOnly="0" labelOnly="1" outline="0" axis="axisValues" fieldPosition="0"/>
    </format>
    <format dxfId="2308">
      <pivotArea type="all" dataOnly="0" outline="0" fieldPosition="0"/>
    </format>
    <format dxfId="2307">
      <pivotArea outline="0" collapsedLevelsAreSubtotals="1" fieldPosition="0"/>
    </format>
    <format dxfId="2306">
      <pivotArea dataOnly="0" labelOnly="1" outline="0" axis="axisValues" fieldPosition="0"/>
    </format>
    <format dxfId="2305">
      <pivotArea type="all" dataOnly="0" outline="0" fieldPosition="0"/>
    </format>
    <format dxfId="2304">
      <pivotArea outline="0" collapsedLevelsAreSubtotals="1" fieldPosition="0"/>
    </format>
    <format dxfId="2303">
      <pivotArea dataOnly="0" labelOnly="1" outline="0" axis="axisValues" fieldPosition="0"/>
    </format>
    <format dxfId="2302">
      <pivotArea type="all" dataOnly="0" outline="0" fieldPosition="0"/>
    </format>
    <format dxfId="2301">
      <pivotArea outline="0" collapsedLevelsAreSubtotals="1" fieldPosition="0"/>
    </format>
    <format dxfId="2300">
      <pivotArea dataOnly="0" labelOnly="1" outline="0" axis="axisValues" fieldPosition="0"/>
    </format>
    <format dxfId="2299">
      <pivotArea type="all" dataOnly="0" outline="0" fieldPosition="0"/>
    </format>
    <format dxfId="2298">
      <pivotArea outline="0" collapsedLevelsAreSubtotals="1" fieldPosition="0"/>
    </format>
    <format dxfId="2297">
      <pivotArea dataOnly="0" labelOnly="1" outline="0" axis="axisValues" fieldPosition="0"/>
    </format>
    <format dxfId="2296">
      <pivotArea type="all" dataOnly="0" outline="0" fieldPosition="0"/>
    </format>
    <format dxfId="2295">
      <pivotArea outline="0" collapsedLevelsAreSubtotals="1" fieldPosition="0"/>
    </format>
    <format dxfId="2294">
      <pivotArea dataOnly="0" labelOnly="1" outline="0" axis="axisValues" fieldPosition="0"/>
    </format>
    <format dxfId="2293">
      <pivotArea type="all" dataOnly="0" outline="0" fieldPosition="0"/>
    </format>
    <format dxfId="2292">
      <pivotArea outline="0" collapsedLevelsAreSubtotals="1" fieldPosition="0"/>
    </format>
    <format dxfId="2291">
      <pivotArea type="all" dataOnly="0" outline="0" fieldPosition="0"/>
    </format>
    <format dxfId="2290">
      <pivotArea outline="0" collapsedLevelsAreSubtotals="1" fieldPosition="0"/>
    </format>
    <format dxfId="2289">
      <pivotArea outline="0" collapsedLevelsAreSubtotals="1" fieldPosition="0"/>
    </format>
    <format dxfId="2288">
      <pivotArea type="all" dataOnly="0" outline="0" fieldPosition="0"/>
    </format>
    <format dxfId="2287">
      <pivotArea outline="0" collapsedLevelsAreSubtotals="1" fieldPosition="0"/>
    </format>
    <format dxfId="2286">
      <pivotArea dataOnly="0" labelOnly="1" outline="0" axis="axisValues" fieldPosition="0"/>
    </format>
    <format dxfId="228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20A330CE-2E33-46BB-9F05-277CD94A9434}" name="PivotTable4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15:H11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364">
      <pivotArea type="all" dataOnly="0" outline="0" fieldPosition="0"/>
    </format>
    <format dxfId="2363">
      <pivotArea type="all" dataOnly="0" outline="0" fieldPosition="0"/>
    </format>
    <format dxfId="2362">
      <pivotArea type="all" dataOnly="0" outline="0" fieldPosition="0"/>
    </format>
    <format dxfId="2361">
      <pivotArea type="all" dataOnly="0" outline="0" fieldPosition="0"/>
    </format>
    <format dxfId="2360">
      <pivotArea type="all" dataOnly="0" outline="0" fieldPosition="0"/>
    </format>
    <format dxfId="2359">
      <pivotArea type="all" dataOnly="0" outline="0" fieldPosition="0"/>
    </format>
    <format dxfId="2358">
      <pivotArea type="all" dataOnly="0" outline="0" fieldPosition="0"/>
    </format>
    <format dxfId="2357">
      <pivotArea type="all" dataOnly="0" outline="0" fieldPosition="0"/>
    </format>
    <format dxfId="2356">
      <pivotArea type="all" dataOnly="0" outline="0" fieldPosition="0"/>
    </format>
    <format dxfId="2355">
      <pivotArea type="all" dataOnly="0" outline="0" fieldPosition="0"/>
    </format>
    <format dxfId="2354">
      <pivotArea type="all" dataOnly="0" outline="0" fieldPosition="0"/>
    </format>
    <format dxfId="2353">
      <pivotArea outline="0" collapsedLevelsAreSubtotals="1" fieldPosition="0"/>
    </format>
    <format dxfId="2352">
      <pivotArea dataOnly="0" labelOnly="1" outline="0" axis="axisValues" fieldPosition="0"/>
    </format>
    <format dxfId="2351">
      <pivotArea type="all" dataOnly="0" outline="0" fieldPosition="0"/>
    </format>
    <format dxfId="2350">
      <pivotArea outline="0" collapsedLevelsAreSubtotals="1" fieldPosition="0"/>
    </format>
    <format dxfId="2349">
      <pivotArea dataOnly="0" labelOnly="1" outline="0" axis="axisValues" fieldPosition="0"/>
    </format>
    <format dxfId="2348">
      <pivotArea type="all" dataOnly="0" outline="0" fieldPosition="0"/>
    </format>
    <format dxfId="2347">
      <pivotArea outline="0" collapsedLevelsAreSubtotals="1" fieldPosition="0"/>
    </format>
    <format dxfId="2346">
      <pivotArea dataOnly="0" labelOnly="1" outline="0" axis="axisValues" fieldPosition="0"/>
    </format>
    <format dxfId="2345">
      <pivotArea type="all" dataOnly="0" outline="0" fieldPosition="0"/>
    </format>
    <format dxfId="2344">
      <pivotArea outline="0" collapsedLevelsAreSubtotals="1" fieldPosition="0"/>
    </format>
    <format dxfId="2343">
      <pivotArea dataOnly="0" labelOnly="1" outline="0" axis="axisValues" fieldPosition="0"/>
    </format>
    <format dxfId="2342">
      <pivotArea type="all" dataOnly="0" outline="0" fieldPosition="0"/>
    </format>
    <format dxfId="2341">
      <pivotArea outline="0" collapsedLevelsAreSubtotals="1" fieldPosition="0"/>
    </format>
    <format dxfId="2340">
      <pivotArea dataOnly="0" labelOnly="1" outline="0" axis="axisValues" fieldPosition="0"/>
    </format>
    <format dxfId="2339">
      <pivotArea type="all" dataOnly="0" outline="0" fieldPosition="0"/>
    </format>
    <format dxfId="2338">
      <pivotArea outline="0" collapsedLevelsAreSubtotals="1" fieldPosition="0"/>
    </format>
    <format dxfId="2337">
      <pivotArea dataOnly="0" labelOnly="1" outline="0" axis="axisValues" fieldPosition="0"/>
    </format>
    <format dxfId="2336">
      <pivotArea type="all" dataOnly="0" outline="0" fieldPosition="0"/>
    </format>
    <format dxfId="2335">
      <pivotArea outline="0" collapsedLevelsAreSubtotals="1" fieldPosition="0"/>
    </format>
    <format dxfId="2334">
      <pivotArea dataOnly="0" labelOnly="1" outline="0" axis="axisValues" fieldPosition="0"/>
    </format>
    <format dxfId="2333">
      <pivotArea type="all" dataOnly="0" outline="0" fieldPosition="0"/>
    </format>
    <format dxfId="2332">
      <pivotArea outline="0" collapsedLevelsAreSubtotals="1" fieldPosition="0"/>
    </format>
    <format dxfId="2331">
      <pivotArea type="all" dataOnly="0" outline="0" fieldPosition="0"/>
    </format>
    <format dxfId="2330">
      <pivotArea outline="0" collapsedLevelsAreSubtotals="1" fieldPosition="0"/>
    </format>
    <format dxfId="2329">
      <pivotArea outline="0" collapsedLevelsAreSubtotals="1" fieldPosition="0"/>
    </format>
    <format dxfId="2328">
      <pivotArea type="all" dataOnly="0" outline="0" fieldPosition="0"/>
    </format>
    <format dxfId="2327">
      <pivotArea outline="0" collapsedLevelsAreSubtotals="1" fieldPosition="0"/>
    </format>
    <format dxfId="2326">
      <pivotArea dataOnly="0" labelOnly="1" outline="0" axis="axisValues" fieldPosition="0"/>
    </format>
    <format dxfId="232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3E26A1CD-E0CE-4024-921C-A679D6D1AB32}" name="PivotTable6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92:H19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h="1" x="0"/>
        <item x="2"/>
        <item h="1" x="5"/>
        <item h="1" x="4"/>
        <item h="1" x="3"/>
        <item h="1"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2404">
      <pivotArea type="all" dataOnly="0" outline="0" fieldPosition="0"/>
    </format>
    <format dxfId="2403">
      <pivotArea type="all" dataOnly="0" outline="0" fieldPosition="0"/>
    </format>
    <format dxfId="2402">
      <pivotArea type="all" dataOnly="0" outline="0" fieldPosition="0"/>
    </format>
    <format dxfId="2401">
      <pivotArea type="all" dataOnly="0" outline="0" fieldPosition="0"/>
    </format>
    <format dxfId="2400">
      <pivotArea type="all" dataOnly="0" outline="0" fieldPosition="0"/>
    </format>
    <format dxfId="2399">
      <pivotArea type="all" dataOnly="0" outline="0" fieldPosition="0"/>
    </format>
    <format dxfId="2398">
      <pivotArea type="all" dataOnly="0" outline="0" fieldPosition="0"/>
    </format>
    <format dxfId="2397">
      <pivotArea type="all" dataOnly="0" outline="0" fieldPosition="0"/>
    </format>
    <format dxfId="2396">
      <pivotArea type="all" dataOnly="0" outline="0" fieldPosition="0"/>
    </format>
    <format dxfId="2395">
      <pivotArea type="all" dataOnly="0" outline="0" fieldPosition="0"/>
    </format>
    <format dxfId="2394">
      <pivotArea type="all" dataOnly="0" outline="0" fieldPosition="0"/>
    </format>
    <format dxfId="2393">
      <pivotArea outline="0" collapsedLevelsAreSubtotals="1" fieldPosition="0"/>
    </format>
    <format dxfId="2392">
      <pivotArea dataOnly="0" labelOnly="1" outline="0" axis="axisValues" fieldPosition="0"/>
    </format>
    <format dxfId="2391">
      <pivotArea type="all" dataOnly="0" outline="0" fieldPosition="0"/>
    </format>
    <format dxfId="2390">
      <pivotArea outline="0" collapsedLevelsAreSubtotals="1" fieldPosition="0"/>
    </format>
    <format dxfId="2389">
      <pivotArea dataOnly="0" labelOnly="1" outline="0" axis="axisValues" fieldPosition="0"/>
    </format>
    <format dxfId="2388">
      <pivotArea type="all" dataOnly="0" outline="0" fieldPosition="0"/>
    </format>
    <format dxfId="2387">
      <pivotArea outline="0" collapsedLevelsAreSubtotals="1" fieldPosition="0"/>
    </format>
    <format dxfId="2386">
      <pivotArea dataOnly="0" labelOnly="1" outline="0" axis="axisValues" fieldPosition="0"/>
    </format>
    <format dxfId="2385">
      <pivotArea type="all" dataOnly="0" outline="0" fieldPosition="0"/>
    </format>
    <format dxfId="2384">
      <pivotArea outline="0" collapsedLevelsAreSubtotals="1" fieldPosition="0"/>
    </format>
    <format dxfId="2383">
      <pivotArea dataOnly="0" labelOnly="1" outline="0" axis="axisValues" fieldPosition="0"/>
    </format>
    <format dxfId="2382">
      <pivotArea type="all" dataOnly="0" outline="0" fieldPosition="0"/>
    </format>
    <format dxfId="2381">
      <pivotArea outline="0" collapsedLevelsAreSubtotals="1" fieldPosition="0"/>
    </format>
    <format dxfId="2380">
      <pivotArea dataOnly="0" labelOnly="1" outline="0" axis="axisValues" fieldPosition="0"/>
    </format>
    <format dxfId="2379">
      <pivotArea type="all" dataOnly="0" outline="0" fieldPosition="0"/>
    </format>
    <format dxfId="2378">
      <pivotArea outline="0" collapsedLevelsAreSubtotals="1" fieldPosition="0"/>
    </format>
    <format dxfId="2377">
      <pivotArea dataOnly="0" labelOnly="1" outline="0" axis="axisValues" fieldPosition="0"/>
    </format>
    <format dxfId="2376">
      <pivotArea type="all" dataOnly="0" outline="0" fieldPosition="0"/>
    </format>
    <format dxfId="2375">
      <pivotArea outline="0" collapsedLevelsAreSubtotals="1" fieldPosition="0"/>
    </format>
    <format dxfId="2374">
      <pivotArea dataOnly="0" labelOnly="1" outline="0" axis="axisValues" fieldPosition="0"/>
    </format>
    <format dxfId="2373">
      <pivotArea type="all" dataOnly="0" outline="0" fieldPosition="0"/>
    </format>
    <format dxfId="2372">
      <pivotArea outline="0" collapsedLevelsAreSubtotals="1" fieldPosition="0"/>
    </format>
    <format dxfId="2371">
      <pivotArea type="all" dataOnly="0" outline="0" fieldPosition="0"/>
    </format>
    <format dxfId="2370">
      <pivotArea outline="0" collapsedLevelsAreSubtotals="1" fieldPosition="0"/>
    </format>
    <format dxfId="2369">
      <pivotArea outline="0" collapsedLevelsAreSubtotals="1" fieldPosition="0"/>
    </format>
    <format dxfId="2368">
      <pivotArea type="all" dataOnly="0" outline="0" fieldPosition="0"/>
    </format>
    <format dxfId="2367">
      <pivotArea outline="0" collapsedLevelsAreSubtotals="1" fieldPosition="0"/>
    </format>
    <format dxfId="2366">
      <pivotArea dataOnly="0" labelOnly="1" outline="0" axis="axisValues" fieldPosition="0"/>
    </format>
    <format dxfId="23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536EF2C9-5248-4596-A3AF-961585D13916}" name="PivotTable3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33:K434" firstHeaderRow="0" firstDataRow="1" firstDataCol="0" rowPageCount="2"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x="2"/>
        <item x="3"/>
        <item x="6"/>
        <item x="4"/>
        <item x="5"/>
      </items>
    </pivotField>
    <pivotField showAll="0" defaultSubtotal="0"/>
    <pivotField axis="axisPage" multipleItemSelectionAllowed="1" showAll="0">
      <items count="15">
        <item x="5"/>
        <item x="13"/>
        <item x="8"/>
        <item x="9"/>
        <item x="10"/>
        <item x="11"/>
        <item x="2"/>
        <item x="3"/>
        <item x="7"/>
        <item x="6"/>
        <item x="0"/>
        <item x="1"/>
        <item x="4"/>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2">
    <pageField fld="8" hier="-1"/>
    <pageField fld="10" hier="-1"/>
  </pageFields>
  <dataFields count="10">
    <dataField name="Sum of 2023/24 (1)" fld="43" baseField="0" baseItem="0"/>
    <dataField name="Sum of 2024/25 (2)" fld="44" baseField="0" baseItem="0"/>
    <dataField name="Sum of 2025/26 (3)" fld="45" baseField="0" baseItem="0"/>
    <dataField name="Sum of 2026/27 (4)" fld="46" baseField="0" baseItem="0"/>
    <dataField name="Sum of 2027/28 (5)" fld="47" baseField="0" baseItem="0"/>
    <dataField name="Sum of 2028/29 (6)" fld="48" baseField="0" baseItem="0"/>
    <dataField name="Sum of 2029/30 (7)" fld="49" baseField="0" baseItem="0"/>
    <dataField name="Sum of 2030/31 (8)" fld="50" baseField="0" baseItem="0"/>
    <dataField name="Sum of 2031/32 (9)" fld="51" baseField="0" baseItem="0"/>
    <dataField name="Sum of 2032/33 (10)" fld="52" baseField="0" baseItem="0"/>
  </dataFields>
  <formats count="27">
    <format dxfId="2431">
      <pivotArea type="all" dataOnly="0" outline="0" fieldPosition="0"/>
    </format>
    <format dxfId="2430">
      <pivotArea type="all" dataOnly="0" outline="0" fieldPosition="0"/>
    </format>
    <format dxfId="2429">
      <pivotArea type="all" dataOnly="0" outline="0" fieldPosition="0"/>
    </format>
    <format dxfId="2428">
      <pivotArea type="all" dataOnly="0" outline="0" fieldPosition="0"/>
    </format>
    <format dxfId="2427">
      <pivotArea type="all" dataOnly="0" outline="0" fieldPosition="0"/>
    </format>
    <format dxfId="2426">
      <pivotArea type="all" dataOnly="0" outline="0" fieldPosition="0"/>
    </format>
    <format dxfId="2425">
      <pivotArea type="all" dataOnly="0" outline="0" fieldPosition="0"/>
    </format>
    <format dxfId="2424">
      <pivotArea outline="0" collapsedLevelsAreSubtotals="1" fieldPosition="0"/>
    </format>
    <format dxfId="2423">
      <pivotArea type="all" dataOnly="0" outline="0" fieldPosition="0"/>
    </format>
    <format dxfId="2422">
      <pivotArea type="all" dataOnly="0" outline="0" fieldPosition="0"/>
    </format>
    <format dxfId="2421">
      <pivotArea type="all" dataOnly="0" outline="0" fieldPosition="0"/>
    </format>
    <format dxfId="2420">
      <pivotArea type="all" dataOnly="0" outline="0" fieldPosition="0"/>
    </format>
    <format dxfId="2419">
      <pivotArea outline="0" collapsedLevelsAreSubtotals="1" fieldPosition="0"/>
    </format>
    <format dxfId="2418">
      <pivotArea type="all" dataOnly="0" outline="0" fieldPosition="0"/>
    </format>
    <format dxfId="2417">
      <pivotArea outline="0" collapsedLevelsAreSubtotals="1" fieldPosition="0"/>
    </format>
    <format dxfId="2416">
      <pivotArea type="all" dataOnly="0" outline="0" fieldPosition="0"/>
    </format>
    <format dxfId="2415">
      <pivotArea outline="0" collapsedLevelsAreSubtotals="1" fieldPosition="0"/>
    </format>
    <format dxfId="2414">
      <pivotArea type="all" dataOnly="0" outline="0" fieldPosition="0"/>
    </format>
    <format dxfId="2413">
      <pivotArea outline="0" collapsedLevelsAreSubtotals="1" fieldPosition="0"/>
    </format>
    <format dxfId="2412">
      <pivotArea type="all" dataOnly="0" outline="0" fieldPosition="0"/>
    </format>
    <format dxfId="2411">
      <pivotArea outline="0" collapsedLevelsAreSubtotals="1" fieldPosition="0"/>
    </format>
    <format dxfId="2410">
      <pivotArea type="all" dataOnly="0" outline="0" fieldPosition="0"/>
    </format>
    <format dxfId="2409">
      <pivotArea outline="0" collapsedLevelsAreSubtotals="1" fieldPosition="0"/>
    </format>
    <format dxfId="2408">
      <pivotArea outline="0" collapsedLevelsAreSubtotals="1" fieldPosition="0"/>
    </format>
    <format dxfId="2407">
      <pivotArea type="all" dataOnly="0" outline="0" fieldPosition="0"/>
    </format>
    <format dxfId="2406">
      <pivotArea outline="0" collapsedLevelsAreSubtotals="1" fieldPosition="0"/>
    </format>
    <format dxfId="2405">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E7E46A3-84F9-481C-BA18-D789A39B4AE0}" name="PivotTable2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89:B90"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248">
      <pivotArea type="all" dataOnly="0" outline="0" fieldPosition="0"/>
    </format>
    <format dxfId="247">
      <pivotArea type="all" dataOnly="0" outline="0" fieldPosition="0"/>
    </format>
    <format dxfId="246">
      <pivotArea type="all" dataOnly="0" outline="0" fieldPosition="0"/>
    </format>
    <format dxfId="245">
      <pivotArea type="all" dataOnly="0" outline="0" fieldPosition="0"/>
    </format>
    <format dxfId="244">
      <pivotArea type="all" dataOnly="0" outline="0" fieldPosition="0"/>
    </format>
    <format dxfId="243">
      <pivotArea type="all" dataOnly="0" outline="0" fieldPosition="0"/>
    </format>
    <format dxfId="242">
      <pivotArea type="all" dataOnly="0" outline="0" fieldPosition="0"/>
    </format>
    <format dxfId="241">
      <pivotArea type="all" dataOnly="0" outline="0" fieldPosition="0"/>
    </format>
    <format dxfId="240">
      <pivotArea type="all" dataOnly="0" outline="0" fieldPosition="0"/>
    </format>
    <format dxfId="239">
      <pivotArea type="all" dataOnly="0" outline="0" fieldPosition="0"/>
    </format>
    <format dxfId="238">
      <pivotArea type="all" dataOnly="0" outline="0" fieldPosition="0"/>
    </format>
    <format dxfId="237">
      <pivotArea outline="0" collapsedLevelsAreSubtotals="1" fieldPosition="0"/>
    </format>
    <format dxfId="236">
      <pivotArea dataOnly="0" labelOnly="1" outline="0" axis="axisValues" fieldPosition="0"/>
    </format>
    <format dxfId="235">
      <pivotArea type="all" dataOnly="0" outline="0" fieldPosition="0"/>
    </format>
    <format dxfId="234">
      <pivotArea outline="0" collapsedLevelsAreSubtotals="1" fieldPosition="0"/>
    </format>
    <format dxfId="233">
      <pivotArea dataOnly="0" labelOnly="1" outline="0" axis="axisValues" fieldPosition="0"/>
    </format>
    <format dxfId="232">
      <pivotArea type="all" dataOnly="0" outline="0" fieldPosition="0"/>
    </format>
    <format dxfId="231">
      <pivotArea outline="0" collapsedLevelsAreSubtotals="1" fieldPosition="0"/>
    </format>
    <format dxfId="230">
      <pivotArea dataOnly="0" labelOnly="1" outline="0" axis="axisValues" fieldPosition="0"/>
    </format>
    <format dxfId="229">
      <pivotArea type="all" dataOnly="0" outline="0" fieldPosition="0"/>
    </format>
    <format dxfId="228">
      <pivotArea outline="0" collapsedLevelsAreSubtotals="1" fieldPosition="0"/>
    </format>
    <format dxfId="227">
      <pivotArea dataOnly="0" labelOnly="1" outline="0" axis="axisValues" fieldPosition="0"/>
    </format>
    <format dxfId="226">
      <pivotArea type="all" dataOnly="0" outline="0" fieldPosition="0"/>
    </format>
    <format dxfId="225">
      <pivotArea outline="0" collapsedLevelsAreSubtotals="1" fieldPosition="0"/>
    </format>
    <format dxfId="224">
      <pivotArea dataOnly="0" labelOnly="1" outline="0" axis="axisValues" fieldPosition="0"/>
    </format>
    <format dxfId="223">
      <pivotArea type="all" dataOnly="0" outline="0" fieldPosition="0"/>
    </format>
    <format dxfId="222">
      <pivotArea outline="0" collapsedLevelsAreSubtotals="1" fieldPosition="0"/>
    </format>
    <format dxfId="221">
      <pivotArea dataOnly="0" labelOnly="1" outline="0" axis="axisValues" fieldPosition="0"/>
    </format>
    <format dxfId="220">
      <pivotArea type="all" dataOnly="0" outline="0" fieldPosition="0"/>
    </format>
    <format dxfId="219">
      <pivotArea outline="0" collapsedLevelsAreSubtotals="1" fieldPosition="0"/>
    </format>
    <format dxfId="218">
      <pivotArea dataOnly="0" labelOnly="1" outline="0" axis="axisValues" fieldPosition="0"/>
    </format>
    <format dxfId="217">
      <pivotArea type="all" dataOnly="0" outline="0" fieldPosition="0"/>
    </format>
    <format dxfId="216">
      <pivotArea outline="0" collapsedLevelsAreSubtotals="1" fieldPosition="0"/>
    </format>
    <format dxfId="215">
      <pivotArea type="all" dataOnly="0" outline="0" fieldPosition="0"/>
    </format>
    <format dxfId="214">
      <pivotArea outline="0" collapsedLevelsAreSubtotals="1" fieldPosition="0"/>
    </format>
    <format dxfId="213">
      <pivotArea outline="0" collapsedLevelsAreSubtotals="1" fieldPosition="0"/>
    </format>
    <format dxfId="212">
      <pivotArea type="all" dataOnly="0" outline="0" fieldPosition="0"/>
    </format>
    <format dxfId="211">
      <pivotArea outline="0" collapsedLevelsAreSubtotals="1" fieldPosition="0"/>
    </format>
    <format dxfId="210">
      <pivotArea dataOnly="0" labelOnly="1" outline="0" axis="axisValues" fieldPosition="0"/>
    </format>
    <format dxfId="20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8342F130-FFA6-4BC2-90AC-35E5B7CD1E93}" name="PivotTable8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0:H21" firstHeaderRow="1" firstDataRow="1" firstDataCol="0" rowPageCount="2" colPageCount="1"/>
  <pivotFields count="77">
    <pivotField showAll="0"/>
    <pivotField showAll="0"/>
    <pivotField axis="axisPage" multipleItemSelectionAllowed="1" showAll="0" defaultSubtotal="0">
      <items count="5">
        <item h="1" x="1"/>
        <item h="1" x="2"/>
        <item h="1" x="4"/>
        <item x="0"/>
        <item x="3"/>
      </items>
    </pivotField>
    <pivotField showAll="0"/>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2" hier="-1"/>
    <pageField fld="8" hier="-1"/>
  </pageFields>
  <dataFields count="1">
    <dataField name="Sum of 2023-2033 Total" fld="60" baseField="0" baseItem="0"/>
  </dataFields>
  <formats count="42">
    <format dxfId="2473">
      <pivotArea type="all" dataOnly="0" outline="0" fieldPosition="0"/>
    </format>
    <format dxfId="2472">
      <pivotArea type="all" dataOnly="0" outline="0" fieldPosition="0"/>
    </format>
    <format dxfId="2471">
      <pivotArea type="all" dataOnly="0" outline="0" fieldPosition="0"/>
    </format>
    <format dxfId="2470">
      <pivotArea type="all" dataOnly="0" outline="0" fieldPosition="0"/>
    </format>
    <format dxfId="2469">
      <pivotArea type="all" dataOnly="0" outline="0" fieldPosition="0"/>
    </format>
    <format dxfId="2468">
      <pivotArea type="all" dataOnly="0" outline="0" fieldPosition="0"/>
    </format>
    <format dxfId="2467">
      <pivotArea type="all" dataOnly="0" outline="0" fieldPosition="0"/>
    </format>
    <format dxfId="2466">
      <pivotArea type="all" dataOnly="0" outline="0" fieldPosition="0"/>
    </format>
    <format dxfId="2465">
      <pivotArea type="all" dataOnly="0" outline="0" fieldPosition="0"/>
    </format>
    <format dxfId="2464">
      <pivotArea type="all" dataOnly="0" outline="0" fieldPosition="0"/>
    </format>
    <format dxfId="2463">
      <pivotArea type="all" dataOnly="0" outline="0" fieldPosition="0"/>
    </format>
    <format dxfId="2462">
      <pivotArea outline="0" collapsedLevelsAreSubtotals="1" fieldPosition="0"/>
    </format>
    <format dxfId="2461">
      <pivotArea dataOnly="0" labelOnly="1" outline="0" axis="axisValues" fieldPosition="0"/>
    </format>
    <format dxfId="2460">
      <pivotArea type="all" dataOnly="0" outline="0" fieldPosition="0"/>
    </format>
    <format dxfId="2459">
      <pivotArea outline="0" collapsedLevelsAreSubtotals="1" fieldPosition="0"/>
    </format>
    <format dxfId="2458">
      <pivotArea dataOnly="0" labelOnly="1" outline="0" axis="axisValues" fieldPosition="0"/>
    </format>
    <format dxfId="2457">
      <pivotArea type="all" dataOnly="0" outline="0" fieldPosition="0"/>
    </format>
    <format dxfId="2456">
      <pivotArea outline="0" collapsedLevelsAreSubtotals="1" fieldPosition="0"/>
    </format>
    <format dxfId="2455">
      <pivotArea dataOnly="0" labelOnly="1" outline="0" axis="axisValues" fieldPosition="0"/>
    </format>
    <format dxfId="2454">
      <pivotArea type="all" dataOnly="0" outline="0" fieldPosition="0"/>
    </format>
    <format dxfId="2453">
      <pivotArea outline="0" collapsedLevelsAreSubtotals="1" fieldPosition="0"/>
    </format>
    <format dxfId="2452">
      <pivotArea dataOnly="0" labelOnly="1" outline="0" axis="axisValues" fieldPosition="0"/>
    </format>
    <format dxfId="2451">
      <pivotArea outline="0" collapsedLevelsAreSubtotals="1" fieldPosition="0"/>
    </format>
    <format dxfId="2450">
      <pivotArea outline="0" collapsedLevelsAreSubtotals="1" fieldPosition="0"/>
    </format>
    <format dxfId="2449">
      <pivotArea type="all" dataOnly="0" outline="0" fieldPosition="0"/>
    </format>
    <format dxfId="2448">
      <pivotArea outline="0" collapsedLevelsAreSubtotals="1" fieldPosition="0"/>
    </format>
    <format dxfId="2447">
      <pivotArea dataOnly="0" labelOnly="1" outline="0" axis="axisValues" fieldPosition="0"/>
    </format>
    <format dxfId="2446">
      <pivotArea type="all" dataOnly="0" outline="0" fieldPosition="0"/>
    </format>
    <format dxfId="2445">
      <pivotArea outline="0" collapsedLevelsAreSubtotals="1" fieldPosition="0"/>
    </format>
    <format dxfId="2444">
      <pivotArea dataOnly="0" labelOnly="1" outline="0" axis="axisValues" fieldPosition="0"/>
    </format>
    <format dxfId="2443">
      <pivotArea type="all" dataOnly="0" outline="0" fieldPosition="0"/>
    </format>
    <format dxfId="2442">
      <pivotArea outline="0" collapsedLevelsAreSubtotals="1" fieldPosition="0"/>
    </format>
    <format dxfId="2441">
      <pivotArea dataOnly="0" labelOnly="1" outline="0" axis="axisValues" fieldPosition="0"/>
    </format>
    <format dxfId="2440">
      <pivotArea type="all" dataOnly="0" outline="0" fieldPosition="0"/>
    </format>
    <format dxfId="2439">
      <pivotArea outline="0" collapsedLevelsAreSubtotals="1" fieldPosition="0"/>
    </format>
    <format dxfId="2438">
      <pivotArea type="all" dataOnly="0" outline="0" fieldPosition="0"/>
    </format>
    <format dxfId="2437">
      <pivotArea outline="0" collapsedLevelsAreSubtotals="1" fieldPosition="0"/>
    </format>
    <format dxfId="2436">
      <pivotArea outline="0" collapsedLevelsAreSubtotals="1" fieldPosition="0"/>
    </format>
    <format dxfId="2435">
      <pivotArea type="all" dataOnly="0" outline="0" fieldPosition="0"/>
    </format>
    <format dxfId="2434">
      <pivotArea outline="0" collapsedLevelsAreSubtotals="1" fieldPosition="0"/>
    </format>
    <format dxfId="2433">
      <pivotArea dataOnly="0" labelOnly="1" outline="0" axis="axisValues" fieldPosition="0"/>
    </format>
    <format dxfId="243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D85B38A6-1E6B-47D3-90B5-BE4E10187BEE}" name="PivotTable5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99:B100"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2"/>
        <item x="5"/>
        <item h="1" x="4"/>
        <item h="1" x="3"/>
        <item h="1" x="1"/>
        <item h="1" x="6"/>
        <item h="1" x="7"/>
        <item h="1" x="0"/>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513">
      <pivotArea type="all" dataOnly="0" outline="0" fieldPosition="0"/>
    </format>
    <format dxfId="2512">
      <pivotArea type="all" dataOnly="0" outline="0" fieldPosition="0"/>
    </format>
    <format dxfId="2511">
      <pivotArea type="all" dataOnly="0" outline="0" fieldPosition="0"/>
    </format>
    <format dxfId="2510">
      <pivotArea type="all" dataOnly="0" outline="0" fieldPosition="0"/>
    </format>
    <format dxfId="2509">
      <pivotArea type="all" dataOnly="0" outline="0" fieldPosition="0"/>
    </format>
    <format dxfId="2508">
      <pivotArea type="all" dataOnly="0" outline="0" fieldPosition="0"/>
    </format>
    <format dxfId="2507">
      <pivotArea type="all" dataOnly="0" outline="0" fieldPosition="0"/>
    </format>
    <format dxfId="2506">
      <pivotArea type="all" dataOnly="0" outline="0" fieldPosition="0"/>
    </format>
    <format dxfId="2505">
      <pivotArea type="all" dataOnly="0" outline="0" fieldPosition="0"/>
    </format>
    <format dxfId="2504">
      <pivotArea type="all" dataOnly="0" outline="0" fieldPosition="0"/>
    </format>
    <format dxfId="2503">
      <pivotArea type="all" dataOnly="0" outline="0" fieldPosition="0"/>
    </format>
    <format dxfId="2502">
      <pivotArea outline="0" collapsedLevelsAreSubtotals="1" fieldPosition="0"/>
    </format>
    <format dxfId="2501">
      <pivotArea dataOnly="0" labelOnly="1" outline="0" axis="axisValues" fieldPosition="0"/>
    </format>
    <format dxfId="2500">
      <pivotArea type="all" dataOnly="0" outline="0" fieldPosition="0"/>
    </format>
    <format dxfId="2499">
      <pivotArea outline="0" collapsedLevelsAreSubtotals="1" fieldPosition="0"/>
    </format>
    <format dxfId="2498">
      <pivotArea dataOnly="0" labelOnly="1" outline="0" axis="axisValues" fieldPosition="0"/>
    </format>
    <format dxfId="2497">
      <pivotArea type="all" dataOnly="0" outline="0" fieldPosition="0"/>
    </format>
    <format dxfId="2496">
      <pivotArea outline="0" collapsedLevelsAreSubtotals="1" fieldPosition="0"/>
    </format>
    <format dxfId="2495">
      <pivotArea dataOnly="0" labelOnly="1" outline="0" axis="axisValues" fieldPosition="0"/>
    </format>
    <format dxfId="2494">
      <pivotArea type="all" dataOnly="0" outline="0" fieldPosition="0"/>
    </format>
    <format dxfId="2493">
      <pivotArea outline="0" collapsedLevelsAreSubtotals="1" fieldPosition="0"/>
    </format>
    <format dxfId="2492">
      <pivotArea dataOnly="0" labelOnly="1" outline="0" axis="axisValues" fieldPosition="0"/>
    </format>
    <format dxfId="2491">
      <pivotArea type="all" dataOnly="0" outline="0" fieldPosition="0"/>
    </format>
    <format dxfId="2490">
      <pivotArea outline="0" collapsedLevelsAreSubtotals="1" fieldPosition="0"/>
    </format>
    <format dxfId="2489">
      <pivotArea dataOnly="0" labelOnly="1" outline="0" axis="axisValues" fieldPosition="0"/>
    </format>
    <format dxfId="2488">
      <pivotArea type="all" dataOnly="0" outline="0" fieldPosition="0"/>
    </format>
    <format dxfId="2487">
      <pivotArea outline="0" collapsedLevelsAreSubtotals="1" fieldPosition="0"/>
    </format>
    <format dxfId="2486">
      <pivotArea dataOnly="0" labelOnly="1" outline="0" axis="axisValues" fieldPosition="0"/>
    </format>
    <format dxfId="2485">
      <pivotArea type="all" dataOnly="0" outline="0" fieldPosition="0"/>
    </format>
    <format dxfId="2484">
      <pivotArea outline="0" collapsedLevelsAreSubtotals="1" fieldPosition="0"/>
    </format>
    <format dxfId="2483">
      <pivotArea dataOnly="0" labelOnly="1" outline="0" axis="axisValues" fieldPosition="0"/>
    </format>
    <format dxfId="2482">
      <pivotArea type="all" dataOnly="0" outline="0" fieldPosition="0"/>
    </format>
    <format dxfId="2481">
      <pivotArea outline="0" collapsedLevelsAreSubtotals="1" fieldPosition="0"/>
    </format>
    <format dxfId="2480">
      <pivotArea type="all" dataOnly="0" outline="0" fieldPosition="0"/>
    </format>
    <format dxfId="2479">
      <pivotArea outline="0" collapsedLevelsAreSubtotals="1" fieldPosition="0"/>
    </format>
    <format dxfId="2478">
      <pivotArea outline="0" collapsedLevelsAreSubtotals="1" fieldPosition="0"/>
    </format>
    <format dxfId="2477">
      <pivotArea type="all" dataOnly="0" outline="0" fieldPosition="0"/>
    </format>
    <format dxfId="2476">
      <pivotArea outline="0" collapsedLevelsAreSubtotals="1" fieldPosition="0"/>
    </format>
    <format dxfId="2475">
      <pivotArea dataOnly="0" labelOnly="1" outline="0" axis="axisValues" fieldPosition="0"/>
    </format>
    <format dxfId="24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E1967108-422D-47E7-949B-4015543C8320}" name="PivotTable4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07:H108"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h="1" x="0"/>
        <item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2553">
      <pivotArea type="all" dataOnly="0" outline="0" fieldPosition="0"/>
    </format>
    <format dxfId="2552">
      <pivotArea type="all" dataOnly="0" outline="0" fieldPosition="0"/>
    </format>
    <format dxfId="2551">
      <pivotArea type="all" dataOnly="0" outline="0" fieldPosition="0"/>
    </format>
    <format dxfId="2550">
      <pivotArea type="all" dataOnly="0" outline="0" fieldPosition="0"/>
    </format>
    <format dxfId="2549">
      <pivotArea type="all" dataOnly="0" outline="0" fieldPosition="0"/>
    </format>
    <format dxfId="2548">
      <pivotArea type="all" dataOnly="0" outline="0" fieldPosition="0"/>
    </format>
    <format dxfId="2547">
      <pivotArea type="all" dataOnly="0" outline="0" fieldPosition="0"/>
    </format>
    <format dxfId="2546">
      <pivotArea type="all" dataOnly="0" outline="0" fieldPosition="0"/>
    </format>
    <format dxfId="2545">
      <pivotArea type="all" dataOnly="0" outline="0" fieldPosition="0"/>
    </format>
    <format dxfId="2544">
      <pivotArea type="all" dataOnly="0" outline="0" fieldPosition="0"/>
    </format>
    <format dxfId="2543">
      <pivotArea type="all" dataOnly="0" outline="0" fieldPosition="0"/>
    </format>
    <format dxfId="2542">
      <pivotArea outline="0" collapsedLevelsAreSubtotals="1" fieldPosition="0"/>
    </format>
    <format dxfId="2541">
      <pivotArea dataOnly="0" labelOnly="1" outline="0" axis="axisValues" fieldPosition="0"/>
    </format>
    <format dxfId="2540">
      <pivotArea type="all" dataOnly="0" outline="0" fieldPosition="0"/>
    </format>
    <format dxfId="2539">
      <pivotArea outline="0" collapsedLevelsAreSubtotals="1" fieldPosition="0"/>
    </format>
    <format dxfId="2538">
      <pivotArea dataOnly="0" labelOnly="1" outline="0" axis="axisValues" fieldPosition="0"/>
    </format>
    <format dxfId="2537">
      <pivotArea type="all" dataOnly="0" outline="0" fieldPosition="0"/>
    </format>
    <format dxfId="2536">
      <pivotArea outline="0" collapsedLevelsAreSubtotals="1" fieldPosition="0"/>
    </format>
    <format dxfId="2535">
      <pivotArea dataOnly="0" labelOnly="1" outline="0" axis="axisValues" fieldPosition="0"/>
    </format>
    <format dxfId="2534">
      <pivotArea type="all" dataOnly="0" outline="0" fieldPosition="0"/>
    </format>
    <format dxfId="2533">
      <pivotArea outline="0" collapsedLevelsAreSubtotals="1" fieldPosition="0"/>
    </format>
    <format dxfId="2532">
      <pivotArea dataOnly="0" labelOnly="1" outline="0" axis="axisValues" fieldPosition="0"/>
    </format>
    <format dxfId="2531">
      <pivotArea type="all" dataOnly="0" outline="0" fieldPosition="0"/>
    </format>
    <format dxfId="2530">
      <pivotArea outline="0" collapsedLevelsAreSubtotals="1" fieldPosition="0"/>
    </format>
    <format dxfId="2529">
      <pivotArea dataOnly="0" labelOnly="1" outline="0" axis="axisValues" fieldPosition="0"/>
    </format>
    <format dxfId="2528">
      <pivotArea type="all" dataOnly="0" outline="0" fieldPosition="0"/>
    </format>
    <format dxfId="2527">
      <pivotArea outline="0" collapsedLevelsAreSubtotals="1" fieldPosition="0"/>
    </format>
    <format dxfId="2526">
      <pivotArea dataOnly="0" labelOnly="1" outline="0" axis="axisValues" fieldPosition="0"/>
    </format>
    <format dxfId="2525">
      <pivotArea type="all" dataOnly="0" outline="0" fieldPosition="0"/>
    </format>
    <format dxfId="2524">
      <pivotArea outline="0" collapsedLevelsAreSubtotals="1" fieldPosition="0"/>
    </format>
    <format dxfId="2523">
      <pivotArea dataOnly="0" labelOnly="1" outline="0" axis="axisValues" fieldPosition="0"/>
    </format>
    <format dxfId="2522">
      <pivotArea type="all" dataOnly="0" outline="0" fieldPosition="0"/>
    </format>
    <format dxfId="2521">
      <pivotArea outline="0" collapsedLevelsAreSubtotals="1" fieldPosition="0"/>
    </format>
    <format dxfId="2520">
      <pivotArea type="all" dataOnly="0" outline="0" fieldPosition="0"/>
    </format>
    <format dxfId="2519">
      <pivotArea outline="0" collapsedLevelsAreSubtotals="1" fieldPosition="0"/>
    </format>
    <format dxfId="2518">
      <pivotArea outline="0" collapsedLevelsAreSubtotals="1" fieldPosition="0"/>
    </format>
    <format dxfId="2517">
      <pivotArea type="all" dataOnly="0" outline="0" fieldPosition="0"/>
    </format>
    <format dxfId="2516">
      <pivotArea outline="0" collapsedLevelsAreSubtotals="1" fieldPosition="0"/>
    </format>
    <format dxfId="2515">
      <pivotArea dataOnly="0" labelOnly="1" outline="0" axis="axisValues" fieldPosition="0"/>
    </format>
    <format dxfId="25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AFA16D30-0B3B-4B87-9223-FD19065A1D05}" name="PivotTable2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22:H223" firstHeaderRow="1" firstDataRow="1" firstDataCol="0" rowPageCount="3"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x="0"/>
        <item x="2"/>
        <item x="5"/>
        <item x="4"/>
        <item x="3"/>
        <item x="1"/>
        <item x="8"/>
        <item x="9"/>
        <item x="6"/>
        <item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2593">
      <pivotArea type="all" dataOnly="0" outline="0" fieldPosition="0"/>
    </format>
    <format dxfId="2592">
      <pivotArea type="all" dataOnly="0" outline="0" fieldPosition="0"/>
    </format>
    <format dxfId="2591">
      <pivotArea type="all" dataOnly="0" outline="0" fieldPosition="0"/>
    </format>
    <format dxfId="2590">
      <pivotArea type="all" dataOnly="0" outline="0" fieldPosition="0"/>
    </format>
    <format dxfId="2589">
      <pivotArea type="all" dataOnly="0" outline="0" fieldPosition="0"/>
    </format>
    <format dxfId="2588">
      <pivotArea type="all" dataOnly="0" outline="0" fieldPosition="0"/>
    </format>
    <format dxfId="2587">
      <pivotArea type="all" dataOnly="0" outline="0" fieldPosition="0"/>
    </format>
    <format dxfId="2586">
      <pivotArea type="all" dataOnly="0" outline="0" fieldPosition="0"/>
    </format>
    <format dxfId="2585">
      <pivotArea type="all" dataOnly="0" outline="0" fieldPosition="0"/>
    </format>
    <format dxfId="2584">
      <pivotArea type="all" dataOnly="0" outline="0" fieldPosition="0"/>
    </format>
    <format dxfId="2583">
      <pivotArea type="all" dataOnly="0" outline="0" fieldPosition="0"/>
    </format>
    <format dxfId="2582">
      <pivotArea outline="0" collapsedLevelsAreSubtotals="1" fieldPosition="0"/>
    </format>
    <format dxfId="2581">
      <pivotArea dataOnly="0" labelOnly="1" outline="0" axis="axisValues" fieldPosition="0"/>
    </format>
    <format dxfId="2580">
      <pivotArea type="all" dataOnly="0" outline="0" fieldPosition="0"/>
    </format>
    <format dxfId="2579">
      <pivotArea outline="0" collapsedLevelsAreSubtotals="1" fieldPosition="0"/>
    </format>
    <format dxfId="2578">
      <pivotArea dataOnly="0" labelOnly="1" outline="0" axis="axisValues" fieldPosition="0"/>
    </format>
    <format dxfId="2577">
      <pivotArea type="all" dataOnly="0" outline="0" fieldPosition="0"/>
    </format>
    <format dxfId="2576">
      <pivotArea outline="0" collapsedLevelsAreSubtotals="1" fieldPosition="0"/>
    </format>
    <format dxfId="2575">
      <pivotArea dataOnly="0" labelOnly="1" outline="0" axis="axisValues" fieldPosition="0"/>
    </format>
    <format dxfId="2574">
      <pivotArea type="all" dataOnly="0" outline="0" fieldPosition="0"/>
    </format>
    <format dxfId="2573">
      <pivotArea outline="0" collapsedLevelsAreSubtotals="1" fieldPosition="0"/>
    </format>
    <format dxfId="2572">
      <pivotArea dataOnly="0" labelOnly="1" outline="0" axis="axisValues" fieldPosition="0"/>
    </format>
    <format dxfId="2571">
      <pivotArea type="all" dataOnly="0" outline="0" fieldPosition="0"/>
    </format>
    <format dxfId="2570">
      <pivotArea outline="0" collapsedLevelsAreSubtotals="1" fieldPosition="0"/>
    </format>
    <format dxfId="2569">
      <pivotArea dataOnly="0" labelOnly="1" outline="0" axis="axisValues" fieldPosition="0"/>
    </format>
    <format dxfId="2568">
      <pivotArea type="all" dataOnly="0" outline="0" fieldPosition="0"/>
    </format>
    <format dxfId="2567">
      <pivotArea outline="0" collapsedLevelsAreSubtotals="1" fieldPosition="0"/>
    </format>
    <format dxfId="2566">
      <pivotArea dataOnly="0" labelOnly="1" outline="0" axis="axisValues" fieldPosition="0"/>
    </format>
    <format dxfId="2565">
      <pivotArea type="all" dataOnly="0" outline="0" fieldPosition="0"/>
    </format>
    <format dxfId="2564">
      <pivotArea outline="0" collapsedLevelsAreSubtotals="1" fieldPosition="0"/>
    </format>
    <format dxfId="2563">
      <pivotArea dataOnly="0" labelOnly="1" outline="0" axis="axisValues" fieldPosition="0"/>
    </format>
    <format dxfId="2562">
      <pivotArea type="all" dataOnly="0" outline="0" fieldPosition="0"/>
    </format>
    <format dxfId="2561">
      <pivotArea outline="0" collapsedLevelsAreSubtotals="1" fieldPosition="0"/>
    </format>
    <format dxfId="2560">
      <pivotArea type="all" dataOnly="0" outline="0" fieldPosition="0"/>
    </format>
    <format dxfId="2559">
      <pivotArea outline="0" collapsedLevelsAreSubtotals="1" fieldPosition="0"/>
    </format>
    <format dxfId="2558">
      <pivotArea outline="0" collapsedLevelsAreSubtotals="1" fieldPosition="0"/>
    </format>
    <format dxfId="2557">
      <pivotArea type="all" dataOnly="0" outline="0" fieldPosition="0"/>
    </format>
    <format dxfId="2556">
      <pivotArea outline="0" collapsedLevelsAreSubtotals="1" fieldPosition="0"/>
    </format>
    <format dxfId="2555">
      <pivotArea dataOnly="0" labelOnly="1" outline="0" axis="axisValues" fieldPosition="0"/>
    </format>
    <format dxfId="255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BE53E8BF-F007-4523-8CE5-9C126DE9452F}" name="PivotTable1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89:H90" firstHeaderRow="1" firstDataRow="1" firstDataCol="0" rowPageCount="2" colPageCount="1"/>
  <pivotFields count="77">
    <pivotField showAll="0" defaultSubtotal="0"/>
    <pivotField showAll="0"/>
    <pivotField axis="axisPage" multipleItemSelectionAllowed="1" showAll="0" defaultSubtotal="0">
      <items count="5">
        <item x="1"/>
        <item x="2"/>
        <item x="4"/>
        <item h="1" x="0"/>
        <item h="1"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2633">
      <pivotArea type="all" dataOnly="0" outline="0" fieldPosition="0"/>
    </format>
    <format dxfId="2632">
      <pivotArea type="all" dataOnly="0" outline="0" fieldPosition="0"/>
    </format>
    <format dxfId="2631">
      <pivotArea type="all" dataOnly="0" outline="0" fieldPosition="0"/>
    </format>
    <format dxfId="2630">
      <pivotArea type="all" dataOnly="0" outline="0" fieldPosition="0"/>
    </format>
    <format dxfId="2629">
      <pivotArea type="all" dataOnly="0" outline="0" fieldPosition="0"/>
    </format>
    <format dxfId="2628">
      <pivotArea type="all" dataOnly="0" outline="0" fieldPosition="0"/>
    </format>
    <format dxfId="2627">
      <pivotArea type="all" dataOnly="0" outline="0" fieldPosition="0"/>
    </format>
    <format dxfId="2626">
      <pivotArea type="all" dataOnly="0" outline="0" fieldPosition="0"/>
    </format>
    <format dxfId="2625">
      <pivotArea type="all" dataOnly="0" outline="0" fieldPosition="0"/>
    </format>
    <format dxfId="2624">
      <pivotArea type="all" dataOnly="0" outline="0" fieldPosition="0"/>
    </format>
    <format dxfId="2623">
      <pivotArea type="all" dataOnly="0" outline="0" fieldPosition="0"/>
    </format>
    <format dxfId="2622">
      <pivotArea outline="0" collapsedLevelsAreSubtotals="1" fieldPosition="0"/>
    </format>
    <format dxfId="2621">
      <pivotArea dataOnly="0" labelOnly="1" outline="0" axis="axisValues" fieldPosition="0"/>
    </format>
    <format dxfId="2620">
      <pivotArea type="all" dataOnly="0" outline="0" fieldPosition="0"/>
    </format>
    <format dxfId="2619">
      <pivotArea outline="0" collapsedLevelsAreSubtotals="1" fieldPosition="0"/>
    </format>
    <format dxfId="2618">
      <pivotArea dataOnly="0" labelOnly="1" outline="0" axis="axisValues" fieldPosition="0"/>
    </format>
    <format dxfId="2617">
      <pivotArea type="all" dataOnly="0" outline="0" fieldPosition="0"/>
    </format>
    <format dxfId="2616">
      <pivotArea outline="0" collapsedLevelsAreSubtotals="1" fieldPosition="0"/>
    </format>
    <format dxfId="2615">
      <pivotArea dataOnly="0" labelOnly="1" outline="0" axis="axisValues" fieldPosition="0"/>
    </format>
    <format dxfId="2614">
      <pivotArea type="all" dataOnly="0" outline="0" fieldPosition="0"/>
    </format>
    <format dxfId="2613">
      <pivotArea outline="0" collapsedLevelsAreSubtotals="1" fieldPosition="0"/>
    </format>
    <format dxfId="2612">
      <pivotArea dataOnly="0" labelOnly="1" outline="0" axis="axisValues" fieldPosition="0"/>
    </format>
    <format dxfId="2611">
      <pivotArea type="all" dataOnly="0" outline="0" fieldPosition="0"/>
    </format>
    <format dxfId="2610">
      <pivotArea outline="0" collapsedLevelsAreSubtotals="1" fieldPosition="0"/>
    </format>
    <format dxfId="2609">
      <pivotArea dataOnly="0" labelOnly="1" outline="0" axis="axisValues" fieldPosition="0"/>
    </format>
    <format dxfId="2608">
      <pivotArea type="all" dataOnly="0" outline="0" fieldPosition="0"/>
    </format>
    <format dxfId="2607">
      <pivotArea outline="0" collapsedLevelsAreSubtotals="1" fieldPosition="0"/>
    </format>
    <format dxfId="2606">
      <pivotArea dataOnly="0" labelOnly="1" outline="0" axis="axisValues" fieldPosition="0"/>
    </format>
    <format dxfId="2605">
      <pivotArea type="all" dataOnly="0" outline="0" fieldPosition="0"/>
    </format>
    <format dxfId="2604">
      <pivotArea outline="0" collapsedLevelsAreSubtotals="1" fieldPosition="0"/>
    </format>
    <format dxfId="2603">
      <pivotArea dataOnly="0" labelOnly="1" outline="0" axis="axisValues" fieldPosition="0"/>
    </format>
    <format dxfId="2602">
      <pivotArea type="all" dataOnly="0" outline="0" fieldPosition="0"/>
    </format>
    <format dxfId="2601">
      <pivotArea outline="0" collapsedLevelsAreSubtotals="1" fieldPosition="0"/>
    </format>
    <format dxfId="2600">
      <pivotArea type="all" dataOnly="0" outline="0" fieldPosition="0"/>
    </format>
    <format dxfId="2599">
      <pivotArea outline="0" collapsedLevelsAreSubtotals="1" fieldPosition="0"/>
    </format>
    <format dxfId="2598">
      <pivotArea outline="0" collapsedLevelsAreSubtotals="1" fieldPosition="0"/>
    </format>
    <format dxfId="2597">
      <pivotArea type="all" dataOnly="0" outline="0" fieldPosition="0"/>
    </format>
    <format dxfId="2596">
      <pivotArea outline="0" collapsedLevelsAreSubtotals="1" fieldPosition="0"/>
    </format>
    <format dxfId="2595">
      <pivotArea dataOnly="0" labelOnly="1" outline="0" axis="axisValues" fieldPosition="0"/>
    </format>
    <format dxfId="259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C7B02C61-12E3-4472-89B7-40AADCDEC189}" name="PivotTable5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25:E12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2673">
      <pivotArea type="all" dataOnly="0" outline="0" fieldPosition="0"/>
    </format>
    <format dxfId="2672">
      <pivotArea type="all" dataOnly="0" outline="0" fieldPosition="0"/>
    </format>
    <format dxfId="2671">
      <pivotArea type="all" dataOnly="0" outline="0" fieldPosition="0"/>
    </format>
    <format dxfId="2670">
      <pivotArea type="all" dataOnly="0" outline="0" fieldPosition="0"/>
    </format>
    <format dxfId="2669">
      <pivotArea type="all" dataOnly="0" outline="0" fieldPosition="0"/>
    </format>
    <format dxfId="2668">
      <pivotArea type="all" dataOnly="0" outline="0" fieldPosition="0"/>
    </format>
    <format dxfId="2667">
      <pivotArea type="all" dataOnly="0" outline="0" fieldPosition="0"/>
    </format>
    <format dxfId="2666">
      <pivotArea type="all" dataOnly="0" outline="0" fieldPosition="0"/>
    </format>
    <format dxfId="2665">
      <pivotArea type="all" dataOnly="0" outline="0" fieldPosition="0"/>
    </format>
    <format dxfId="2664">
      <pivotArea type="all" dataOnly="0" outline="0" fieldPosition="0"/>
    </format>
    <format dxfId="2663">
      <pivotArea type="all" dataOnly="0" outline="0" fieldPosition="0"/>
    </format>
    <format dxfId="2662">
      <pivotArea outline="0" collapsedLevelsAreSubtotals="1" fieldPosition="0"/>
    </format>
    <format dxfId="2661">
      <pivotArea dataOnly="0" labelOnly="1" outline="0" axis="axisValues" fieldPosition="0"/>
    </format>
    <format dxfId="2660">
      <pivotArea type="all" dataOnly="0" outline="0" fieldPosition="0"/>
    </format>
    <format dxfId="2659">
      <pivotArea outline="0" collapsedLevelsAreSubtotals="1" fieldPosition="0"/>
    </format>
    <format dxfId="2658">
      <pivotArea dataOnly="0" labelOnly="1" outline="0" axis="axisValues" fieldPosition="0"/>
    </format>
    <format dxfId="2657">
      <pivotArea type="all" dataOnly="0" outline="0" fieldPosition="0"/>
    </format>
    <format dxfId="2656">
      <pivotArea outline="0" collapsedLevelsAreSubtotals="1" fieldPosition="0"/>
    </format>
    <format dxfId="2655">
      <pivotArea dataOnly="0" labelOnly="1" outline="0" axis="axisValues" fieldPosition="0"/>
    </format>
    <format dxfId="2654">
      <pivotArea type="all" dataOnly="0" outline="0" fieldPosition="0"/>
    </format>
    <format dxfId="2653">
      <pivotArea outline="0" collapsedLevelsAreSubtotals="1" fieldPosition="0"/>
    </format>
    <format dxfId="2652">
      <pivotArea dataOnly="0" labelOnly="1" outline="0" axis="axisValues" fieldPosition="0"/>
    </format>
    <format dxfId="2651">
      <pivotArea type="all" dataOnly="0" outline="0" fieldPosition="0"/>
    </format>
    <format dxfId="2650">
      <pivotArea outline="0" collapsedLevelsAreSubtotals="1" fieldPosition="0"/>
    </format>
    <format dxfId="2649">
      <pivotArea dataOnly="0" labelOnly="1" outline="0" axis="axisValues" fieldPosition="0"/>
    </format>
    <format dxfId="2648">
      <pivotArea type="all" dataOnly="0" outline="0" fieldPosition="0"/>
    </format>
    <format dxfId="2647">
      <pivotArea outline="0" collapsedLevelsAreSubtotals="1" fieldPosition="0"/>
    </format>
    <format dxfId="2646">
      <pivotArea dataOnly="0" labelOnly="1" outline="0" axis="axisValues" fieldPosition="0"/>
    </format>
    <format dxfId="2645">
      <pivotArea type="all" dataOnly="0" outline="0" fieldPosition="0"/>
    </format>
    <format dxfId="2644">
      <pivotArea outline="0" collapsedLevelsAreSubtotals="1" fieldPosition="0"/>
    </format>
    <format dxfId="2643">
      <pivotArea dataOnly="0" labelOnly="1" outline="0" axis="axisValues" fieldPosition="0"/>
    </format>
    <format dxfId="2642">
      <pivotArea type="all" dataOnly="0" outline="0" fieldPosition="0"/>
    </format>
    <format dxfId="2641">
      <pivotArea outline="0" collapsedLevelsAreSubtotals="1" fieldPosition="0"/>
    </format>
    <format dxfId="2640">
      <pivotArea type="all" dataOnly="0" outline="0" fieldPosition="0"/>
    </format>
    <format dxfId="2639">
      <pivotArea outline="0" collapsedLevelsAreSubtotals="1" fieldPosition="0"/>
    </format>
    <format dxfId="2638">
      <pivotArea outline="0" collapsedLevelsAreSubtotals="1" fieldPosition="0"/>
    </format>
    <format dxfId="2637">
      <pivotArea type="all" dataOnly="0" outline="0" fieldPosition="0"/>
    </format>
    <format dxfId="2636">
      <pivotArea outline="0" collapsedLevelsAreSubtotals="1" fieldPosition="0"/>
    </format>
    <format dxfId="2635">
      <pivotArea dataOnly="0" labelOnly="1" outline="0" axis="axisValues" fieldPosition="0"/>
    </format>
    <format dxfId="263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DFB2529-99EE-4142-A371-CB3F2159C227}" name="PivotTable5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28:J331" firstHeaderRow="0" firstDataRow="1" firstDataCol="1"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Row" multipleItemSelectionAllowed="1" showAll="0" defaultSubtotal="0">
      <items count="10">
        <item x="0"/>
        <item x="2"/>
        <item x="5"/>
        <item x="4"/>
        <item x="1"/>
        <item x="3"/>
        <item x="8"/>
        <item x="9"/>
        <item x="6"/>
        <item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3">
    <i>
      <x/>
    </i>
    <i>
      <x v="4"/>
    </i>
    <i t="grand">
      <x/>
    </i>
  </rowItems>
  <colFields count="1">
    <field x="-2"/>
  </colFields>
  <colItems count="8">
    <i>
      <x/>
    </i>
    <i i="1">
      <x v="1"/>
    </i>
    <i i="2">
      <x v="2"/>
    </i>
    <i i="3">
      <x v="3"/>
    </i>
    <i i="4">
      <x v="4"/>
    </i>
    <i i="5">
      <x v="5"/>
    </i>
    <i i="6">
      <x v="6"/>
    </i>
    <i i="7">
      <x v="7"/>
    </i>
  </colItems>
  <pageFields count="2">
    <pageField fld="8" hier="-1"/>
    <pageField fld="2" hier="-1"/>
  </pageFields>
  <dataFields count="8">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 name="Sum of 8 bed net" fld="39" baseField="0" baseItem="0"/>
  </dataFields>
  <formats count="48">
    <format dxfId="2721">
      <pivotArea type="all" dataOnly="0" outline="0" fieldPosition="0"/>
    </format>
    <format dxfId="2720">
      <pivotArea type="all" dataOnly="0" outline="0" fieldPosition="0"/>
    </format>
    <format dxfId="2719">
      <pivotArea type="all" dataOnly="0" outline="0" fieldPosition="0"/>
    </format>
    <format dxfId="2718">
      <pivotArea type="all" dataOnly="0" outline="0" fieldPosition="0"/>
    </format>
    <format dxfId="2717">
      <pivotArea type="all" dataOnly="0" outline="0" fieldPosition="0"/>
    </format>
    <format dxfId="2716">
      <pivotArea type="all" dataOnly="0" outline="0" fieldPosition="0"/>
    </format>
    <format dxfId="2715">
      <pivotArea type="all" dataOnly="0" outline="0" fieldPosition="0"/>
    </format>
    <format dxfId="2714">
      <pivotArea type="all" dataOnly="0" outline="0" fieldPosition="0"/>
    </format>
    <format dxfId="2713">
      <pivotArea type="all" dataOnly="0" outline="0" fieldPosition="0"/>
    </format>
    <format dxfId="2712">
      <pivotArea type="all" dataOnly="0" outline="0" fieldPosition="0"/>
    </format>
    <format dxfId="2711">
      <pivotArea type="all" dataOnly="0" outline="0" fieldPosition="0"/>
    </format>
    <format dxfId="2710">
      <pivotArea outline="0" collapsedLevelsAreSubtotals="1" fieldPosition="0"/>
    </format>
    <format dxfId="2709">
      <pivotArea field="9" type="button" dataOnly="0" labelOnly="1" outline="0" axis="axisRow" fieldPosition="0"/>
    </format>
    <format dxfId="2708">
      <pivotArea dataOnly="0" labelOnly="1" fieldPosition="0">
        <references count="1">
          <reference field="9" count="1">
            <x v="0"/>
          </reference>
        </references>
      </pivotArea>
    </format>
    <format dxfId="2707">
      <pivotArea dataOnly="0" labelOnly="1" grandRow="1" outline="0" fieldPosition="0"/>
    </format>
    <format dxfId="2706">
      <pivotArea dataOnly="0" labelOnly="1" outline="0" fieldPosition="0">
        <references count="1">
          <reference field="4294967294" count="7">
            <x v="0"/>
            <x v="1"/>
            <x v="2"/>
            <x v="3"/>
            <x v="4"/>
            <x v="5"/>
            <x v="6"/>
          </reference>
        </references>
      </pivotArea>
    </format>
    <format dxfId="2705">
      <pivotArea type="all" dataOnly="0" outline="0" fieldPosition="0"/>
    </format>
    <format dxfId="2704">
      <pivotArea outline="0" collapsedLevelsAreSubtotals="1" fieldPosition="0"/>
    </format>
    <format dxfId="2703">
      <pivotArea field="9" type="button" dataOnly="0" labelOnly="1" outline="0" axis="axisRow" fieldPosition="0"/>
    </format>
    <format dxfId="2702">
      <pivotArea dataOnly="0" labelOnly="1" grandRow="1" outline="0" fieldPosition="0"/>
    </format>
    <format dxfId="2701">
      <pivotArea dataOnly="0" labelOnly="1" outline="0" fieldPosition="0">
        <references count="1">
          <reference field="4294967294" count="7">
            <x v="0"/>
            <x v="1"/>
            <x v="2"/>
            <x v="3"/>
            <x v="4"/>
            <x v="5"/>
            <x v="6"/>
          </reference>
        </references>
      </pivotArea>
    </format>
    <format dxfId="2700">
      <pivotArea type="all" dataOnly="0" outline="0" fieldPosition="0"/>
    </format>
    <format dxfId="2699">
      <pivotArea outline="0" collapsedLevelsAreSubtotals="1" fieldPosition="0"/>
    </format>
    <format dxfId="2698">
      <pivotArea field="9" type="button" dataOnly="0" labelOnly="1" outline="0" axis="axisRow" fieldPosition="0"/>
    </format>
    <format dxfId="2697">
      <pivotArea dataOnly="0" labelOnly="1" grandRow="1" outline="0" fieldPosition="0"/>
    </format>
    <format dxfId="2696">
      <pivotArea dataOnly="0" labelOnly="1" outline="0" fieldPosition="0">
        <references count="1">
          <reference field="4294967294" count="7">
            <x v="0"/>
            <x v="1"/>
            <x v="2"/>
            <x v="3"/>
            <x v="4"/>
            <x v="5"/>
            <x v="6"/>
          </reference>
        </references>
      </pivotArea>
    </format>
    <format dxfId="2695">
      <pivotArea type="all" dataOnly="0" outline="0" fieldPosition="0"/>
    </format>
    <format dxfId="2694">
      <pivotArea outline="0" collapsedLevelsAreSubtotals="1" fieldPosition="0"/>
    </format>
    <format dxfId="2693">
      <pivotArea field="9" type="button" dataOnly="0" labelOnly="1" outline="0" axis="axisRow" fieldPosition="0"/>
    </format>
    <format dxfId="2692">
      <pivotArea dataOnly="0" labelOnly="1" fieldPosition="0">
        <references count="1">
          <reference field="9" count="2">
            <x v="0"/>
            <x v="5"/>
          </reference>
        </references>
      </pivotArea>
    </format>
    <format dxfId="2691">
      <pivotArea dataOnly="0" labelOnly="1" grandRow="1" outline="0" fieldPosition="0"/>
    </format>
    <format dxfId="2690">
      <pivotArea dataOnly="0" labelOnly="1" outline="0" fieldPosition="0">
        <references count="1">
          <reference field="4294967294" count="8">
            <x v="0"/>
            <x v="1"/>
            <x v="2"/>
            <x v="3"/>
            <x v="4"/>
            <x v="5"/>
            <x v="6"/>
            <x v="7"/>
          </reference>
        </references>
      </pivotArea>
    </format>
    <format dxfId="2689">
      <pivotArea type="all" dataOnly="0" outline="0" fieldPosition="0"/>
    </format>
    <format dxfId="2688">
      <pivotArea dataOnly="0" labelOnly="1" fieldPosition="0">
        <references count="1">
          <reference field="9" count="2">
            <x v="0"/>
            <x v="5"/>
          </reference>
        </references>
      </pivotArea>
    </format>
    <format dxfId="2687">
      <pivotArea type="all" dataOnly="0" outline="0" fieldPosition="0"/>
    </format>
    <format dxfId="2686">
      <pivotArea dataOnly="0" labelOnly="1" fieldPosition="0">
        <references count="1">
          <reference field="9" count="2">
            <x v="0"/>
            <x v="5"/>
          </reference>
        </references>
      </pivotArea>
    </format>
    <format dxfId="2685">
      <pivotArea collapsedLevelsAreSubtotals="1" fieldPosition="0">
        <references count="1">
          <reference field="9" count="2">
            <x v="0"/>
            <x v="4"/>
          </reference>
        </references>
      </pivotArea>
    </format>
    <format dxfId="2684">
      <pivotArea type="all" dataOnly="0" outline="0" fieldPosition="0"/>
    </format>
    <format dxfId="2683">
      <pivotArea outline="0" collapsedLevelsAreSubtotals="1" fieldPosition="0"/>
    </format>
    <format dxfId="2682">
      <pivotArea field="9" type="button" dataOnly="0" labelOnly="1" outline="0" axis="axisRow" fieldPosition="0"/>
    </format>
    <format dxfId="2681">
      <pivotArea dataOnly="0" labelOnly="1" fieldPosition="0">
        <references count="1">
          <reference field="9" count="2">
            <x v="0"/>
            <x v="4"/>
          </reference>
        </references>
      </pivotArea>
    </format>
    <format dxfId="2680">
      <pivotArea dataOnly="0" labelOnly="1" grandRow="1" outline="0" fieldPosition="0"/>
    </format>
    <format dxfId="2679">
      <pivotArea dataOnly="0" labelOnly="1" outline="0" fieldPosition="0">
        <references count="1">
          <reference field="4294967294" count="8">
            <x v="0"/>
            <x v="1"/>
            <x v="2"/>
            <x v="3"/>
            <x v="4"/>
            <x v="5"/>
            <x v="6"/>
            <x v="7"/>
          </reference>
        </references>
      </pivotArea>
    </format>
    <format dxfId="2678">
      <pivotArea type="all" dataOnly="0" outline="0" fieldPosition="0"/>
    </format>
    <format dxfId="2677">
      <pivotArea outline="0" collapsedLevelsAreSubtotals="1" fieldPosition="0"/>
    </format>
    <format dxfId="2676">
      <pivotArea field="9" type="button" dataOnly="0" labelOnly="1" outline="0" axis="axisRow" fieldPosition="0"/>
    </format>
    <format dxfId="2675">
      <pivotArea dataOnly="0" labelOnly="1" fieldPosition="0">
        <references count="1">
          <reference field="9" count="2">
            <x v="0"/>
            <x v="4"/>
          </reference>
        </references>
      </pivotArea>
    </format>
    <format dxfId="267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5E707EBC-DB9D-4A23-AFE2-9C3C5001C646}" name="PivotTable7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92:B19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2761">
      <pivotArea type="all" dataOnly="0" outline="0" fieldPosition="0"/>
    </format>
    <format dxfId="2760">
      <pivotArea type="all" dataOnly="0" outline="0" fieldPosition="0"/>
    </format>
    <format dxfId="2759">
      <pivotArea type="all" dataOnly="0" outline="0" fieldPosition="0"/>
    </format>
    <format dxfId="2758">
      <pivotArea type="all" dataOnly="0" outline="0" fieldPosition="0"/>
    </format>
    <format dxfId="2757">
      <pivotArea type="all" dataOnly="0" outline="0" fieldPosition="0"/>
    </format>
    <format dxfId="2756">
      <pivotArea type="all" dataOnly="0" outline="0" fieldPosition="0"/>
    </format>
    <format dxfId="2755">
      <pivotArea type="all" dataOnly="0" outline="0" fieldPosition="0"/>
    </format>
    <format dxfId="2754">
      <pivotArea type="all" dataOnly="0" outline="0" fieldPosition="0"/>
    </format>
    <format dxfId="2753">
      <pivotArea type="all" dataOnly="0" outline="0" fieldPosition="0"/>
    </format>
    <format dxfId="2752">
      <pivotArea type="all" dataOnly="0" outline="0" fieldPosition="0"/>
    </format>
    <format dxfId="2751">
      <pivotArea type="all" dataOnly="0" outline="0" fieldPosition="0"/>
    </format>
    <format dxfId="2750">
      <pivotArea outline="0" collapsedLevelsAreSubtotals="1" fieldPosition="0"/>
    </format>
    <format dxfId="2749">
      <pivotArea dataOnly="0" labelOnly="1" outline="0" axis="axisValues" fieldPosition="0"/>
    </format>
    <format dxfId="2748">
      <pivotArea type="all" dataOnly="0" outline="0" fieldPosition="0"/>
    </format>
    <format dxfId="2747">
      <pivotArea outline="0" collapsedLevelsAreSubtotals="1" fieldPosition="0"/>
    </format>
    <format dxfId="2746">
      <pivotArea dataOnly="0" labelOnly="1" outline="0" axis="axisValues" fieldPosition="0"/>
    </format>
    <format dxfId="2745">
      <pivotArea type="all" dataOnly="0" outline="0" fieldPosition="0"/>
    </format>
    <format dxfId="2744">
      <pivotArea outline="0" collapsedLevelsAreSubtotals="1" fieldPosition="0"/>
    </format>
    <format dxfId="2743">
      <pivotArea dataOnly="0" labelOnly="1" outline="0" axis="axisValues" fieldPosition="0"/>
    </format>
    <format dxfId="2742">
      <pivotArea type="all" dataOnly="0" outline="0" fieldPosition="0"/>
    </format>
    <format dxfId="2741">
      <pivotArea outline="0" collapsedLevelsAreSubtotals="1" fieldPosition="0"/>
    </format>
    <format dxfId="2740">
      <pivotArea dataOnly="0" labelOnly="1" outline="0" axis="axisValues" fieldPosition="0"/>
    </format>
    <format dxfId="2739">
      <pivotArea type="all" dataOnly="0" outline="0" fieldPosition="0"/>
    </format>
    <format dxfId="2738">
      <pivotArea outline="0" collapsedLevelsAreSubtotals="1" fieldPosition="0"/>
    </format>
    <format dxfId="2737">
      <pivotArea dataOnly="0" labelOnly="1" outline="0" axis="axisValues" fieldPosition="0"/>
    </format>
    <format dxfId="2736">
      <pivotArea type="all" dataOnly="0" outline="0" fieldPosition="0"/>
    </format>
    <format dxfId="2735">
      <pivotArea outline="0" collapsedLevelsAreSubtotals="1" fieldPosition="0"/>
    </format>
    <format dxfId="2734">
      <pivotArea dataOnly="0" labelOnly="1" outline="0" axis="axisValues" fieldPosition="0"/>
    </format>
    <format dxfId="2733">
      <pivotArea type="all" dataOnly="0" outline="0" fieldPosition="0"/>
    </format>
    <format dxfId="2732">
      <pivotArea outline="0" collapsedLevelsAreSubtotals="1" fieldPosition="0"/>
    </format>
    <format dxfId="2731">
      <pivotArea dataOnly="0" labelOnly="1" outline="0" axis="axisValues" fieldPosition="0"/>
    </format>
    <format dxfId="2730">
      <pivotArea type="all" dataOnly="0" outline="0" fieldPosition="0"/>
    </format>
    <format dxfId="2729">
      <pivotArea outline="0" collapsedLevelsAreSubtotals="1" fieldPosition="0"/>
    </format>
    <format dxfId="2728">
      <pivotArea type="all" dataOnly="0" outline="0" fieldPosition="0"/>
    </format>
    <format dxfId="2727">
      <pivotArea outline="0" collapsedLevelsAreSubtotals="1" fieldPosition="0"/>
    </format>
    <format dxfId="2726">
      <pivotArea outline="0" collapsedLevelsAreSubtotals="1" fieldPosition="0"/>
    </format>
    <format dxfId="2725">
      <pivotArea type="all" dataOnly="0" outline="0" fieldPosition="0"/>
    </format>
    <format dxfId="2724">
      <pivotArea outline="0" collapsedLevelsAreSubtotals="1" fieldPosition="0"/>
    </format>
    <format dxfId="2723">
      <pivotArea dataOnly="0" labelOnly="1" outline="0" axis="axisValues" fieldPosition="0"/>
    </format>
    <format dxfId="272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692C131A-5445-4AC1-80AF-DA00AC873D31}" name="PivotTable8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rowHeaderCaption="SELECT SITES">
  <location ref="E24:F35" firstHeaderRow="1" firstDataRow="1" firstDataCol="1" rowPageCount="1" colPageCount="1"/>
  <pivotFields count="77">
    <pivotField showAll="0"/>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8">
        <item h="1" x="0"/>
        <item h="1" x="1"/>
        <item h="1" x="2"/>
        <item x="6"/>
        <item h="1" x="3"/>
        <item x="4"/>
        <item x="5"/>
        <item t="default"/>
      </items>
    </pivotField>
    <pivotField showAll="0"/>
    <pivotField axis="axisRow" showAll="0" sortType="ascending">
      <items count="15">
        <item x="1"/>
        <item x="6"/>
        <item x="12"/>
        <item x="7"/>
        <item x="5"/>
        <item x="2"/>
        <item x="13"/>
        <item x="4"/>
        <item x="8"/>
        <item x="9"/>
        <item x="3"/>
        <item x="10"/>
        <item x="1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1">
    <i>
      <x v="1"/>
    </i>
    <i>
      <x v="2"/>
    </i>
    <i>
      <x v="3"/>
    </i>
    <i>
      <x v="4"/>
    </i>
    <i>
      <x v="6"/>
    </i>
    <i>
      <x v="7"/>
    </i>
    <i>
      <x v="8"/>
    </i>
    <i>
      <x v="9"/>
    </i>
    <i>
      <x v="11"/>
    </i>
    <i>
      <x v="12"/>
    </i>
    <i t="grand">
      <x/>
    </i>
  </rowItems>
  <colItems count="1">
    <i/>
  </colItems>
  <pageFields count="1">
    <pageField fld="8" hier="-1"/>
  </pageFields>
  <dataFields count="1">
    <dataField name="Sum of 2023-2033 Total" fld="60" baseField="26" baseItem="4"/>
  </dataFields>
  <formats count="79">
    <format dxfId="2840">
      <pivotArea type="all" dataOnly="0" outline="0" fieldPosition="0"/>
    </format>
    <format dxfId="2839">
      <pivotArea type="all" dataOnly="0" outline="0" fieldPosition="0"/>
    </format>
    <format dxfId="2838">
      <pivotArea type="all" dataOnly="0" outline="0" fieldPosition="0"/>
    </format>
    <format dxfId="2837">
      <pivotArea type="all" dataOnly="0" outline="0" fieldPosition="0"/>
    </format>
    <format dxfId="2836">
      <pivotArea type="all" dataOnly="0" outline="0" fieldPosition="0"/>
    </format>
    <format dxfId="2835">
      <pivotArea type="all" dataOnly="0" outline="0" fieldPosition="0"/>
    </format>
    <format dxfId="2834">
      <pivotArea type="all" dataOnly="0" outline="0" fieldPosition="0"/>
    </format>
    <format dxfId="2833">
      <pivotArea type="all" dataOnly="0" outline="0" fieldPosition="0"/>
    </format>
    <format dxfId="2832">
      <pivotArea type="all" dataOnly="0" outline="0" fieldPosition="0"/>
    </format>
    <format dxfId="2831">
      <pivotArea type="all" dataOnly="0" outline="0" fieldPosition="0"/>
    </format>
    <format dxfId="2830">
      <pivotArea type="all" dataOnly="0" outline="0" fieldPosition="0"/>
    </format>
    <format dxfId="2829">
      <pivotArea outline="0" collapsedLevelsAreSubtotals="1" fieldPosition="0"/>
    </format>
    <format dxfId="2828">
      <pivotArea dataOnly="0" labelOnly="1" outline="0" axis="axisValues" fieldPosition="0"/>
    </format>
    <format dxfId="2827">
      <pivotArea type="all" dataOnly="0" outline="0" fieldPosition="0"/>
    </format>
    <format dxfId="2826">
      <pivotArea outline="0" collapsedLevelsAreSubtotals="1" fieldPosition="0"/>
    </format>
    <format dxfId="2825">
      <pivotArea dataOnly="0" labelOnly="1" grandRow="1" outline="0" fieldPosition="0"/>
    </format>
    <format dxfId="2824">
      <pivotArea dataOnly="0" labelOnly="1" outline="0" axis="axisValues" fieldPosition="0"/>
    </format>
    <format dxfId="2823">
      <pivotArea type="all" dataOnly="0" outline="0" fieldPosition="0"/>
    </format>
    <format dxfId="2822">
      <pivotArea outline="0" collapsedLevelsAreSubtotals="1" fieldPosition="0"/>
    </format>
    <format dxfId="2821">
      <pivotArea dataOnly="0" labelOnly="1" grandRow="1" outline="0" fieldPosition="0"/>
    </format>
    <format dxfId="2820">
      <pivotArea dataOnly="0" labelOnly="1" outline="0" axis="axisValues" fieldPosition="0"/>
    </format>
    <format dxfId="2819">
      <pivotArea type="all" dataOnly="0" outline="0" fieldPosition="0"/>
    </format>
    <format dxfId="2818">
      <pivotArea type="all" dataOnly="0" outline="0" fieldPosition="0"/>
    </format>
    <format dxfId="2817">
      <pivotArea outline="0" collapsedLevelsAreSubtotals="1" fieldPosition="0"/>
    </format>
    <format dxfId="2816">
      <pivotArea dataOnly="0" labelOnly="1" grandRow="1" outline="0" fieldPosition="0"/>
    </format>
    <format dxfId="2815">
      <pivotArea dataOnly="0" labelOnly="1" outline="0" axis="axisValues" fieldPosition="0"/>
    </format>
    <format dxfId="2814">
      <pivotArea type="all" dataOnly="0" outline="0" fieldPosition="0"/>
    </format>
    <format dxfId="2813">
      <pivotArea outline="0" collapsedLevelsAreSubtotals="1" fieldPosition="0"/>
    </format>
    <format dxfId="2812">
      <pivotArea dataOnly="0" labelOnly="1" grandRow="1" outline="0" fieldPosition="0"/>
    </format>
    <format dxfId="2811">
      <pivotArea dataOnly="0" labelOnly="1" outline="0" axis="axisValues" fieldPosition="0"/>
    </format>
    <format dxfId="2810">
      <pivotArea type="all" dataOnly="0" outline="0" fieldPosition="0"/>
    </format>
    <format dxfId="2809">
      <pivotArea outline="0" collapsedLevelsAreSubtotals="1" fieldPosition="0"/>
    </format>
    <format dxfId="2808">
      <pivotArea dataOnly="0" labelOnly="1" grandRow="1" outline="0" fieldPosition="0"/>
    </format>
    <format dxfId="2807">
      <pivotArea dataOnly="0" labelOnly="1" outline="0" axis="axisValues" fieldPosition="0"/>
    </format>
    <format dxfId="2806">
      <pivotArea type="all" dataOnly="0" outline="0" fieldPosition="0"/>
    </format>
    <format dxfId="2805">
      <pivotArea outline="0" collapsedLevelsAreSubtotals="1" fieldPosition="0"/>
    </format>
    <format dxfId="2804">
      <pivotArea dataOnly="0" labelOnly="1" grandRow="1" outline="0" fieldPosition="0"/>
    </format>
    <format dxfId="2803">
      <pivotArea dataOnly="0" labelOnly="1" outline="0" axis="axisValues" fieldPosition="0"/>
    </format>
    <format dxfId="2802">
      <pivotArea type="all" dataOnly="0" outline="0" fieldPosition="0"/>
    </format>
    <format dxfId="2801">
      <pivotArea outline="0" collapsedLevelsAreSubtotals="1" fieldPosition="0"/>
    </format>
    <format dxfId="2800">
      <pivotArea dataOnly="0" labelOnly="1" grandRow="1" outline="0" fieldPosition="0"/>
    </format>
    <format dxfId="2799">
      <pivotArea dataOnly="0" labelOnly="1" outline="0" axis="axisValues" fieldPosition="0"/>
    </format>
    <format dxfId="2798">
      <pivotArea type="all" dataOnly="0" outline="0" fieldPosition="0"/>
    </format>
    <format dxfId="2797">
      <pivotArea outline="0" collapsedLevelsAreSubtotals="1" fieldPosition="0"/>
    </format>
    <format dxfId="2796">
      <pivotArea dataOnly="0" labelOnly="1" grandRow="1" outline="0" fieldPosition="0"/>
    </format>
    <format dxfId="2795">
      <pivotArea dataOnly="0" labelOnly="1" outline="0" axis="axisValues" fieldPosition="0"/>
    </format>
    <format dxfId="2794">
      <pivotArea type="all" dataOnly="0" outline="0" fieldPosition="0"/>
    </format>
    <format dxfId="2793">
      <pivotArea outline="0" collapsedLevelsAreSubtotals="1" fieldPosition="0"/>
    </format>
    <format dxfId="2792">
      <pivotArea dataOnly="0" labelOnly="1" grandRow="1" outline="0" fieldPosition="0"/>
    </format>
    <format dxfId="2791">
      <pivotArea dataOnly="0" labelOnly="1" outline="0" axis="axisValues" fieldPosition="0"/>
    </format>
    <format dxfId="2790">
      <pivotArea type="all" dataOnly="0" outline="0" fieldPosition="0"/>
    </format>
    <format dxfId="2789">
      <pivotArea outline="0" collapsedLevelsAreSubtotals="1" fieldPosition="0"/>
    </format>
    <format dxfId="2788">
      <pivotArea dataOnly="0" labelOnly="1" grandRow="1" outline="0" fieldPosition="0"/>
    </format>
    <format dxfId="2787">
      <pivotArea dataOnly="0" labelOnly="1" outline="0" axis="axisValues" fieldPosition="0"/>
    </format>
    <format dxfId="2786">
      <pivotArea type="all" dataOnly="0" outline="0" fieldPosition="0"/>
    </format>
    <format dxfId="2785">
      <pivotArea type="all" dataOnly="0" outline="0" fieldPosition="0"/>
    </format>
    <format dxfId="2784">
      <pivotArea dataOnly="0" labelOnly="1" grandRow="1" outline="0" fieldPosition="0"/>
    </format>
    <format dxfId="2783">
      <pivotArea dataOnly="0" labelOnly="1" grandRow="1" outline="0" fieldPosition="0"/>
    </format>
    <format dxfId="2782">
      <pivotArea type="all" dataOnly="0" outline="0" fieldPosition="0"/>
    </format>
    <format dxfId="2781">
      <pivotArea outline="0" collapsedLevelsAreSubtotals="1" fieldPosition="0"/>
    </format>
    <format dxfId="2780">
      <pivotArea field="10" type="button" dataOnly="0" labelOnly="1" outline="0" axis="axisRow" fieldPosition="0"/>
    </format>
    <format dxfId="2779">
      <pivotArea dataOnly="0" labelOnly="1" fieldPosition="0">
        <references count="1">
          <reference field="10" count="7">
            <x v="1"/>
            <x v="3"/>
            <x v="6"/>
            <x v="8"/>
            <x v="9"/>
            <x v="11"/>
            <x v="12"/>
          </reference>
        </references>
      </pivotArea>
    </format>
    <format dxfId="2778">
      <pivotArea dataOnly="0" labelOnly="1" grandRow="1" outline="0" fieldPosition="0"/>
    </format>
    <format dxfId="2777">
      <pivotArea dataOnly="0" labelOnly="1" outline="0" axis="axisValues" fieldPosition="0"/>
    </format>
    <format dxfId="2776">
      <pivotArea type="all" dataOnly="0" outline="0" fieldPosition="0"/>
    </format>
    <format dxfId="2775">
      <pivotArea type="all" dataOnly="0" outline="0" fieldPosition="0"/>
    </format>
    <format dxfId="2774">
      <pivotArea collapsedLevelsAreSubtotals="1" fieldPosition="0">
        <references count="1">
          <reference field="10" count="7">
            <x v="1"/>
            <x v="3"/>
            <x v="6"/>
            <x v="8"/>
            <x v="9"/>
            <x v="11"/>
            <x v="12"/>
          </reference>
        </references>
      </pivotArea>
    </format>
    <format dxfId="2773">
      <pivotArea grandRow="1" outline="0" collapsedLevelsAreSubtotals="1" fieldPosition="0"/>
    </format>
    <format dxfId="2772">
      <pivotArea type="all" dataOnly="0" outline="0" fieldPosition="0"/>
    </format>
    <format dxfId="2771">
      <pivotArea outline="0" collapsedLevelsAreSubtotals="1" fieldPosition="0"/>
    </format>
    <format dxfId="2770">
      <pivotArea field="10" type="button" dataOnly="0" labelOnly="1" outline="0" axis="axisRow" fieldPosition="0"/>
    </format>
    <format dxfId="2769">
      <pivotArea dataOnly="0" labelOnly="1" fieldPosition="0">
        <references count="1">
          <reference field="10" count="10">
            <x v="1"/>
            <x v="2"/>
            <x v="3"/>
            <x v="4"/>
            <x v="6"/>
            <x v="7"/>
            <x v="8"/>
            <x v="9"/>
            <x v="11"/>
            <x v="12"/>
          </reference>
        </references>
      </pivotArea>
    </format>
    <format dxfId="2768">
      <pivotArea dataOnly="0" labelOnly="1" grandRow="1" outline="0" fieldPosition="0"/>
    </format>
    <format dxfId="2767">
      <pivotArea dataOnly="0" labelOnly="1" outline="0" axis="axisValues" fieldPosition="0"/>
    </format>
    <format dxfId="2766">
      <pivotArea type="all" dataOnly="0" outline="0" fieldPosition="0"/>
    </format>
    <format dxfId="2765">
      <pivotArea outline="0" collapsedLevelsAreSubtotals="1" fieldPosition="0"/>
    </format>
    <format dxfId="2764">
      <pivotArea field="10" type="button" dataOnly="0" labelOnly="1" outline="0" axis="axisRow" fieldPosition="0"/>
    </format>
    <format dxfId="2763">
      <pivotArea dataOnly="0" labelOnly="1" fieldPosition="0">
        <references count="1">
          <reference field="10" count="10">
            <x v="1"/>
            <x v="2"/>
            <x v="3"/>
            <x v="4"/>
            <x v="6"/>
            <x v="7"/>
            <x v="8"/>
            <x v="9"/>
            <x v="11"/>
            <x v="12"/>
          </reference>
        </references>
      </pivotArea>
    </format>
    <format dxfId="276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C3C3EBA8-1B53-41BB-A9E0-EA49544187B2}" name="PivotTable2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13:E21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x="2"/>
        <item x="5"/>
        <item x="4"/>
        <item x="3"/>
        <item x="1"/>
        <item x="7"/>
        <item x="6"/>
        <item x="8"/>
        <item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2880">
      <pivotArea type="all" dataOnly="0" outline="0" fieldPosition="0"/>
    </format>
    <format dxfId="2879">
      <pivotArea type="all" dataOnly="0" outline="0" fieldPosition="0"/>
    </format>
    <format dxfId="2878">
      <pivotArea type="all" dataOnly="0" outline="0" fieldPosition="0"/>
    </format>
    <format dxfId="2877">
      <pivotArea type="all" dataOnly="0" outline="0" fieldPosition="0"/>
    </format>
    <format dxfId="2876">
      <pivotArea type="all" dataOnly="0" outline="0" fieldPosition="0"/>
    </format>
    <format dxfId="2875">
      <pivotArea type="all" dataOnly="0" outline="0" fieldPosition="0"/>
    </format>
    <format dxfId="2874">
      <pivotArea type="all" dataOnly="0" outline="0" fieldPosition="0"/>
    </format>
    <format dxfId="2873">
      <pivotArea type="all" dataOnly="0" outline="0" fieldPosition="0"/>
    </format>
    <format dxfId="2872">
      <pivotArea type="all" dataOnly="0" outline="0" fieldPosition="0"/>
    </format>
    <format dxfId="2871">
      <pivotArea type="all" dataOnly="0" outline="0" fieldPosition="0"/>
    </format>
    <format dxfId="2870">
      <pivotArea type="all" dataOnly="0" outline="0" fieldPosition="0"/>
    </format>
    <format dxfId="2869">
      <pivotArea outline="0" collapsedLevelsAreSubtotals="1" fieldPosition="0"/>
    </format>
    <format dxfId="2868">
      <pivotArea dataOnly="0" labelOnly="1" outline="0" axis="axisValues" fieldPosition="0"/>
    </format>
    <format dxfId="2867">
      <pivotArea type="all" dataOnly="0" outline="0" fieldPosition="0"/>
    </format>
    <format dxfId="2866">
      <pivotArea outline="0" collapsedLevelsAreSubtotals="1" fieldPosition="0"/>
    </format>
    <format dxfId="2865">
      <pivotArea dataOnly="0" labelOnly="1" outline="0" axis="axisValues" fieldPosition="0"/>
    </format>
    <format dxfId="2864">
      <pivotArea type="all" dataOnly="0" outline="0" fieldPosition="0"/>
    </format>
    <format dxfId="2863">
      <pivotArea outline="0" collapsedLevelsAreSubtotals="1" fieldPosition="0"/>
    </format>
    <format dxfId="2862">
      <pivotArea dataOnly="0" labelOnly="1" outline="0" axis="axisValues" fieldPosition="0"/>
    </format>
    <format dxfId="2861">
      <pivotArea type="all" dataOnly="0" outline="0" fieldPosition="0"/>
    </format>
    <format dxfId="2860">
      <pivotArea outline="0" collapsedLevelsAreSubtotals="1" fieldPosition="0"/>
    </format>
    <format dxfId="2859">
      <pivotArea dataOnly="0" labelOnly="1" outline="0" axis="axisValues" fieldPosition="0"/>
    </format>
    <format dxfId="2858">
      <pivotArea type="all" dataOnly="0" outline="0" fieldPosition="0"/>
    </format>
    <format dxfId="2857">
      <pivotArea outline="0" collapsedLevelsAreSubtotals="1" fieldPosition="0"/>
    </format>
    <format dxfId="2856">
      <pivotArea dataOnly="0" labelOnly="1" outline="0" axis="axisValues" fieldPosition="0"/>
    </format>
    <format dxfId="2855">
      <pivotArea type="all" dataOnly="0" outline="0" fieldPosition="0"/>
    </format>
    <format dxfId="2854">
      <pivotArea outline="0" collapsedLevelsAreSubtotals="1" fieldPosition="0"/>
    </format>
    <format dxfId="2853">
      <pivotArea dataOnly="0" labelOnly="1" outline="0" axis="axisValues" fieldPosition="0"/>
    </format>
    <format dxfId="2852">
      <pivotArea type="all" dataOnly="0" outline="0" fieldPosition="0"/>
    </format>
    <format dxfId="2851">
      <pivotArea outline="0" collapsedLevelsAreSubtotals="1" fieldPosition="0"/>
    </format>
    <format dxfId="2850">
      <pivotArea dataOnly="0" labelOnly="1" outline="0" axis="axisValues" fieldPosition="0"/>
    </format>
    <format dxfId="2849">
      <pivotArea type="all" dataOnly="0" outline="0" fieldPosition="0"/>
    </format>
    <format dxfId="2848">
      <pivotArea outline="0" collapsedLevelsAreSubtotals="1" fieldPosition="0"/>
    </format>
    <format dxfId="2847">
      <pivotArea type="all" dataOnly="0" outline="0" fieldPosition="0"/>
    </format>
    <format dxfId="2846">
      <pivotArea outline="0" collapsedLevelsAreSubtotals="1" fieldPosition="0"/>
    </format>
    <format dxfId="2845">
      <pivotArea outline="0" collapsedLevelsAreSubtotals="1" fieldPosition="0"/>
    </format>
    <format dxfId="2844">
      <pivotArea type="all" dataOnly="0" outline="0" fieldPosition="0"/>
    </format>
    <format dxfId="2843">
      <pivotArea outline="0" collapsedLevelsAreSubtotals="1" fieldPosition="0"/>
    </format>
    <format dxfId="2842">
      <pivotArea dataOnly="0" labelOnly="1" outline="0" axis="axisValues" fieldPosition="0"/>
    </format>
    <format dxfId="284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3588198-2D5C-40C1-BDC9-E42790304107}" name="PivotTable1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62:B63"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0">
    <format dxfId="288">
      <pivotArea type="all" dataOnly="0" outline="0" fieldPosition="0"/>
    </format>
    <format dxfId="287">
      <pivotArea type="all" dataOnly="0" outline="0" fieldPosition="0"/>
    </format>
    <format dxfId="286">
      <pivotArea type="all" dataOnly="0" outline="0" fieldPosition="0"/>
    </format>
    <format dxfId="285">
      <pivotArea type="all" dataOnly="0" outline="0" fieldPosition="0"/>
    </format>
    <format dxfId="284">
      <pivotArea type="all" dataOnly="0" outline="0" fieldPosition="0"/>
    </format>
    <format dxfId="283">
      <pivotArea type="all" dataOnly="0" outline="0" fieldPosition="0"/>
    </format>
    <format dxfId="282">
      <pivotArea type="all" dataOnly="0" outline="0" fieldPosition="0"/>
    </format>
    <format dxfId="281">
      <pivotArea type="all" dataOnly="0" outline="0" fieldPosition="0"/>
    </format>
    <format dxfId="280">
      <pivotArea type="all" dataOnly="0" outline="0" fieldPosition="0"/>
    </format>
    <format dxfId="279">
      <pivotArea type="all" dataOnly="0" outline="0" fieldPosition="0"/>
    </format>
    <format dxfId="278">
      <pivotArea type="all" dataOnly="0" outline="0" fieldPosition="0"/>
    </format>
    <format dxfId="277">
      <pivotArea outline="0" collapsedLevelsAreSubtotals="1" fieldPosition="0"/>
    </format>
    <format dxfId="276">
      <pivotArea dataOnly="0" labelOnly="1" outline="0" axis="axisValues" fieldPosition="0"/>
    </format>
    <format dxfId="275">
      <pivotArea type="all" dataOnly="0" outline="0" fieldPosition="0"/>
    </format>
    <format dxfId="274">
      <pivotArea outline="0" collapsedLevelsAreSubtotals="1" fieldPosition="0"/>
    </format>
    <format dxfId="273">
      <pivotArea dataOnly="0" labelOnly="1" outline="0" axis="axisValues" fieldPosition="0"/>
    </format>
    <format dxfId="272">
      <pivotArea type="all" dataOnly="0" outline="0" fieldPosition="0"/>
    </format>
    <format dxfId="271">
      <pivotArea outline="0" collapsedLevelsAreSubtotals="1" fieldPosition="0"/>
    </format>
    <format dxfId="270">
      <pivotArea dataOnly="0" labelOnly="1" outline="0" axis="axisValues" fieldPosition="0"/>
    </format>
    <format dxfId="269">
      <pivotArea type="all" dataOnly="0" outline="0" fieldPosition="0"/>
    </format>
    <format dxfId="268">
      <pivotArea outline="0" collapsedLevelsAreSubtotals="1" fieldPosition="0"/>
    </format>
    <format dxfId="267">
      <pivotArea dataOnly="0" labelOnly="1" outline="0" axis="axisValues" fieldPosition="0"/>
    </format>
    <format dxfId="266">
      <pivotArea type="all" dataOnly="0" outline="0" fieldPosition="0"/>
    </format>
    <format dxfId="265">
      <pivotArea outline="0" collapsedLevelsAreSubtotals="1" fieldPosition="0"/>
    </format>
    <format dxfId="264">
      <pivotArea dataOnly="0" labelOnly="1" outline="0" axis="axisValues" fieldPosition="0"/>
    </format>
    <format dxfId="263">
      <pivotArea type="all" dataOnly="0" outline="0" fieldPosition="0"/>
    </format>
    <format dxfId="262">
      <pivotArea outline="0" collapsedLevelsAreSubtotals="1" fieldPosition="0"/>
    </format>
    <format dxfId="261">
      <pivotArea dataOnly="0" labelOnly="1" outline="0" axis="axisValues" fieldPosition="0"/>
    </format>
    <format dxfId="260">
      <pivotArea type="all" dataOnly="0" outline="0" fieldPosition="0"/>
    </format>
    <format dxfId="259">
      <pivotArea outline="0" collapsedLevelsAreSubtotals="1" fieldPosition="0"/>
    </format>
    <format dxfId="258">
      <pivotArea dataOnly="0" labelOnly="1" outline="0" axis="axisValues" fieldPosition="0"/>
    </format>
    <format dxfId="257">
      <pivotArea type="all" dataOnly="0" outline="0" fieldPosition="0"/>
    </format>
    <format dxfId="256">
      <pivotArea outline="0" collapsedLevelsAreSubtotals="1" fieldPosition="0"/>
    </format>
    <format dxfId="255">
      <pivotArea type="all" dataOnly="0" outline="0" fieldPosition="0"/>
    </format>
    <format dxfId="254">
      <pivotArea outline="0" collapsedLevelsAreSubtotals="1" fieldPosition="0"/>
    </format>
    <format dxfId="253">
      <pivotArea outline="0" collapsedLevelsAreSubtotals="1" fieldPosition="0"/>
    </format>
    <format dxfId="252">
      <pivotArea type="all" dataOnly="0" outline="0" fieldPosition="0"/>
    </format>
    <format dxfId="251">
      <pivotArea outline="0" collapsedLevelsAreSubtotals="1" fieldPosition="0"/>
    </format>
    <format dxfId="250">
      <pivotArea dataOnly="0" labelOnly="1" outline="0" axis="axisValues" fieldPosition="0"/>
    </format>
    <format dxfId="24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DC738BD1-CA1C-4937-A1BF-12D84F4D6067}" name="PivotTable9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8:H29" firstHeaderRow="1" firstDataRow="1" firstDataCol="0" rowPageCount="2" colPageCount="1"/>
  <pivotFields count="77">
    <pivotField showAll="0"/>
    <pivotField showAll="0"/>
    <pivotField axis="axisPage" multipleItemSelectionAllowed="1" showAll="0" defaultSubtotal="0">
      <items count="5">
        <item h="1" x="1"/>
        <item h="1" x="2"/>
        <item h="1" x="4"/>
        <item x="0"/>
        <item x="3"/>
      </items>
    </pivotField>
    <pivotField showAll="0"/>
    <pivotField numFmtId="14" showAll="0"/>
    <pivotField numFmtId="14" showAll="0"/>
    <pivotField showAll="0" defaultSubtotal="0"/>
    <pivotField showAll="0" defaultSubtotal="0"/>
    <pivotField axis="axisPage" multipleItemSelectionAllowed="1" showAll="0">
      <items count="8">
        <item h="1" x="0"/>
        <item h="1" x="1"/>
        <item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2" hier="-1"/>
    <pageField fld="8" hier="-1"/>
  </pageFields>
  <dataFields count="1">
    <dataField name="Sum of 2023/2027 Total" fld="59" baseField="0" baseItem="0"/>
  </dataFields>
  <formats count="42">
    <format dxfId="2922">
      <pivotArea type="all" dataOnly="0" outline="0" fieldPosition="0"/>
    </format>
    <format dxfId="2921">
      <pivotArea type="all" dataOnly="0" outline="0" fieldPosition="0"/>
    </format>
    <format dxfId="2920">
      <pivotArea type="all" dataOnly="0" outline="0" fieldPosition="0"/>
    </format>
    <format dxfId="2919">
      <pivotArea type="all" dataOnly="0" outline="0" fieldPosition="0"/>
    </format>
    <format dxfId="2918">
      <pivotArea type="all" dataOnly="0" outline="0" fieldPosition="0"/>
    </format>
    <format dxfId="2917">
      <pivotArea type="all" dataOnly="0" outline="0" fieldPosition="0"/>
    </format>
    <format dxfId="2916">
      <pivotArea type="all" dataOnly="0" outline="0" fieldPosition="0"/>
    </format>
    <format dxfId="2915">
      <pivotArea type="all" dataOnly="0" outline="0" fieldPosition="0"/>
    </format>
    <format dxfId="2914">
      <pivotArea type="all" dataOnly="0" outline="0" fieldPosition="0"/>
    </format>
    <format dxfId="2913">
      <pivotArea type="all" dataOnly="0" outline="0" fieldPosition="0"/>
    </format>
    <format dxfId="2912">
      <pivotArea type="all" dataOnly="0" outline="0" fieldPosition="0"/>
    </format>
    <format dxfId="2911">
      <pivotArea outline="0" collapsedLevelsAreSubtotals="1" fieldPosition="0"/>
    </format>
    <format dxfId="2910">
      <pivotArea dataOnly="0" labelOnly="1" outline="0" axis="axisValues" fieldPosition="0"/>
    </format>
    <format dxfId="2909">
      <pivotArea type="all" dataOnly="0" outline="0" fieldPosition="0"/>
    </format>
    <format dxfId="2908">
      <pivotArea outline="0" collapsedLevelsAreSubtotals="1" fieldPosition="0"/>
    </format>
    <format dxfId="2907">
      <pivotArea dataOnly="0" labelOnly="1" outline="0" axis="axisValues" fieldPosition="0"/>
    </format>
    <format dxfId="2906">
      <pivotArea type="all" dataOnly="0" outline="0" fieldPosition="0"/>
    </format>
    <format dxfId="2905">
      <pivotArea outline="0" collapsedLevelsAreSubtotals="1" fieldPosition="0"/>
    </format>
    <format dxfId="2904">
      <pivotArea dataOnly="0" labelOnly="1" outline="0" axis="axisValues" fieldPosition="0"/>
    </format>
    <format dxfId="2903">
      <pivotArea type="all" dataOnly="0" outline="0" fieldPosition="0"/>
    </format>
    <format dxfId="2902">
      <pivotArea outline="0" collapsedLevelsAreSubtotals="1" fieldPosition="0"/>
    </format>
    <format dxfId="2901">
      <pivotArea dataOnly="0" labelOnly="1" outline="0" axis="axisValues" fieldPosition="0"/>
    </format>
    <format dxfId="2900">
      <pivotArea outline="0" collapsedLevelsAreSubtotals="1" fieldPosition="0"/>
    </format>
    <format dxfId="2899">
      <pivotArea outline="0" collapsedLevelsAreSubtotals="1" fieldPosition="0"/>
    </format>
    <format dxfId="2898">
      <pivotArea type="all" dataOnly="0" outline="0" fieldPosition="0"/>
    </format>
    <format dxfId="2897">
      <pivotArea outline="0" collapsedLevelsAreSubtotals="1" fieldPosition="0"/>
    </format>
    <format dxfId="2896">
      <pivotArea dataOnly="0" labelOnly="1" outline="0" axis="axisValues" fieldPosition="0"/>
    </format>
    <format dxfId="2895">
      <pivotArea type="all" dataOnly="0" outline="0" fieldPosition="0"/>
    </format>
    <format dxfId="2894">
      <pivotArea outline="0" collapsedLevelsAreSubtotals="1" fieldPosition="0"/>
    </format>
    <format dxfId="2893">
      <pivotArea dataOnly="0" labelOnly="1" outline="0" axis="axisValues" fieldPosition="0"/>
    </format>
    <format dxfId="2892">
      <pivotArea type="all" dataOnly="0" outline="0" fieldPosition="0"/>
    </format>
    <format dxfId="2891">
      <pivotArea outline="0" collapsedLevelsAreSubtotals="1" fieldPosition="0"/>
    </format>
    <format dxfId="2890">
      <pivotArea dataOnly="0" labelOnly="1" outline="0" axis="axisValues" fieldPosition="0"/>
    </format>
    <format dxfId="2889">
      <pivotArea type="all" dataOnly="0" outline="0" fieldPosition="0"/>
    </format>
    <format dxfId="2888">
      <pivotArea outline="0" collapsedLevelsAreSubtotals="1" fieldPosition="0"/>
    </format>
    <format dxfId="2887">
      <pivotArea type="all" dataOnly="0" outline="0" fieldPosition="0"/>
    </format>
    <format dxfId="2886">
      <pivotArea outline="0" collapsedLevelsAreSubtotals="1" fieldPosition="0"/>
    </format>
    <format dxfId="2885">
      <pivotArea outline="0" collapsedLevelsAreSubtotals="1" fieldPosition="0"/>
    </format>
    <format dxfId="2884">
      <pivotArea type="all" dataOnly="0" outline="0" fieldPosition="0"/>
    </format>
    <format dxfId="2883">
      <pivotArea outline="0" collapsedLevelsAreSubtotals="1" fieldPosition="0"/>
    </format>
    <format dxfId="2882">
      <pivotArea dataOnly="0" labelOnly="1" outline="0" axis="axisValues" fieldPosition="0"/>
    </format>
    <format dxfId="288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54C87CD3-230D-4207-ABD9-977754DE63B6}" name="PivotTable1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71:E72"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2962">
      <pivotArea type="all" dataOnly="0" outline="0" fieldPosition="0"/>
    </format>
    <format dxfId="2961">
      <pivotArea type="all" dataOnly="0" outline="0" fieldPosition="0"/>
    </format>
    <format dxfId="2960">
      <pivotArea type="all" dataOnly="0" outline="0" fieldPosition="0"/>
    </format>
    <format dxfId="2959">
      <pivotArea type="all" dataOnly="0" outline="0" fieldPosition="0"/>
    </format>
    <format dxfId="2958">
      <pivotArea type="all" dataOnly="0" outline="0" fieldPosition="0"/>
    </format>
    <format dxfId="2957">
      <pivotArea type="all" dataOnly="0" outline="0" fieldPosition="0"/>
    </format>
    <format dxfId="2956">
      <pivotArea type="all" dataOnly="0" outline="0" fieldPosition="0"/>
    </format>
    <format dxfId="2955">
      <pivotArea type="all" dataOnly="0" outline="0" fieldPosition="0"/>
    </format>
    <format dxfId="2954">
      <pivotArea type="all" dataOnly="0" outline="0" fieldPosition="0"/>
    </format>
    <format dxfId="2953">
      <pivotArea type="all" dataOnly="0" outline="0" fieldPosition="0"/>
    </format>
    <format dxfId="2952">
      <pivotArea type="all" dataOnly="0" outline="0" fieldPosition="0"/>
    </format>
    <format dxfId="2951">
      <pivotArea outline="0" collapsedLevelsAreSubtotals="1" fieldPosition="0"/>
    </format>
    <format dxfId="2950">
      <pivotArea dataOnly="0" labelOnly="1" outline="0" axis="axisValues" fieldPosition="0"/>
    </format>
    <format dxfId="2949">
      <pivotArea type="all" dataOnly="0" outline="0" fieldPosition="0"/>
    </format>
    <format dxfId="2948">
      <pivotArea outline="0" collapsedLevelsAreSubtotals="1" fieldPosition="0"/>
    </format>
    <format dxfId="2947">
      <pivotArea dataOnly="0" labelOnly="1" outline="0" axis="axisValues" fieldPosition="0"/>
    </format>
    <format dxfId="2946">
      <pivotArea type="all" dataOnly="0" outline="0" fieldPosition="0"/>
    </format>
    <format dxfId="2945">
      <pivotArea outline="0" collapsedLevelsAreSubtotals="1" fieldPosition="0"/>
    </format>
    <format dxfId="2944">
      <pivotArea dataOnly="0" labelOnly="1" outline="0" axis="axisValues" fieldPosition="0"/>
    </format>
    <format dxfId="2943">
      <pivotArea type="all" dataOnly="0" outline="0" fieldPosition="0"/>
    </format>
    <format dxfId="2942">
      <pivotArea outline="0" collapsedLevelsAreSubtotals="1" fieldPosition="0"/>
    </format>
    <format dxfId="2941">
      <pivotArea dataOnly="0" labelOnly="1" outline="0" axis="axisValues" fieldPosition="0"/>
    </format>
    <format dxfId="2940">
      <pivotArea type="all" dataOnly="0" outline="0" fieldPosition="0"/>
    </format>
    <format dxfId="2939">
      <pivotArea outline="0" collapsedLevelsAreSubtotals="1" fieldPosition="0"/>
    </format>
    <format dxfId="2938">
      <pivotArea dataOnly="0" labelOnly="1" outline="0" axis="axisValues" fieldPosition="0"/>
    </format>
    <format dxfId="2937">
      <pivotArea type="all" dataOnly="0" outline="0" fieldPosition="0"/>
    </format>
    <format dxfId="2936">
      <pivotArea outline="0" collapsedLevelsAreSubtotals="1" fieldPosition="0"/>
    </format>
    <format dxfId="2935">
      <pivotArea dataOnly="0" labelOnly="1" outline="0" axis="axisValues" fieldPosition="0"/>
    </format>
    <format dxfId="2934">
      <pivotArea type="all" dataOnly="0" outline="0" fieldPosition="0"/>
    </format>
    <format dxfId="2933">
      <pivotArea outline="0" collapsedLevelsAreSubtotals="1" fieldPosition="0"/>
    </format>
    <format dxfId="2932">
      <pivotArea dataOnly="0" labelOnly="1" outline="0" axis="axisValues" fieldPosition="0"/>
    </format>
    <format dxfId="2931">
      <pivotArea type="all" dataOnly="0" outline="0" fieldPosition="0"/>
    </format>
    <format dxfId="2930">
      <pivotArea outline="0" collapsedLevelsAreSubtotals="1" fieldPosition="0"/>
    </format>
    <format dxfId="2929">
      <pivotArea type="all" dataOnly="0" outline="0" fieldPosition="0"/>
    </format>
    <format dxfId="2928">
      <pivotArea outline="0" collapsedLevelsAreSubtotals="1" fieldPosition="0"/>
    </format>
    <format dxfId="2927">
      <pivotArea outline="0" collapsedLevelsAreSubtotals="1" fieldPosition="0"/>
    </format>
    <format dxfId="2926">
      <pivotArea type="all" dataOnly="0" outline="0" fieldPosition="0"/>
    </format>
    <format dxfId="2925">
      <pivotArea outline="0" collapsedLevelsAreSubtotals="1" fieldPosition="0"/>
    </format>
    <format dxfId="2924">
      <pivotArea dataOnly="0" labelOnly="1" outline="0" axis="axisValues" fieldPosition="0"/>
    </format>
    <format dxfId="292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A8AB477B-5EC9-4AC3-A220-430E83DB2510}" name="PivotTable8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07:C423" firstHeaderRow="1" firstDataRow="1" firstDataCol="1" rowPageCount="3" colPageCount="1"/>
  <pivotFields count="77">
    <pivotField showAll="0" defaultSubtotal="0"/>
    <pivotField showAll="0"/>
    <pivotField axis="axisPage" multipleItemSelectionAllowed="1" showAll="0" defaultSubtotal="0">
      <items count="5">
        <item x="1"/>
        <item x="2"/>
        <item x="4"/>
        <item h="1" x="0"/>
        <item h="1" x="3"/>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6">
    <i>
      <x/>
    </i>
    <i>
      <x v="1"/>
    </i>
    <i>
      <x v="2"/>
    </i>
    <i>
      <x v="3"/>
    </i>
    <i>
      <x v="4"/>
    </i>
    <i>
      <x v="6"/>
    </i>
    <i>
      <x v="7"/>
    </i>
    <i>
      <x v="9"/>
    </i>
    <i>
      <x v="11"/>
    </i>
    <i>
      <x v="12"/>
    </i>
    <i>
      <x v="13"/>
    </i>
    <i>
      <x v="14"/>
    </i>
    <i>
      <x v="15"/>
    </i>
    <i>
      <x v="16"/>
    </i>
    <i>
      <x v="17"/>
    </i>
    <i t="grand">
      <x/>
    </i>
  </rowItems>
  <colItems count="1">
    <i/>
  </colItems>
  <pageFields count="3">
    <pageField fld="8" hier="-1"/>
    <pageField fld="3" hier="-1"/>
    <pageField fld="2" hier="-1"/>
  </pageFields>
  <dataFields count="1">
    <dataField name="Sum of Net Dwellings" fld="40" baseField="0" baseItem="0"/>
  </dataFields>
  <formats count="41">
    <format dxfId="3003">
      <pivotArea type="all" dataOnly="0" outline="0" fieldPosition="0"/>
    </format>
    <format dxfId="3002">
      <pivotArea type="all" dataOnly="0" outline="0" fieldPosition="0"/>
    </format>
    <format dxfId="3001">
      <pivotArea type="all" dataOnly="0" outline="0" fieldPosition="0"/>
    </format>
    <format dxfId="3000">
      <pivotArea type="all" dataOnly="0" outline="0" fieldPosition="0"/>
    </format>
    <format dxfId="2999">
      <pivotArea type="all" dataOnly="0" outline="0" fieldPosition="0"/>
    </format>
    <format dxfId="2998">
      <pivotArea type="all" dataOnly="0" outline="0" fieldPosition="0"/>
    </format>
    <format dxfId="2997">
      <pivotArea type="all" dataOnly="0" outline="0" fieldPosition="0"/>
    </format>
    <format dxfId="2996">
      <pivotArea dataOnly="0" labelOnly="1" outline="0" fieldPosition="0">
        <references count="1">
          <reference field="4294967294" count="1">
            <x v="0"/>
          </reference>
        </references>
      </pivotArea>
    </format>
    <format dxfId="2995">
      <pivotArea dataOnly="0" labelOnly="1" outline="0" fieldPosition="0">
        <references count="1">
          <reference field="4294967294" count="1">
            <x v="0"/>
          </reference>
        </references>
      </pivotArea>
    </format>
    <format dxfId="2994">
      <pivotArea dataOnly="0" labelOnly="1" outline="0" fieldPosition="0">
        <references count="1">
          <reference field="4294967294" count="1">
            <x v="0"/>
          </reference>
        </references>
      </pivotArea>
    </format>
    <format dxfId="2993">
      <pivotArea type="all" dataOnly="0" outline="0" fieldPosition="0"/>
    </format>
    <format dxfId="2992">
      <pivotArea type="all" dataOnly="0" outline="0" fieldPosition="0"/>
    </format>
    <format dxfId="2991">
      <pivotArea type="all" dataOnly="0" outline="0" fieldPosition="0"/>
    </format>
    <format dxfId="2990">
      <pivotArea type="all" dataOnly="0" outline="0" fieldPosition="0"/>
    </format>
    <format dxfId="2989">
      <pivotArea outline="0" collapsedLevelsAreSubtotals="1" fieldPosition="0"/>
    </format>
    <format dxfId="2988">
      <pivotArea dataOnly="0" labelOnly="1" grandRow="1" outline="0" fieldPosition="0"/>
    </format>
    <format dxfId="2987">
      <pivotArea dataOnly="0" labelOnly="1" outline="0" axis="axisValues" fieldPosition="0"/>
    </format>
    <format dxfId="2986">
      <pivotArea type="all" dataOnly="0" outline="0" fieldPosition="0"/>
    </format>
    <format dxfId="2985">
      <pivotArea outline="0" collapsedLevelsAreSubtotals="1" fieldPosition="0"/>
    </format>
    <format dxfId="2984">
      <pivotArea dataOnly="0" labelOnly="1" grandRow="1" outline="0" fieldPosition="0"/>
    </format>
    <format dxfId="2983">
      <pivotArea dataOnly="0" labelOnly="1" outline="0" axis="axisValues" fieldPosition="0"/>
    </format>
    <format dxfId="2982">
      <pivotArea type="all" dataOnly="0" outline="0" fieldPosition="0"/>
    </format>
    <format dxfId="2981">
      <pivotArea outline="0" collapsedLevelsAreSubtotals="1" fieldPosition="0"/>
    </format>
    <format dxfId="2980">
      <pivotArea dataOnly="0" labelOnly="1" grandRow="1" outline="0" fieldPosition="0"/>
    </format>
    <format dxfId="2979">
      <pivotArea dataOnly="0" labelOnly="1" outline="0" axis="axisValues" fieldPosition="0"/>
    </format>
    <format dxfId="2978">
      <pivotArea type="all" dataOnly="0" outline="0" fieldPosition="0"/>
    </format>
    <format dxfId="2977">
      <pivotArea outline="0" collapsedLevelsAreSubtotals="1" fieldPosition="0"/>
    </format>
    <format dxfId="2976">
      <pivotArea field="67" type="button" dataOnly="0" labelOnly="1" outline="0" axis="axisRow" fieldPosition="0"/>
    </format>
    <format dxfId="2975">
      <pivotArea dataOnly="0" labelOnly="1" grandRow="1" outline="0" fieldPosition="0"/>
    </format>
    <format dxfId="2974">
      <pivotArea dataOnly="0" labelOnly="1" outline="0" axis="axisValues" fieldPosition="0"/>
    </format>
    <format dxfId="2973">
      <pivotArea type="all" dataOnly="0" outline="0" fieldPosition="0"/>
    </format>
    <format dxfId="2972">
      <pivotArea outline="0" collapsedLevelsAreSubtotals="1" fieldPosition="0"/>
    </format>
    <format dxfId="2971">
      <pivotArea field="67" type="button" dataOnly="0" labelOnly="1" outline="0" axis="axisRow" fieldPosition="0"/>
    </format>
    <format dxfId="2970">
      <pivotArea dataOnly="0" labelOnly="1" fieldPosition="0">
        <references count="1">
          <reference field="67" count="15">
            <x v="0"/>
            <x v="1"/>
            <x v="2"/>
            <x v="3"/>
            <x v="4"/>
            <x v="6"/>
            <x v="7"/>
            <x v="9"/>
            <x v="11"/>
            <x v="12"/>
            <x v="13"/>
            <x v="14"/>
            <x v="15"/>
            <x v="16"/>
            <x v="17"/>
          </reference>
        </references>
      </pivotArea>
    </format>
    <format dxfId="2969">
      <pivotArea dataOnly="0" labelOnly="1" grandRow="1" outline="0" fieldPosition="0"/>
    </format>
    <format dxfId="2968">
      <pivotArea dataOnly="0" labelOnly="1" outline="0" axis="axisValues" fieldPosition="0"/>
    </format>
    <format dxfId="2967">
      <pivotArea type="all" dataOnly="0" outline="0" fieldPosition="0"/>
    </format>
    <format dxfId="2966">
      <pivotArea outline="0" collapsedLevelsAreSubtotals="1" fieldPosition="0"/>
    </format>
    <format dxfId="2965">
      <pivotArea field="67" type="button" dataOnly="0" labelOnly="1" outline="0" axis="axisRow" fieldPosition="0"/>
    </format>
    <format dxfId="2964">
      <pivotArea dataOnly="0" labelOnly="1" grandRow="1" outline="0" fieldPosition="0"/>
    </format>
    <format dxfId="29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EB94110C-0788-4E31-8663-527806C107B8}" name="PivotTable6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64:B165"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3043">
      <pivotArea type="all" dataOnly="0" outline="0" fieldPosition="0"/>
    </format>
    <format dxfId="3042">
      <pivotArea type="all" dataOnly="0" outline="0" fieldPosition="0"/>
    </format>
    <format dxfId="3041">
      <pivotArea type="all" dataOnly="0" outline="0" fieldPosition="0"/>
    </format>
    <format dxfId="3040">
      <pivotArea type="all" dataOnly="0" outline="0" fieldPosition="0"/>
    </format>
    <format dxfId="3039">
      <pivotArea type="all" dataOnly="0" outline="0" fieldPosition="0"/>
    </format>
    <format dxfId="3038">
      <pivotArea type="all" dataOnly="0" outline="0" fieldPosition="0"/>
    </format>
    <format dxfId="3037">
      <pivotArea type="all" dataOnly="0" outline="0" fieldPosition="0"/>
    </format>
    <format dxfId="3036">
      <pivotArea type="all" dataOnly="0" outline="0" fieldPosition="0"/>
    </format>
    <format dxfId="3035">
      <pivotArea type="all" dataOnly="0" outline="0" fieldPosition="0"/>
    </format>
    <format dxfId="3034">
      <pivotArea type="all" dataOnly="0" outline="0" fieldPosition="0"/>
    </format>
    <format dxfId="3033">
      <pivotArea type="all" dataOnly="0" outline="0" fieldPosition="0"/>
    </format>
    <format dxfId="3032">
      <pivotArea outline="0" collapsedLevelsAreSubtotals="1" fieldPosition="0"/>
    </format>
    <format dxfId="3031">
      <pivotArea dataOnly="0" labelOnly="1" outline="0" axis="axisValues" fieldPosition="0"/>
    </format>
    <format dxfId="3030">
      <pivotArea type="all" dataOnly="0" outline="0" fieldPosition="0"/>
    </format>
    <format dxfId="3029">
      <pivotArea outline="0" collapsedLevelsAreSubtotals="1" fieldPosition="0"/>
    </format>
    <format dxfId="3028">
      <pivotArea dataOnly="0" labelOnly="1" outline="0" axis="axisValues" fieldPosition="0"/>
    </format>
    <format dxfId="3027">
      <pivotArea type="all" dataOnly="0" outline="0" fieldPosition="0"/>
    </format>
    <format dxfId="3026">
      <pivotArea outline="0" collapsedLevelsAreSubtotals="1" fieldPosition="0"/>
    </format>
    <format dxfId="3025">
      <pivotArea dataOnly="0" labelOnly="1" outline="0" axis="axisValues" fieldPosition="0"/>
    </format>
    <format dxfId="3024">
      <pivotArea type="all" dataOnly="0" outline="0" fieldPosition="0"/>
    </format>
    <format dxfId="3023">
      <pivotArea outline="0" collapsedLevelsAreSubtotals="1" fieldPosition="0"/>
    </format>
    <format dxfId="3022">
      <pivotArea dataOnly="0" labelOnly="1" outline="0" axis="axisValues" fieldPosition="0"/>
    </format>
    <format dxfId="3021">
      <pivotArea type="all" dataOnly="0" outline="0" fieldPosition="0"/>
    </format>
    <format dxfId="3020">
      <pivotArea outline="0" collapsedLevelsAreSubtotals="1" fieldPosition="0"/>
    </format>
    <format dxfId="3019">
      <pivotArea dataOnly="0" labelOnly="1" outline="0" axis="axisValues" fieldPosition="0"/>
    </format>
    <format dxfId="3018">
      <pivotArea type="all" dataOnly="0" outline="0" fieldPosition="0"/>
    </format>
    <format dxfId="3017">
      <pivotArea outline="0" collapsedLevelsAreSubtotals="1" fieldPosition="0"/>
    </format>
    <format dxfId="3016">
      <pivotArea dataOnly="0" labelOnly="1" outline="0" axis="axisValues" fieldPosition="0"/>
    </format>
    <format dxfId="3015">
      <pivotArea type="all" dataOnly="0" outline="0" fieldPosition="0"/>
    </format>
    <format dxfId="3014">
      <pivotArea outline="0" collapsedLevelsAreSubtotals="1" fieldPosition="0"/>
    </format>
    <format dxfId="3013">
      <pivotArea dataOnly="0" labelOnly="1" outline="0" axis="axisValues" fieldPosition="0"/>
    </format>
    <format dxfId="3012">
      <pivotArea type="all" dataOnly="0" outline="0" fieldPosition="0"/>
    </format>
    <format dxfId="3011">
      <pivotArea outline="0" collapsedLevelsAreSubtotals="1" fieldPosition="0"/>
    </format>
    <format dxfId="3010">
      <pivotArea type="all" dataOnly="0" outline="0" fieldPosition="0"/>
    </format>
    <format dxfId="3009">
      <pivotArea outline="0" collapsedLevelsAreSubtotals="1" fieldPosition="0"/>
    </format>
    <format dxfId="3008">
      <pivotArea outline="0" collapsedLevelsAreSubtotals="1" fieldPosition="0"/>
    </format>
    <format dxfId="3007">
      <pivotArea type="all" dataOnly="0" outline="0" fieldPosition="0"/>
    </format>
    <format dxfId="3006">
      <pivotArea outline="0" collapsedLevelsAreSubtotals="1" fieldPosition="0"/>
    </format>
    <format dxfId="3005">
      <pivotArea dataOnly="0" labelOnly="1" outline="0" axis="axisValues" fieldPosition="0"/>
    </format>
    <format dxfId="300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EB3001A-DFA7-4723-B58B-EC9C0024844D}" name="PivotTable4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15:B11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x="2"/>
        <item h="1" x="5"/>
        <item h="1" x="4"/>
        <item h="1" x="3"/>
        <item h="1" x="1"/>
        <item h="1" x="6"/>
        <item h="1" x="7"/>
        <item x="0"/>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3083">
      <pivotArea type="all" dataOnly="0" outline="0" fieldPosition="0"/>
    </format>
    <format dxfId="3082">
      <pivotArea type="all" dataOnly="0" outline="0" fieldPosition="0"/>
    </format>
    <format dxfId="3081">
      <pivotArea type="all" dataOnly="0" outline="0" fieldPosition="0"/>
    </format>
    <format dxfId="3080">
      <pivotArea type="all" dataOnly="0" outline="0" fieldPosition="0"/>
    </format>
    <format dxfId="3079">
      <pivotArea type="all" dataOnly="0" outline="0" fieldPosition="0"/>
    </format>
    <format dxfId="3078">
      <pivotArea type="all" dataOnly="0" outline="0" fieldPosition="0"/>
    </format>
    <format dxfId="3077">
      <pivotArea type="all" dataOnly="0" outline="0" fieldPosition="0"/>
    </format>
    <format dxfId="3076">
      <pivotArea type="all" dataOnly="0" outline="0" fieldPosition="0"/>
    </format>
    <format dxfId="3075">
      <pivotArea type="all" dataOnly="0" outline="0" fieldPosition="0"/>
    </format>
    <format dxfId="3074">
      <pivotArea type="all" dataOnly="0" outline="0" fieldPosition="0"/>
    </format>
    <format dxfId="3073">
      <pivotArea type="all" dataOnly="0" outline="0" fieldPosition="0"/>
    </format>
    <format dxfId="3072">
      <pivotArea outline="0" collapsedLevelsAreSubtotals="1" fieldPosition="0"/>
    </format>
    <format dxfId="3071">
      <pivotArea dataOnly="0" labelOnly="1" outline="0" axis="axisValues" fieldPosition="0"/>
    </format>
    <format dxfId="3070">
      <pivotArea type="all" dataOnly="0" outline="0" fieldPosition="0"/>
    </format>
    <format dxfId="3069">
      <pivotArea outline="0" collapsedLevelsAreSubtotals="1" fieldPosition="0"/>
    </format>
    <format dxfId="3068">
      <pivotArea dataOnly="0" labelOnly="1" outline="0" axis="axisValues" fieldPosition="0"/>
    </format>
    <format dxfId="3067">
      <pivotArea type="all" dataOnly="0" outline="0" fieldPosition="0"/>
    </format>
    <format dxfId="3066">
      <pivotArea outline="0" collapsedLevelsAreSubtotals="1" fieldPosition="0"/>
    </format>
    <format dxfId="3065">
      <pivotArea dataOnly="0" labelOnly="1" outline="0" axis="axisValues" fieldPosition="0"/>
    </format>
    <format dxfId="3064">
      <pivotArea type="all" dataOnly="0" outline="0" fieldPosition="0"/>
    </format>
    <format dxfId="3063">
      <pivotArea outline="0" collapsedLevelsAreSubtotals="1" fieldPosition="0"/>
    </format>
    <format dxfId="3062">
      <pivotArea dataOnly="0" labelOnly="1" outline="0" axis="axisValues" fieldPosition="0"/>
    </format>
    <format dxfId="3061">
      <pivotArea type="all" dataOnly="0" outline="0" fieldPosition="0"/>
    </format>
    <format dxfId="3060">
      <pivotArea outline="0" collapsedLevelsAreSubtotals="1" fieldPosition="0"/>
    </format>
    <format dxfId="3059">
      <pivotArea dataOnly="0" labelOnly="1" outline="0" axis="axisValues" fieldPosition="0"/>
    </format>
    <format dxfId="3058">
      <pivotArea type="all" dataOnly="0" outline="0" fieldPosition="0"/>
    </format>
    <format dxfId="3057">
      <pivotArea outline="0" collapsedLevelsAreSubtotals="1" fieldPosition="0"/>
    </format>
    <format dxfId="3056">
      <pivotArea dataOnly="0" labelOnly="1" outline="0" axis="axisValues" fieldPosition="0"/>
    </format>
    <format dxfId="3055">
      <pivotArea type="all" dataOnly="0" outline="0" fieldPosition="0"/>
    </format>
    <format dxfId="3054">
      <pivotArea outline="0" collapsedLevelsAreSubtotals="1" fieldPosition="0"/>
    </format>
    <format dxfId="3053">
      <pivotArea dataOnly="0" labelOnly="1" outline="0" axis="axisValues" fieldPosition="0"/>
    </format>
    <format dxfId="3052">
      <pivotArea type="all" dataOnly="0" outline="0" fieldPosition="0"/>
    </format>
    <format dxfId="3051">
      <pivotArea outline="0" collapsedLevelsAreSubtotals="1" fieldPosition="0"/>
    </format>
    <format dxfId="3050">
      <pivotArea type="all" dataOnly="0" outline="0" fieldPosition="0"/>
    </format>
    <format dxfId="3049">
      <pivotArea outline="0" collapsedLevelsAreSubtotals="1" fieldPosition="0"/>
    </format>
    <format dxfId="3048">
      <pivotArea outline="0" collapsedLevelsAreSubtotals="1" fieldPosition="0"/>
    </format>
    <format dxfId="3047">
      <pivotArea type="all" dataOnly="0" outline="0" fieldPosition="0"/>
    </format>
    <format dxfId="3046">
      <pivotArea outline="0" collapsedLevelsAreSubtotals="1" fieldPosition="0"/>
    </format>
    <format dxfId="3045">
      <pivotArea dataOnly="0" labelOnly="1" outline="0" axis="axisValues" fieldPosition="0"/>
    </format>
    <format dxfId="30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5832AD83-49EF-4ADF-B309-1B69E1CA81AF}" name="PivotTable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4:B15" firstHeaderRow="1" firstDataRow="1" firstDataCol="0" rowPageCount="2" colPageCount="1"/>
  <pivotFields count="77">
    <pivotField showAll="0"/>
    <pivotField showAll="0"/>
    <pivotField axis="axisPage" multipleItemSelectionAllowed="1" showAll="0" defaultSubtotal="0">
      <items count="5">
        <item h="1" x="1"/>
        <item h="1" x="2"/>
        <item h="1" x="4"/>
        <item x="0"/>
        <item x="3"/>
      </items>
    </pivotField>
    <pivotField showAll="0"/>
    <pivotField numFmtId="14" showAll="0"/>
    <pivotField numFmtId="14" showAll="0"/>
    <pivotField showAll="0" defaultSubtotal="0"/>
    <pivotField showAll="0" defaultSubtotal="0"/>
    <pivotField axis="axisPage" multipleItemSelectionAllowed="1" showAll="0">
      <items count="8">
        <item h="1" x="0"/>
        <item x="1"/>
        <item h="1"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1">
    <format dxfId="3124">
      <pivotArea type="all" dataOnly="0" outline="0" fieldPosition="0"/>
    </format>
    <format dxfId="3123">
      <pivotArea type="all" dataOnly="0" outline="0" fieldPosition="0"/>
    </format>
    <format dxfId="3122">
      <pivotArea type="all" dataOnly="0" outline="0" fieldPosition="0"/>
    </format>
    <format dxfId="3121">
      <pivotArea type="all" dataOnly="0" outline="0" fieldPosition="0"/>
    </format>
    <format dxfId="3120">
      <pivotArea type="all" dataOnly="0" outline="0" fieldPosition="0"/>
    </format>
    <format dxfId="3119">
      <pivotArea type="all" dataOnly="0" outline="0" fieldPosition="0"/>
    </format>
    <format dxfId="3118">
      <pivotArea type="all" dataOnly="0" outline="0" fieldPosition="0"/>
    </format>
    <format dxfId="3117">
      <pivotArea type="all" dataOnly="0" outline="0" fieldPosition="0"/>
    </format>
    <format dxfId="3116">
      <pivotArea type="all" dataOnly="0" outline="0" fieldPosition="0"/>
    </format>
    <format dxfId="3115">
      <pivotArea type="all" dataOnly="0" outline="0" fieldPosition="0"/>
    </format>
    <format dxfId="3114">
      <pivotArea type="all" dataOnly="0" outline="0" fieldPosition="0"/>
    </format>
    <format dxfId="3113">
      <pivotArea outline="0" collapsedLevelsAreSubtotals="1" fieldPosition="0"/>
    </format>
    <format dxfId="3112">
      <pivotArea dataOnly="0" labelOnly="1" outline="0" axis="axisValues" fieldPosition="0"/>
    </format>
    <format dxfId="3111">
      <pivotArea type="all" dataOnly="0" outline="0" fieldPosition="0"/>
    </format>
    <format dxfId="3110">
      <pivotArea outline="0" collapsedLevelsAreSubtotals="1" fieldPosition="0"/>
    </format>
    <format dxfId="3109">
      <pivotArea dataOnly="0" labelOnly="1" outline="0" axis="axisValues" fieldPosition="0"/>
    </format>
    <format dxfId="3108">
      <pivotArea type="all" dataOnly="0" outline="0" fieldPosition="0"/>
    </format>
    <format dxfId="3107">
      <pivotArea outline="0" collapsedLevelsAreSubtotals="1" fieldPosition="0"/>
    </format>
    <format dxfId="3106">
      <pivotArea dataOnly="0" labelOnly="1" outline="0" axis="axisValues" fieldPosition="0"/>
    </format>
    <format dxfId="3105">
      <pivotArea type="all" dataOnly="0" outline="0" fieldPosition="0"/>
    </format>
    <format dxfId="3104">
      <pivotArea outline="0" collapsedLevelsAreSubtotals="1" fieldPosition="0"/>
    </format>
    <format dxfId="3103">
      <pivotArea dataOnly="0" labelOnly="1" outline="0" axis="axisValues" fieldPosition="0"/>
    </format>
    <format dxfId="3102">
      <pivotArea outline="0" collapsedLevelsAreSubtotals="1" fieldPosition="0"/>
    </format>
    <format dxfId="3101">
      <pivotArea type="all" dataOnly="0" outline="0" fieldPosition="0"/>
    </format>
    <format dxfId="3100">
      <pivotArea outline="0" collapsedLevelsAreSubtotals="1" fieldPosition="0"/>
    </format>
    <format dxfId="3099">
      <pivotArea dataOnly="0" labelOnly="1" outline="0" axis="axisValues" fieldPosition="0"/>
    </format>
    <format dxfId="3098">
      <pivotArea type="all" dataOnly="0" outline="0" fieldPosition="0"/>
    </format>
    <format dxfId="3097">
      <pivotArea outline="0" collapsedLevelsAreSubtotals="1" fieldPosition="0"/>
    </format>
    <format dxfId="3096">
      <pivotArea dataOnly="0" labelOnly="1" outline="0" axis="axisValues" fieldPosition="0"/>
    </format>
    <format dxfId="3095">
      <pivotArea type="all" dataOnly="0" outline="0" fieldPosition="0"/>
    </format>
    <format dxfId="3094">
      <pivotArea outline="0" collapsedLevelsAreSubtotals="1" fieldPosition="0"/>
    </format>
    <format dxfId="3093">
      <pivotArea dataOnly="0" labelOnly="1" outline="0" axis="axisValues" fieldPosition="0"/>
    </format>
    <format dxfId="3092">
      <pivotArea type="all" dataOnly="0" outline="0" fieldPosition="0"/>
    </format>
    <format dxfId="3091">
      <pivotArea outline="0" collapsedLevelsAreSubtotals="1" fieldPosition="0"/>
    </format>
    <format dxfId="3090">
      <pivotArea type="all" dataOnly="0" outline="0" fieldPosition="0"/>
    </format>
    <format dxfId="3089">
      <pivotArea outline="0" collapsedLevelsAreSubtotals="1" fieldPosition="0"/>
    </format>
    <format dxfId="3088">
      <pivotArea outline="0" collapsedLevelsAreSubtotals="1" fieldPosition="0"/>
    </format>
    <format dxfId="3087">
      <pivotArea type="all" dataOnly="0" outline="0" fieldPosition="0"/>
    </format>
    <format dxfId="3086">
      <pivotArea outline="0" collapsedLevelsAreSubtotals="1" fieldPosition="0"/>
    </format>
    <format dxfId="3085">
      <pivotArea dataOnly="0" labelOnly="1" outline="0" axis="axisValues" fieldPosition="0"/>
    </format>
    <format dxfId="308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A2BF9248-B086-4C61-AA0A-BA011474F187}" name="PivotTable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73:C292"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1"/>
    </i>
    <i>
      <x v="12"/>
    </i>
    <i>
      <x v="13"/>
    </i>
    <i>
      <x v="14"/>
    </i>
    <i>
      <x v="15"/>
    </i>
    <i>
      <x v="16"/>
    </i>
    <i>
      <x v="17"/>
    </i>
    <i>
      <x v="18"/>
    </i>
    <i t="grand">
      <x/>
    </i>
  </rowItems>
  <colItems count="1">
    <i/>
  </colItems>
  <pageFields count="1">
    <pageField fld="8" hier="-1"/>
  </pageFields>
  <dataFields count="1">
    <dataField name="Sum of Net Dwellings" fld="40" baseField="0" baseItem="0"/>
  </dataFields>
  <formats count="38">
    <format dxfId="3162">
      <pivotArea type="all" dataOnly="0" outline="0" fieldPosition="0"/>
    </format>
    <format dxfId="3161">
      <pivotArea type="all" dataOnly="0" outline="0" fieldPosition="0"/>
    </format>
    <format dxfId="3160">
      <pivotArea type="all" dataOnly="0" outline="0" fieldPosition="0"/>
    </format>
    <format dxfId="3159">
      <pivotArea type="all" dataOnly="0" outline="0" fieldPosition="0"/>
    </format>
    <format dxfId="3158">
      <pivotArea type="all" dataOnly="0" outline="0" fieldPosition="0"/>
    </format>
    <format dxfId="3157">
      <pivotArea type="all" dataOnly="0" outline="0" fieldPosition="0"/>
    </format>
    <format dxfId="3156">
      <pivotArea type="all" dataOnly="0" outline="0" fieldPosition="0"/>
    </format>
    <format dxfId="3155">
      <pivotArea type="all" dataOnly="0" outline="0" fieldPosition="0"/>
    </format>
    <format dxfId="3154">
      <pivotArea type="all" dataOnly="0" outline="0" fieldPosition="0"/>
    </format>
    <format dxfId="3153">
      <pivotArea type="all" dataOnly="0" outline="0" fieldPosition="0"/>
    </format>
    <format dxfId="3152">
      <pivotArea type="all" dataOnly="0" outline="0" fieldPosition="0"/>
    </format>
    <format dxfId="3151">
      <pivotArea outline="0" collapsedLevelsAreSubtotals="1" fieldPosition="0"/>
    </format>
    <format dxfId="3150">
      <pivotArea dataOnly="0" labelOnly="1" grandRow="1" outline="0" fieldPosition="0"/>
    </format>
    <format dxfId="3149">
      <pivotArea dataOnly="0" labelOnly="1" outline="0" axis="axisValues" fieldPosition="0"/>
    </format>
    <format dxfId="3148">
      <pivotArea type="all" dataOnly="0" outline="0" fieldPosition="0"/>
    </format>
    <format dxfId="3147">
      <pivotArea outline="0" collapsedLevelsAreSubtotals="1" fieldPosition="0"/>
    </format>
    <format dxfId="3146">
      <pivotArea dataOnly="0" labelOnly="1" grandRow="1" outline="0" fieldPosition="0"/>
    </format>
    <format dxfId="3145">
      <pivotArea dataOnly="0" labelOnly="1" outline="0" axis="axisValues" fieldPosition="0"/>
    </format>
    <format dxfId="3144">
      <pivotArea type="all" dataOnly="0" outline="0" fieldPosition="0"/>
    </format>
    <format dxfId="3143">
      <pivotArea outline="0" collapsedLevelsAreSubtotals="1" fieldPosition="0"/>
    </format>
    <format dxfId="3142">
      <pivotArea dataOnly="0" labelOnly="1" grandRow="1" outline="0" fieldPosition="0"/>
    </format>
    <format dxfId="3141">
      <pivotArea dataOnly="0" labelOnly="1" outline="0" axis="axisValues" fieldPosition="0"/>
    </format>
    <format dxfId="3140">
      <pivotArea type="all" dataOnly="0" outline="0" fieldPosition="0"/>
    </format>
    <format dxfId="3139">
      <pivotArea outline="0" collapsedLevelsAreSubtotals="1" fieldPosition="0"/>
    </format>
    <format dxfId="3138">
      <pivotArea field="67" type="button" dataOnly="0" labelOnly="1" outline="0" axis="axisRow" fieldPosition="0"/>
    </format>
    <format dxfId="3137">
      <pivotArea dataOnly="0" labelOnly="1" grandRow="1" outline="0" fieldPosition="0"/>
    </format>
    <format dxfId="3136">
      <pivotArea dataOnly="0" labelOnly="1" outline="0" axis="axisValues" fieldPosition="0"/>
    </format>
    <format dxfId="3135">
      <pivotArea type="all" dataOnly="0" outline="0" fieldPosition="0"/>
    </format>
    <format dxfId="3134">
      <pivotArea outline="0" collapsedLevelsAreSubtotals="1" fieldPosition="0"/>
    </format>
    <format dxfId="3133">
      <pivotArea field="67" type="button" dataOnly="0" labelOnly="1" outline="0" axis="axisRow" fieldPosition="0"/>
    </format>
    <format dxfId="3132">
      <pivotArea dataOnly="0" labelOnly="1" fieldPosition="0">
        <references count="1">
          <reference field="67" count="18">
            <x v="0"/>
            <x v="1"/>
            <x v="2"/>
            <x v="3"/>
            <x v="4"/>
            <x v="5"/>
            <x v="6"/>
            <x v="7"/>
            <x v="8"/>
            <x v="9"/>
            <x v="11"/>
            <x v="12"/>
            <x v="13"/>
            <x v="14"/>
            <x v="15"/>
            <x v="16"/>
            <x v="17"/>
            <x v="18"/>
          </reference>
        </references>
      </pivotArea>
    </format>
    <format dxfId="3131">
      <pivotArea dataOnly="0" labelOnly="1" grandRow="1" outline="0" fieldPosition="0"/>
    </format>
    <format dxfId="3130">
      <pivotArea dataOnly="0" labelOnly="1" outline="0" axis="axisValues" fieldPosition="0"/>
    </format>
    <format dxfId="3129">
      <pivotArea type="all" dataOnly="0" outline="0" fieldPosition="0"/>
    </format>
    <format dxfId="3128">
      <pivotArea outline="0" collapsedLevelsAreSubtotals="1" fieldPosition="0"/>
    </format>
    <format dxfId="3127">
      <pivotArea field="67" type="button" dataOnly="0" labelOnly="1" outline="0" axis="axisRow" fieldPosition="0"/>
    </format>
    <format dxfId="3126">
      <pivotArea dataOnly="0" labelOnly="1" grandRow="1" outline="0" fieldPosition="0"/>
    </format>
    <format dxfId="31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7F743FA1-0BEE-493A-8842-53AB7F6C3E19}" name="PivotTable3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75:C394" firstHeaderRow="1" firstDataRow="1" firstDataCol="1" rowPageCount="3" colPageCount="1"/>
  <pivotFields count="77">
    <pivotField showAll="0" defaultSubtotal="0"/>
    <pivotField showAll="0"/>
    <pivotField axis="axisPage" multipleItemSelectionAllowed="1" showAll="0" defaultSubtotal="0">
      <items count="5">
        <item h="1" x="1"/>
        <item h="1" x="2"/>
        <item h="1" x="4"/>
        <item x="0"/>
        <item x="3"/>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7"/>
        <item x="13"/>
        <item x="14"/>
        <item x="2"/>
        <item x="15"/>
        <item x="1"/>
        <item x="10"/>
        <item x="16"/>
        <item x="3"/>
        <item x="8"/>
        <item x="18"/>
        <item x="4"/>
        <item x="6"/>
        <item x="5"/>
        <item x="17"/>
        <item x="0"/>
        <item x="9"/>
        <item x="11"/>
        <item x="12"/>
        <item t="default"/>
      </items>
    </pivotField>
    <pivotField showAll="0"/>
    <pivotField showAll="0"/>
    <pivotField showAll="0"/>
    <pivotField showAll="0"/>
    <pivotField showAll="0"/>
    <pivotField showAll="0"/>
    <pivotField showAll="0"/>
    <pivotField showAll="0"/>
    <pivotField showAll="0"/>
  </pivotFields>
  <rowFields count="1">
    <field x="67"/>
  </rowFields>
  <rowItems count="19">
    <i>
      <x/>
    </i>
    <i>
      <x v="1"/>
    </i>
    <i>
      <x v="2"/>
    </i>
    <i>
      <x v="3"/>
    </i>
    <i>
      <x v="4"/>
    </i>
    <i>
      <x v="5"/>
    </i>
    <i>
      <x v="6"/>
    </i>
    <i>
      <x v="7"/>
    </i>
    <i>
      <x v="8"/>
    </i>
    <i>
      <x v="9"/>
    </i>
    <i>
      <x v="11"/>
    </i>
    <i>
      <x v="12"/>
    </i>
    <i>
      <x v="13"/>
    </i>
    <i>
      <x v="14"/>
    </i>
    <i>
      <x v="15"/>
    </i>
    <i>
      <x v="16"/>
    </i>
    <i>
      <x v="17"/>
    </i>
    <i>
      <x v="18"/>
    </i>
    <i t="grand">
      <x/>
    </i>
  </rowItems>
  <colItems count="1">
    <i/>
  </colItems>
  <pageFields count="3">
    <pageField fld="8" hier="-1"/>
    <pageField fld="3" hier="-1"/>
    <pageField fld="2" hier="-1"/>
  </pageFields>
  <dataFields count="1">
    <dataField name="Sum of Net Dwellings" fld="40" baseField="0" baseItem="0"/>
  </dataFields>
  <formats count="41">
    <format dxfId="3203">
      <pivotArea type="all" dataOnly="0" outline="0" fieldPosition="0"/>
    </format>
    <format dxfId="3202">
      <pivotArea type="all" dataOnly="0" outline="0" fieldPosition="0"/>
    </format>
    <format dxfId="3201">
      <pivotArea type="all" dataOnly="0" outline="0" fieldPosition="0"/>
    </format>
    <format dxfId="3200">
      <pivotArea type="all" dataOnly="0" outline="0" fieldPosition="0"/>
    </format>
    <format dxfId="3199">
      <pivotArea type="all" dataOnly="0" outline="0" fieldPosition="0"/>
    </format>
    <format dxfId="3198">
      <pivotArea type="all" dataOnly="0" outline="0" fieldPosition="0"/>
    </format>
    <format dxfId="3197">
      <pivotArea type="all" dataOnly="0" outline="0" fieldPosition="0"/>
    </format>
    <format dxfId="3196">
      <pivotArea dataOnly="0" labelOnly="1" outline="0" fieldPosition="0">
        <references count="1">
          <reference field="4294967294" count="1">
            <x v="0"/>
          </reference>
        </references>
      </pivotArea>
    </format>
    <format dxfId="3195">
      <pivotArea dataOnly="0" labelOnly="1" outline="0" fieldPosition="0">
        <references count="1">
          <reference field="4294967294" count="1">
            <x v="0"/>
          </reference>
        </references>
      </pivotArea>
    </format>
    <format dxfId="3194">
      <pivotArea dataOnly="0" labelOnly="1" outline="0" fieldPosition="0">
        <references count="1">
          <reference field="4294967294" count="1">
            <x v="0"/>
          </reference>
        </references>
      </pivotArea>
    </format>
    <format dxfId="3193">
      <pivotArea type="all" dataOnly="0" outline="0" fieldPosition="0"/>
    </format>
    <format dxfId="3192">
      <pivotArea type="all" dataOnly="0" outline="0" fieldPosition="0"/>
    </format>
    <format dxfId="3191">
      <pivotArea type="all" dataOnly="0" outline="0" fieldPosition="0"/>
    </format>
    <format dxfId="3190">
      <pivotArea type="all" dataOnly="0" outline="0" fieldPosition="0"/>
    </format>
    <format dxfId="3189">
      <pivotArea outline="0" collapsedLevelsAreSubtotals="1" fieldPosition="0"/>
    </format>
    <format dxfId="3188">
      <pivotArea dataOnly="0" labelOnly="1" grandRow="1" outline="0" fieldPosition="0"/>
    </format>
    <format dxfId="3187">
      <pivotArea dataOnly="0" labelOnly="1" outline="0" axis="axisValues" fieldPosition="0"/>
    </format>
    <format dxfId="3186">
      <pivotArea type="all" dataOnly="0" outline="0" fieldPosition="0"/>
    </format>
    <format dxfId="3185">
      <pivotArea outline="0" collapsedLevelsAreSubtotals="1" fieldPosition="0"/>
    </format>
    <format dxfId="3184">
      <pivotArea dataOnly="0" labelOnly="1" grandRow="1" outline="0" fieldPosition="0"/>
    </format>
    <format dxfId="3183">
      <pivotArea dataOnly="0" labelOnly="1" outline="0" axis="axisValues" fieldPosition="0"/>
    </format>
    <format dxfId="3182">
      <pivotArea type="all" dataOnly="0" outline="0" fieldPosition="0"/>
    </format>
    <format dxfId="3181">
      <pivotArea outline="0" collapsedLevelsAreSubtotals="1" fieldPosition="0"/>
    </format>
    <format dxfId="3180">
      <pivotArea dataOnly="0" labelOnly="1" grandRow="1" outline="0" fieldPosition="0"/>
    </format>
    <format dxfId="3179">
      <pivotArea dataOnly="0" labelOnly="1" outline="0" axis="axisValues" fieldPosition="0"/>
    </format>
    <format dxfId="3178">
      <pivotArea type="all" dataOnly="0" outline="0" fieldPosition="0"/>
    </format>
    <format dxfId="3177">
      <pivotArea outline="0" collapsedLevelsAreSubtotals="1" fieldPosition="0"/>
    </format>
    <format dxfId="3176">
      <pivotArea field="67" type="button" dataOnly="0" labelOnly="1" outline="0" axis="axisRow" fieldPosition="0"/>
    </format>
    <format dxfId="3175">
      <pivotArea dataOnly="0" labelOnly="1" grandRow="1" outline="0" fieldPosition="0"/>
    </format>
    <format dxfId="3174">
      <pivotArea dataOnly="0" labelOnly="1" outline="0" axis="axisValues" fieldPosition="0"/>
    </format>
    <format dxfId="3173">
      <pivotArea type="all" dataOnly="0" outline="0" fieldPosition="0"/>
    </format>
    <format dxfId="3172">
      <pivotArea outline="0" collapsedLevelsAreSubtotals="1" fieldPosition="0"/>
    </format>
    <format dxfId="3171">
      <pivotArea field="67" type="button" dataOnly="0" labelOnly="1" outline="0" axis="axisRow" fieldPosition="0"/>
    </format>
    <format dxfId="3170">
      <pivotArea dataOnly="0" labelOnly="1" fieldPosition="0">
        <references count="1">
          <reference field="67" count="18">
            <x v="0"/>
            <x v="1"/>
            <x v="2"/>
            <x v="3"/>
            <x v="4"/>
            <x v="5"/>
            <x v="6"/>
            <x v="7"/>
            <x v="8"/>
            <x v="9"/>
            <x v="11"/>
            <x v="12"/>
            <x v="13"/>
            <x v="14"/>
            <x v="15"/>
            <x v="16"/>
            <x v="17"/>
            <x v="18"/>
          </reference>
        </references>
      </pivotArea>
    </format>
    <format dxfId="3169">
      <pivotArea dataOnly="0" labelOnly="1" grandRow="1" outline="0" fieldPosition="0"/>
    </format>
    <format dxfId="3168">
      <pivotArea dataOnly="0" labelOnly="1" outline="0" axis="axisValues" fieldPosition="0"/>
    </format>
    <format dxfId="3167">
      <pivotArea type="all" dataOnly="0" outline="0" fieldPosition="0"/>
    </format>
    <format dxfId="3166">
      <pivotArea outline="0" collapsedLevelsAreSubtotals="1" fieldPosition="0"/>
    </format>
    <format dxfId="3165">
      <pivotArea field="67" type="button" dataOnly="0" labelOnly="1" outline="0" axis="axisRow" fieldPosition="0"/>
    </format>
    <format dxfId="3164">
      <pivotArea dataOnly="0" labelOnly="1" grandRow="1" outline="0" fieldPosition="0"/>
    </format>
    <format dxfId="31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342F8222-B773-4BBD-B740-85FBC1314D84}" name="PivotTable4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99:H100"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3243">
      <pivotArea type="all" dataOnly="0" outline="0" fieldPosition="0"/>
    </format>
    <format dxfId="3242">
      <pivotArea type="all" dataOnly="0" outline="0" fieldPosition="0"/>
    </format>
    <format dxfId="3241">
      <pivotArea type="all" dataOnly="0" outline="0" fieldPosition="0"/>
    </format>
    <format dxfId="3240">
      <pivotArea type="all" dataOnly="0" outline="0" fieldPosition="0"/>
    </format>
    <format dxfId="3239">
      <pivotArea type="all" dataOnly="0" outline="0" fieldPosition="0"/>
    </format>
    <format dxfId="3238">
      <pivotArea type="all" dataOnly="0" outline="0" fieldPosition="0"/>
    </format>
    <format dxfId="3237">
      <pivotArea type="all" dataOnly="0" outline="0" fieldPosition="0"/>
    </format>
    <format dxfId="3236">
      <pivotArea type="all" dataOnly="0" outline="0" fieldPosition="0"/>
    </format>
    <format dxfId="3235">
      <pivotArea type="all" dataOnly="0" outline="0" fieldPosition="0"/>
    </format>
    <format dxfId="3234">
      <pivotArea type="all" dataOnly="0" outline="0" fieldPosition="0"/>
    </format>
    <format dxfId="3233">
      <pivotArea type="all" dataOnly="0" outline="0" fieldPosition="0"/>
    </format>
    <format dxfId="3232">
      <pivotArea outline="0" collapsedLevelsAreSubtotals="1" fieldPosition="0"/>
    </format>
    <format dxfId="3231">
      <pivotArea dataOnly="0" labelOnly="1" outline="0" axis="axisValues" fieldPosition="0"/>
    </format>
    <format dxfId="3230">
      <pivotArea type="all" dataOnly="0" outline="0" fieldPosition="0"/>
    </format>
    <format dxfId="3229">
      <pivotArea outline="0" collapsedLevelsAreSubtotals="1" fieldPosition="0"/>
    </format>
    <format dxfId="3228">
      <pivotArea dataOnly="0" labelOnly="1" outline="0" axis="axisValues" fieldPosition="0"/>
    </format>
    <format dxfId="3227">
      <pivotArea type="all" dataOnly="0" outline="0" fieldPosition="0"/>
    </format>
    <format dxfId="3226">
      <pivotArea outline="0" collapsedLevelsAreSubtotals="1" fieldPosition="0"/>
    </format>
    <format dxfId="3225">
      <pivotArea dataOnly="0" labelOnly="1" outline="0" axis="axisValues" fieldPosition="0"/>
    </format>
    <format dxfId="3224">
      <pivotArea type="all" dataOnly="0" outline="0" fieldPosition="0"/>
    </format>
    <format dxfId="3223">
      <pivotArea outline="0" collapsedLevelsAreSubtotals="1" fieldPosition="0"/>
    </format>
    <format dxfId="3222">
      <pivotArea dataOnly="0" labelOnly="1" outline="0" axis="axisValues" fieldPosition="0"/>
    </format>
    <format dxfId="3221">
      <pivotArea type="all" dataOnly="0" outline="0" fieldPosition="0"/>
    </format>
    <format dxfId="3220">
      <pivotArea outline="0" collapsedLevelsAreSubtotals="1" fieldPosition="0"/>
    </format>
    <format dxfId="3219">
      <pivotArea dataOnly="0" labelOnly="1" outline="0" axis="axisValues" fieldPosition="0"/>
    </format>
    <format dxfId="3218">
      <pivotArea type="all" dataOnly="0" outline="0" fieldPosition="0"/>
    </format>
    <format dxfId="3217">
      <pivotArea outline="0" collapsedLevelsAreSubtotals="1" fieldPosition="0"/>
    </format>
    <format dxfId="3216">
      <pivotArea dataOnly="0" labelOnly="1" outline="0" axis="axisValues" fieldPosition="0"/>
    </format>
    <format dxfId="3215">
      <pivotArea type="all" dataOnly="0" outline="0" fieldPosition="0"/>
    </format>
    <format dxfId="3214">
      <pivotArea outline="0" collapsedLevelsAreSubtotals="1" fieldPosition="0"/>
    </format>
    <format dxfId="3213">
      <pivotArea dataOnly="0" labelOnly="1" outline="0" axis="axisValues" fieldPosition="0"/>
    </format>
    <format dxfId="3212">
      <pivotArea type="all" dataOnly="0" outline="0" fieldPosition="0"/>
    </format>
    <format dxfId="3211">
      <pivotArea outline="0" collapsedLevelsAreSubtotals="1" fieldPosition="0"/>
    </format>
    <format dxfId="3210">
      <pivotArea type="all" dataOnly="0" outline="0" fieldPosition="0"/>
    </format>
    <format dxfId="3209">
      <pivotArea outline="0" collapsedLevelsAreSubtotals="1" fieldPosition="0"/>
    </format>
    <format dxfId="3208">
      <pivotArea outline="0" collapsedLevelsAreSubtotals="1" fieldPosition="0"/>
    </format>
    <format dxfId="3207">
      <pivotArea type="all" dataOnly="0" outline="0" fieldPosition="0"/>
    </format>
    <format dxfId="3206">
      <pivotArea outline="0" collapsedLevelsAreSubtotals="1" fieldPosition="0"/>
    </format>
    <format dxfId="3205">
      <pivotArea dataOnly="0" labelOnly="1" outline="0" axis="axisValues" fieldPosition="0"/>
    </format>
    <format dxfId="320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EA7205C7-FE2F-4426-9345-7C40683992D3}" name="PivotTable6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55:H156"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x="0"/>
        <item h="1" x="2"/>
        <item h="1" x="5"/>
        <item h="1" x="4"/>
        <item h="1" x="3"/>
        <item h="1"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3283">
      <pivotArea type="all" dataOnly="0" outline="0" fieldPosition="0"/>
    </format>
    <format dxfId="3282">
      <pivotArea type="all" dataOnly="0" outline="0" fieldPosition="0"/>
    </format>
    <format dxfId="3281">
      <pivotArea type="all" dataOnly="0" outline="0" fieldPosition="0"/>
    </format>
    <format dxfId="3280">
      <pivotArea type="all" dataOnly="0" outline="0" fieldPosition="0"/>
    </format>
    <format dxfId="3279">
      <pivotArea type="all" dataOnly="0" outline="0" fieldPosition="0"/>
    </format>
    <format dxfId="3278">
      <pivotArea type="all" dataOnly="0" outline="0" fieldPosition="0"/>
    </format>
    <format dxfId="3277">
      <pivotArea type="all" dataOnly="0" outline="0" fieldPosition="0"/>
    </format>
    <format dxfId="3276">
      <pivotArea type="all" dataOnly="0" outline="0" fieldPosition="0"/>
    </format>
    <format dxfId="3275">
      <pivotArea type="all" dataOnly="0" outline="0" fieldPosition="0"/>
    </format>
    <format dxfId="3274">
      <pivotArea type="all" dataOnly="0" outline="0" fieldPosition="0"/>
    </format>
    <format dxfId="3273">
      <pivotArea type="all" dataOnly="0" outline="0" fieldPosition="0"/>
    </format>
    <format dxfId="3272">
      <pivotArea outline="0" collapsedLevelsAreSubtotals="1" fieldPosition="0"/>
    </format>
    <format dxfId="3271">
      <pivotArea dataOnly="0" labelOnly="1" outline="0" axis="axisValues" fieldPosition="0"/>
    </format>
    <format dxfId="3270">
      <pivotArea type="all" dataOnly="0" outline="0" fieldPosition="0"/>
    </format>
    <format dxfId="3269">
      <pivotArea outline="0" collapsedLevelsAreSubtotals="1" fieldPosition="0"/>
    </format>
    <format dxfId="3268">
      <pivotArea dataOnly="0" labelOnly="1" outline="0" axis="axisValues" fieldPosition="0"/>
    </format>
    <format dxfId="3267">
      <pivotArea type="all" dataOnly="0" outline="0" fieldPosition="0"/>
    </format>
    <format dxfId="3266">
      <pivotArea outline="0" collapsedLevelsAreSubtotals="1" fieldPosition="0"/>
    </format>
    <format dxfId="3265">
      <pivotArea dataOnly="0" labelOnly="1" outline="0" axis="axisValues" fieldPosition="0"/>
    </format>
    <format dxfId="3264">
      <pivotArea type="all" dataOnly="0" outline="0" fieldPosition="0"/>
    </format>
    <format dxfId="3263">
      <pivotArea outline="0" collapsedLevelsAreSubtotals="1" fieldPosition="0"/>
    </format>
    <format dxfId="3262">
      <pivotArea dataOnly="0" labelOnly="1" outline="0" axis="axisValues" fieldPosition="0"/>
    </format>
    <format dxfId="3261">
      <pivotArea type="all" dataOnly="0" outline="0" fieldPosition="0"/>
    </format>
    <format dxfId="3260">
      <pivotArea outline="0" collapsedLevelsAreSubtotals="1" fieldPosition="0"/>
    </format>
    <format dxfId="3259">
      <pivotArea dataOnly="0" labelOnly="1" outline="0" axis="axisValues" fieldPosition="0"/>
    </format>
    <format dxfId="3258">
      <pivotArea type="all" dataOnly="0" outline="0" fieldPosition="0"/>
    </format>
    <format dxfId="3257">
      <pivotArea outline="0" collapsedLevelsAreSubtotals="1" fieldPosition="0"/>
    </format>
    <format dxfId="3256">
      <pivotArea dataOnly="0" labelOnly="1" outline="0" axis="axisValues" fieldPosition="0"/>
    </format>
    <format dxfId="3255">
      <pivotArea type="all" dataOnly="0" outline="0" fieldPosition="0"/>
    </format>
    <format dxfId="3254">
      <pivotArea outline="0" collapsedLevelsAreSubtotals="1" fieldPosition="0"/>
    </format>
    <format dxfId="3253">
      <pivotArea dataOnly="0" labelOnly="1" outline="0" axis="axisValues" fieldPosition="0"/>
    </format>
    <format dxfId="3252">
      <pivotArea type="all" dataOnly="0" outline="0" fieldPosition="0"/>
    </format>
    <format dxfId="3251">
      <pivotArea outline="0" collapsedLevelsAreSubtotals="1" fieldPosition="0"/>
    </format>
    <format dxfId="3250">
      <pivotArea type="all" dataOnly="0" outline="0" fieldPosition="0"/>
    </format>
    <format dxfId="3249">
      <pivotArea outline="0" collapsedLevelsAreSubtotals="1" fieldPosition="0"/>
    </format>
    <format dxfId="3248">
      <pivotArea outline="0" collapsedLevelsAreSubtotals="1" fieldPosition="0"/>
    </format>
    <format dxfId="3247">
      <pivotArea type="all" dataOnly="0" outline="0" fieldPosition="0"/>
    </format>
    <format dxfId="3246">
      <pivotArea outline="0" collapsedLevelsAreSubtotals="1" fieldPosition="0"/>
    </format>
    <format dxfId="3245">
      <pivotArea dataOnly="0" labelOnly="1" outline="0" axis="axisValues" fieldPosition="0"/>
    </format>
    <format dxfId="32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7907941-7CFB-416C-AA60-89AB82CA1622}" name="PivotTable6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73:B174"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328">
      <pivotArea type="all" dataOnly="0" outline="0" fieldPosition="0"/>
    </format>
    <format dxfId="327">
      <pivotArea type="all" dataOnly="0" outline="0" fieldPosition="0"/>
    </format>
    <format dxfId="326">
      <pivotArea type="all" dataOnly="0" outline="0" fieldPosition="0"/>
    </format>
    <format dxfId="325">
      <pivotArea type="all" dataOnly="0" outline="0" fieldPosition="0"/>
    </format>
    <format dxfId="324">
      <pivotArea type="all" dataOnly="0" outline="0" fieldPosition="0"/>
    </format>
    <format dxfId="323">
      <pivotArea type="all" dataOnly="0" outline="0" fieldPosition="0"/>
    </format>
    <format dxfId="322">
      <pivotArea type="all" dataOnly="0" outline="0" fieldPosition="0"/>
    </format>
    <format dxfId="321">
      <pivotArea type="all" dataOnly="0" outline="0" fieldPosition="0"/>
    </format>
    <format dxfId="320">
      <pivotArea type="all" dataOnly="0" outline="0" fieldPosition="0"/>
    </format>
    <format dxfId="319">
      <pivotArea type="all" dataOnly="0" outline="0" fieldPosition="0"/>
    </format>
    <format dxfId="318">
      <pivotArea type="all" dataOnly="0" outline="0" fieldPosition="0"/>
    </format>
    <format dxfId="317">
      <pivotArea outline="0" collapsedLevelsAreSubtotals="1" fieldPosition="0"/>
    </format>
    <format dxfId="316">
      <pivotArea dataOnly="0" labelOnly="1" outline="0" axis="axisValues" fieldPosition="0"/>
    </format>
    <format dxfId="315">
      <pivotArea type="all" dataOnly="0" outline="0" fieldPosition="0"/>
    </format>
    <format dxfId="314">
      <pivotArea outline="0" collapsedLevelsAreSubtotals="1" fieldPosition="0"/>
    </format>
    <format dxfId="313">
      <pivotArea dataOnly="0" labelOnly="1" outline="0" axis="axisValues" fieldPosition="0"/>
    </format>
    <format dxfId="312">
      <pivotArea type="all" dataOnly="0" outline="0" fieldPosition="0"/>
    </format>
    <format dxfId="311">
      <pivotArea outline="0" collapsedLevelsAreSubtotals="1" fieldPosition="0"/>
    </format>
    <format dxfId="310">
      <pivotArea dataOnly="0" labelOnly="1" outline="0" axis="axisValues" fieldPosition="0"/>
    </format>
    <format dxfId="309">
      <pivotArea type="all" dataOnly="0" outline="0" fieldPosition="0"/>
    </format>
    <format dxfId="308">
      <pivotArea outline="0" collapsedLevelsAreSubtotals="1" fieldPosition="0"/>
    </format>
    <format dxfId="307">
      <pivotArea dataOnly="0" labelOnly="1" outline="0" axis="axisValues" fieldPosition="0"/>
    </format>
    <format dxfId="306">
      <pivotArea type="all" dataOnly="0" outline="0" fieldPosition="0"/>
    </format>
    <format dxfId="305">
      <pivotArea outline="0" collapsedLevelsAreSubtotals="1" fieldPosition="0"/>
    </format>
    <format dxfId="304">
      <pivotArea dataOnly="0" labelOnly="1" outline="0" axis="axisValues" fieldPosition="0"/>
    </format>
    <format dxfId="303">
      <pivotArea type="all" dataOnly="0" outline="0" fieldPosition="0"/>
    </format>
    <format dxfId="302">
      <pivotArea outline="0" collapsedLevelsAreSubtotals="1" fieldPosition="0"/>
    </format>
    <format dxfId="301">
      <pivotArea dataOnly="0" labelOnly="1" outline="0" axis="axisValues" fieldPosition="0"/>
    </format>
    <format dxfId="300">
      <pivotArea type="all" dataOnly="0" outline="0" fieldPosition="0"/>
    </format>
    <format dxfId="299">
      <pivotArea outline="0" collapsedLevelsAreSubtotals="1" fieldPosition="0"/>
    </format>
    <format dxfId="298">
      <pivotArea dataOnly="0" labelOnly="1" outline="0" axis="axisValues" fieldPosition="0"/>
    </format>
    <format dxfId="297">
      <pivotArea type="all" dataOnly="0" outline="0" fieldPosition="0"/>
    </format>
    <format dxfId="296">
      <pivotArea outline="0" collapsedLevelsAreSubtotals="1" fieldPosition="0"/>
    </format>
    <format dxfId="295">
      <pivotArea type="all" dataOnly="0" outline="0" fieldPosition="0"/>
    </format>
    <format dxfId="294">
      <pivotArea outline="0" collapsedLevelsAreSubtotals="1" fieldPosition="0"/>
    </format>
    <format dxfId="293">
      <pivotArea outline="0" collapsedLevelsAreSubtotals="1" fieldPosition="0"/>
    </format>
    <format dxfId="292">
      <pivotArea type="all" dataOnly="0" outline="0" fieldPosition="0"/>
    </format>
    <format dxfId="291">
      <pivotArea outline="0" collapsedLevelsAreSubtotals="1" fieldPosition="0"/>
    </format>
    <format dxfId="290">
      <pivotArea dataOnly="0" labelOnly="1" outline="0" axis="axisValues" fieldPosition="0"/>
    </format>
    <format dxfId="28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1762E196-7A20-42E0-90E6-2174B390E518}" name="PivotTable6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92:E193"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x="2"/>
        <item h="1" x="5"/>
        <item h="1" x="4"/>
        <item h="1" x="3"/>
        <item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Net Dwellings" fld="40" baseField="0" baseItem="0"/>
  </dataFields>
  <formats count="40">
    <format dxfId="3323">
      <pivotArea type="all" dataOnly="0" outline="0" fieldPosition="0"/>
    </format>
    <format dxfId="3322">
      <pivotArea type="all" dataOnly="0" outline="0" fieldPosition="0"/>
    </format>
    <format dxfId="3321">
      <pivotArea type="all" dataOnly="0" outline="0" fieldPosition="0"/>
    </format>
    <format dxfId="3320">
      <pivotArea type="all" dataOnly="0" outline="0" fieldPosition="0"/>
    </format>
    <format dxfId="3319">
      <pivotArea type="all" dataOnly="0" outline="0" fieldPosition="0"/>
    </format>
    <format dxfId="3318">
      <pivotArea type="all" dataOnly="0" outline="0" fieldPosition="0"/>
    </format>
    <format dxfId="3317">
      <pivotArea type="all" dataOnly="0" outline="0" fieldPosition="0"/>
    </format>
    <format dxfId="3316">
      <pivotArea type="all" dataOnly="0" outline="0" fieldPosition="0"/>
    </format>
    <format dxfId="3315">
      <pivotArea type="all" dataOnly="0" outline="0" fieldPosition="0"/>
    </format>
    <format dxfId="3314">
      <pivotArea type="all" dataOnly="0" outline="0" fieldPosition="0"/>
    </format>
    <format dxfId="3313">
      <pivotArea type="all" dataOnly="0" outline="0" fieldPosition="0"/>
    </format>
    <format dxfId="3312">
      <pivotArea outline="0" collapsedLevelsAreSubtotals="1" fieldPosition="0"/>
    </format>
    <format dxfId="3311">
      <pivotArea dataOnly="0" labelOnly="1" outline="0" axis="axisValues" fieldPosition="0"/>
    </format>
    <format dxfId="3310">
      <pivotArea type="all" dataOnly="0" outline="0" fieldPosition="0"/>
    </format>
    <format dxfId="3309">
      <pivotArea outline="0" collapsedLevelsAreSubtotals="1" fieldPosition="0"/>
    </format>
    <format dxfId="3308">
      <pivotArea dataOnly="0" labelOnly="1" outline="0" axis="axisValues" fieldPosition="0"/>
    </format>
    <format dxfId="3307">
      <pivotArea type="all" dataOnly="0" outline="0" fieldPosition="0"/>
    </format>
    <format dxfId="3306">
      <pivotArea outline="0" collapsedLevelsAreSubtotals="1" fieldPosition="0"/>
    </format>
    <format dxfId="3305">
      <pivotArea dataOnly="0" labelOnly="1" outline="0" axis="axisValues" fieldPosition="0"/>
    </format>
    <format dxfId="3304">
      <pivotArea type="all" dataOnly="0" outline="0" fieldPosition="0"/>
    </format>
    <format dxfId="3303">
      <pivotArea outline="0" collapsedLevelsAreSubtotals="1" fieldPosition="0"/>
    </format>
    <format dxfId="3302">
      <pivotArea dataOnly="0" labelOnly="1" outline="0" axis="axisValues" fieldPosition="0"/>
    </format>
    <format dxfId="3301">
      <pivotArea type="all" dataOnly="0" outline="0" fieldPosition="0"/>
    </format>
    <format dxfId="3300">
      <pivotArea outline="0" collapsedLevelsAreSubtotals="1" fieldPosition="0"/>
    </format>
    <format dxfId="3299">
      <pivotArea dataOnly="0" labelOnly="1" outline="0" axis="axisValues" fieldPosition="0"/>
    </format>
    <format dxfId="3298">
      <pivotArea type="all" dataOnly="0" outline="0" fieldPosition="0"/>
    </format>
    <format dxfId="3297">
      <pivotArea outline="0" collapsedLevelsAreSubtotals="1" fieldPosition="0"/>
    </format>
    <format dxfId="3296">
      <pivotArea dataOnly="0" labelOnly="1" outline="0" axis="axisValues" fieldPosition="0"/>
    </format>
    <format dxfId="3295">
      <pivotArea type="all" dataOnly="0" outline="0" fieldPosition="0"/>
    </format>
    <format dxfId="3294">
      <pivotArea outline="0" collapsedLevelsAreSubtotals="1" fieldPosition="0"/>
    </format>
    <format dxfId="3293">
      <pivotArea dataOnly="0" labelOnly="1" outline="0" axis="axisValues" fieldPosition="0"/>
    </format>
    <format dxfId="3292">
      <pivotArea type="all" dataOnly="0" outline="0" fieldPosition="0"/>
    </format>
    <format dxfId="3291">
      <pivotArea outline="0" collapsedLevelsAreSubtotals="1" fieldPosition="0"/>
    </format>
    <format dxfId="3290">
      <pivotArea type="all" dataOnly="0" outline="0" fieldPosition="0"/>
    </format>
    <format dxfId="3289">
      <pivotArea outline="0" collapsedLevelsAreSubtotals="1" fieldPosition="0"/>
    </format>
    <format dxfId="3288">
      <pivotArea outline="0" collapsedLevelsAreSubtotals="1" fieldPosition="0"/>
    </format>
    <format dxfId="3287">
      <pivotArea type="all" dataOnly="0" outline="0" fieldPosition="0"/>
    </format>
    <format dxfId="3286">
      <pivotArea outline="0" collapsedLevelsAreSubtotals="1" fieldPosition="0"/>
    </format>
    <format dxfId="3285">
      <pivotArea dataOnly="0" labelOnly="1" outline="0" axis="axisValues" fieldPosition="0"/>
    </format>
    <format dxfId="328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46085CC9-3F8D-4930-BE83-7FCDE8A30C3B}" name="PivotTable1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71:B72"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Units Proposed" fld="31" baseField="0" baseItem="0"/>
  </dataFields>
  <formats count="40">
    <format dxfId="3363">
      <pivotArea type="all" dataOnly="0" outline="0" fieldPosition="0"/>
    </format>
    <format dxfId="3362">
      <pivotArea type="all" dataOnly="0" outline="0" fieldPosition="0"/>
    </format>
    <format dxfId="3361">
      <pivotArea type="all" dataOnly="0" outline="0" fieldPosition="0"/>
    </format>
    <format dxfId="3360">
      <pivotArea type="all" dataOnly="0" outline="0" fieldPosition="0"/>
    </format>
    <format dxfId="3359">
      <pivotArea type="all" dataOnly="0" outline="0" fieldPosition="0"/>
    </format>
    <format dxfId="3358">
      <pivotArea type="all" dataOnly="0" outline="0" fieldPosition="0"/>
    </format>
    <format dxfId="3357">
      <pivotArea type="all" dataOnly="0" outline="0" fieldPosition="0"/>
    </format>
    <format dxfId="3356">
      <pivotArea type="all" dataOnly="0" outline="0" fieldPosition="0"/>
    </format>
    <format dxfId="3355">
      <pivotArea type="all" dataOnly="0" outline="0" fieldPosition="0"/>
    </format>
    <format dxfId="3354">
      <pivotArea type="all" dataOnly="0" outline="0" fieldPosition="0"/>
    </format>
    <format dxfId="3353">
      <pivotArea type="all" dataOnly="0" outline="0" fieldPosition="0"/>
    </format>
    <format dxfId="3352">
      <pivotArea outline="0" collapsedLevelsAreSubtotals="1" fieldPosition="0"/>
    </format>
    <format dxfId="3351">
      <pivotArea dataOnly="0" labelOnly="1" outline="0" axis="axisValues" fieldPosition="0"/>
    </format>
    <format dxfId="3350">
      <pivotArea type="all" dataOnly="0" outline="0" fieldPosition="0"/>
    </format>
    <format dxfId="3349">
      <pivotArea outline="0" collapsedLevelsAreSubtotals="1" fieldPosition="0"/>
    </format>
    <format dxfId="3348">
      <pivotArea dataOnly="0" labelOnly="1" outline="0" axis="axisValues" fieldPosition="0"/>
    </format>
    <format dxfId="3347">
      <pivotArea type="all" dataOnly="0" outline="0" fieldPosition="0"/>
    </format>
    <format dxfId="3346">
      <pivotArea outline="0" collapsedLevelsAreSubtotals="1" fieldPosition="0"/>
    </format>
    <format dxfId="3345">
      <pivotArea dataOnly="0" labelOnly="1" outline="0" axis="axisValues" fieldPosition="0"/>
    </format>
    <format dxfId="3344">
      <pivotArea type="all" dataOnly="0" outline="0" fieldPosition="0"/>
    </format>
    <format dxfId="3343">
      <pivotArea outline="0" collapsedLevelsAreSubtotals="1" fieldPosition="0"/>
    </format>
    <format dxfId="3342">
      <pivotArea dataOnly="0" labelOnly="1" outline="0" axis="axisValues" fieldPosition="0"/>
    </format>
    <format dxfId="3341">
      <pivotArea type="all" dataOnly="0" outline="0" fieldPosition="0"/>
    </format>
    <format dxfId="3340">
      <pivotArea outline="0" collapsedLevelsAreSubtotals="1" fieldPosition="0"/>
    </format>
    <format dxfId="3339">
      <pivotArea dataOnly="0" labelOnly="1" outline="0" axis="axisValues" fieldPosition="0"/>
    </format>
    <format dxfId="3338">
      <pivotArea type="all" dataOnly="0" outline="0" fieldPosition="0"/>
    </format>
    <format dxfId="3337">
      <pivotArea outline="0" collapsedLevelsAreSubtotals="1" fieldPosition="0"/>
    </format>
    <format dxfId="3336">
      <pivotArea dataOnly="0" labelOnly="1" outline="0" axis="axisValues" fieldPosition="0"/>
    </format>
    <format dxfId="3335">
      <pivotArea type="all" dataOnly="0" outline="0" fieldPosition="0"/>
    </format>
    <format dxfId="3334">
      <pivotArea outline="0" collapsedLevelsAreSubtotals="1" fieldPosition="0"/>
    </format>
    <format dxfId="3333">
      <pivotArea dataOnly="0" labelOnly="1" outline="0" axis="axisValues" fieldPosition="0"/>
    </format>
    <format dxfId="3332">
      <pivotArea type="all" dataOnly="0" outline="0" fieldPosition="0"/>
    </format>
    <format dxfId="3331">
      <pivotArea outline="0" collapsedLevelsAreSubtotals="1" fieldPosition="0"/>
    </format>
    <format dxfId="3330">
      <pivotArea type="all" dataOnly="0" outline="0" fieldPosition="0"/>
    </format>
    <format dxfId="3329">
      <pivotArea outline="0" collapsedLevelsAreSubtotals="1" fieldPosition="0"/>
    </format>
    <format dxfId="3328">
      <pivotArea outline="0" collapsedLevelsAreSubtotals="1" fieldPosition="0"/>
    </format>
    <format dxfId="3327">
      <pivotArea type="all" dataOnly="0" outline="0" fieldPosition="0"/>
    </format>
    <format dxfId="3326">
      <pivotArea outline="0" collapsedLevelsAreSubtotals="1" fieldPosition="0"/>
    </format>
    <format dxfId="3325">
      <pivotArea dataOnly="0" labelOnly="1" outline="0" axis="axisValues" fieldPosition="0"/>
    </format>
    <format dxfId="332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9C04096E-A50B-423F-B895-EAA017757856}" name="PivotTable7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64:E165"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x="0"/>
        <item h="1"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3403">
      <pivotArea type="all" dataOnly="0" outline="0" fieldPosition="0"/>
    </format>
    <format dxfId="3402">
      <pivotArea type="all" dataOnly="0" outline="0" fieldPosition="0"/>
    </format>
    <format dxfId="3401">
      <pivotArea type="all" dataOnly="0" outline="0" fieldPosition="0"/>
    </format>
    <format dxfId="3400">
      <pivotArea type="all" dataOnly="0" outline="0" fieldPosition="0"/>
    </format>
    <format dxfId="3399">
      <pivotArea type="all" dataOnly="0" outline="0" fieldPosition="0"/>
    </format>
    <format dxfId="3398">
      <pivotArea type="all" dataOnly="0" outline="0" fieldPosition="0"/>
    </format>
    <format dxfId="3397">
      <pivotArea type="all" dataOnly="0" outline="0" fieldPosition="0"/>
    </format>
    <format dxfId="3396">
      <pivotArea type="all" dataOnly="0" outline="0" fieldPosition="0"/>
    </format>
    <format dxfId="3395">
      <pivotArea type="all" dataOnly="0" outline="0" fieldPosition="0"/>
    </format>
    <format dxfId="3394">
      <pivotArea type="all" dataOnly="0" outline="0" fieldPosition="0"/>
    </format>
    <format dxfId="3393">
      <pivotArea type="all" dataOnly="0" outline="0" fieldPosition="0"/>
    </format>
    <format dxfId="3392">
      <pivotArea outline="0" collapsedLevelsAreSubtotals="1" fieldPosition="0"/>
    </format>
    <format dxfId="3391">
      <pivotArea dataOnly="0" labelOnly="1" outline="0" axis="axisValues" fieldPosition="0"/>
    </format>
    <format dxfId="3390">
      <pivotArea type="all" dataOnly="0" outline="0" fieldPosition="0"/>
    </format>
    <format dxfId="3389">
      <pivotArea outline="0" collapsedLevelsAreSubtotals="1" fieldPosition="0"/>
    </format>
    <format dxfId="3388">
      <pivotArea dataOnly="0" labelOnly="1" outline="0" axis="axisValues" fieldPosition="0"/>
    </format>
    <format dxfId="3387">
      <pivotArea type="all" dataOnly="0" outline="0" fieldPosition="0"/>
    </format>
    <format dxfId="3386">
      <pivotArea outline="0" collapsedLevelsAreSubtotals="1" fieldPosition="0"/>
    </format>
    <format dxfId="3385">
      <pivotArea dataOnly="0" labelOnly="1" outline="0" axis="axisValues" fieldPosition="0"/>
    </format>
    <format dxfId="3384">
      <pivotArea type="all" dataOnly="0" outline="0" fieldPosition="0"/>
    </format>
    <format dxfId="3383">
      <pivotArea outline="0" collapsedLevelsAreSubtotals="1" fieldPosition="0"/>
    </format>
    <format dxfId="3382">
      <pivotArea dataOnly="0" labelOnly="1" outline="0" axis="axisValues" fieldPosition="0"/>
    </format>
    <format dxfId="3381">
      <pivotArea type="all" dataOnly="0" outline="0" fieldPosition="0"/>
    </format>
    <format dxfId="3380">
      <pivotArea outline="0" collapsedLevelsAreSubtotals="1" fieldPosition="0"/>
    </format>
    <format dxfId="3379">
      <pivotArea dataOnly="0" labelOnly="1" outline="0" axis="axisValues" fieldPosition="0"/>
    </format>
    <format dxfId="3378">
      <pivotArea type="all" dataOnly="0" outline="0" fieldPosition="0"/>
    </format>
    <format dxfId="3377">
      <pivotArea outline="0" collapsedLevelsAreSubtotals="1" fieldPosition="0"/>
    </format>
    <format dxfId="3376">
      <pivotArea dataOnly="0" labelOnly="1" outline="0" axis="axisValues" fieldPosition="0"/>
    </format>
    <format dxfId="3375">
      <pivotArea type="all" dataOnly="0" outline="0" fieldPosition="0"/>
    </format>
    <format dxfId="3374">
      <pivotArea outline="0" collapsedLevelsAreSubtotals="1" fieldPosition="0"/>
    </format>
    <format dxfId="3373">
      <pivotArea dataOnly="0" labelOnly="1" outline="0" axis="axisValues" fieldPosition="0"/>
    </format>
    <format dxfId="3372">
      <pivotArea type="all" dataOnly="0" outline="0" fieldPosition="0"/>
    </format>
    <format dxfId="3371">
      <pivotArea outline="0" collapsedLevelsAreSubtotals="1" fieldPosition="0"/>
    </format>
    <format dxfId="3370">
      <pivotArea type="all" dataOnly="0" outline="0" fieldPosition="0"/>
    </format>
    <format dxfId="3369">
      <pivotArea outline="0" collapsedLevelsAreSubtotals="1" fieldPosition="0"/>
    </format>
    <format dxfId="3368">
      <pivotArea outline="0" collapsedLevelsAreSubtotals="1" fieldPosition="0"/>
    </format>
    <format dxfId="3367">
      <pivotArea type="all" dataOnly="0" outline="0" fieldPosition="0"/>
    </format>
    <format dxfId="3366">
      <pivotArea outline="0" collapsedLevelsAreSubtotals="1" fieldPosition="0"/>
    </format>
    <format dxfId="3365">
      <pivotArea dataOnly="0" labelOnly="1" outline="0" axis="axisValues" fieldPosition="0"/>
    </format>
    <format dxfId="33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F8382E8A-BDD8-48DF-9EBA-B4C79D0B059E}" name="PivotTable6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01:B202"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axis="axisPage" multipleItemSelectionAllowed="1" showAll="0" defaultSubtotal="0">
      <items count="10">
        <item h="1" x="0"/>
        <item x="2"/>
        <item h="1"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3443">
      <pivotArea type="all" dataOnly="0" outline="0" fieldPosition="0"/>
    </format>
    <format dxfId="3442">
      <pivotArea type="all" dataOnly="0" outline="0" fieldPosition="0"/>
    </format>
    <format dxfId="3441">
      <pivotArea type="all" dataOnly="0" outline="0" fieldPosition="0"/>
    </format>
    <format dxfId="3440">
      <pivotArea type="all" dataOnly="0" outline="0" fieldPosition="0"/>
    </format>
    <format dxfId="3439">
      <pivotArea type="all" dataOnly="0" outline="0" fieldPosition="0"/>
    </format>
    <format dxfId="3438">
      <pivotArea type="all" dataOnly="0" outline="0" fieldPosition="0"/>
    </format>
    <format dxfId="3437">
      <pivotArea type="all" dataOnly="0" outline="0" fieldPosition="0"/>
    </format>
    <format dxfId="3436">
      <pivotArea type="all" dataOnly="0" outline="0" fieldPosition="0"/>
    </format>
    <format dxfId="3435">
      <pivotArea type="all" dataOnly="0" outline="0" fieldPosition="0"/>
    </format>
    <format dxfId="3434">
      <pivotArea type="all" dataOnly="0" outline="0" fieldPosition="0"/>
    </format>
    <format dxfId="3433">
      <pivotArea type="all" dataOnly="0" outline="0" fieldPosition="0"/>
    </format>
    <format dxfId="3432">
      <pivotArea outline="0" collapsedLevelsAreSubtotals="1" fieldPosition="0"/>
    </format>
    <format dxfId="3431">
      <pivotArea dataOnly="0" labelOnly="1" outline="0" axis="axisValues" fieldPosition="0"/>
    </format>
    <format dxfId="3430">
      <pivotArea type="all" dataOnly="0" outline="0" fieldPosition="0"/>
    </format>
    <format dxfId="3429">
      <pivotArea outline="0" collapsedLevelsAreSubtotals="1" fieldPosition="0"/>
    </format>
    <format dxfId="3428">
      <pivotArea dataOnly="0" labelOnly="1" outline="0" axis="axisValues" fieldPosition="0"/>
    </format>
    <format dxfId="3427">
      <pivotArea type="all" dataOnly="0" outline="0" fieldPosition="0"/>
    </format>
    <format dxfId="3426">
      <pivotArea outline="0" collapsedLevelsAreSubtotals="1" fieldPosition="0"/>
    </format>
    <format dxfId="3425">
      <pivotArea dataOnly="0" labelOnly="1" outline="0" axis="axisValues" fieldPosition="0"/>
    </format>
    <format dxfId="3424">
      <pivotArea type="all" dataOnly="0" outline="0" fieldPosition="0"/>
    </format>
    <format dxfId="3423">
      <pivotArea outline="0" collapsedLevelsAreSubtotals="1" fieldPosition="0"/>
    </format>
    <format dxfId="3422">
      <pivotArea dataOnly="0" labelOnly="1" outline="0" axis="axisValues" fieldPosition="0"/>
    </format>
    <format dxfId="3421">
      <pivotArea type="all" dataOnly="0" outline="0" fieldPosition="0"/>
    </format>
    <format dxfId="3420">
      <pivotArea outline="0" collapsedLevelsAreSubtotals="1" fieldPosition="0"/>
    </format>
    <format dxfId="3419">
      <pivotArea dataOnly="0" labelOnly="1" outline="0" axis="axisValues" fieldPosition="0"/>
    </format>
    <format dxfId="3418">
      <pivotArea type="all" dataOnly="0" outline="0" fieldPosition="0"/>
    </format>
    <format dxfId="3417">
      <pivotArea outline="0" collapsedLevelsAreSubtotals="1" fieldPosition="0"/>
    </format>
    <format dxfId="3416">
      <pivotArea dataOnly="0" labelOnly="1" outline="0" axis="axisValues" fieldPosition="0"/>
    </format>
    <format dxfId="3415">
      <pivotArea type="all" dataOnly="0" outline="0" fieldPosition="0"/>
    </format>
    <format dxfId="3414">
      <pivotArea outline="0" collapsedLevelsAreSubtotals="1" fieldPosition="0"/>
    </format>
    <format dxfId="3413">
      <pivotArea dataOnly="0" labelOnly="1" outline="0" axis="axisValues" fieldPosition="0"/>
    </format>
    <format dxfId="3412">
      <pivotArea type="all" dataOnly="0" outline="0" fieldPosition="0"/>
    </format>
    <format dxfId="3411">
      <pivotArea outline="0" collapsedLevelsAreSubtotals="1" fieldPosition="0"/>
    </format>
    <format dxfId="3410">
      <pivotArea type="all" dataOnly="0" outline="0" fieldPosition="0"/>
    </format>
    <format dxfId="3409">
      <pivotArea outline="0" collapsedLevelsAreSubtotals="1" fieldPosition="0"/>
    </format>
    <format dxfId="3408">
      <pivotArea outline="0" collapsedLevelsAreSubtotals="1" fieldPosition="0"/>
    </format>
    <format dxfId="3407">
      <pivotArea type="all" dataOnly="0" outline="0" fieldPosition="0"/>
    </format>
    <format dxfId="3406">
      <pivotArea outline="0" collapsedLevelsAreSubtotals="1" fieldPosition="0"/>
    </format>
    <format dxfId="3405">
      <pivotArea dataOnly="0" labelOnly="1" outline="0" axis="axisValues" fieldPosition="0"/>
    </format>
    <format dxfId="340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2616AFEA-8DA8-499D-BF24-0F26CAD245F1}" name="PivotTable4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99:E100"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Net Dwellings" fld="40" baseField="0" baseItem="0"/>
  </dataFields>
  <formats count="40">
    <format dxfId="3483">
      <pivotArea type="all" dataOnly="0" outline="0" fieldPosition="0"/>
    </format>
    <format dxfId="3482">
      <pivotArea type="all" dataOnly="0" outline="0" fieldPosition="0"/>
    </format>
    <format dxfId="3481">
      <pivotArea type="all" dataOnly="0" outline="0" fieldPosition="0"/>
    </format>
    <format dxfId="3480">
      <pivotArea type="all" dataOnly="0" outline="0" fieldPosition="0"/>
    </format>
    <format dxfId="3479">
      <pivotArea type="all" dataOnly="0" outline="0" fieldPosition="0"/>
    </format>
    <format dxfId="3478">
      <pivotArea type="all" dataOnly="0" outline="0" fieldPosition="0"/>
    </format>
    <format dxfId="3477">
      <pivotArea type="all" dataOnly="0" outline="0" fieldPosition="0"/>
    </format>
    <format dxfId="3476">
      <pivotArea type="all" dataOnly="0" outline="0" fieldPosition="0"/>
    </format>
    <format dxfId="3475">
      <pivotArea type="all" dataOnly="0" outline="0" fieldPosition="0"/>
    </format>
    <format dxfId="3474">
      <pivotArea type="all" dataOnly="0" outline="0" fieldPosition="0"/>
    </format>
    <format dxfId="3473">
      <pivotArea type="all" dataOnly="0" outline="0" fieldPosition="0"/>
    </format>
    <format dxfId="3472">
      <pivotArea outline="0" collapsedLevelsAreSubtotals="1" fieldPosition="0"/>
    </format>
    <format dxfId="3471">
      <pivotArea dataOnly="0" labelOnly="1" outline="0" axis="axisValues" fieldPosition="0"/>
    </format>
    <format dxfId="3470">
      <pivotArea type="all" dataOnly="0" outline="0" fieldPosition="0"/>
    </format>
    <format dxfId="3469">
      <pivotArea outline="0" collapsedLevelsAreSubtotals="1" fieldPosition="0"/>
    </format>
    <format dxfId="3468">
      <pivotArea dataOnly="0" labelOnly="1" outline="0" axis="axisValues" fieldPosition="0"/>
    </format>
    <format dxfId="3467">
      <pivotArea type="all" dataOnly="0" outline="0" fieldPosition="0"/>
    </format>
    <format dxfId="3466">
      <pivotArea outline="0" collapsedLevelsAreSubtotals="1" fieldPosition="0"/>
    </format>
    <format dxfId="3465">
      <pivotArea dataOnly="0" labelOnly="1" outline="0" axis="axisValues" fieldPosition="0"/>
    </format>
    <format dxfId="3464">
      <pivotArea type="all" dataOnly="0" outline="0" fieldPosition="0"/>
    </format>
    <format dxfId="3463">
      <pivotArea outline="0" collapsedLevelsAreSubtotals="1" fieldPosition="0"/>
    </format>
    <format dxfId="3462">
      <pivotArea dataOnly="0" labelOnly="1" outline="0" axis="axisValues" fieldPosition="0"/>
    </format>
    <format dxfId="3461">
      <pivotArea type="all" dataOnly="0" outline="0" fieldPosition="0"/>
    </format>
    <format dxfId="3460">
      <pivotArea outline="0" collapsedLevelsAreSubtotals="1" fieldPosition="0"/>
    </format>
    <format dxfId="3459">
      <pivotArea dataOnly="0" labelOnly="1" outline="0" axis="axisValues" fieldPosition="0"/>
    </format>
    <format dxfId="3458">
      <pivotArea type="all" dataOnly="0" outline="0" fieldPosition="0"/>
    </format>
    <format dxfId="3457">
      <pivotArea outline="0" collapsedLevelsAreSubtotals="1" fieldPosition="0"/>
    </format>
    <format dxfId="3456">
      <pivotArea dataOnly="0" labelOnly="1" outline="0" axis="axisValues" fieldPosition="0"/>
    </format>
    <format dxfId="3455">
      <pivotArea type="all" dataOnly="0" outline="0" fieldPosition="0"/>
    </format>
    <format dxfId="3454">
      <pivotArea outline="0" collapsedLevelsAreSubtotals="1" fieldPosition="0"/>
    </format>
    <format dxfId="3453">
      <pivotArea dataOnly="0" labelOnly="1" outline="0" axis="axisValues" fieldPosition="0"/>
    </format>
    <format dxfId="3452">
      <pivotArea type="all" dataOnly="0" outline="0" fieldPosition="0"/>
    </format>
    <format dxfId="3451">
      <pivotArea outline="0" collapsedLevelsAreSubtotals="1" fieldPosition="0"/>
    </format>
    <format dxfId="3450">
      <pivotArea type="all" dataOnly="0" outline="0" fieldPosition="0"/>
    </format>
    <format dxfId="3449">
      <pivotArea outline="0" collapsedLevelsAreSubtotals="1" fieldPosition="0"/>
    </format>
    <format dxfId="3448">
      <pivotArea outline="0" collapsedLevelsAreSubtotals="1" fieldPosition="0"/>
    </format>
    <format dxfId="3447">
      <pivotArea type="all" dataOnly="0" outline="0" fieldPosition="0"/>
    </format>
    <format dxfId="3446">
      <pivotArea outline="0" collapsedLevelsAreSubtotals="1" fieldPosition="0"/>
    </format>
    <format dxfId="3445">
      <pivotArea dataOnly="0" labelOnly="1" outline="0" axis="axisValues" fieldPosition="0"/>
    </format>
    <format dxfId="34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B74CBC8A-777B-47FE-835C-94CA607372E4}" name="PivotTable36" cacheId="1"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61:I264" firstHeaderRow="1" firstDataRow="1" firstDataCol="1" rowPageCount="1" colPageCount="1"/>
  <pivotFields count="77">
    <pivotField showAll="0" defaultSubtotal="0"/>
    <pivotField showAl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6"/>
        <item h="1" x="3"/>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s>
  <rowFields count="1">
    <field x="76"/>
  </rowFields>
  <rowItems count="3">
    <i>
      <x/>
    </i>
    <i>
      <x v="1"/>
    </i>
    <i t="grand">
      <x/>
    </i>
  </rowItems>
  <colItems count="1">
    <i/>
  </colItems>
  <pageFields count="1">
    <pageField fld="8" hier="-1"/>
  </pageFields>
  <dataFields count="1">
    <dataField name="Sum of Net Dwellings" fld="40" baseField="0" baseItem="0"/>
  </dataFields>
  <formats count="37">
    <format dxfId="3520">
      <pivotArea type="all" dataOnly="0" outline="0" fieldPosition="0"/>
    </format>
    <format dxfId="3519">
      <pivotArea type="all" dataOnly="0" outline="0" fieldPosition="0"/>
    </format>
    <format dxfId="3518">
      <pivotArea type="all" dataOnly="0" outline="0" fieldPosition="0"/>
    </format>
    <format dxfId="3517">
      <pivotArea type="all" dataOnly="0" outline="0" fieldPosition="0"/>
    </format>
    <format dxfId="3516">
      <pivotArea type="all" dataOnly="0" outline="0" fieldPosition="0"/>
    </format>
    <format dxfId="3515">
      <pivotArea type="all" dataOnly="0" outline="0" fieldPosition="0"/>
    </format>
    <format dxfId="3514">
      <pivotArea type="all" dataOnly="0" outline="0" fieldPosition="0"/>
    </format>
    <format dxfId="3513">
      <pivotArea type="all" dataOnly="0" outline="0" fieldPosition="0"/>
    </format>
    <format dxfId="3512">
      <pivotArea type="all" dataOnly="0" outline="0" fieldPosition="0"/>
    </format>
    <format dxfId="3511">
      <pivotArea type="all" dataOnly="0" outline="0" fieldPosition="0"/>
    </format>
    <format dxfId="3510">
      <pivotArea type="all" dataOnly="0" outline="0" fieldPosition="0"/>
    </format>
    <format dxfId="3509">
      <pivotArea outline="0" collapsedLevelsAreSubtotals="1" fieldPosition="0"/>
    </format>
    <format dxfId="3508">
      <pivotArea dataOnly="0" labelOnly="1" grandRow="1" outline="0" fieldPosition="0"/>
    </format>
    <format dxfId="3507">
      <pivotArea dataOnly="0" labelOnly="1" outline="0" axis="axisValues" fieldPosition="0"/>
    </format>
    <format dxfId="3506">
      <pivotArea type="all" dataOnly="0" outline="0" fieldPosition="0"/>
    </format>
    <format dxfId="3505">
      <pivotArea outline="0" collapsedLevelsAreSubtotals="1" fieldPosition="0"/>
    </format>
    <format dxfId="3504">
      <pivotArea dataOnly="0" labelOnly="1" grandRow="1" outline="0" fieldPosition="0"/>
    </format>
    <format dxfId="3503">
      <pivotArea dataOnly="0" labelOnly="1" outline="0" axis="axisValues" fieldPosition="0"/>
    </format>
    <format dxfId="3502">
      <pivotArea type="all" dataOnly="0" outline="0" fieldPosition="0"/>
    </format>
    <format dxfId="3501">
      <pivotArea outline="0" collapsedLevelsAreSubtotals="1" fieldPosition="0"/>
    </format>
    <format dxfId="3500">
      <pivotArea dataOnly="0" labelOnly="1" grandRow="1" outline="0" fieldPosition="0"/>
    </format>
    <format dxfId="3499">
      <pivotArea dataOnly="0" labelOnly="1" outline="0" axis="axisValues" fieldPosition="0"/>
    </format>
    <format dxfId="3498">
      <pivotArea type="all" dataOnly="0" outline="0" fieldPosition="0"/>
    </format>
    <format dxfId="3497">
      <pivotArea type="all" dataOnly="0" outline="0" fieldPosition="0"/>
    </format>
    <format dxfId="3496">
      <pivotArea outline="0" collapsedLevelsAreSubtotals="1" fieldPosition="0"/>
    </format>
    <format dxfId="3495">
      <pivotArea dataOnly="0" labelOnly="1" grandRow="1" outline="0" fieldPosition="0"/>
    </format>
    <format dxfId="3494">
      <pivotArea dataOnly="0" labelOnly="1" outline="0" axis="axisValues" fieldPosition="0"/>
    </format>
    <format dxfId="3493">
      <pivotArea type="all" dataOnly="0" outline="0" fieldPosition="0"/>
    </format>
    <format dxfId="3492">
      <pivotArea outline="0" collapsedLevelsAreSubtotals="1" fieldPosition="0"/>
    </format>
    <format dxfId="3491">
      <pivotArea field="76" type="button" dataOnly="0" labelOnly="1" outline="0" axis="axisRow" fieldPosition="0"/>
    </format>
    <format dxfId="3490">
      <pivotArea dataOnly="0" labelOnly="1" fieldPosition="0">
        <references count="1">
          <reference field="76" count="0"/>
        </references>
      </pivotArea>
    </format>
    <format dxfId="3489">
      <pivotArea dataOnly="0" labelOnly="1" grandRow="1" outline="0" fieldPosition="0"/>
    </format>
    <format dxfId="3488">
      <pivotArea dataOnly="0" labelOnly="1" outline="0" axis="axisValues" fieldPosition="0"/>
    </format>
    <format dxfId="3487">
      <pivotArea type="all" dataOnly="0" outline="0" fieldPosition="0"/>
    </format>
    <format dxfId="3486">
      <pivotArea outline="0" collapsedLevelsAreSubtotals="1" fieldPosition="0"/>
    </format>
    <format dxfId="3485">
      <pivotArea dataOnly="0" labelOnly="1" grandRow="1" outline="0" fieldPosition="0"/>
    </format>
    <format dxfId="34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EFE8CAE8-4272-4D9B-AC9F-814B42CE85D4}" name="PivotTable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35:J238" firstHeaderRow="0" firstDataRow="1" firstDataCol="1" rowPageCount="1" colPageCount="1"/>
  <pivotFields count="77">
    <pivotField showAll="0" defaultSubtotal="0"/>
    <pivotField showAll="0"/>
    <pivotField multipleItemSelectionAllowed="1" showAll="0" defaultSubtotal="0"/>
    <pivotField axis="axisRow" showAll="0" defaultSubtotal="0">
      <items count="2">
        <item x="1"/>
        <item x="0"/>
      </items>
    </pivotField>
    <pivotField showAll="0"/>
    <pivotField showAll="0"/>
    <pivotField showAll="0" defaultSubtotal="0"/>
    <pivotField showAll="0" defaultSubtotal="0"/>
    <pivotField axis="axisPage" multipleItemSelectionAllowed="1" showAll="0" defaultSubtotal="0">
      <items count="7">
        <item x="0"/>
        <item h="1" x="1"/>
        <item h="1" x="2"/>
        <item h="1" x="3"/>
        <item h="1" x="6"/>
        <item h="1" x="4"/>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Fields count="1">
    <field x="-2"/>
  </colFields>
  <colItems count="8">
    <i>
      <x/>
    </i>
    <i i="1">
      <x v="1"/>
    </i>
    <i i="2">
      <x v="2"/>
    </i>
    <i i="3">
      <x v="3"/>
    </i>
    <i i="4">
      <x v="4"/>
    </i>
    <i i="5">
      <x v="5"/>
    </i>
    <i i="6">
      <x v="6"/>
    </i>
    <i i="7">
      <x v="7"/>
    </i>
  </colItems>
  <pageFields count="1">
    <pageField fld="8" hier="-1"/>
  </pageFields>
  <dataFields count="8">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 name="Sum of 8 bed net" fld="39" baseField="0" baseItem="0"/>
  </dataFields>
  <formats count="44">
    <format dxfId="3564">
      <pivotArea type="all" dataOnly="0" outline="0" fieldPosition="0"/>
    </format>
    <format dxfId="3563">
      <pivotArea type="all" dataOnly="0" outline="0" fieldPosition="0"/>
    </format>
    <format dxfId="3562">
      <pivotArea type="all" dataOnly="0" outline="0" fieldPosition="0"/>
    </format>
    <format dxfId="3561">
      <pivotArea type="all" dataOnly="0" outline="0" fieldPosition="0"/>
    </format>
    <format dxfId="3560">
      <pivotArea type="all" dataOnly="0" outline="0" fieldPosition="0"/>
    </format>
    <format dxfId="3559">
      <pivotArea type="all" dataOnly="0" outline="0" fieldPosition="0"/>
    </format>
    <format dxfId="3558">
      <pivotArea type="all" dataOnly="0" outline="0" fieldPosition="0"/>
    </format>
    <format dxfId="3557">
      <pivotArea type="all" dataOnly="0" outline="0" fieldPosition="0"/>
    </format>
    <format dxfId="3556">
      <pivotArea type="all" dataOnly="0" outline="0" fieldPosition="0"/>
    </format>
    <format dxfId="3555">
      <pivotArea type="all" dataOnly="0" outline="0" fieldPosition="0"/>
    </format>
    <format dxfId="3554">
      <pivotArea type="all" dataOnly="0" outline="0" fieldPosition="0"/>
    </format>
    <format dxfId="3553">
      <pivotArea outline="0" collapsedLevelsAreSubtotals="1" fieldPosition="0"/>
    </format>
    <format dxfId="3552">
      <pivotArea field="3" type="button" dataOnly="0" labelOnly="1" outline="0" axis="axisRow" fieldPosition="0"/>
    </format>
    <format dxfId="3551">
      <pivotArea dataOnly="0" labelOnly="1" grandRow="1" outline="0" fieldPosition="0"/>
    </format>
    <format dxfId="3550">
      <pivotArea type="all" dataOnly="0" outline="0" fieldPosition="0"/>
    </format>
    <format dxfId="3549">
      <pivotArea outline="0" collapsedLevelsAreSubtotals="1" fieldPosition="0"/>
    </format>
    <format dxfId="3548">
      <pivotArea field="3" type="button" dataOnly="0" labelOnly="1" outline="0" axis="axisRow" fieldPosition="0"/>
    </format>
    <format dxfId="3547">
      <pivotArea dataOnly="0" labelOnly="1" fieldPosition="0">
        <references count="1">
          <reference field="3" count="0"/>
        </references>
      </pivotArea>
    </format>
    <format dxfId="3546">
      <pivotArea dataOnly="0" labelOnly="1" grandRow="1" outline="0" fieldPosition="0"/>
    </format>
    <format dxfId="3545">
      <pivotArea type="all" dataOnly="0" outline="0" fieldPosition="0"/>
    </format>
    <format dxfId="3544">
      <pivotArea outline="0" collapsedLevelsAreSubtotals="1" fieldPosition="0"/>
    </format>
    <format dxfId="3543">
      <pivotArea field="3" type="button" dataOnly="0" labelOnly="1" outline="0" axis="axisRow" fieldPosition="0"/>
    </format>
    <format dxfId="3542">
      <pivotArea dataOnly="0" labelOnly="1" fieldPosition="0">
        <references count="1">
          <reference field="3" count="0"/>
        </references>
      </pivotArea>
    </format>
    <format dxfId="3541">
      <pivotArea dataOnly="0" labelOnly="1" grandRow="1" outline="0" fieldPosition="0"/>
    </format>
    <format dxfId="3540">
      <pivotArea type="all" dataOnly="0" outline="0" fieldPosition="0"/>
    </format>
    <format dxfId="3539">
      <pivotArea outline="0" collapsedLevelsAreSubtotals="1" fieldPosition="0"/>
    </format>
    <format dxfId="3538">
      <pivotArea field="3" type="button" dataOnly="0" labelOnly="1" outline="0" axis="axisRow" fieldPosition="0"/>
    </format>
    <format dxfId="3537">
      <pivotArea dataOnly="0" labelOnly="1" fieldPosition="0">
        <references count="1">
          <reference field="3" count="0"/>
        </references>
      </pivotArea>
    </format>
    <format dxfId="3536">
      <pivotArea dataOnly="0" labelOnly="1" grandRow="1" outline="0" fieldPosition="0"/>
    </format>
    <format dxfId="3535">
      <pivotArea dataOnly="0" labelOnly="1" outline="0" fieldPosition="0">
        <references count="1">
          <reference field="4294967294" count="8">
            <x v="0"/>
            <x v="1"/>
            <x v="2"/>
            <x v="3"/>
            <x v="4"/>
            <x v="5"/>
            <x v="6"/>
            <x v="7"/>
          </reference>
        </references>
      </pivotArea>
    </format>
    <format dxfId="3534">
      <pivotArea type="all" dataOnly="0" outline="0" fieldPosition="0"/>
    </format>
    <format dxfId="3533">
      <pivotArea type="all" dataOnly="0" outline="0" fieldPosition="0"/>
    </format>
    <format dxfId="3532">
      <pivotArea collapsedLevelsAreSubtotals="1" fieldPosition="0">
        <references count="1">
          <reference field="3" count="0"/>
        </references>
      </pivotArea>
    </format>
    <format dxfId="3531">
      <pivotArea type="all" dataOnly="0" outline="0" fieldPosition="0"/>
    </format>
    <format dxfId="3530">
      <pivotArea outline="0" collapsedLevelsAreSubtotals="1" fieldPosition="0"/>
    </format>
    <format dxfId="3529">
      <pivotArea field="3" type="button" dataOnly="0" labelOnly="1" outline="0" axis="axisRow" fieldPosition="0"/>
    </format>
    <format dxfId="3528">
      <pivotArea dataOnly="0" labelOnly="1" fieldPosition="0">
        <references count="1">
          <reference field="3" count="0"/>
        </references>
      </pivotArea>
    </format>
    <format dxfId="3527">
      <pivotArea dataOnly="0" labelOnly="1" grandRow="1" outline="0" fieldPosition="0"/>
    </format>
    <format dxfId="3526">
      <pivotArea dataOnly="0" labelOnly="1" outline="0" fieldPosition="0">
        <references count="1">
          <reference field="4294967294" count="8">
            <x v="0"/>
            <x v="1"/>
            <x v="2"/>
            <x v="3"/>
            <x v="4"/>
            <x v="5"/>
            <x v="6"/>
            <x v="7"/>
          </reference>
        </references>
      </pivotArea>
    </format>
    <format dxfId="3525">
      <pivotArea type="all" dataOnly="0" outline="0" fieldPosition="0"/>
    </format>
    <format dxfId="3524">
      <pivotArea outline="0" collapsedLevelsAreSubtotals="1" fieldPosition="0"/>
    </format>
    <format dxfId="3523">
      <pivotArea field="3" type="button" dataOnly="0" labelOnly="1" outline="0" axis="axisRow" fieldPosition="0"/>
    </format>
    <format dxfId="3522">
      <pivotArea dataOnly="0" labelOnly="1" fieldPosition="0">
        <references count="1">
          <reference field="3" count="0"/>
        </references>
      </pivotArea>
    </format>
    <format dxfId="352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FA075474-2981-4967-909C-405F5F7942B7}" name="PivotTable5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01:H202"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h="1" x="0"/>
        <item x="2"/>
        <item h="1" x="5"/>
        <item h="1" x="4"/>
        <item h="1" x="3"/>
        <item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3604">
      <pivotArea type="all" dataOnly="0" outline="0" fieldPosition="0"/>
    </format>
    <format dxfId="3603">
      <pivotArea type="all" dataOnly="0" outline="0" fieldPosition="0"/>
    </format>
    <format dxfId="3602">
      <pivotArea type="all" dataOnly="0" outline="0" fieldPosition="0"/>
    </format>
    <format dxfId="3601">
      <pivotArea type="all" dataOnly="0" outline="0" fieldPosition="0"/>
    </format>
    <format dxfId="3600">
      <pivotArea type="all" dataOnly="0" outline="0" fieldPosition="0"/>
    </format>
    <format dxfId="3599">
      <pivotArea type="all" dataOnly="0" outline="0" fieldPosition="0"/>
    </format>
    <format dxfId="3598">
      <pivotArea type="all" dataOnly="0" outline="0" fieldPosition="0"/>
    </format>
    <format dxfId="3597">
      <pivotArea type="all" dataOnly="0" outline="0" fieldPosition="0"/>
    </format>
    <format dxfId="3596">
      <pivotArea type="all" dataOnly="0" outline="0" fieldPosition="0"/>
    </format>
    <format dxfId="3595">
      <pivotArea type="all" dataOnly="0" outline="0" fieldPosition="0"/>
    </format>
    <format dxfId="3594">
      <pivotArea type="all" dataOnly="0" outline="0" fieldPosition="0"/>
    </format>
    <format dxfId="3593">
      <pivotArea outline="0" collapsedLevelsAreSubtotals="1" fieldPosition="0"/>
    </format>
    <format dxfId="3592">
      <pivotArea dataOnly="0" labelOnly="1" outline="0" axis="axisValues" fieldPosition="0"/>
    </format>
    <format dxfId="3591">
      <pivotArea type="all" dataOnly="0" outline="0" fieldPosition="0"/>
    </format>
    <format dxfId="3590">
      <pivotArea outline="0" collapsedLevelsAreSubtotals="1" fieldPosition="0"/>
    </format>
    <format dxfId="3589">
      <pivotArea dataOnly="0" labelOnly="1" outline="0" axis="axisValues" fieldPosition="0"/>
    </format>
    <format dxfId="3588">
      <pivotArea type="all" dataOnly="0" outline="0" fieldPosition="0"/>
    </format>
    <format dxfId="3587">
      <pivotArea outline="0" collapsedLevelsAreSubtotals="1" fieldPosition="0"/>
    </format>
    <format dxfId="3586">
      <pivotArea dataOnly="0" labelOnly="1" outline="0" axis="axisValues" fieldPosition="0"/>
    </format>
    <format dxfId="3585">
      <pivotArea type="all" dataOnly="0" outline="0" fieldPosition="0"/>
    </format>
    <format dxfId="3584">
      <pivotArea outline="0" collapsedLevelsAreSubtotals="1" fieldPosition="0"/>
    </format>
    <format dxfId="3583">
      <pivotArea dataOnly="0" labelOnly="1" outline="0" axis="axisValues" fieldPosition="0"/>
    </format>
    <format dxfId="3582">
      <pivotArea type="all" dataOnly="0" outline="0" fieldPosition="0"/>
    </format>
    <format dxfId="3581">
      <pivotArea outline="0" collapsedLevelsAreSubtotals="1" fieldPosition="0"/>
    </format>
    <format dxfId="3580">
      <pivotArea dataOnly="0" labelOnly="1" outline="0" axis="axisValues" fieldPosition="0"/>
    </format>
    <format dxfId="3579">
      <pivotArea type="all" dataOnly="0" outline="0" fieldPosition="0"/>
    </format>
    <format dxfId="3578">
      <pivotArea outline="0" collapsedLevelsAreSubtotals="1" fieldPosition="0"/>
    </format>
    <format dxfId="3577">
      <pivotArea dataOnly="0" labelOnly="1" outline="0" axis="axisValues" fieldPosition="0"/>
    </format>
    <format dxfId="3576">
      <pivotArea type="all" dataOnly="0" outline="0" fieldPosition="0"/>
    </format>
    <format dxfId="3575">
      <pivotArea outline="0" collapsedLevelsAreSubtotals="1" fieldPosition="0"/>
    </format>
    <format dxfId="3574">
      <pivotArea dataOnly="0" labelOnly="1" outline="0" axis="axisValues" fieldPosition="0"/>
    </format>
    <format dxfId="3573">
      <pivotArea type="all" dataOnly="0" outline="0" fieldPosition="0"/>
    </format>
    <format dxfId="3572">
      <pivotArea outline="0" collapsedLevelsAreSubtotals="1" fieldPosition="0"/>
    </format>
    <format dxfId="3571">
      <pivotArea type="all" dataOnly="0" outline="0" fieldPosition="0"/>
    </format>
    <format dxfId="3570">
      <pivotArea outline="0" collapsedLevelsAreSubtotals="1" fieldPosition="0"/>
    </format>
    <format dxfId="3569">
      <pivotArea outline="0" collapsedLevelsAreSubtotals="1" fieldPosition="0"/>
    </format>
    <format dxfId="3568">
      <pivotArea type="all" dataOnly="0" outline="0" fieldPosition="0"/>
    </format>
    <format dxfId="3567">
      <pivotArea outline="0" collapsedLevelsAreSubtotals="1" fieldPosition="0"/>
    </format>
    <format dxfId="3566">
      <pivotArea dataOnly="0" labelOnly="1" outline="0" axis="axisValues" fieldPosition="0"/>
    </format>
    <format dxfId="35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ADD982ED-874C-4DEB-85E7-6D796E53CDE1}" name="PivotTable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2:B33" firstHeaderRow="1" firstDataRow="1" firstDataCol="0" rowPageCount="2" colPageCount="1"/>
  <pivotFields count="77">
    <pivotField showAll="0"/>
    <pivotField showAll="0"/>
    <pivotField axis="axisPage" multipleItemSelectionAllowed="1" showAll="0" defaultSubtotal="0">
      <items count="5">
        <item x="1"/>
        <item x="2"/>
        <item x="4"/>
        <item h="1" x="0"/>
        <item h="1" x="3"/>
      </items>
    </pivotField>
    <pivotField showAll="0"/>
    <pivotField numFmtId="14" showAll="0"/>
    <pivotField numFmtId="14" showAll="0"/>
    <pivotField showAll="0" defaultSubtotal="0"/>
    <pivotField showAll="0" defaultSubtotal="0"/>
    <pivotField axis="axisPage" multipleItemSelectionAllowed="1" showAll="0">
      <items count="8">
        <item h="1" x="0"/>
        <item x="1"/>
        <item h="1" x="2"/>
        <item h="1" x="3"/>
        <item h="1" x="6"/>
        <item h="1"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2" hier="-1"/>
    <pageField fld="8" hier="-1"/>
  </pageFields>
  <dataFields count="1">
    <dataField name="Sum of Net Dwellings" fld="40" baseField="0" baseItem="0"/>
  </dataFields>
  <formats count="40">
    <format dxfId="3644">
      <pivotArea type="all" dataOnly="0" outline="0" fieldPosition="0"/>
    </format>
    <format dxfId="3643">
      <pivotArea type="all" dataOnly="0" outline="0" fieldPosition="0"/>
    </format>
    <format dxfId="3642">
      <pivotArea type="all" dataOnly="0" outline="0" fieldPosition="0"/>
    </format>
    <format dxfId="3641">
      <pivotArea type="all" dataOnly="0" outline="0" fieldPosition="0"/>
    </format>
    <format dxfId="3640">
      <pivotArea type="all" dataOnly="0" outline="0" fieldPosition="0"/>
    </format>
    <format dxfId="3639">
      <pivotArea type="all" dataOnly="0" outline="0" fieldPosition="0"/>
    </format>
    <format dxfId="3638">
      <pivotArea type="all" dataOnly="0" outline="0" fieldPosition="0"/>
    </format>
    <format dxfId="3637">
      <pivotArea type="all" dataOnly="0" outline="0" fieldPosition="0"/>
    </format>
    <format dxfId="3636">
      <pivotArea type="all" dataOnly="0" outline="0" fieldPosition="0"/>
    </format>
    <format dxfId="3635">
      <pivotArea type="all" dataOnly="0" outline="0" fieldPosition="0"/>
    </format>
    <format dxfId="3634">
      <pivotArea type="all" dataOnly="0" outline="0" fieldPosition="0"/>
    </format>
    <format dxfId="3633">
      <pivotArea outline="0" collapsedLevelsAreSubtotals="1" fieldPosition="0"/>
    </format>
    <format dxfId="3632">
      <pivotArea dataOnly="0" labelOnly="1" outline="0" axis="axisValues" fieldPosition="0"/>
    </format>
    <format dxfId="3631">
      <pivotArea type="all" dataOnly="0" outline="0" fieldPosition="0"/>
    </format>
    <format dxfId="3630">
      <pivotArea outline="0" collapsedLevelsAreSubtotals="1" fieldPosition="0"/>
    </format>
    <format dxfId="3629">
      <pivotArea dataOnly="0" labelOnly="1" outline="0" axis="axisValues" fieldPosition="0"/>
    </format>
    <format dxfId="3628">
      <pivotArea type="all" dataOnly="0" outline="0" fieldPosition="0"/>
    </format>
    <format dxfId="3627">
      <pivotArea outline="0" collapsedLevelsAreSubtotals="1" fieldPosition="0"/>
    </format>
    <format dxfId="3626">
      <pivotArea dataOnly="0" labelOnly="1" outline="0" axis="axisValues" fieldPosition="0"/>
    </format>
    <format dxfId="3625">
      <pivotArea type="all" dataOnly="0" outline="0" fieldPosition="0"/>
    </format>
    <format dxfId="3624">
      <pivotArea outline="0" collapsedLevelsAreSubtotals="1" fieldPosition="0"/>
    </format>
    <format dxfId="3623">
      <pivotArea dataOnly="0" labelOnly="1" outline="0" axis="axisValues" fieldPosition="0"/>
    </format>
    <format dxfId="3622">
      <pivotArea type="all" dataOnly="0" outline="0" fieldPosition="0"/>
    </format>
    <format dxfId="3621">
      <pivotArea outline="0" collapsedLevelsAreSubtotals="1" fieldPosition="0"/>
    </format>
    <format dxfId="3620">
      <pivotArea dataOnly="0" labelOnly="1" outline="0" axis="axisValues" fieldPosition="0"/>
    </format>
    <format dxfId="3619">
      <pivotArea type="all" dataOnly="0" outline="0" fieldPosition="0"/>
    </format>
    <format dxfId="3618">
      <pivotArea outline="0" collapsedLevelsAreSubtotals="1" fieldPosition="0"/>
    </format>
    <format dxfId="3617">
      <pivotArea dataOnly="0" labelOnly="1" outline="0" axis="axisValues" fieldPosition="0"/>
    </format>
    <format dxfId="3616">
      <pivotArea type="all" dataOnly="0" outline="0" fieldPosition="0"/>
    </format>
    <format dxfId="3615">
      <pivotArea outline="0" collapsedLevelsAreSubtotals="1" fieldPosition="0"/>
    </format>
    <format dxfId="3614">
      <pivotArea dataOnly="0" labelOnly="1" outline="0" axis="axisValues" fieldPosition="0"/>
    </format>
    <format dxfId="3613">
      <pivotArea type="all" dataOnly="0" outline="0" fieldPosition="0"/>
    </format>
    <format dxfId="3612">
      <pivotArea outline="0" collapsedLevelsAreSubtotals="1" fieldPosition="0"/>
    </format>
    <format dxfId="3611">
      <pivotArea type="all" dataOnly="0" outline="0" fieldPosition="0"/>
    </format>
    <format dxfId="3610">
      <pivotArea outline="0" collapsedLevelsAreSubtotals="1" fieldPosition="0"/>
    </format>
    <format dxfId="3609">
      <pivotArea outline="0" collapsedLevelsAreSubtotals="1" fieldPosition="0"/>
    </format>
    <format dxfId="3608">
      <pivotArea type="all" dataOnly="0" outline="0" fieldPosition="0"/>
    </format>
    <format dxfId="3607">
      <pivotArea outline="0" collapsedLevelsAreSubtotals="1" fieldPosition="0"/>
    </format>
    <format dxfId="3606">
      <pivotArea dataOnly="0" labelOnly="1" outline="0" axis="axisValues" fieldPosition="0"/>
    </format>
    <format dxfId="360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DB4D6DEA-0B05-4397-88B3-F27D986C6AF3}" name="PivotTable1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62:H63" firstHeaderRow="1" firstDataRow="1" firstDataCol="0" rowPageCount="2"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2" hier="-1"/>
  </pageFields>
  <dataFields count="1">
    <dataField name="Sum of Net Dwellings" fld="40" baseField="0" baseItem="0"/>
  </dataFields>
  <formats count="41">
    <format dxfId="3685">
      <pivotArea type="all" dataOnly="0" outline="0" fieldPosition="0"/>
    </format>
    <format dxfId="3684">
      <pivotArea type="all" dataOnly="0" outline="0" fieldPosition="0"/>
    </format>
    <format dxfId="3683">
      <pivotArea type="all" dataOnly="0" outline="0" fieldPosition="0"/>
    </format>
    <format dxfId="3682">
      <pivotArea type="all" dataOnly="0" outline="0" fieldPosition="0"/>
    </format>
    <format dxfId="3681">
      <pivotArea type="all" dataOnly="0" outline="0" fieldPosition="0"/>
    </format>
    <format dxfId="3680">
      <pivotArea type="all" dataOnly="0" outline="0" fieldPosition="0"/>
    </format>
    <format dxfId="3679">
      <pivotArea type="all" dataOnly="0" outline="0" fieldPosition="0"/>
    </format>
    <format dxfId="3678">
      <pivotArea type="all" dataOnly="0" outline="0" fieldPosition="0"/>
    </format>
    <format dxfId="3677">
      <pivotArea type="all" dataOnly="0" outline="0" fieldPosition="0"/>
    </format>
    <format dxfId="3676">
      <pivotArea type="all" dataOnly="0" outline="0" fieldPosition="0"/>
    </format>
    <format dxfId="3675">
      <pivotArea type="all" dataOnly="0" outline="0" fieldPosition="0"/>
    </format>
    <format dxfId="3674">
      <pivotArea outline="0" collapsedLevelsAreSubtotals="1" fieldPosition="0"/>
    </format>
    <format dxfId="3673">
      <pivotArea dataOnly="0" labelOnly="1" outline="0" axis="axisValues" fieldPosition="0"/>
    </format>
    <format dxfId="3672">
      <pivotArea type="all" dataOnly="0" outline="0" fieldPosition="0"/>
    </format>
    <format dxfId="3671">
      <pivotArea outline="0" collapsedLevelsAreSubtotals="1" fieldPosition="0"/>
    </format>
    <format dxfId="3670">
      <pivotArea dataOnly="0" labelOnly="1" outline="0" axis="axisValues" fieldPosition="0"/>
    </format>
    <format dxfId="3669">
      <pivotArea type="all" dataOnly="0" outline="0" fieldPosition="0"/>
    </format>
    <format dxfId="3668">
      <pivotArea outline="0" collapsedLevelsAreSubtotals="1" fieldPosition="0"/>
    </format>
    <format dxfId="3667">
      <pivotArea dataOnly="0" labelOnly="1" outline="0" axis="axisValues" fieldPosition="0"/>
    </format>
    <format dxfId="3666">
      <pivotArea type="all" dataOnly="0" outline="0" fieldPosition="0"/>
    </format>
    <format dxfId="3665">
      <pivotArea outline="0" collapsedLevelsAreSubtotals="1" fieldPosition="0"/>
    </format>
    <format dxfId="3664">
      <pivotArea dataOnly="0" labelOnly="1" outline="0" axis="axisValues" fieldPosition="0"/>
    </format>
    <format dxfId="3663">
      <pivotArea outline="0" collapsedLevelsAreSubtotals="1" fieldPosition="0"/>
    </format>
    <format dxfId="3662">
      <pivotArea type="all" dataOnly="0" outline="0" fieldPosition="0"/>
    </format>
    <format dxfId="3661">
      <pivotArea outline="0" collapsedLevelsAreSubtotals="1" fieldPosition="0"/>
    </format>
    <format dxfId="3660">
      <pivotArea dataOnly="0" labelOnly="1" outline="0" axis="axisValues" fieldPosition="0"/>
    </format>
    <format dxfId="3659">
      <pivotArea type="all" dataOnly="0" outline="0" fieldPosition="0"/>
    </format>
    <format dxfId="3658">
      <pivotArea outline="0" collapsedLevelsAreSubtotals="1" fieldPosition="0"/>
    </format>
    <format dxfId="3657">
      <pivotArea dataOnly="0" labelOnly="1" outline="0" axis="axisValues" fieldPosition="0"/>
    </format>
    <format dxfId="3656">
      <pivotArea type="all" dataOnly="0" outline="0" fieldPosition="0"/>
    </format>
    <format dxfId="3655">
      <pivotArea outline="0" collapsedLevelsAreSubtotals="1" fieldPosition="0"/>
    </format>
    <format dxfId="3654">
      <pivotArea dataOnly="0" labelOnly="1" outline="0" axis="axisValues" fieldPosition="0"/>
    </format>
    <format dxfId="3653">
      <pivotArea type="all" dataOnly="0" outline="0" fieldPosition="0"/>
    </format>
    <format dxfId="3652">
      <pivotArea outline="0" collapsedLevelsAreSubtotals="1" fieldPosition="0"/>
    </format>
    <format dxfId="3651">
      <pivotArea type="all" dataOnly="0" outline="0" fieldPosition="0"/>
    </format>
    <format dxfId="3650">
      <pivotArea outline="0" collapsedLevelsAreSubtotals="1" fieldPosition="0"/>
    </format>
    <format dxfId="3649">
      <pivotArea outline="0" collapsedLevelsAreSubtotals="1" fieldPosition="0"/>
    </format>
    <format dxfId="3648">
      <pivotArea type="all" dataOnly="0" outline="0" fieldPosition="0"/>
    </format>
    <format dxfId="3647">
      <pivotArea outline="0" collapsedLevelsAreSubtotals="1" fieldPosition="0"/>
    </format>
    <format dxfId="3646">
      <pivotArea dataOnly="0" labelOnly="1" outline="0" axis="axisValues" fieldPosition="0"/>
    </format>
    <format dxfId="364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762EE1D-F5FF-4759-A571-876DB6204733}" name="PivotTable6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64:H165" firstHeaderRow="1" firstDataRow="1" firstDataCol="0" rowPageCount="3" colPageCount="1"/>
  <pivotFields count="77">
    <pivotField showAll="0" defaultSubtotal="0"/>
    <pivotField showAll="0"/>
    <pivotField axis="axisPage" multipleItemSelectionAllowed="1" showAll="0" defaultSubtotal="0">
      <items count="5">
        <item h="1" x="1"/>
        <item h="1" x="2"/>
        <item h="1" x="4"/>
        <item x="0"/>
        <item x="3"/>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6"/>
        <item h="1" x="3"/>
        <item h="1" x="4"/>
        <item h="1" x="5"/>
      </items>
    </pivotField>
    <pivotField axis="axisPage" multipleItemSelectionAllowed="1" showAll="0" defaultSubtotal="0">
      <items count="10">
        <item x="0"/>
        <item h="1" x="2"/>
        <item h="1" x="5"/>
        <item h="1" x="4"/>
        <item h="1" x="3"/>
        <item h="1" x="1"/>
        <item h="1" x="8"/>
        <item h="1" x="9"/>
        <item h="1" x="6"/>
        <item h="1" x="7"/>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8" hier="-1"/>
    <pageField fld="2" hier="-1"/>
    <pageField fld="9" hier="-1"/>
  </pageFields>
  <dataFields count="1">
    <dataField name="Sum of Units Proposed" fld="31" baseField="0" baseItem="0"/>
  </dataFields>
  <formats count="40">
    <format dxfId="368">
      <pivotArea type="all" dataOnly="0" outline="0" fieldPosition="0"/>
    </format>
    <format dxfId="367">
      <pivotArea type="all" dataOnly="0" outline="0" fieldPosition="0"/>
    </format>
    <format dxfId="366">
      <pivotArea type="all" dataOnly="0" outline="0" fieldPosition="0"/>
    </format>
    <format dxfId="365">
      <pivotArea type="all" dataOnly="0" outline="0" fieldPosition="0"/>
    </format>
    <format dxfId="364">
      <pivotArea type="all" dataOnly="0" outline="0" fieldPosition="0"/>
    </format>
    <format dxfId="363">
      <pivotArea type="all" dataOnly="0" outline="0" fieldPosition="0"/>
    </format>
    <format dxfId="362">
      <pivotArea type="all" dataOnly="0" outline="0" fieldPosition="0"/>
    </format>
    <format dxfId="361">
      <pivotArea type="all" dataOnly="0" outline="0" fieldPosition="0"/>
    </format>
    <format dxfId="360">
      <pivotArea type="all" dataOnly="0" outline="0" fieldPosition="0"/>
    </format>
    <format dxfId="359">
      <pivotArea type="all" dataOnly="0" outline="0" fieldPosition="0"/>
    </format>
    <format dxfId="358">
      <pivotArea type="all" dataOnly="0" outline="0" fieldPosition="0"/>
    </format>
    <format dxfId="357">
      <pivotArea outline="0" collapsedLevelsAreSubtotals="1" fieldPosition="0"/>
    </format>
    <format dxfId="356">
      <pivotArea dataOnly="0" labelOnly="1" outline="0" axis="axisValues" fieldPosition="0"/>
    </format>
    <format dxfId="355">
      <pivotArea type="all" dataOnly="0" outline="0" fieldPosition="0"/>
    </format>
    <format dxfId="354">
      <pivotArea outline="0" collapsedLevelsAreSubtotals="1" fieldPosition="0"/>
    </format>
    <format dxfId="353">
      <pivotArea dataOnly="0" labelOnly="1" outline="0" axis="axisValues" fieldPosition="0"/>
    </format>
    <format dxfId="352">
      <pivotArea type="all" dataOnly="0" outline="0" fieldPosition="0"/>
    </format>
    <format dxfId="351">
      <pivotArea outline="0" collapsedLevelsAreSubtotals="1" fieldPosition="0"/>
    </format>
    <format dxfId="350">
      <pivotArea dataOnly="0" labelOnly="1" outline="0" axis="axisValues" fieldPosition="0"/>
    </format>
    <format dxfId="349">
      <pivotArea type="all" dataOnly="0" outline="0" fieldPosition="0"/>
    </format>
    <format dxfId="348">
      <pivotArea outline="0" collapsedLevelsAreSubtotals="1" fieldPosition="0"/>
    </format>
    <format dxfId="347">
      <pivotArea dataOnly="0" labelOnly="1" outline="0" axis="axisValues" fieldPosition="0"/>
    </format>
    <format dxfId="346">
      <pivotArea type="all" dataOnly="0" outline="0" fieldPosition="0"/>
    </format>
    <format dxfId="345">
      <pivotArea outline="0" collapsedLevelsAreSubtotals="1" fieldPosition="0"/>
    </format>
    <format dxfId="344">
      <pivotArea dataOnly="0" labelOnly="1" outline="0" axis="axisValues" fieldPosition="0"/>
    </format>
    <format dxfId="343">
      <pivotArea type="all" dataOnly="0" outline="0" fieldPosition="0"/>
    </format>
    <format dxfId="342">
      <pivotArea outline="0" collapsedLevelsAreSubtotals="1" fieldPosition="0"/>
    </format>
    <format dxfId="341">
      <pivotArea dataOnly="0" labelOnly="1" outline="0" axis="axisValues" fieldPosition="0"/>
    </format>
    <format dxfId="340">
      <pivotArea type="all" dataOnly="0" outline="0" fieldPosition="0"/>
    </format>
    <format dxfId="339">
      <pivotArea outline="0" collapsedLevelsAreSubtotals="1" fieldPosition="0"/>
    </format>
    <format dxfId="338">
      <pivotArea dataOnly="0" labelOnly="1" outline="0" axis="axisValues" fieldPosition="0"/>
    </format>
    <format dxfId="337">
      <pivotArea type="all" dataOnly="0" outline="0" fieldPosition="0"/>
    </format>
    <format dxfId="336">
      <pivotArea outline="0" collapsedLevelsAreSubtotals="1" fieldPosition="0"/>
    </format>
    <format dxfId="335">
      <pivotArea type="all" dataOnly="0" outline="0" fieldPosition="0"/>
    </format>
    <format dxfId="334">
      <pivotArea outline="0" collapsedLevelsAreSubtotals="1" fieldPosition="0"/>
    </format>
    <format dxfId="333">
      <pivotArea outline="0" collapsedLevelsAreSubtotals="1" fieldPosition="0"/>
    </format>
    <format dxfId="332">
      <pivotArea type="all" dataOnly="0" outline="0" fieldPosition="0"/>
    </format>
    <format dxfId="331">
      <pivotArea outline="0" collapsedLevelsAreSubtotals="1" fieldPosition="0"/>
    </format>
    <format dxfId="330">
      <pivotArea dataOnly="0" labelOnly="1" outline="0" axis="axisValues" fieldPosition="0"/>
    </format>
    <format dxfId="32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65C66644-595C-4C01-A63B-924D5818A178}" name="PivotTable5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25:H126" firstHeaderRow="1" firstDataRow="1" firstDataCol="0" rowPageCount="2" colPageCount="1"/>
  <pivotFields count="77">
    <pivotField showAll="0" defaultSubtotal="0"/>
    <pivotField showAl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x="3"/>
        <item h="1" x="6"/>
        <item h="1" x="4"/>
        <item h="1" x="5"/>
      </items>
    </pivotField>
    <pivotField axis="axisPage" multipleItemSelectionAllowed="1" showAll="0" defaultSubtotal="0">
      <items count="10">
        <item h="1" x="0"/>
        <item h="1" x="2"/>
        <item x="5"/>
        <item h="1" x="4"/>
        <item h="1" x="3"/>
        <item h="1" x="1"/>
        <item h="1" x="7"/>
        <item h="1" x="6"/>
        <item h="1" x="8"/>
        <item h="1" x="9"/>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 hier="-1"/>
    <pageField fld="9" hier="-1"/>
  </pageFields>
  <dataFields count="1">
    <dataField name="Sum of Units Proposed" fld="31" baseField="0" baseItem="0"/>
  </dataFields>
  <formats count="40">
    <format dxfId="3725">
      <pivotArea type="all" dataOnly="0" outline="0" fieldPosition="0"/>
    </format>
    <format dxfId="3724">
      <pivotArea type="all" dataOnly="0" outline="0" fieldPosition="0"/>
    </format>
    <format dxfId="3723">
      <pivotArea type="all" dataOnly="0" outline="0" fieldPosition="0"/>
    </format>
    <format dxfId="3722">
      <pivotArea type="all" dataOnly="0" outline="0" fieldPosition="0"/>
    </format>
    <format dxfId="3721">
      <pivotArea type="all" dataOnly="0" outline="0" fieldPosition="0"/>
    </format>
    <format dxfId="3720">
      <pivotArea type="all" dataOnly="0" outline="0" fieldPosition="0"/>
    </format>
    <format dxfId="3719">
      <pivotArea type="all" dataOnly="0" outline="0" fieldPosition="0"/>
    </format>
    <format dxfId="3718">
      <pivotArea type="all" dataOnly="0" outline="0" fieldPosition="0"/>
    </format>
    <format dxfId="3717">
      <pivotArea type="all" dataOnly="0" outline="0" fieldPosition="0"/>
    </format>
    <format dxfId="3716">
      <pivotArea type="all" dataOnly="0" outline="0" fieldPosition="0"/>
    </format>
    <format dxfId="3715">
      <pivotArea type="all" dataOnly="0" outline="0" fieldPosition="0"/>
    </format>
    <format dxfId="3714">
      <pivotArea outline="0" collapsedLevelsAreSubtotals="1" fieldPosition="0"/>
    </format>
    <format dxfId="3713">
      <pivotArea dataOnly="0" labelOnly="1" outline="0" axis="axisValues" fieldPosition="0"/>
    </format>
    <format dxfId="3712">
      <pivotArea type="all" dataOnly="0" outline="0" fieldPosition="0"/>
    </format>
    <format dxfId="3711">
      <pivotArea outline="0" collapsedLevelsAreSubtotals="1" fieldPosition="0"/>
    </format>
    <format dxfId="3710">
      <pivotArea dataOnly="0" labelOnly="1" outline="0" axis="axisValues" fieldPosition="0"/>
    </format>
    <format dxfId="3709">
      <pivotArea type="all" dataOnly="0" outline="0" fieldPosition="0"/>
    </format>
    <format dxfId="3708">
      <pivotArea outline="0" collapsedLevelsAreSubtotals="1" fieldPosition="0"/>
    </format>
    <format dxfId="3707">
      <pivotArea dataOnly="0" labelOnly="1" outline="0" axis="axisValues" fieldPosition="0"/>
    </format>
    <format dxfId="3706">
      <pivotArea type="all" dataOnly="0" outline="0" fieldPosition="0"/>
    </format>
    <format dxfId="3705">
      <pivotArea outline="0" collapsedLevelsAreSubtotals="1" fieldPosition="0"/>
    </format>
    <format dxfId="3704">
      <pivotArea dataOnly="0" labelOnly="1" outline="0" axis="axisValues" fieldPosition="0"/>
    </format>
    <format dxfId="3703">
      <pivotArea type="all" dataOnly="0" outline="0" fieldPosition="0"/>
    </format>
    <format dxfId="3702">
      <pivotArea outline="0" collapsedLevelsAreSubtotals="1" fieldPosition="0"/>
    </format>
    <format dxfId="3701">
      <pivotArea dataOnly="0" labelOnly="1" outline="0" axis="axisValues" fieldPosition="0"/>
    </format>
    <format dxfId="3700">
      <pivotArea type="all" dataOnly="0" outline="0" fieldPosition="0"/>
    </format>
    <format dxfId="3699">
      <pivotArea outline="0" collapsedLevelsAreSubtotals="1" fieldPosition="0"/>
    </format>
    <format dxfId="3698">
      <pivotArea dataOnly="0" labelOnly="1" outline="0" axis="axisValues" fieldPosition="0"/>
    </format>
    <format dxfId="3697">
      <pivotArea type="all" dataOnly="0" outline="0" fieldPosition="0"/>
    </format>
    <format dxfId="3696">
      <pivotArea outline="0" collapsedLevelsAreSubtotals="1" fieldPosition="0"/>
    </format>
    <format dxfId="3695">
      <pivotArea dataOnly="0" labelOnly="1" outline="0" axis="axisValues" fieldPosition="0"/>
    </format>
    <format dxfId="3694">
      <pivotArea type="all" dataOnly="0" outline="0" fieldPosition="0"/>
    </format>
    <format dxfId="3693">
      <pivotArea outline="0" collapsedLevelsAreSubtotals="1" fieldPosition="0"/>
    </format>
    <format dxfId="3692">
      <pivotArea type="all" dataOnly="0" outline="0" fieldPosition="0"/>
    </format>
    <format dxfId="3691">
      <pivotArea outline="0" collapsedLevelsAreSubtotals="1" fieldPosition="0"/>
    </format>
    <format dxfId="3690">
      <pivotArea outline="0" collapsedLevelsAreSubtotals="1" fieldPosition="0"/>
    </format>
    <format dxfId="3689">
      <pivotArea type="all" dataOnly="0" outline="0" fieldPosition="0"/>
    </format>
    <format dxfId="3688">
      <pivotArea outline="0" collapsedLevelsAreSubtotals="1" fieldPosition="0"/>
    </format>
    <format dxfId="3687">
      <pivotArea dataOnly="0" labelOnly="1" outline="0" axis="axisValues" fieldPosition="0"/>
    </format>
    <format dxfId="368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pivotTable" Target="../pivotTables/pivotTable26.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6" Type="http://schemas.openxmlformats.org/officeDocument/2006/relationships/pivotTable" Target="../pivotTables/pivotTable16.xml"/><Relationship Id="rId11" Type="http://schemas.openxmlformats.org/officeDocument/2006/relationships/pivotTable" Target="../pivotTables/pivotTable11.xml"/><Relationship Id="rId32" Type="http://schemas.openxmlformats.org/officeDocument/2006/relationships/pivotTable" Target="../pivotTables/pivotTable32.xml"/><Relationship Id="rId37" Type="http://schemas.openxmlformats.org/officeDocument/2006/relationships/pivotTable" Target="../pivotTables/pivotTable37.xml"/><Relationship Id="rId53" Type="http://schemas.openxmlformats.org/officeDocument/2006/relationships/pivotTable" Target="../pivotTables/pivotTable53.xml"/><Relationship Id="rId58" Type="http://schemas.openxmlformats.org/officeDocument/2006/relationships/pivotTable" Target="../pivotTables/pivotTable58.xml"/><Relationship Id="rId74" Type="http://schemas.openxmlformats.org/officeDocument/2006/relationships/pivotTable" Target="../pivotTables/pivotTable74.xml"/><Relationship Id="rId79" Type="http://schemas.openxmlformats.org/officeDocument/2006/relationships/pivotTable" Target="../pivotTables/pivotTable79.xml"/><Relationship Id="rId5" Type="http://schemas.openxmlformats.org/officeDocument/2006/relationships/pivotTable" Target="../pivotTables/pivotTable5.xml"/><Relationship Id="rId90" Type="http://schemas.openxmlformats.org/officeDocument/2006/relationships/pivotTable" Target="../pivotTables/pivotTable90.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rinterSettings" Target="../printerSettings/printerSettings5.bin"/><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29" Type="http://schemas.openxmlformats.org/officeDocument/2006/relationships/pivotTable" Target="../pivotTables/pivotTable29.xml"/><Relationship Id="rId24" Type="http://schemas.openxmlformats.org/officeDocument/2006/relationships/pivotTable" Target="../pivotTables/pivotTable24.xml"/><Relationship Id="rId40" Type="http://schemas.openxmlformats.org/officeDocument/2006/relationships/pivotTable" Target="../pivotTables/pivotTable40.xml"/><Relationship Id="rId45" Type="http://schemas.openxmlformats.org/officeDocument/2006/relationships/pivotTable" Target="../pivotTables/pivotTable45.xml"/><Relationship Id="rId66" Type="http://schemas.openxmlformats.org/officeDocument/2006/relationships/pivotTable" Target="../pivotTables/pivotTable66.xml"/><Relationship Id="rId87" Type="http://schemas.openxmlformats.org/officeDocument/2006/relationships/pivotTable" Target="../pivotTables/pivotTable87.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5C29-DB71-42BE-BA9B-F841733CC79C}">
  <sheetPr>
    <pageSetUpPr autoPageBreaks="0"/>
  </sheetPr>
  <dimension ref="A1:AB309"/>
  <sheetViews>
    <sheetView tabSelected="1" zoomScaleNormal="100" zoomScaleSheetLayoutView="100" zoomScalePageLayoutView="60" workbookViewId="0">
      <selection activeCell="H4" sqref="H4"/>
    </sheetView>
  </sheetViews>
  <sheetFormatPr defaultColWidth="9.140625" defaultRowHeight="12.75" x14ac:dyDescent="0.2"/>
  <cols>
    <col min="1" max="1" width="5.7109375" style="2" customWidth="1"/>
    <col min="2" max="2" width="9.140625" style="2"/>
    <col min="3" max="5" width="9.7109375" style="2" customWidth="1"/>
    <col min="6" max="6" width="9.140625" style="2"/>
    <col min="7" max="7" width="9.42578125" style="2" customWidth="1"/>
    <col min="8" max="8" width="9.140625" style="2"/>
    <col min="9" max="9" width="9.140625" style="2" customWidth="1"/>
    <col min="10" max="12" width="9.140625" style="2"/>
    <col min="13" max="13" width="9.140625" style="2" customWidth="1"/>
    <col min="14" max="20" width="9.140625" style="2"/>
    <col min="21" max="22" width="9.140625" style="2" customWidth="1"/>
    <col min="23" max="16384" width="9.140625" style="2"/>
  </cols>
  <sheetData>
    <row r="1" spans="1:28" ht="23.25" customHeight="1" x14ac:dyDescent="0.2">
      <c r="B1" s="3"/>
      <c r="C1" s="4"/>
      <c r="D1" s="5"/>
      <c r="E1" s="5"/>
      <c r="F1" s="5"/>
      <c r="G1" s="5"/>
      <c r="H1" s="5"/>
      <c r="I1" s="5"/>
      <c r="J1" s="5"/>
      <c r="K1" s="5"/>
      <c r="L1" s="5"/>
      <c r="M1" s="5"/>
      <c r="N1" s="5"/>
      <c r="O1" s="5"/>
      <c r="P1" s="5"/>
      <c r="Q1" s="5"/>
      <c r="R1" s="5"/>
      <c r="S1" s="6"/>
    </row>
    <row r="2" spans="1:28" ht="50.1" customHeight="1" x14ac:dyDescent="0.2">
      <c r="B2" s="314" t="s">
        <v>1525</v>
      </c>
      <c r="C2" s="315"/>
      <c r="D2" s="315"/>
      <c r="E2" s="315"/>
      <c r="F2" s="315"/>
      <c r="G2" s="315"/>
      <c r="H2" s="315"/>
      <c r="I2" s="315"/>
      <c r="J2" s="315"/>
      <c r="K2" s="315"/>
      <c r="L2" s="315"/>
      <c r="M2" s="315"/>
      <c r="N2" s="315"/>
      <c r="O2" s="315"/>
      <c r="P2" s="315"/>
      <c r="Q2" s="315"/>
      <c r="R2" s="315"/>
      <c r="S2" s="316"/>
    </row>
    <row r="3" spans="1:28" x14ac:dyDescent="0.2">
      <c r="B3" s="317"/>
      <c r="C3" s="318"/>
      <c r="D3" s="318"/>
      <c r="E3" s="318"/>
      <c r="F3" s="318"/>
      <c r="G3" s="318"/>
      <c r="H3" s="318"/>
      <c r="I3" s="318"/>
      <c r="J3" s="318"/>
      <c r="K3" s="318"/>
      <c r="L3" s="318"/>
      <c r="M3" s="318"/>
      <c r="N3" s="318"/>
      <c r="O3" s="318"/>
      <c r="P3" s="318"/>
      <c r="Q3" s="318"/>
      <c r="R3" s="318"/>
      <c r="S3" s="319"/>
    </row>
    <row r="4" spans="1:28" x14ac:dyDescent="0.2">
      <c r="B4" s="7"/>
      <c r="C4" s="10"/>
      <c r="D4" s="10"/>
      <c r="E4" s="11"/>
      <c r="F4" s="12"/>
      <c r="G4" s="13"/>
      <c r="H4" s="13"/>
      <c r="I4" s="13"/>
      <c r="J4" s="13"/>
      <c r="K4" s="13"/>
      <c r="L4" s="13"/>
      <c r="M4" s="12"/>
      <c r="N4" s="14"/>
      <c r="O4" s="15"/>
      <c r="P4" s="15"/>
      <c r="Q4" s="15"/>
      <c r="R4" s="15"/>
      <c r="S4" s="9"/>
    </row>
    <row r="5" spans="1:28" x14ac:dyDescent="0.2">
      <c r="B5" s="7"/>
      <c r="C5" s="16" t="s">
        <v>1280</v>
      </c>
      <c r="D5" s="16" t="s">
        <v>1281</v>
      </c>
      <c r="E5" s="17"/>
      <c r="F5" s="17"/>
      <c r="G5" s="17"/>
      <c r="H5" s="17"/>
      <c r="I5" s="17"/>
      <c r="J5" s="18"/>
      <c r="K5" s="18"/>
      <c r="L5" s="18"/>
      <c r="M5" s="18"/>
      <c r="N5" s="18"/>
      <c r="O5" s="18"/>
      <c r="P5" s="18"/>
      <c r="Q5" s="18"/>
      <c r="R5" s="18"/>
      <c r="S5" s="9"/>
      <c r="V5" s="8"/>
    </row>
    <row r="6" spans="1:28" ht="22.5" x14ac:dyDescent="0.2">
      <c r="B6" s="7"/>
      <c r="C6" s="329" t="s">
        <v>1282</v>
      </c>
      <c r="D6" s="330"/>
      <c r="E6" s="330"/>
      <c r="F6" s="331"/>
      <c r="G6" s="320" t="s">
        <v>1283</v>
      </c>
      <c r="H6" s="322" t="s">
        <v>1524</v>
      </c>
      <c r="I6" s="323"/>
      <c r="J6" s="321" t="s">
        <v>1284</v>
      </c>
      <c r="K6" s="20" t="s">
        <v>1285</v>
      </c>
      <c r="L6" s="18"/>
      <c r="M6" s="18"/>
      <c r="N6" s="18"/>
      <c r="O6" s="18"/>
      <c r="P6" s="18"/>
      <c r="Q6" s="18"/>
      <c r="R6" s="18"/>
      <c r="S6" s="9"/>
      <c r="V6" s="8"/>
    </row>
    <row r="7" spans="1:28" ht="12.75" customHeight="1" x14ac:dyDescent="0.2">
      <c r="B7" s="7"/>
      <c r="C7" s="332"/>
      <c r="D7" s="333"/>
      <c r="E7" s="333"/>
      <c r="F7" s="334"/>
      <c r="G7" s="321"/>
      <c r="H7" s="147" t="s">
        <v>1286</v>
      </c>
      <c r="I7" s="147" t="s">
        <v>1523</v>
      </c>
      <c r="J7" s="321"/>
      <c r="K7" s="19"/>
      <c r="L7" s="18"/>
      <c r="M7" s="18"/>
      <c r="N7" s="18"/>
      <c r="O7" s="18"/>
      <c r="P7" s="18"/>
      <c r="Q7" s="18"/>
      <c r="R7" s="18"/>
      <c r="S7" s="9"/>
      <c r="V7" s="8"/>
    </row>
    <row r="8" spans="1:28" x14ac:dyDescent="0.2">
      <c r="B8" s="7"/>
      <c r="C8" s="335" t="s">
        <v>1675</v>
      </c>
      <c r="D8" s="336"/>
      <c r="E8" s="336"/>
      <c r="F8" s="337"/>
      <c r="G8" s="178">
        <v>4110</v>
      </c>
      <c r="H8" s="179">
        <v>164</v>
      </c>
      <c r="I8" s="179">
        <f>GETPIVOTDATA("Net Dwellings",Pivot!$B$6)</f>
        <v>141</v>
      </c>
      <c r="J8" s="178">
        <f>SUM(H8:I8)</f>
        <v>305</v>
      </c>
      <c r="K8" s="180">
        <f>J8/G8</f>
        <v>7.4209245742092464E-2</v>
      </c>
      <c r="L8" s="18"/>
      <c r="M8" s="21"/>
      <c r="N8" s="18"/>
      <c r="O8" s="18"/>
      <c r="P8" s="18"/>
      <c r="Q8" s="18"/>
      <c r="R8" s="18"/>
      <c r="S8" s="9"/>
      <c r="V8" s="8"/>
    </row>
    <row r="9" spans="1:28" x14ac:dyDescent="0.2">
      <c r="B9" s="7"/>
      <c r="C9" s="22"/>
      <c r="D9" s="22"/>
      <c r="E9" s="23"/>
      <c r="F9" s="24"/>
      <c r="G9" s="25"/>
      <c r="H9" s="25"/>
      <c r="I9" s="25"/>
      <c r="J9" s="25"/>
      <c r="K9" s="25"/>
      <c r="L9" s="26"/>
      <c r="M9" s="24"/>
      <c r="N9" s="27"/>
      <c r="O9" s="18"/>
      <c r="P9" s="18"/>
      <c r="Q9" s="18"/>
      <c r="R9" s="18"/>
      <c r="S9" s="9"/>
      <c r="V9" s="8"/>
    </row>
    <row r="10" spans="1:28" x14ac:dyDescent="0.2">
      <c r="B10" s="7"/>
      <c r="C10" s="22"/>
      <c r="D10" s="22"/>
      <c r="E10" s="23"/>
      <c r="F10" s="24"/>
      <c r="G10" s="25"/>
      <c r="H10" s="25"/>
      <c r="I10" s="25"/>
      <c r="J10" s="25"/>
      <c r="K10" s="25"/>
      <c r="L10" s="25"/>
      <c r="M10" s="24"/>
      <c r="N10" s="27"/>
      <c r="O10" s="18"/>
      <c r="P10" s="18"/>
      <c r="Q10" s="18"/>
      <c r="R10" s="18"/>
      <c r="S10" s="9"/>
      <c r="V10" s="8"/>
    </row>
    <row r="11" spans="1:28" x14ac:dyDescent="0.2">
      <c r="B11" s="7"/>
      <c r="C11" s="28"/>
      <c r="D11" s="29"/>
      <c r="E11" s="29"/>
      <c r="F11" s="29"/>
      <c r="G11" s="29"/>
      <c r="H11" s="29"/>
      <c r="I11" s="29"/>
      <c r="J11" s="29"/>
      <c r="K11" s="28"/>
      <c r="L11" s="28"/>
      <c r="M11" s="30"/>
      <c r="N11" s="31"/>
      <c r="O11" s="31"/>
      <c r="P11" s="31"/>
      <c r="Q11" s="31"/>
      <c r="R11" s="31"/>
      <c r="S11" s="32"/>
      <c r="V11" s="8"/>
    </row>
    <row r="12" spans="1:28" x14ac:dyDescent="0.2">
      <c r="B12" s="34"/>
      <c r="C12" s="35" t="s">
        <v>1287</v>
      </c>
      <c r="D12" s="36" t="s">
        <v>1288</v>
      </c>
      <c r="E12" s="37"/>
      <c r="F12" s="37"/>
      <c r="G12" s="37"/>
      <c r="H12" s="37"/>
      <c r="I12" s="37"/>
      <c r="J12" s="37"/>
      <c r="K12" s="37"/>
      <c r="L12" s="37"/>
      <c r="M12" s="37"/>
      <c r="N12" s="38"/>
      <c r="O12" s="38"/>
      <c r="P12" s="38"/>
      <c r="Q12" s="38"/>
      <c r="R12" s="38"/>
      <c r="S12" s="39"/>
    </row>
    <row r="13" spans="1:28" x14ac:dyDescent="0.2">
      <c r="A13" s="33"/>
      <c r="B13" s="40"/>
      <c r="C13" s="338"/>
      <c r="D13" s="339"/>
      <c r="E13" s="339"/>
      <c r="F13" s="339"/>
      <c r="G13" s="339"/>
      <c r="H13" s="339"/>
      <c r="I13" s="339"/>
      <c r="J13" s="339"/>
      <c r="K13" s="339"/>
      <c r="L13" s="339"/>
      <c r="M13" s="340"/>
      <c r="N13" s="38"/>
      <c r="O13" s="38"/>
      <c r="P13" s="38"/>
      <c r="Q13" s="38"/>
      <c r="R13" s="38"/>
      <c r="S13" s="39"/>
      <c r="T13" s="33"/>
      <c r="U13" s="33"/>
      <c r="V13" s="33"/>
      <c r="W13" s="33"/>
      <c r="X13" s="33"/>
      <c r="Y13" s="33"/>
      <c r="Z13" s="33"/>
      <c r="AA13" s="33"/>
      <c r="AB13" s="33"/>
    </row>
    <row r="14" spans="1:28" x14ac:dyDescent="0.2">
      <c r="A14" s="33"/>
      <c r="B14" s="40"/>
      <c r="C14" s="41" t="s">
        <v>1289</v>
      </c>
      <c r="D14" s="324" t="s">
        <v>1290</v>
      </c>
      <c r="E14" s="325"/>
      <c r="F14" s="325"/>
      <c r="G14" s="325"/>
      <c r="H14" s="325"/>
      <c r="I14" s="325"/>
      <c r="J14" s="325"/>
      <c r="K14" s="325"/>
      <c r="L14" s="326"/>
      <c r="M14" s="182">
        <v>4110</v>
      </c>
      <c r="N14" s="38"/>
      <c r="O14" s="38"/>
      <c r="P14" s="38"/>
      <c r="Q14" s="38"/>
      <c r="R14" s="38"/>
      <c r="S14" s="39"/>
      <c r="T14" s="33"/>
      <c r="U14" s="33"/>
      <c r="V14" s="33"/>
      <c r="W14" s="33"/>
      <c r="X14" s="33"/>
      <c r="Y14" s="33"/>
      <c r="Z14" s="33"/>
      <c r="AA14" s="33"/>
      <c r="AB14" s="33"/>
    </row>
    <row r="15" spans="1:28" x14ac:dyDescent="0.2">
      <c r="A15" s="33"/>
      <c r="B15" s="40"/>
      <c r="C15" s="41" t="s">
        <v>1291</v>
      </c>
      <c r="D15" s="341" t="s">
        <v>1526</v>
      </c>
      <c r="E15" s="342"/>
      <c r="F15" s="342"/>
      <c r="G15" s="342"/>
      <c r="H15" s="342"/>
      <c r="I15" s="342"/>
      <c r="J15" s="342"/>
      <c r="K15" s="342"/>
      <c r="L15" s="343"/>
      <c r="M15" s="182">
        <f>J8</f>
        <v>305</v>
      </c>
      <c r="N15" s="38"/>
      <c r="O15" s="38"/>
      <c r="P15" s="38"/>
      <c r="Q15" s="38"/>
      <c r="R15" s="38"/>
      <c r="S15" s="39"/>
      <c r="T15" s="33"/>
      <c r="U15" s="33"/>
      <c r="V15" s="33"/>
      <c r="W15" s="33"/>
      <c r="X15" s="33"/>
      <c r="Y15" s="33"/>
      <c r="Z15" s="33"/>
      <c r="AA15" s="33"/>
      <c r="AB15" s="33"/>
    </row>
    <row r="16" spans="1:28" x14ac:dyDescent="0.2">
      <c r="A16" s="33"/>
      <c r="B16" s="40"/>
      <c r="C16" s="41" t="s">
        <v>1292</v>
      </c>
      <c r="D16" s="344" t="s">
        <v>1637</v>
      </c>
      <c r="E16" s="345"/>
      <c r="F16" s="345"/>
      <c r="G16" s="345"/>
      <c r="H16" s="345"/>
      <c r="I16" s="345"/>
      <c r="J16" s="346"/>
      <c r="K16" s="347" t="s">
        <v>1293</v>
      </c>
      <c r="L16" s="348"/>
      <c r="M16" s="182">
        <f>M14-M15</f>
        <v>3805</v>
      </c>
      <c r="N16" s="38"/>
      <c r="O16" s="38"/>
      <c r="P16" s="38"/>
      <c r="Q16" s="38"/>
      <c r="R16" s="38"/>
      <c r="S16" s="39"/>
      <c r="T16" s="33"/>
      <c r="U16" s="33"/>
      <c r="V16" s="33"/>
      <c r="W16" s="33"/>
      <c r="X16" s="33"/>
      <c r="Y16" s="33"/>
      <c r="Z16" s="33"/>
      <c r="AA16" s="33"/>
      <c r="AB16" s="33"/>
    </row>
    <row r="17" spans="1:28" x14ac:dyDescent="0.2">
      <c r="A17" s="33"/>
      <c r="B17" s="40"/>
      <c r="C17" s="41" t="s">
        <v>1294</v>
      </c>
      <c r="D17" s="324" t="s">
        <v>1295</v>
      </c>
      <c r="E17" s="325"/>
      <c r="F17" s="325"/>
      <c r="G17" s="325"/>
      <c r="H17" s="325"/>
      <c r="I17" s="325"/>
      <c r="J17" s="326"/>
      <c r="K17" s="327" t="s">
        <v>1557</v>
      </c>
      <c r="L17" s="328"/>
      <c r="M17" s="183">
        <f>M16/8</f>
        <v>475.625</v>
      </c>
      <c r="N17" s="38"/>
      <c r="O17" s="38"/>
      <c r="P17" s="38"/>
      <c r="Q17" s="38"/>
      <c r="R17" s="38"/>
      <c r="S17" s="39"/>
      <c r="T17" s="33"/>
      <c r="U17" s="33"/>
      <c r="V17" s="33"/>
      <c r="W17" s="33"/>
      <c r="X17" s="33"/>
      <c r="Y17" s="33"/>
      <c r="Z17" s="33"/>
      <c r="AA17" s="33"/>
      <c r="AB17" s="33"/>
    </row>
    <row r="18" spans="1:28" x14ac:dyDescent="0.2">
      <c r="A18" s="33"/>
      <c r="B18" s="40"/>
      <c r="C18" s="41" t="s">
        <v>1296</v>
      </c>
      <c r="D18" s="324" t="s">
        <v>1297</v>
      </c>
      <c r="E18" s="325"/>
      <c r="F18" s="325"/>
      <c r="G18" s="325"/>
      <c r="H18" s="325"/>
      <c r="I18" s="325"/>
      <c r="J18" s="326"/>
      <c r="K18" s="327" t="s">
        <v>1298</v>
      </c>
      <c r="L18" s="328"/>
      <c r="M18" s="182">
        <f>M17*5</f>
        <v>2378.125</v>
      </c>
      <c r="N18" s="38"/>
      <c r="O18" s="38"/>
      <c r="P18" s="38"/>
      <c r="Q18" s="38"/>
      <c r="R18" s="38"/>
      <c r="S18" s="39"/>
      <c r="T18" s="33"/>
      <c r="U18" s="33"/>
      <c r="V18" s="33"/>
      <c r="W18" s="33"/>
      <c r="X18" s="33"/>
      <c r="Y18" s="33"/>
      <c r="Z18" s="33"/>
      <c r="AA18" s="33"/>
      <c r="AB18" s="33"/>
    </row>
    <row r="19" spans="1:28" x14ac:dyDescent="0.2">
      <c r="A19" s="33"/>
      <c r="B19" s="40"/>
      <c r="C19" s="41" t="s">
        <v>1299</v>
      </c>
      <c r="D19" s="324" t="s">
        <v>1300</v>
      </c>
      <c r="E19" s="325"/>
      <c r="F19" s="325"/>
      <c r="G19" s="325"/>
      <c r="H19" s="325"/>
      <c r="I19" s="325"/>
      <c r="J19" s="326"/>
      <c r="K19" s="327" t="s">
        <v>1301</v>
      </c>
      <c r="L19" s="328"/>
      <c r="M19" s="183">
        <f>M18*0.05</f>
        <v>118.90625</v>
      </c>
      <c r="N19" s="38"/>
      <c r="O19" s="38"/>
      <c r="P19" s="38"/>
      <c r="Q19" s="38"/>
      <c r="R19" s="38"/>
      <c r="S19" s="39"/>
      <c r="T19" s="33"/>
      <c r="U19" s="33"/>
      <c r="V19" s="33"/>
      <c r="W19" s="33"/>
      <c r="X19" s="33"/>
      <c r="Y19" s="33"/>
      <c r="Z19" s="33"/>
      <c r="AA19" s="33"/>
      <c r="AB19" s="33"/>
    </row>
    <row r="20" spans="1:28" x14ac:dyDescent="0.2">
      <c r="A20" s="33"/>
      <c r="B20" s="40"/>
      <c r="C20" s="41" t="s">
        <v>1302</v>
      </c>
      <c r="D20" s="324" t="s">
        <v>1303</v>
      </c>
      <c r="E20" s="325"/>
      <c r="F20" s="325"/>
      <c r="G20" s="325"/>
      <c r="H20" s="325"/>
      <c r="I20" s="325"/>
      <c r="J20" s="326"/>
      <c r="K20" s="327" t="s">
        <v>1304</v>
      </c>
      <c r="L20" s="328"/>
      <c r="M20" s="182">
        <f>M18+M19</f>
        <v>2497.03125</v>
      </c>
      <c r="N20" s="38"/>
      <c r="O20" s="38"/>
      <c r="P20" s="38"/>
      <c r="Q20" s="38"/>
      <c r="R20" s="38"/>
      <c r="S20" s="39"/>
      <c r="T20" s="33"/>
      <c r="U20" s="33"/>
      <c r="V20" s="33"/>
      <c r="W20" s="33"/>
      <c r="X20" s="33"/>
      <c r="Y20" s="33"/>
      <c r="Z20" s="33"/>
      <c r="AA20" s="33"/>
      <c r="AB20" s="33"/>
    </row>
    <row r="21" spans="1:28" x14ac:dyDescent="0.2">
      <c r="A21" s="33"/>
      <c r="B21" s="40"/>
      <c r="C21" s="41" t="s">
        <v>1305</v>
      </c>
      <c r="D21" s="324" t="s">
        <v>1306</v>
      </c>
      <c r="E21" s="325"/>
      <c r="F21" s="325"/>
      <c r="G21" s="325"/>
      <c r="H21" s="325"/>
      <c r="I21" s="325"/>
      <c r="J21" s="326"/>
      <c r="K21" s="327"/>
      <c r="L21" s="328"/>
      <c r="M21" s="182">
        <f>H35</f>
        <v>2529.1722222222224</v>
      </c>
      <c r="N21" s="222"/>
      <c r="O21" s="221"/>
      <c r="P21" s="38"/>
      <c r="Q21" s="38"/>
      <c r="R21" s="38"/>
      <c r="S21" s="39"/>
      <c r="T21" s="33"/>
      <c r="U21" s="33"/>
      <c r="V21" s="33"/>
      <c r="W21" s="33"/>
      <c r="X21" s="33"/>
      <c r="Y21" s="33"/>
      <c r="Z21" s="33"/>
      <c r="AA21" s="33"/>
      <c r="AB21" s="33"/>
    </row>
    <row r="22" spans="1:28" x14ac:dyDescent="0.2">
      <c r="A22" s="33"/>
      <c r="B22" s="40"/>
      <c r="C22" s="41" t="s">
        <v>1307</v>
      </c>
      <c r="D22" s="324" t="s">
        <v>1308</v>
      </c>
      <c r="E22" s="325"/>
      <c r="F22" s="325"/>
      <c r="G22" s="325"/>
      <c r="H22" s="325"/>
      <c r="I22" s="325"/>
      <c r="J22" s="326"/>
      <c r="K22" s="327" t="s">
        <v>1309</v>
      </c>
      <c r="L22" s="328"/>
      <c r="M22" s="210">
        <f>M21/M18</f>
        <v>1.0635152577018543</v>
      </c>
      <c r="N22" s="42"/>
      <c r="O22" s="38"/>
      <c r="P22" s="38"/>
      <c r="Q22" s="38"/>
      <c r="R22" s="38"/>
      <c r="S22" s="39"/>
      <c r="T22" s="33"/>
      <c r="U22" s="33"/>
      <c r="V22" s="33"/>
      <c r="W22" s="33"/>
      <c r="X22" s="33"/>
      <c r="Y22" s="33"/>
      <c r="Z22" s="33"/>
      <c r="AA22" s="33"/>
      <c r="AB22" s="33"/>
    </row>
    <row r="23" spans="1:28" x14ac:dyDescent="0.2">
      <c r="A23" s="33"/>
      <c r="B23" s="40"/>
      <c r="C23" s="41" t="s">
        <v>1310</v>
      </c>
      <c r="D23" s="324" t="s">
        <v>1311</v>
      </c>
      <c r="E23" s="325"/>
      <c r="F23" s="325"/>
      <c r="G23" s="325"/>
      <c r="H23" s="325"/>
      <c r="I23" s="325"/>
      <c r="J23" s="326"/>
      <c r="K23" s="327" t="s">
        <v>1312</v>
      </c>
      <c r="L23" s="328"/>
      <c r="M23" s="223">
        <f>M21/M17</f>
        <v>5.3175762885092723</v>
      </c>
      <c r="N23" s="38"/>
      <c r="O23" s="38"/>
      <c r="P23" s="38"/>
      <c r="Q23" s="38"/>
      <c r="R23" s="38"/>
      <c r="S23" s="39"/>
      <c r="T23" s="33"/>
      <c r="U23" s="33"/>
      <c r="V23" s="33"/>
      <c r="W23" s="33"/>
      <c r="X23" s="33"/>
      <c r="Y23" s="33"/>
      <c r="Z23" s="33"/>
      <c r="AA23" s="33"/>
      <c r="AB23" s="33"/>
    </row>
    <row r="24" spans="1:28" ht="12.75" customHeight="1" x14ac:dyDescent="0.2">
      <c r="A24" s="33"/>
      <c r="B24" s="7"/>
      <c r="C24" s="43"/>
      <c r="D24" s="357"/>
      <c r="E24" s="357"/>
      <c r="F24" s="357"/>
      <c r="G24" s="357"/>
      <c r="H24" s="357"/>
      <c r="I24" s="357"/>
      <c r="J24" s="357"/>
      <c r="K24" s="356"/>
      <c r="L24" s="356"/>
      <c r="M24" s="44"/>
      <c r="N24" s="45"/>
      <c r="O24" s="8"/>
      <c r="P24" s="8"/>
      <c r="Q24" s="8"/>
      <c r="R24" s="8"/>
      <c r="S24" s="9"/>
      <c r="T24" s="33"/>
      <c r="U24" s="33"/>
      <c r="V24" s="33"/>
      <c r="W24" s="33"/>
      <c r="X24" s="33"/>
      <c r="Y24" s="33"/>
      <c r="Z24" s="33"/>
      <c r="AA24" s="33"/>
      <c r="AB24" s="33"/>
    </row>
    <row r="25" spans="1:28" ht="12.75" customHeight="1" x14ac:dyDescent="0.2">
      <c r="B25" s="7"/>
      <c r="C25" s="46"/>
      <c r="D25" s="47"/>
      <c r="E25" s="47"/>
      <c r="F25" s="47"/>
      <c r="G25" s="47"/>
      <c r="H25" s="47"/>
      <c r="I25" s="47"/>
      <c r="J25" s="47"/>
      <c r="K25" s="46"/>
      <c r="L25" s="46"/>
      <c r="M25" s="48"/>
      <c r="N25" s="8"/>
      <c r="O25" s="8"/>
      <c r="P25" s="8"/>
      <c r="Q25" s="8"/>
      <c r="R25" s="8"/>
      <c r="S25" s="9"/>
    </row>
    <row r="26" spans="1:28" ht="12.75" customHeight="1" x14ac:dyDescent="0.2">
      <c r="B26" s="7"/>
      <c r="C26" s="36" t="s">
        <v>1313</v>
      </c>
      <c r="D26" s="36" t="s">
        <v>1306</v>
      </c>
      <c r="E26" s="188"/>
      <c r="F26" s="188"/>
      <c r="G26" s="188"/>
      <c r="H26" s="188"/>
      <c r="I26" s="188"/>
      <c r="J26" s="188"/>
      <c r="K26" s="36" t="s">
        <v>1323</v>
      </c>
      <c r="L26" s="36" t="s">
        <v>1640</v>
      </c>
      <c r="M26" s="189"/>
      <c r="N26" s="189"/>
      <c r="O26" s="189"/>
      <c r="P26" s="189"/>
      <c r="Q26" s="190"/>
      <c r="R26" s="190"/>
      <c r="S26" s="9"/>
    </row>
    <row r="27" spans="1:28" ht="24" customHeight="1" x14ac:dyDescent="0.2">
      <c r="B27" s="49"/>
      <c r="C27" s="349" t="s">
        <v>1314</v>
      </c>
      <c r="D27" s="350"/>
      <c r="E27" s="350"/>
      <c r="F27" s="350"/>
      <c r="G27" s="351"/>
      <c r="H27" s="354" t="s">
        <v>1315</v>
      </c>
      <c r="I27" s="355"/>
      <c r="J27" s="8"/>
      <c r="K27" s="349" t="s">
        <v>1314</v>
      </c>
      <c r="L27" s="350"/>
      <c r="M27" s="350"/>
      <c r="N27" s="350"/>
      <c r="O27" s="350"/>
      <c r="P27" s="351"/>
      <c r="Q27" s="354"/>
      <c r="R27" s="355"/>
      <c r="S27" s="9"/>
    </row>
    <row r="28" spans="1:28" ht="12.75" customHeight="1" x14ac:dyDescent="0.2">
      <c r="B28" s="49"/>
      <c r="C28" s="358" t="s">
        <v>1316</v>
      </c>
      <c r="D28" s="359"/>
      <c r="E28" s="359"/>
      <c r="F28" s="359"/>
      <c r="G28" s="360"/>
      <c r="H28" s="352">
        <f>GETPIVOTDATA("Net Dwellings",Pivot!$B$14)</f>
        <v>140</v>
      </c>
      <c r="I28" s="353"/>
      <c r="J28" s="8"/>
      <c r="K28" s="366" t="s">
        <v>1316</v>
      </c>
      <c r="L28" s="367"/>
      <c r="M28" s="367"/>
      <c r="N28" s="367"/>
      <c r="O28" s="367"/>
      <c r="P28" s="368"/>
      <c r="Q28" s="352">
        <f>GETPIVOTDATA("Net Dwellings",Pivot!$B$14)</f>
        <v>140</v>
      </c>
      <c r="R28" s="353"/>
      <c r="S28" s="9"/>
    </row>
    <row r="29" spans="1:28" x14ac:dyDescent="0.2">
      <c r="B29" s="49"/>
      <c r="C29" s="358" t="s">
        <v>1317</v>
      </c>
      <c r="D29" s="359"/>
      <c r="E29" s="359"/>
      <c r="F29" s="359"/>
      <c r="G29" s="360"/>
      <c r="H29" s="352">
        <f>GETPIVOTDATA("Sum of 2023/24 (1)",Pivot!$H$10)+GETPIVOTDATA("Sum of 2024/25 (2)",Pivot!$H$10)+GETPIVOTDATA("Sum of 2025/26 (3)",Pivot!$H$10)+GETPIVOTDATA("Sum of 2026/27 (4)",Pivot!$H$10)+GETPIVOTDATA("Sum of 2027/28 (5)",Pivot!$H$10)</f>
        <v>743.5</v>
      </c>
      <c r="I29" s="353"/>
      <c r="J29" s="8"/>
      <c r="K29" s="366" t="s">
        <v>1317</v>
      </c>
      <c r="L29" s="367"/>
      <c r="M29" s="367"/>
      <c r="N29" s="367"/>
      <c r="O29" s="367"/>
      <c r="P29" s="368"/>
      <c r="Q29" s="352">
        <f>GETPIVOTDATA("Net Dwellings",Pivot!$B$23)</f>
        <v>875</v>
      </c>
      <c r="R29" s="353"/>
      <c r="S29" s="9"/>
    </row>
    <row r="30" spans="1:28" ht="12.75" customHeight="1" x14ac:dyDescent="0.2">
      <c r="B30" s="51"/>
      <c r="C30" s="358" t="s">
        <v>1318</v>
      </c>
      <c r="D30" s="359"/>
      <c r="E30" s="359"/>
      <c r="F30" s="359"/>
      <c r="G30" s="360"/>
      <c r="H30" s="352">
        <f>GETPIVOTDATA("Net Dwellings",Pivot!$B$32)</f>
        <v>169</v>
      </c>
      <c r="I30" s="353"/>
      <c r="J30" s="8"/>
      <c r="K30" s="366" t="s">
        <v>1318</v>
      </c>
      <c r="L30" s="367"/>
      <c r="M30" s="367"/>
      <c r="N30" s="367"/>
      <c r="O30" s="367"/>
      <c r="P30" s="368"/>
      <c r="Q30" s="352">
        <f>GETPIVOTDATA("Net Dwellings",Pivot!$B$32)</f>
        <v>169</v>
      </c>
      <c r="R30" s="353"/>
      <c r="S30" s="9"/>
    </row>
    <row r="31" spans="1:28" ht="12.75" customHeight="1" x14ac:dyDescent="0.2">
      <c r="A31" s="50"/>
      <c r="B31" s="49"/>
      <c r="C31" s="358" t="s">
        <v>1319</v>
      </c>
      <c r="D31" s="359"/>
      <c r="E31" s="359"/>
      <c r="F31" s="359"/>
      <c r="G31" s="360"/>
      <c r="H31" s="352">
        <f>GETPIVOTDATA("Net Dwellings",Pivot!$B$40)</f>
        <v>42</v>
      </c>
      <c r="I31" s="353"/>
      <c r="J31" s="8"/>
      <c r="K31" s="366" t="s">
        <v>1319</v>
      </c>
      <c r="L31" s="367"/>
      <c r="M31" s="367"/>
      <c r="N31" s="367"/>
      <c r="O31" s="367"/>
      <c r="P31" s="368"/>
      <c r="Q31" s="352">
        <f>GETPIVOTDATA("Net Dwellings",Pivot!$B$40)</f>
        <v>42</v>
      </c>
      <c r="R31" s="353"/>
      <c r="S31" s="9"/>
    </row>
    <row r="32" spans="1:28" ht="12.75" customHeight="1" x14ac:dyDescent="0.2">
      <c r="B32" s="49"/>
      <c r="C32" s="358" t="s">
        <v>1320</v>
      </c>
      <c r="D32" s="359"/>
      <c r="E32" s="359"/>
      <c r="F32" s="359"/>
      <c r="G32" s="360"/>
      <c r="H32" s="352">
        <f>GETPIVOTDATA("Net Dwellings",Pivot!$B$49)</f>
        <v>111</v>
      </c>
      <c r="I32" s="353"/>
      <c r="J32" s="8"/>
      <c r="K32" s="366" t="s">
        <v>1320</v>
      </c>
      <c r="L32" s="367"/>
      <c r="M32" s="367"/>
      <c r="N32" s="367"/>
      <c r="O32" s="367"/>
      <c r="P32" s="368"/>
      <c r="Q32" s="352">
        <f>GETPIVOTDATA("Net Dwellings",Pivot!$B$49)</f>
        <v>111</v>
      </c>
      <c r="R32" s="353"/>
      <c r="S32" s="9"/>
    </row>
    <row r="33" spans="2:19" ht="12.75" customHeight="1" x14ac:dyDescent="0.2">
      <c r="B33" s="49"/>
      <c r="C33" s="358" t="s">
        <v>1638</v>
      </c>
      <c r="D33" s="359"/>
      <c r="E33" s="359"/>
      <c r="F33" s="359"/>
      <c r="G33" s="360"/>
      <c r="H33" s="352">
        <f>SUM('Non-Self-Contained'!AQ2:AQ8)</f>
        <v>156.42222222222222</v>
      </c>
      <c r="I33" s="353"/>
      <c r="J33" s="52"/>
      <c r="K33" s="366" t="s">
        <v>1638</v>
      </c>
      <c r="L33" s="367"/>
      <c r="M33" s="367"/>
      <c r="N33" s="367"/>
      <c r="O33" s="367"/>
      <c r="P33" s="368"/>
      <c r="Q33" s="352">
        <f>H33</f>
        <v>156.42222222222222</v>
      </c>
      <c r="R33" s="353"/>
      <c r="S33" s="9"/>
    </row>
    <row r="34" spans="2:19" ht="12.75" customHeight="1" x14ac:dyDescent="0.2">
      <c r="B34" s="49"/>
      <c r="C34" s="358" t="s">
        <v>1321</v>
      </c>
      <c r="D34" s="359"/>
      <c r="E34" s="359"/>
      <c r="F34" s="359"/>
      <c r="G34" s="360"/>
      <c r="H34" s="352">
        <f>GETPIVOTDATA("2023/2027 Total",Pivot!$E$7)</f>
        <v>1167.25</v>
      </c>
      <c r="I34" s="353"/>
      <c r="J34" s="52"/>
      <c r="K34" s="366" t="s">
        <v>1643</v>
      </c>
      <c r="L34" s="367"/>
      <c r="M34" s="367"/>
      <c r="N34" s="367"/>
      <c r="O34" s="367"/>
      <c r="P34" s="368"/>
      <c r="Q34" s="352">
        <f>GETPIVOTDATA("2023-2033 Total",Pivot!$E$46)</f>
        <v>270</v>
      </c>
      <c r="R34" s="353"/>
      <c r="S34" s="9"/>
    </row>
    <row r="35" spans="2:19" ht="12.75" customHeight="1" x14ac:dyDescent="0.2">
      <c r="B35" s="49"/>
      <c r="C35" s="363" t="s">
        <v>1322</v>
      </c>
      <c r="D35" s="364"/>
      <c r="E35" s="364"/>
      <c r="F35" s="364"/>
      <c r="G35" s="365"/>
      <c r="H35" s="361">
        <f>SUM(H28:I34)</f>
        <v>2529.1722222222224</v>
      </c>
      <c r="I35" s="362"/>
      <c r="J35" s="53"/>
      <c r="K35" s="366" t="s">
        <v>1321</v>
      </c>
      <c r="L35" s="367"/>
      <c r="M35" s="367"/>
      <c r="N35" s="367"/>
      <c r="O35" s="367"/>
      <c r="P35" s="368"/>
      <c r="Q35" s="352">
        <f>GETPIVOTDATA("2023-2033 Total",Pivot!$E$24)</f>
        <v>3170</v>
      </c>
      <c r="R35" s="353"/>
      <c r="S35" s="9"/>
    </row>
    <row r="36" spans="2:19" ht="12.75" customHeight="1" x14ac:dyDescent="0.2">
      <c r="B36" s="7"/>
      <c r="C36" s="54"/>
      <c r="K36" s="363" t="s">
        <v>1641</v>
      </c>
      <c r="L36" s="364"/>
      <c r="M36" s="364"/>
      <c r="N36" s="364"/>
      <c r="O36" s="364"/>
      <c r="P36" s="365"/>
      <c r="Q36" s="361">
        <f>SUM(Q28:R35)</f>
        <v>4933.4222222222224</v>
      </c>
      <c r="R36" s="362"/>
      <c r="S36" s="9"/>
    </row>
    <row r="37" spans="2:19" ht="12.75" customHeight="1" x14ac:dyDescent="0.2">
      <c r="B37" s="7"/>
      <c r="C37" s="55"/>
      <c r="D37" s="56"/>
      <c r="E37" s="56"/>
      <c r="F37" s="57"/>
      <c r="G37" s="57"/>
      <c r="H37" s="57"/>
      <c r="I37" s="57"/>
      <c r="J37" s="57"/>
      <c r="K37" s="57"/>
      <c r="L37" s="57"/>
      <c r="M37" s="57"/>
      <c r="N37" s="58"/>
      <c r="O37" s="58"/>
      <c r="P37" s="58"/>
      <c r="Q37" s="58"/>
      <c r="R37" s="58"/>
      <c r="S37" s="59"/>
    </row>
    <row r="38" spans="2:19" ht="12.75" customHeight="1" x14ac:dyDescent="0.2">
      <c r="B38" s="7"/>
      <c r="C38" s="55"/>
      <c r="D38" s="56"/>
      <c r="E38" s="56"/>
      <c r="F38" s="57"/>
      <c r="G38" s="57"/>
      <c r="H38" s="57"/>
      <c r="I38" s="57"/>
      <c r="J38" s="57"/>
      <c r="K38" s="57"/>
      <c r="L38" s="57"/>
      <c r="M38" s="57"/>
      <c r="N38" s="58"/>
      <c r="O38" s="58"/>
      <c r="P38" s="58"/>
      <c r="Q38" s="58"/>
      <c r="R38" s="58"/>
      <c r="S38" s="59"/>
    </row>
    <row r="39" spans="2:19" x14ac:dyDescent="0.2">
      <c r="B39" s="64"/>
      <c r="C39" s="65"/>
      <c r="D39" s="66"/>
      <c r="E39" s="66"/>
      <c r="F39" s="66"/>
      <c r="G39" s="66"/>
      <c r="H39" s="66"/>
      <c r="I39" s="66"/>
      <c r="J39" s="66"/>
      <c r="K39" s="66"/>
      <c r="L39" s="66"/>
      <c r="M39" s="66"/>
      <c r="N39" s="66"/>
      <c r="O39" s="66"/>
      <c r="P39" s="66"/>
      <c r="Q39" s="66"/>
      <c r="R39" s="66"/>
      <c r="S39" s="67"/>
    </row>
    <row r="40" spans="2:19" x14ac:dyDescent="0.2">
      <c r="B40" s="68"/>
      <c r="C40" s="69"/>
      <c r="D40" s="69"/>
      <c r="E40" s="69"/>
      <c r="F40" s="69"/>
      <c r="G40" s="69"/>
      <c r="H40" s="69"/>
      <c r="I40" s="69"/>
      <c r="J40" s="69"/>
      <c r="K40" s="69"/>
      <c r="L40" s="69"/>
      <c r="M40" s="69"/>
      <c r="N40" s="69"/>
      <c r="O40" s="69"/>
      <c r="P40" s="69"/>
      <c r="Q40" s="69"/>
      <c r="R40" s="69"/>
      <c r="S40" s="70"/>
    </row>
    <row r="41" spans="2:19" x14ac:dyDescent="0.2">
      <c r="B41" s="7"/>
      <c r="C41" s="36" t="s">
        <v>1324</v>
      </c>
      <c r="D41" s="71" t="s">
        <v>1752</v>
      </c>
      <c r="E41" s="72"/>
      <c r="F41" s="72"/>
      <c r="G41" s="72"/>
      <c r="H41" s="72"/>
      <c r="I41" s="72"/>
      <c r="J41" s="72"/>
      <c r="K41" s="72"/>
      <c r="L41" s="72"/>
      <c r="M41" s="58"/>
      <c r="N41" s="58"/>
      <c r="O41" s="58"/>
      <c r="P41" s="58"/>
      <c r="Q41" s="58"/>
      <c r="R41" s="58"/>
      <c r="S41" s="59"/>
    </row>
    <row r="42" spans="2:19" ht="22.5" x14ac:dyDescent="0.2">
      <c r="B42" s="7"/>
      <c r="C42" s="239" t="s">
        <v>1325</v>
      </c>
      <c r="D42" s="239" t="s">
        <v>1326</v>
      </c>
      <c r="E42" s="239" t="s">
        <v>1327</v>
      </c>
      <c r="F42" s="73"/>
      <c r="G42" s="74"/>
      <c r="H42" s="74"/>
      <c r="I42" s="74"/>
      <c r="J42" s="74"/>
      <c r="K42" s="74"/>
      <c r="L42" s="74"/>
      <c r="M42" s="75"/>
      <c r="N42" s="75"/>
      <c r="O42" s="75"/>
      <c r="P42" s="75"/>
      <c r="Q42" s="75"/>
      <c r="R42" s="75"/>
      <c r="S42" s="76"/>
    </row>
    <row r="43" spans="2:19" x14ac:dyDescent="0.2">
      <c r="B43" s="7"/>
      <c r="C43" s="240" t="s">
        <v>1328</v>
      </c>
      <c r="D43" s="226">
        <v>319</v>
      </c>
      <c r="E43" s="226"/>
      <c r="F43" s="77"/>
      <c r="G43" s="72"/>
      <c r="H43" s="72"/>
      <c r="I43" s="72"/>
      <c r="J43" s="72"/>
      <c r="K43" s="72"/>
      <c r="L43" s="72"/>
      <c r="M43" s="58"/>
      <c r="N43" s="58"/>
      <c r="O43" s="58"/>
      <c r="P43" s="58"/>
      <c r="Q43" s="58"/>
      <c r="R43" s="58"/>
      <c r="S43" s="59"/>
    </row>
    <row r="44" spans="2:19" x14ac:dyDescent="0.2">
      <c r="B44" s="7"/>
      <c r="C44" s="240" t="s">
        <v>1329</v>
      </c>
      <c r="D44" s="226">
        <v>246</v>
      </c>
      <c r="E44" s="226"/>
      <c r="F44" s="77"/>
      <c r="G44" s="72"/>
      <c r="H44" s="72"/>
      <c r="I44" s="72"/>
      <c r="J44" s="72"/>
      <c r="K44" s="72"/>
      <c r="L44" s="72"/>
      <c r="M44" s="58"/>
      <c r="N44" s="58"/>
      <c r="O44" s="58"/>
      <c r="P44" s="58"/>
      <c r="Q44" s="58"/>
      <c r="R44" s="58"/>
      <c r="S44" s="59"/>
    </row>
    <row r="45" spans="2:19" ht="12.75" customHeight="1" x14ac:dyDescent="0.2">
      <c r="B45" s="7"/>
      <c r="C45" s="240" t="s">
        <v>1330</v>
      </c>
      <c r="D45" s="226">
        <v>582</v>
      </c>
      <c r="E45" s="226"/>
      <c r="F45" s="77"/>
      <c r="G45" s="72"/>
      <c r="H45" s="72"/>
      <c r="I45" s="72"/>
      <c r="J45" s="72"/>
      <c r="K45" s="72"/>
      <c r="L45" s="72"/>
      <c r="M45" s="58"/>
      <c r="N45" s="58"/>
      <c r="O45" s="58"/>
      <c r="P45" s="58"/>
      <c r="Q45" s="58"/>
      <c r="R45" s="58"/>
      <c r="S45" s="59"/>
    </row>
    <row r="46" spans="2:19" x14ac:dyDescent="0.2">
      <c r="B46" s="7"/>
      <c r="C46" s="240" t="s">
        <v>1331</v>
      </c>
      <c r="D46" s="226">
        <v>842</v>
      </c>
      <c r="E46" s="226"/>
      <c r="F46" s="77"/>
      <c r="G46" s="72"/>
      <c r="H46" s="72"/>
      <c r="I46" s="72"/>
      <c r="J46" s="72"/>
      <c r="K46" s="72"/>
      <c r="L46" s="72"/>
      <c r="M46" s="58"/>
      <c r="N46" s="58"/>
      <c r="O46" s="58"/>
      <c r="P46" s="58"/>
      <c r="Q46" s="58"/>
      <c r="R46" s="58"/>
      <c r="S46" s="59"/>
    </row>
    <row r="47" spans="2:19" x14ac:dyDescent="0.2">
      <c r="B47" s="7"/>
      <c r="C47" s="240" t="s">
        <v>1332</v>
      </c>
      <c r="D47" s="226">
        <v>230</v>
      </c>
      <c r="E47" s="227">
        <f>AVERAGE(D43:D47)</f>
        <v>443.8</v>
      </c>
      <c r="F47" s="77"/>
      <c r="G47" s="72"/>
      <c r="H47" s="72"/>
      <c r="I47" s="72"/>
      <c r="J47" s="72"/>
      <c r="K47" s="72"/>
      <c r="L47" s="72"/>
      <c r="M47" s="58"/>
      <c r="N47" s="58"/>
      <c r="O47" s="58"/>
      <c r="P47" s="58"/>
      <c r="Q47" s="58"/>
      <c r="R47" s="58"/>
      <c r="S47" s="59"/>
    </row>
    <row r="48" spans="2:19" x14ac:dyDescent="0.2">
      <c r="B48" s="7"/>
      <c r="C48" s="240" t="s">
        <v>1333</v>
      </c>
      <c r="D48" s="226">
        <v>260</v>
      </c>
      <c r="E48" s="227">
        <f t="shared" ref="E48:E62" si="0">AVERAGE(D44:D48)</f>
        <v>432</v>
      </c>
      <c r="F48" s="77"/>
      <c r="G48" s="72"/>
      <c r="H48" s="72"/>
      <c r="I48" s="72"/>
      <c r="J48" s="72"/>
      <c r="K48" s="72"/>
      <c r="L48" s="72"/>
      <c r="M48" s="58"/>
      <c r="N48" s="58"/>
      <c r="O48" s="58"/>
      <c r="P48" s="58"/>
      <c r="Q48" s="58"/>
      <c r="R48" s="58"/>
      <c r="S48" s="59"/>
    </row>
    <row r="49" spans="2:19" x14ac:dyDescent="0.2">
      <c r="B49" s="7"/>
      <c r="C49" s="240" t="s">
        <v>1334</v>
      </c>
      <c r="D49" s="226">
        <v>436</v>
      </c>
      <c r="E49" s="227">
        <f t="shared" si="0"/>
        <v>470</v>
      </c>
      <c r="F49" s="77"/>
      <c r="G49" s="72"/>
      <c r="H49" s="72"/>
      <c r="I49" s="72"/>
      <c r="J49" s="72"/>
      <c r="K49" s="72"/>
      <c r="L49" s="72"/>
      <c r="M49" s="58"/>
      <c r="N49" s="58"/>
      <c r="O49" s="58"/>
      <c r="P49" s="58"/>
      <c r="Q49" s="58"/>
      <c r="R49" s="58"/>
      <c r="S49" s="59"/>
    </row>
    <row r="50" spans="2:19" x14ac:dyDescent="0.2">
      <c r="B50" s="7"/>
      <c r="C50" s="240" t="s">
        <v>1335</v>
      </c>
      <c r="D50" s="226">
        <v>145</v>
      </c>
      <c r="E50" s="227">
        <f t="shared" si="0"/>
        <v>382.6</v>
      </c>
      <c r="F50" s="77"/>
      <c r="G50" s="72"/>
      <c r="H50" s="72"/>
      <c r="I50" s="72"/>
      <c r="J50" s="72"/>
      <c r="K50" s="72"/>
      <c r="L50" s="72"/>
      <c r="M50" s="58"/>
      <c r="N50" s="58"/>
      <c r="O50" s="58"/>
      <c r="P50" s="58"/>
      <c r="Q50" s="58"/>
      <c r="R50" s="58"/>
      <c r="S50" s="59"/>
    </row>
    <row r="51" spans="2:19" x14ac:dyDescent="0.2">
      <c r="B51" s="7"/>
      <c r="C51" s="240" t="s">
        <v>1336</v>
      </c>
      <c r="D51" s="226">
        <v>399</v>
      </c>
      <c r="E51" s="227">
        <f t="shared" si="0"/>
        <v>294</v>
      </c>
      <c r="F51" s="77"/>
      <c r="G51" s="72"/>
      <c r="H51" s="72"/>
      <c r="I51" s="72"/>
      <c r="J51" s="72"/>
      <c r="K51" s="72"/>
      <c r="L51" s="72"/>
      <c r="M51" s="58"/>
      <c r="N51" s="58"/>
      <c r="O51" s="58"/>
      <c r="P51" s="58"/>
      <c r="Q51" s="58"/>
      <c r="R51" s="58"/>
      <c r="S51" s="59"/>
    </row>
    <row r="52" spans="2:19" x14ac:dyDescent="0.2">
      <c r="B52" s="7"/>
      <c r="C52" s="240" t="s">
        <v>1337</v>
      </c>
      <c r="D52" s="226">
        <v>208</v>
      </c>
      <c r="E52" s="227">
        <f t="shared" si="0"/>
        <v>289.60000000000002</v>
      </c>
      <c r="F52" s="77"/>
      <c r="G52" s="72"/>
      <c r="H52" s="72"/>
      <c r="I52" s="72"/>
      <c r="J52" s="72"/>
      <c r="K52" s="72"/>
      <c r="L52" s="72"/>
      <c r="M52" s="58"/>
      <c r="N52" s="58"/>
      <c r="O52" s="58"/>
      <c r="P52" s="58"/>
      <c r="Q52" s="58"/>
      <c r="R52" s="58"/>
      <c r="S52" s="59"/>
    </row>
    <row r="53" spans="2:19" x14ac:dyDescent="0.2">
      <c r="B53" s="7"/>
      <c r="C53" s="240" t="s">
        <v>1338</v>
      </c>
      <c r="D53" s="226">
        <v>695</v>
      </c>
      <c r="E53" s="227">
        <f t="shared" si="0"/>
        <v>376.6</v>
      </c>
      <c r="F53" s="77"/>
      <c r="G53" s="72"/>
      <c r="H53" s="72"/>
      <c r="I53" s="72"/>
      <c r="J53" s="72"/>
      <c r="K53" s="72"/>
      <c r="L53" s="72"/>
      <c r="M53" s="58"/>
      <c r="N53" s="58"/>
      <c r="O53" s="58"/>
      <c r="P53" s="58"/>
      <c r="Q53" s="58"/>
      <c r="R53" s="58"/>
      <c r="S53" s="59"/>
    </row>
    <row r="54" spans="2:19" x14ac:dyDescent="0.2">
      <c r="B54" s="7"/>
      <c r="C54" s="240" t="s">
        <v>1339</v>
      </c>
      <c r="D54" s="226">
        <v>235</v>
      </c>
      <c r="E54" s="227">
        <f t="shared" si="0"/>
        <v>336.4</v>
      </c>
      <c r="F54" s="77"/>
      <c r="G54" s="55"/>
      <c r="H54" s="72"/>
      <c r="I54" s="72"/>
      <c r="J54" s="72"/>
      <c r="K54" s="72"/>
      <c r="L54" s="72"/>
      <c r="M54" s="58"/>
      <c r="N54" s="58"/>
      <c r="O54" s="58"/>
      <c r="P54" s="58"/>
      <c r="Q54" s="58"/>
      <c r="R54" s="58"/>
      <c r="S54" s="59"/>
    </row>
    <row r="55" spans="2:19" x14ac:dyDescent="0.2">
      <c r="B55" s="7"/>
      <c r="C55" s="240" t="s">
        <v>1340</v>
      </c>
      <c r="D55" s="226">
        <v>304</v>
      </c>
      <c r="E55" s="227">
        <f t="shared" si="0"/>
        <v>368.2</v>
      </c>
      <c r="F55" s="78"/>
      <c r="S55" s="79"/>
    </row>
    <row r="56" spans="2:19" x14ac:dyDescent="0.2">
      <c r="B56" s="7"/>
      <c r="C56" s="240" t="s">
        <v>1341</v>
      </c>
      <c r="D56" s="226">
        <v>491</v>
      </c>
      <c r="E56" s="227">
        <f t="shared" si="0"/>
        <v>386.6</v>
      </c>
      <c r="F56" s="78"/>
      <c r="S56" s="79"/>
    </row>
    <row r="57" spans="2:19" x14ac:dyDescent="0.2">
      <c r="B57" s="7"/>
      <c r="C57" s="240" t="s">
        <v>1342</v>
      </c>
      <c r="D57" s="226">
        <v>460</v>
      </c>
      <c r="E57" s="227">
        <f t="shared" si="0"/>
        <v>437</v>
      </c>
      <c r="F57" s="78"/>
      <c r="S57" s="79"/>
    </row>
    <row r="58" spans="2:19" x14ac:dyDescent="0.2">
      <c r="B58" s="7"/>
      <c r="C58" s="240" t="s">
        <v>1343</v>
      </c>
      <c r="D58" s="226">
        <v>382</v>
      </c>
      <c r="E58" s="227">
        <f t="shared" si="0"/>
        <v>374.4</v>
      </c>
      <c r="F58" s="78"/>
      <c r="S58" s="79"/>
    </row>
    <row r="59" spans="2:19" x14ac:dyDescent="0.2">
      <c r="B59" s="7"/>
      <c r="C59" s="240" t="s">
        <v>1344</v>
      </c>
      <c r="D59" s="226">
        <v>419</v>
      </c>
      <c r="E59" s="227">
        <f t="shared" si="0"/>
        <v>411.2</v>
      </c>
      <c r="F59" s="78"/>
      <c r="S59" s="79"/>
    </row>
    <row r="60" spans="2:19" x14ac:dyDescent="0.2">
      <c r="B60" s="7"/>
      <c r="C60" s="240" t="s">
        <v>1345</v>
      </c>
      <c r="D60" s="226">
        <v>331</v>
      </c>
      <c r="E60" s="227">
        <f t="shared" si="0"/>
        <v>416.6</v>
      </c>
      <c r="F60" s="78"/>
      <c r="S60" s="79"/>
    </row>
    <row r="61" spans="2:19" x14ac:dyDescent="0.2">
      <c r="B61" s="7"/>
      <c r="C61" s="240" t="s">
        <v>1346</v>
      </c>
      <c r="D61" s="226">
        <v>206</v>
      </c>
      <c r="E61" s="227">
        <f t="shared" si="0"/>
        <v>359.6</v>
      </c>
      <c r="F61" s="78"/>
      <c r="S61" s="79"/>
    </row>
    <row r="62" spans="2:19" x14ac:dyDescent="0.2">
      <c r="B62" s="7"/>
      <c r="C62" s="240" t="s">
        <v>1286</v>
      </c>
      <c r="D62" s="226">
        <v>164</v>
      </c>
      <c r="E62" s="227">
        <f t="shared" si="0"/>
        <v>300.39999999999998</v>
      </c>
      <c r="S62" s="79"/>
    </row>
    <row r="63" spans="2:19" x14ac:dyDescent="0.2">
      <c r="B63" s="7"/>
      <c r="C63" s="241" t="s">
        <v>1523</v>
      </c>
      <c r="D63" s="228">
        <f>I8</f>
        <v>141</v>
      </c>
      <c r="E63" s="228">
        <f>AVERAGE(D59:D63)</f>
        <v>252.2</v>
      </c>
      <c r="F63" s="80"/>
      <c r="G63" s="81"/>
      <c r="J63" s="60"/>
      <c r="K63" s="60"/>
      <c r="L63" s="60"/>
      <c r="M63" s="60"/>
      <c r="N63" s="60"/>
      <c r="O63" s="60"/>
      <c r="P63" s="60"/>
      <c r="Q63" s="60"/>
      <c r="S63" s="79"/>
    </row>
    <row r="64" spans="2:19" x14ac:dyDescent="0.2">
      <c r="B64" s="7"/>
      <c r="C64" s="225"/>
      <c r="D64" s="230"/>
      <c r="E64" s="230"/>
      <c r="F64" s="80"/>
      <c r="G64" s="81"/>
      <c r="J64" s="60"/>
      <c r="K64" s="60"/>
      <c r="L64" s="60"/>
      <c r="M64" s="60"/>
      <c r="N64" s="60"/>
      <c r="O64" s="60"/>
      <c r="P64" s="60"/>
      <c r="Q64" s="60"/>
      <c r="S64" s="79"/>
    </row>
    <row r="65" spans="2:19" x14ac:dyDescent="0.2">
      <c r="B65" s="7"/>
      <c r="C65" s="80"/>
      <c r="D65" s="229"/>
      <c r="E65" s="80"/>
      <c r="F65" s="80"/>
      <c r="G65" s="81"/>
      <c r="J65" s="60"/>
      <c r="K65" s="60"/>
      <c r="L65" s="60"/>
      <c r="M65" s="60"/>
      <c r="N65" s="60"/>
      <c r="O65" s="60"/>
      <c r="P65" s="60"/>
      <c r="Q65" s="60"/>
      <c r="S65" s="79"/>
    </row>
    <row r="66" spans="2:19" x14ac:dyDescent="0.2">
      <c r="B66" s="64"/>
      <c r="C66" s="17"/>
      <c r="D66" s="17"/>
      <c r="E66" s="17"/>
      <c r="F66" s="17"/>
      <c r="G66" s="17"/>
      <c r="H66" s="17"/>
      <c r="I66" s="17"/>
      <c r="J66" s="17"/>
      <c r="K66" s="17"/>
      <c r="L66" s="17"/>
      <c r="M66" s="17"/>
      <c r="N66" s="17"/>
      <c r="O66" s="17"/>
      <c r="P66" s="17"/>
      <c r="Q66" s="17"/>
      <c r="R66" s="82"/>
      <c r="S66" s="83"/>
    </row>
    <row r="67" spans="2:19" x14ac:dyDescent="0.2">
      <c r="B67" s="68"/>
      <c r="C67" s="5"/>
      <c r="D67" s="5"/>
      <c r="E67" s="5"/>
      <c r="F67" s="5"/>
      <c r="G67" s="5"/>
      <c r="H67" s="5"/>
      <c r="I67" s="5"/>
      <c r="J67" s="5"/>
      <c r="K67" s="5"/>
      <c r="L67" s="5"/>
      <c r="M67" s="5"/>
      <c r="N67" s="5"/>
      <c r="O67" s="5"/>
      <c r="P67" s="5"/>
      <c r="Q67" s="5"/>
      <c r="R67" s="3"/>
      <c r="S67" s="84"/>
    </row>
    <row r="68" spans="2:19" ht="20.25" x14ac:dyDescent="0.3">
      <c r="B68" s="7"/>
      <c r="C68" s="85" t="s">
        <v>1326</v>
      </c>
      <c r="D68" s="60"/>
      <c r="E68" s="60"/>
      <c r="F68" s="60"/>
      <c r="G68" s="60"/>
      <c r="H68" s="60"/>
      <c r="I68" s="60"/>
      <c r="J68" s="60"/>
      <c r="K68" s="60"/>
      <c r="L68" s="60"/>
      <c r="M68" s="60"/>
      <c r="N68" s="60"/>
      <c r="O68" s="60"/>
      <c r="P68" s="60"/>
      <c r="Q68" s="60"/>
      <c r="S68" s="79"/>
    </row>
    <row r="69" spans="2:19" x14ac:dyDescent="0.2">
      <c r="B69" s="7"/>
      <c r="C69" s="61"/>
      <c r="D69" s="61"/>
      <c r="E69" s="61"/>
      <c r="F69" s="61"/>
      <c r="G69" s="61"/>
      <c r="H69" s="61"/>
      <c r="I69" s="61"/>
      <c r="J69" s="61"/>
      <c r="K69" s="61"/>
      <c r="L69" s="61"/>
      <c r="M69" s="61"/>
      <c r="N69" s="61"/>
      <c r="O69" s="61"/>
      <c r="P69" s="61"/>
      <c r="Q69" s="61"/>
      <c r="S69" s="79"/>
    </row>
    <row r="70" spans="2:19" x14ac:dyDescent="0.2">
      <c r="B70" s="7"/>
      <c r="C70" s="36" t="s">
        <v>1347</v>
      </c>
      <c r="D70" s="36" t="s">
        <v>1348</v>
      </c>
      <c r="E70" s="60"/>
      <c r="F70" s="60"/>
      <c r="G70" s="60"/>
      <c r="H70" s="60"/>
      <c r="I70" s="60"/>
      <c r="J70" s="60"/>
      <c r="K70" s="60"/>
      <c r="L70" s="60"/>
      <c r="M70" s="60"/>
      <c r="N70" s="60"/>
      <c r="O70" s="60"/>
      <c r="P70" s="60"/>
      <c r="Q70" s="60"/>
      <c r="S70" s="79"/>
    </row>
    <row r="71" spans="2:19" x14ac:dyDescent="0.2">
      <c r="B71" s="49"/>
      <c r="C71" s="372" t="s">
        <v>1325</v>
      </c>
      <c r="D71" s="373" t="s">
        <v>1349</v>
      </c>
      <c r="E71" s="374"/>
      <c r="F71" s="373" t="s">
        <v>1350</v>
      </c>
      <c r="G71" s="374"/>
      <c r="H71" s="375" t="s">
        <v>1351</v>
      </c>
      <c r="I71" s="60"/>
      <c r="J71" s="60"/>
      <c r="K71" s="60"/>
      <c r="L71" s="60"/>
      <c r="M71" s="60"/>
      <c r="S71" s="79"/>
    </row>
    <row r="72" spans="2:19" x14ac:dyDescent="0.2">
      <c r="B72" s="49"/>
      <c r="C72" s="372"/>
      <c r="D72" s="86" t="s">
        <v>1352</v>
      </c>
      <c r="E72" s="86" t="s">
        <v>1353</v>
      </c>
      <c r="F72" s="86" t="s">
        <v>1352</v>
      </c>
      <c r="G72" s="86" t="s">
        <v>1353</v>
      </c>
      <c r="H72" s="376"/>
      <c r="I72" s="60"/>
      <c r="J72" s="60"/>
      <c r="K72" s="60"/>
      <c r="L72" s="60"/>
      <c r="M72" s="60"/>
      <c r="S72" s="79"/>
    </row>
    <row r="73" spans="2:19" x14ac:dyDescent="0.2">
      <c r="B73" s="49"/>
      <c r="C73" s="87" t="s">
        <v>1331</v>
      </c>
      <c r="D73" s="88">
        <v>611</v>
      </c>
      <c r="E73" s="89">
        <f t="shared" ref="E73:E86" si="1">D73/H73</f>
        <v>0.72565320665083133</v>
      </c>
      <c r="F73" s="88">
        <v>231</v>
      </c>
      <c r="G73" s="89">
        <f t="shared" ref="G73:G86" si="2">F73/H73</f>
        <v>0.27434679334916867</v>
      </c>
      <c r="H73" s="88">
        <v>842</v>
      </c>
      <c r="I73" s="60"/>
      <c r="J73" s="60"/>
      <c r="K73" s="60"/>
      <c r="L73" s="60"/>
      <c r="M73" s="60"/>
      <c r="S73" s="79"/>
    </row>
    <row r="74" spans="2:19" x14ac:dyDescent="0.2">
      <c r="B74" s="49"/>
      <c r="C74" s="87" t="s">
        <v>1332</v>
      </c>
      <c r="D74" s="88">
        <v>192</v>
      </c>
      <c r="E74" s="89">
        <f t="shared" si="1"/>
        <v>0.83478260869565213</v>
      </c>
      <c r="F74" s="88">
        <v>38</v>
      </c>
      <c r="G74" s="89">
        <f t="shared" si="2"/>
        <v>0.16521739130434782</v>
      </c>
      <c r="H74" s="88">
        <f t="shared" ref="H74:H83" si="3">F74+D74</f>
        <v>230</v>
      </c>
      <c r="I74" s="60"/>
      <c r="J74" s="60"/>
      <c r="K74" s="60"/>
      <c r="L74" s="60"/>
      <c r="M74" s="60"/>
      <c r="S74" s="79"/>
    </row>
    <row r="75" spans="2:19" x14ac:dyDescent="0.2">
      <c r="B75" s="49"/>
      <c r="C75" s="87" t="s">
        <v>1333</v>
      </c>
      <c r="D75" s="88">
        <v>257</v>
      </c>
      <c r="E75" s="89">
        <f t="shared" si="1"/>
        <v>0.9884615384615385</v>
      </c>
      <c r="F75" s="88">
        <v>3</v>
      </c>
      <c r="G75" s="89">
        <f t="shared" si="2"/>
        <v>1.1538461538461539E-2</v>
      </c>
      <c r="H75" s="88">
        <f t="shared" si="3"/>
        <v>260</v>
      </c>
      <c r="I75" s="60"/>
      <c r="J75" s="60"/>
      <c r="K75" s="60"/>
      <c r="L75" s="60"/>
      <c r="M75" s="60"/>
      <c r="S75" s="79"/>
    </row>
    <row r="76" spans="2:19" x14ac:dyDescent="0.2">
      <c r="B76" s="49"/>
      <c r="C76" s="87" t="s">
        <v>1334</v>
      </c>
      <c r="D76" s="88">
        <v>338</v>
      </c>
      <c r="E76" s="89">
        <f t="shared" si="1"/>
        <v>0.77522935779816515</v>
      </c>
      <c r="F76" s="88">
        <v>98</v>
      </c>
      <c r="G76" s="89">
        <f t="shared" si="2"/>
        <v>0.22477064220183487</v>
      </c>
      <c r="H76" s="88">
        <f t="shared" si="3"/>
        <v>436</v>
      </c>
      <c r="I76" s="60"/>
      <c r="J76" s="60"/>
      <c r="K76" s="60"/>
      <c r="L76" s="60"/>
      <c r="M76" s="60"/>
      <c r="S76" s="79"/>
    </row>
    <row r="77" spans="2:19" x14ac:dyDescent="0.2">
      <c r="B77" s="49"/>
      <c r="C77" s="87" t="s">
        <v>1335</v>
      </c>
      <c r="D77" s="88">
        <v>145</v>
      </c>
      <c r="E77" s="89">
        <f t="shared" si="1"/>
        <v>1</v>
      </c>
      <c r="F77" s="88">
        <v>0</v>
      </c>
      <c r="G77" s="89">
        <f t="shared" si="2"/>
        <v>0</v>
      </c>
      <c r="H77" s="88">
        <f t="shared" si="3"/>
        <v>145</v>
      </c>
      <c r="I77" s="60"/>
      <c r="J77" s="60"/>
      <c r="K77" s="60"/>
      <c r="L77" s="60"/>
      <c r="M77" s="60"/>
      <c r="S77" s="79"/>
    </row>
    <row r="78" spans="2:19" x14ac:dyDescent="0.2">
      <c r="B78" s="49"/>
      <c r="C78" s="87" t="s">
        <v>1336</v>
      </c>
      <c r="D78" s="88">
        <v>273</v>
      </c>
      <c r="E78" s="89">
        <f t="shared" si="1"/>
        <v>0.68421052631578949</v>
      </c>
      <c r="F78" s="88">
        <v>126</v>
      </c>
      <c r="G78" s="89">
        <f t="shared" si="2"/>
        <v>0.31578947368421051</v>
      </c>
      <c r="H78" s="88">
        <f t="shared" si="3"/>
        <v>399</v>
      </c>
      <c r="I78" s="60"/>
      <c r="J78" s="60"/>
      <c r="K78" s="60"/>
      <c r="L78" s="60"/>
      <c r="M78" s="60"/>
      <c r="S78" s="79"/>
    </row>
    <row r="79" spans="2:19" x14ac:dyDescent="0.2">
      <c r="B79" s="49"/>
      <c r="C79" s="87" t="s">
        <v>1337</v>
      </c>
      <c r="D79" s="88">
        <v>133</v>
      </c>
      <c r="E79" s="89">
        <f t="shared" si="1"/>
        <v>0.63942307692307687</v>
      </c>
      <c r="F79" s="88">
        <v>75</v>
      </c>
      <c r="G79" s="89">
        <f t="shared" si="2"/>
        <v>0.36057692307692307</v>
      </c>
      <c r="H79" s="88">
        <f t="shared" si="3"/>
        <v>208</v>
      </c>
      <c r="I79" s="60"/>
      <c r="J79" s="60"/>
      <c r="K79" s="60"/>
      <c r="L79" s="60"/>
      <c r="M79" s="60"/>
      <c r="S79" s="79"/>
    </row>
    <row r="80" spans="2:19" x14ac:dyDescent="0.2">
      <c r="B80" s="49"/>
      <c r="C80" s="87" t="s">
        <v>1338</v>
      </c>
      <c r="D80" s="88">
        <v>468</v>
      </c>
      <c r="E80" s="89">
        <f t="shared" si="1"/>
        <v>0.67338129496402876</v>
      </c>
      <c r="F80" s="88">
        <v>227</v>
      </c>
      <c r="G80" s="89">
        <f t="shared" si="2"/>
        <v>0.32661870503597124</v>
      </c>
      <c r="H80" s="88">
        <f t="shared" si="3"/>
        <v>695</v>
      </c>
      <c r="I80" s="60"/>
      <c r="J80" s="60"/>
      <c r="K80" s="60"/>
      <c r="L80" s="60"/>
      <c r="M80" s="60"/>
      <c r="S80" s="79"/>
    </row>
    <row r="81" spans="2:28" x14ac:dyDescent="0.2">
      <c r="B81" s="49"/>
      <c r="C81" s="90" t="s">
        <v>1339</v>
      </c>
      <c r="D81" s="88">
        <v>202</v>
      </c>
      <c r="E81" s="89">
        <f t="shared" si="1"/>
        <v>0.8595744680851064</v>
      </c>
      <c r="F81" s="88">
        <v>33</v>
      </c>
      <c r="G81" s="89">
        <f t="shared" si="2"/>
        <v>0.14042553191489363</v>
      </c>
      <c r="H81" s="88">
        <f t="shared" si="3"/>
        <v>235</v>
      </c>
      <c r="I81" s="61"/>
      <c r="J81" s="61"/>
      <c r="K81" s="61"/>
      <c r="L81" s="61"/>
      <c r="M81" s="61"/>
      <c r="S81" s="79"/>
      <c r="V81" s="10"/>
      <c r="W81" s="10"/>
      <c r="X81" s="15"/>
      <c r="Y81" s="15"/>
      <c r="Z81" s="15"/>
      <c r="AA81" s="15"/>
      <c r="AB81" s="15"/>
    </row>
    <row r="82" spans="2:28" x14ac:dyDescent="0.2">
      <c r="B82" s="49"/>
      <c r="C82" s="90" t="s">
        <v>1340</v>
      </c>
      <c r="D82" s="88">
        <v>298</v>
      </c>
      <c r="E82" s="89">
        <f t="shared" si="1"/>
        <v>0.98026315789473684</v>
      </c>
      <c r="F82" s="92">
        <v>6</v>
      </c>
      <c r="G82" s="89">
        <f t="shared" si="2"/>
        <v>1.9736842105263157E-2</v>
      </c>
      <c r="H82" s="88">
        <f t="shared" si="3"/>
        <v>304</v>
      </c>
      <c r="I82" s="61"/>
      <c r="J82" s="61"/>
      <c r="K82" s="61"/>
      <c r="L82" s="61"/>
      <c r="M82" s="61"/>
      <c r="S82" s="79"/>
      <c r="V82" s="377"/>
      <c r="W82" s="371"/>
      <c r="X82" s="371"/>
      <c r="Y82" s="371"/>
      <c r="Z82" s="371"/>
      <c r="AA82" s="371"/>
      <c r="AB82" s="371"/>
    </row>
    <row r="83" spans="2:28" ht="12.75" customHeight="1" x14ac:dyDescent="0.2">
      <c r="B83" s="49"/>
      <c r="C83" s="87" t="s">
        <v>1341</v>
      </c>
      <c r="D83" s="88">
        <v>392</v>
      </c>
      <c r="E83" s="89">
        <f t="shared" si="1"/>
        <v>0.79837067209775969</v>
      </c>
      <c r="F83" s="88">
        <v>99</v>
      </c>
      <c r="G83" s="89">
        <f t="shared" si="2"/>
        <v>0.20162932790224034</v>
      </c>
      <c r="H83" s="88">
        <f t="shared" si="3"/>
        <v>491</v>
      </c>
      <c r="I83" s="61"/>
      <c r="J83" s="61"/>
      <c r="K83" s="61"/>
      <c r="L83" s="61"/>
      <c r="M83" s="61"/>
      <c r="S83" s="79"/>
      <c r="V83" s="377"/>
      <c r="W83" s="91"/>
      <c r="X83" s="91"/>
      <c r="Y83" s="91"/>
      <c r="Z83" s="91"/>
      <c r="AA83" s="91"/>
      <c r="AB83" s="91"/>
    </row>
    <row r="84" spans="2:28" ht="12.75" customHeight="1" x14ac:dyDescent="0.2">
      <c r="B84" s="49"/>
      <c r="C84" s="90" t="s">
        <v>1342</v>
      </c>
      <c r="D84" s="88">
        <v>398</v>
      </c>
      <c r="E84" s="89">
        <f t="shared" si="1"/>
        <v>0.86521739130434783</v>
      </c>
      <c r="F84" s="92">
        <v>62</v>
      </c>
      <c r="G84" s="89">
        <f t="shared" si="2"/>
        <v>0.13478260869565217</v>
      </c>
      <c r="H84" s="88">
        <v>460</v>
      </c>
      <c r="I84" s="61"/>
      <c r="J84" s="61"/>
      <c r="K84" s="61"/>
      <c r="L84" s="61"/>
      <c r="M84" s="61"/>
      <c r="S84" s="79"/>
      <c r="U84" s="93"/>
      <c r="V84" s="94"/>
      <c r="W84" s="95"/>
      <c r="X84" s="95"/>
      <c r="Y84" s="95"/>
      <c r="Z84" s="95"/>
      <c r="AA84" s="95"/>
      <c r="AB84" s="95"/>
    </row>
    <row r="85" spans="2:28" ht="12.75" customHeight="1" x14ac:dyDescent="0.2">
      <c r="B85" s="49"/>
      <c r="C85" s="90" t="s">
        <v>1343</v>
      </c>
      <c r="D85" s="88">
        <v>341</v>
      </c>
      <c r="E85" s="89">
        <f t="shared" si="1"/>
        <v>0.89267015706806285</v>
      </c>
      <c r="F85" s="92">
        <v>41</v>
      </c>
      <c r="G85" s="89">
        <f t="shared" si="2"/>
        <v>0.10732984293193717</v>
      </c>
      <c r="H85" s="88">
        <f t="shared" ref="H85:H90" si="4">F85+D85</f>
        <v>382</v>
      </c>
      <c r="I85" s="61"/>
      <c r="J85" s="61"/>
      <c r="K85" s="61"/>
      <c r="L85" s="61"/>
      <c r="M85" s="61"/>
      <c r="S85" s="79"/>
      <c r="V85" s="94"/>
      <c r="W85" s="95"/>
      <c r="X85" s="95"/>
      <c r="Y85" s="95"/>
      <c r="Z85" s="95"/>
      <c r="AA85" s="95"/>
      <c r="AB85" s="95"/>
    </row>
    <row r="86" spans="2:28" x14ac:dyDescent="0.2">
      <c r="B86" s="49"/>
      <c r="C86" s="90" t="s">
        <v>1344</v>
      </c>
      <c r="D86" s="88">
        <v>349</v>
      </c>
      <c r="E86" s="89">
        <f t="shared" si="1"/>
        <v>0.83293556085918852</v>
      </c>
      <c r="F86" s="92">
        <v>70</v>
      </c>
      <c r="G86" s="89">
        <f t="shared" si="2"/>
        <v>0.16706443914081145</v>
      </c>
      <c r="H86" s="88">
        <f t="shared" si="4"/>
        <v>419</v>
      </c>
      <c r="I86" s="61"/>
      <c r="J86" s="61"/>
      <c r="K86" s="61"/>
      <c r="L86" s="61"/>
      <c r="M86" s="61"/>
      <c r="S86" s="79"/>
      <c r="V86" s="94"/>
      <c r="W86" s="95"/>
      <c r="X86" s="95"/>
      <c r="Y86" s="95"/>
      <c r="Z86" s="95"/>
      <c r="AA86" s="95"/>
      <c r="AB86" s="95"/>
    </row>
    <row r="87" spans="2:28" x14ac:dyDescent="0.2">
      <c r="B87" s="49"/>
      <c r="C87" s="90" t="s">
        <v>1345</v>
      </c>
      <c r="D87" s="88">
        <v>297</v>
      </c>
      <c r="E87" s="89">
        <f>D87/H87</f>
        <v>0.89728096676737157</v>
      </c>
      <c r="F87" s="92">
        <v>34</v>
      </c>
      <c r="G87" s="89">
        <f>F87/H87</f>
        <v>0.1027190332326284</v>
      </c>
      <c r="H87" s="88">
        <f t="shared" si="4"/>
        <v>331</v>
      </c>
      <c r="I87" s="61"/>
      <c r="J87" s="61"/>
      <c r="K87" s="61"/>
      <c r="L87" s="61"/>
      <c r="M87" s="61"/>
      <c r="S87" s="79"/>
      <c r="V87" s="94"/>
      <c r="W87" s="95"/>
      <c r="X87" s="95"/>
      <c r="Y87" s="95"/>
      <c r="Z87" s="95"/>
      <c r="AA87" s="95"/>
      <c r="AB87" s="95"/>
    </row>
    <row r="88" spans="2:28" x14ac:dyDescent="0.2">
      <c r="B88" s="49"/>
      <c r="C88" s="90" t="s">
        <v>1346</v>
      </c>
      <c r="D88" s="88">
        <v>189</v>
      </c>
      <c r="E88" s="89">
        <f>D88/H88</f>
        <v>0.91747572815533984</v>
      </c>
      <c r="F88" s="92">
        <v>17</v>
      </c>
      <c r="G88" s="89">
        <f>F88/H88</f>
        <v>8.2524271844660199E-2</v>
      </c>
      <c r="H88" s="88">
        <f t="shared" si="4"/>
        <v>206</v>
      </c>
      <c r="I88" s="61"/>
      <c r="J88" s="61"/>
      <c r="K88" s="61"/>
      <c r="L88" s="61"/>
      <c r="M88" s="61"/>
      <c r="S88" s="79"/>
      <c r="V88" s="94"/>
      <c r="W88" s="95"/>
      <c r="X88" s="95"/>
      <c r="Y88" s="95"/>
      <c r="Z88" s="95"/>
      <c r="AA88" s="95"/>
      <c r="AB88" s="95"/>
    </row>
    <row r="89" spans="2:28" x14ac:dyDescent="0.2">
      <c r="B89" s="49"/>
      <c r="C89" s="154" t="s">
        <v>1286</v>
      </c>
      <c r="D89" s="148">
        <v>142</v>
      </c>
      <c r="E89" s="149">
        <f>D89/H89</f>
        <v>0.86585365853658536</v>
      </c>
      <c r="F89" s="150">
        <v>22</v>
      </c>
      <c r="G89" s="149">
        <f>F89/H89</f>
        <v>0.13414634146341464</v>
      </c>
      <c r="H89" s="148">
        <f t="shared" si="4"/>
        <v>164</v>
      </c>
      <c r="I89" s="61"/>
      <c r="J89" s="61"/>
      <c r="K89" s="61"/>
      <c r="L89" s="61"/>
      <c r="M89" s="61"/>
      <c r="S89" s="79"/>
      <c r="V89" s="94"/>
      <c r="W89" s="95"/>
      <c r="X89" s="95"/>
      <c r="Y89" s="95"/>
      <c r="Z89" s="95"/>
      <c r="AA89" s="95"/>
      <c r="AB89" s="95"/>
    </row>
    <row r="90" spans="2:28" x14ac:dyDescent="0.2">
      <c r="B90" s="7"/>
      <c r="C90" s="155" t="s">
        <v>1523</v>
      </c>
      <c r="D90" s="204">
        <f>GETPIVOTDATA("Net Dwellings",Pivot!$B$115)</f>
        <v>127</v>
      </c>
      <c r="E90" s="205">
        <f>D90/H90</f>
        <v>0.900709219858156</v>
      </c>
      <c r="F90" s="150">
        <f>GETPIVOTDATA("Net Dwellings",Pivot!$B$107)</f>
        <v>14</v>
      </c>
      <c r="G90" s="205">
        <f>F90/H90</f>
        <v>9.9290780141843976E-2</v>
      </c>
      <c r="H90" s="204">
        <f t="shared" si="4"/>
        <v>141</v>
      </c>
      <c r="I90" s="61"/>
      <c r="J90" s="61"/>
      <c r="K90" s="61"/>
      <c r="L90" s="61"/>
      <c r="M90" s="61"/>
      <c r="S90" s="79"/>
      <c r="V90" s="94"/>
      <c r="W90" s="95"/>
      <c r="X90" s="95"/>
      <c r="Y90" s="95"/>
      <c r="Z90" s="95"/>
      <c r="AA90" s="95"/>
      <c r="AB90" s="95"/>
    </row>
    <row r="91" spans="2:28" x14ac:dyDescent="0.2">
      <c r="B91" s="7"/>
      <c r="C91" s="151" t="s">
        <v>1284</v>
      </c>
      <c r="D91" s="152">
        <f>SUM(D73:D90)</f>
        <v>5152</v>
      </c>
      <c r="E91" s="153">
        <f>D91/H91</f>
        <v>0.81159420289855078</v>
      </c>
      <c r="F91" s="152">
        <f>SUM(F73:F90)</f>
        <v>1196</v>
      </c>
      <c r="G91" s="153">
        <f>F91/H91</f>
        <v>0.18840579710144928</v>
      </c>
      <c r="H91" s="152">
        <f>SUM(H73:H90)</f>
        <v>6348</v>
      </c>
      <c r="I91" s="61"/>
      <c r="J91" s="61"/>
      <c r="K91" s="61"/>
      <c r="L91" s="61"/>
      <c r="M91" s="61"/>
      <c r="S91" s="79"/>
      <c r="V91" s="94"/>
      <c r="W91" s="95"/>
      <c r="X91" s="95"/>
      <c r="Y91" s="95"/>
      <c r="Z91" s="95"/>
      <c r="AA91" s="95"/>
      <c r="AB91" s="95"/>
    </row>
    <row r="92" spans="2:28" x14ac:dyDescent="0.2">
      <c r="B92" s="7"/>
      <c r="C92" s="61"/>
      <c r="D92" s="61"/>
      <c r="E92" s="61"/>
      <c r="F92" s="61"/>
      <c r="G92" s="61"/>
      <c r="H92" s="61"/>
      <c r="I92" s="61"/>
      <c r="J92" s="61"/>
      <c r="K92" s="61"/>
      <c r="L92" s="61"/>
      <c r="M92" s="61"/>
      <c r="N92" s="61"/>
      <c r="O92" s="61"/>
      <c r="P92" s="61"/>
      <c r="Q92" s="61"/>
      <c r="S92" s="79"/>
      <c r="V92" s="94"/>
      <c r="W92" s="95"/>
      <c r="X92" s="95"/>
      <c r="Y92" s="95"/>
      <c r="Z92" s="95"/>
      <c r="AA92" s="95"/>
      <c r="AB92" s="95"/>
    </row>
    <row r="93" spans="2:28" x14ac:dyDescent="0.2">
      <c r="B93" s="7"/>
      <c r="C93" s="61"/>
      <c r="D93" s="61"/>
      <c r="E93" s="61"/>
      <c r="F93" s="61"/>
      <c r="G93" s="61"/>
      <c r="H93" s="61"/>
      <c r="I93" s="61"/>
      <c r="J93" s="61"/>
      <c r="K93" s="61"/>
      <c r="L93" s="61"/>
      <c r="M93" s="61"/>
      <c r="N93" s="61"/>
      <c r="O93" s="61"/>
      <c r="P93" s="61"/>
      <c r="Q93" s="61"/>
      <c r="S93" s="79"/>
      <c r="V93" s="94"/>
      <c r="W93" s="95"/>
      <c r="X93" s="95"/>
      <c r="Y93" s="95"/>
      <c r="Z93" s="95"/>
      <c r="AA93" s="95"/>
      <c r="AB93" s="95"/>
    </row>
    <row r="94" spans="2:28" x14ac:dyDescent="0.2">
      <c r="B94" s="7"/>
      <c r="C94" s="61"/>
      <c r="D94" s="61"/>
      <c r="E94" s="61"/>
      <c r="F94" s="61"/>
      <c r="G94" s="61"/>
      <c r="H94" s="61"/>
      <c r="I94" s="61"/>
      <c r="J94" s="61"/>
      <c r="K94" s="61"/>
      <c r="L94" s="61"/>
      <c r="M94" s="61"/>
      <c r="N94" s="61"/>
      <c r="O94" s="61"/>
      <c r="P94" s="61"/>
      <c r="Q94" s="61"/>
      <c r="S94" s="79"/>
      <c r="V94" s="94"/>
      <c r="W94" s="95"/>
      <c r="X94" s="95"/>
      <c r="Y94" s="95"/>
      <c r="Z94" s="95"/>
      <c r="AA94" s="95"/>
      <c r="AB94" s="95"/>
    </row>
    <row r="95" spans="2:28" x14ac:dyDescent="0.2">
      <c r="B95" s="7"/>
      <c r="C95" s="36" t="s">
        <v>1354</v>
      </c>
      <c r="D95" s="36" t="s">
        <v>1646</v>
      </c>
      <c r="J95" s="61"/>
      <c r="K95" s="61"/>
      <c r="L95" s="61"/>
      <c r="M95" s="61"/>
      <c r="N95" s="61"/>
      <c r="O95" s="61"/>
      <c r="P95" s="61"/>
      <c r="Q95" s="61"/>
      <c r="S95" s="79"/>
      <c r="V95" s="94"/>
      <c r="W95" s="95"/>
      <c r="X95" s="95"/>
      <c r="Y95" s="95"/>
      <c r="Z95" s="95"/>
      <c r="AA95" s="95"/>
      <c r="AB95" s="95"/>
    </row>
    <row r="96" spans="2:28" ht="12.75" customHeight="1" x14ac:dyDescent="0.2">
      <c r="B96" s="7"/>
      <c r="C96" s="378" t="s">
        <v>1355</v>
      </c>
      <c r="D96" s="378"/>
      <c r="E96" s="378" t="s">
        <v>1356</v>
      </c>
      <c r="F96" s="378"/>
      <c r="G96" s="378" t="s">
        <v>1357</v>
      </c>
      <c r="H96" s="378"/>
      <c r="I96" s="231" t="s">
        <v>1284</v>
      </c>
      <c r="J96" s="231" t="s">
        <v>1353</v>
      </c>
      <c r="K96" s="61"/>
      <c r="L96" s="61"/>
      <c r="M96" s="61"/>
      <c r="N96" s="61"/>
      <c r="O96" s="61"/>
      <c r="P96" s="61"/>
      <c r="Q96" s="61"/>
      <c r="R96" s="61"/>
      <c r="S96" s="79"/>
      <c r="V96" s="94"/>
      <c r="W96" s="95"/>
      <c r="X96" s="95"/>
      <c r="Y96" s="95"/>
      <c r="Z96" s="95"/>
      <c r="AA96" s="95"/>
      <c r="AB96" s="95"/>
    </row>
    <row r="97" spans="2:28" x14ac:dyDescent="0.2">
      <c r="B97" s="7"/>
      <c r="C97" s="369" t="s">
        <v>1358</v>
      </c>
      <c r="D97" s="369"/>
      <c r="E97" s="370">
        <f>GETPIVOTDATA("Sum of 1 bed net",Pivot!$B$235,"Application Type",)</f>
        <v>39</v>
      </c>
      <c r="F97" s="370"/>
      <c r="G97" s="370">
        <f>GETPIVOTDATA("Sum of 1 bed net",Pivot!$B$235,"Application Type","PA")</f>
        <v>26</v>
      </c>
      <c r="H97" s="370"/>
      <c r="I97" s="232">
        <f>SUM(E97:H97)</f>
        <v>65</v>
      </c>
      <c r="J97" s="233">
        <f>I97/$I$101</f>
        <v>0.46099290780141844</v>
      </c>
      <c r="K97" s="61"/>
      <c r="L97" s="61"/>
      <c r="M97" s="61"/>
      <c r="N97" s="61"/>
      <c r="O97" s="61"/>
      <c r="P97" s="61"/>
      <c r="Q97" s="61"/>
      <c r="R97" s="61"/>
      <c r="S97" s="79"/>
      <c r="V97" s="94"/>
      <c r="W97" s="95"/>
      <c r="X97" s="95"/>
      <c r="Y97" s="95"/>
      <c r="Z97" s="95"/>
      <c r="AA97" s="95"/>
      <c r="AB97" s="95"/>
    </row>
    <row r="98" spans="2:28" x14ac:dyDescent="0.2">
      <c r="B98" s="7"/>
      <c r="C98" s="369" t="s">
        <v>1359</v>
      </c>
      <c r="D98" s="369"/>
      <c r="E98" s="370">
        <f>GETPIVOTDATA("Sum of 2 bed net",Pivot!$B$235,"Application Type",)</f>
        <v>35</v>
      </c>
      <c r="F98" s="370"/>
      <c r="G98" s="370">
        <f>GETPIVOTDATA("Sum of 2 bed net",Pivot!$B$235,"Application Type","PA")</f>
        <v>10</v>
      </c>
      <c r="H98" s="370"/>
      <c r="I98" s="232">
        <f>SUM(E98:H98)</f>
        <v>45</v>
      </c>
      <c r="J98" s="233">
        <f>I98/$I$101</f>
        <v>0.31914893617021278</v>
      </c>
      <c r="K98" s="61"/>
      <c r="L98" s="61"/>
      <c r="M98" s="61"/>
      <c r="N98" s="61"/>
      <c r="O98" s="61"/>
      <c r="P98" s="61"/>
      <c r="Q98" s="61"/>
      <c r="R98" s="61"/>
      <c r="S98" s="79"/>
      <c r="V98" s="94"/>
      <c r="W98" s="95"/>
      <c r="X98" s="95"/>
      <c r="Y98" s="95"/>
      <c r="Z98" s="95"/>
      <c r="AA98" s="95"/>
      <c r="AB98" s="95"/>
    </row>
    <row r="99" spans="2:28" x14ac:dyDescent="0.2">
      <c r="B99" s="7"/>
      <c r="C99" s="369" t="s">
        <v>1360</v>
      </c>
      <c r="D99" s="369"/>
      <c r="E99" s="370">
        <f>GETPIVOTDATA("Sum of 3 bed net",Pivot!$B$235,"Application Type",)</f>
        <v>15</v>
      </c>
      <c r="F99" s="370"/>
      <c r="G99" s="370">
        <f>GETPIVOTDATA("Sum of 3 bed net",Pivot!$B$235,"Application Type","PA")</f>
        <v>0</v>
      </c>
      <c r="H99" s="370"/>
      <c r="I99" s="232">
        <f>SUM(E99:H99)</f>
        <v>15</v>
      </c>
      <c r="J99" s="233">
        <f>I99/$I$101</f>
        <v>0.10638297872340426</v>
      </c>
      <c r="K99" s="61"/>
      <c r="L99" s="61"/>
      <c r="M99" s="61"/>
      <c r="N99" s="61"/>
      <c r="O99" s="61"/>
      <c r="P99" s="61"/>
      <c r="Q99" s="61"/>
      <c r="R99" s="61"/>
      <c r="S99" s="79"/>
      <c r="V99" s="94"/>
      <c r="W99" s="95"/>
      <c r="X99" s="95"/>
      <c r="Y99" s="95"/>
      <c r="Z99" s="95"/>
      <c r="AA99" s="95"/>
      <c r="AB99" s="95"/>
    </row>
    <row r="100" spans="2:28" x14ac:dyDescent="0.2">
      <c r="B100" s="7"/>
      <c r="C100" s="369" t="s">
        <v>1361</v>
      </c>
      <c r="D100" s="369"/>
      <c r="E100" s="370">
        <f>GETPIVOTDATA("Sum of 4 bed net",Pivot!$B$235,"Application Type",)+GETPIVOTDATA("Sum of 5 bed net",Pivot!$B$235,"Application Type",)+GETPIVOTDATA("Sum of 6 bed net",Pivot!$B$235,"Application Type",)+GETPIVOTDATA("Sum of 7 bed net",Pivot!$B$235,"Application Type",)+GETPIVOTDATA("Sum of 8 bed net",Pivot!$B$235,"Application Type",)</f>
        <v>14</v>
      </c>
      <c r="F100" s="370"/>
      <c r="G100" s="370">
        <f>GETPIVOTDATA("Sum of 4 bed net",Pivot!$B$235,"Application Type","PA")</f>
        <v>2</v>
      </c>
      <c r="H100" s="370"/>
      <c r="I100" s="232">
        <f>SUM(E100:H100)</f>
        <v>16</v>
      </c>
      <c r="J100" s="233">
        <f>I100/$I$101</f>
        <v>0.11347517730496454</v>
      </c>
      <c r="K100" s="61"/>
      <c r="L100" s="61"/>
      <c r="M100" s="61"/>
      <c r="N100" s="61"/>
      <c r="O100" s="61"/>
      <c r="P100" s="61"/>
      <c r="Q100" s="61"/>
      <c r="R100" s="61"/>
      <c r="S100" s="79"/>
      <c r="V100" s="94"/>
      <c r="W100" s="95"/>
      <c r="X100" s="95"/>
      <c r="Y100" s="95"/>
      <c r="Z100" s="95"/>
      <c r="AA100" s="95"/>
      <c r="AB100" s="95"/>
    </row>
    <row r="101" spans="2:28" x14ac:dyDescent="0.2">
      <c r="B101" s="7"/>
      <c r="C101" s="382" t="s">
        <v>1284</v>
      </c>
      <c r="D101" s="382"/>
      <c r="E101" s="383">
        <f>SUM(E97:F100)</f>
        <v>103</v>
      </c>
      <c r="F101" s="383"/>
      <c r="G101" s="383">
        <f>SUM(G97:H100)</f>
        <v>38</v>
      </c>
      <c r="H101" s="383"/>
      <c r="I101" s="234">
        <f>SUM(E101:H101)</f>
        <v>141</v>
      </c>
      <c r="J101" s="235">
        <f>SUM(J97:J100)</f>
        <v>1</v>
      </c>
      <c r="K101" s="61"/>
      <c r="L101" s="61"/>
      <c r="M101" s="61"/>
      <c r="N101" s="61"/>
      <c r="O101" s="61"/>
      <c r="P101" s="61"/>
      <c r="Q101" s="61"/>
      <c r="S101" s="79"/>
      <c r="V101" s="94"/>
      <c r="W101" s="95"/>
      <c r="X101" s="95"/>
      <c r="Y101" s="95"/>
      <c r="Z101" s="95"/>
      <c r="AA101" s="95"/>
      <c r="AB101" s="95"/>
    </row>
    <row r="102" spans="2:28" x14ac:dyDescent="0.2">
      <c r="B102" s="7"/>
      <c r="C102" s="382" t="s">
        <v>1362</v>
      </c>
      <c r="D102" s="382"/>
      <c r="E102" s="381">
        <f>E101/I101</f>
        <v>0.73049645390070927</v>
      </c>
      <c r="F102" s="381"/>
      <c r="G102" s="381">
        <f>G101/I101</f>
        <v>0.26950354609929078</v>
      </c>
      <c r="H102" s="381"/>
      <c r="I102" s="381"/>
      <c r="J102" s="381"/>
      <c r="K102" s="61"/>
      <c r="L102" s="61"/>
      <c r="M102" s="61"/>
      <c r="N102" s="61"/>
      <c r="O102" s="61"/>
      <c r="P102" s="61"/>
      <c r="Q102" s="61"/>
      <c r="S102" s="79"/>
      <c r="V102" s="96"/>
      <c r="W102" s="97"/>
      <c r="X102" s="97"/>
      <c r="Y102" s="97"/>
      <c r="Z102" s="97"/>
      <c r="AA102" s="97"/>
      <c r="AB102" s="97"/>
    </row>
    <row r="103" spans="2:28" x14ac:dyDescent="0.2">
      <c r="B103" s="7"/>
      <c r="J103" s="61"/>
      <c r="K103" s="61"/>
      <c r="L103" s="61"/>
      <c r="M103" s="61"/>
      <c r="N103" s="61"/>
      <c r="O103" s="61"/>
      <c r="P103" s="61"/>
      <c r="Q103" s="61"/>
      <c r="S103" s="79"/>
      <c r="V103" s="96"/>
      <c r="W103" s="97"/>
      <c r="X103" s="97"/>
      <c r="Y103" s="97"/>
      <c r="Z103" s="97"/>
      <c r="AA103" s="97"/>
      <c r="AB103" s="97"/>
    </row>
    <row r="104" spans="2:28" x14ac:dyDescent="0.2">
      <c r="B104" s="7"/>
      <c r="J104" s="61"/>
      <c r="K104" s="61"/>
      <c r="L104" s="61"/>
      <c r="M104" s="61"/>
      <c r="N104" s="61"/>
      <c r="O104" s="61"/>
      <c r="P104" s="61"/>
      <c r="Q104" s="61"/>
      <c r="S104" s="79"/>
    </row>
    <row r="105" spans="2:28" x14ac:dyDescent="0.2">
      <c r="B105" s="7"/>
      <c r="J105" s="61"/>
      <c r="K105" s="61"/>
      <c r="L105" s="61"/>
      <c r="M105" s="61"/>
      <c r="N105" s="61"/>
      <c r="O105" s="61"/>
      <c r="P105" s="61"/>
      <c r="Q105" s="61"/>
      <c r="S105" s="79"/>
    </row>
    <row r="106" spans="2:28" x14ac:dyDescent="0.2">
      <c r="B106" s="7"/>
      <c r="J106" s="61"/>
      <c r="K106" s="61"/>
      <c r="L106" s="61"/>
      <c r="M106" s="61"/>
      <c r="N106" s="61"/>
      <c r="O106" s="61"/>
      <c r="P106" s="61"/>
      <c r="Q106" s="61"/>
      <c r="S106" s="79"/>
    </row>
    <row r="107" spans="2:28" x14ac:dyDescent="0.2">
      <c r="B107" s="7"/>
      <c r="J107" s="61"/>
      <c r="K107" s="61"/>
      <c r="L107" s="61"/>
      <c r="M107" s="61"/>
      <c r="N107" s="61"/>
      <c r="O107" s="61"/>
      <c r="P107" s="61"/>
      <c r="Q107" s="61"/>
      <c r="S107" s="79"/>
    </row>
    <row r="108" spans="2:28" x14ac:dyDescent="0.2">
      <c r="B108" s="7"/>
      <c r="J108" s="61"/>
      <c r="K108" s="61"/>
      <c r="L108" s="61"/>
      <c r="M108" s="61"/>
      <c r="N108" s="61"/>
      <c r="O108" s="61"/>
      <c r="P108" s="61"/>
      <c r="Q108" s="61"/>
      <c r="S108" s="79"/>
    </row>
    <row r="109" spans="2:28" x14ac:dyDescent="0.2">
      <c r="B109" s="7"/>
      <c r="J109" s="61"/>
      <c r="K109" s="61"/>
      <c r="L109" s="61"/>
      <c r="M109" s="61"/>
      <c r="N109" s="61"/>
      <c r="O109" s="61"/>
      <c r="P109" s="61"/>
      <c r="Q109" s="61"/>
      <c r="S109" s="79"/>
    </row>
    <row r="110" spans="2:28" x14ac:dyDescent="0.2">
      <c r="B110" s="64"/>
      <c r="C110" s="98"/>
      <c r="D110" s="98"/>
      <c r="E110" s="98"/>
      <c r="F110" s="98"/>
      <c r="G110" s="98"/>
      <c r="H110" s="98"/>
      <c r="I110" s="98"/>
      <c r="J110" s="98"/>
      <c r="K110" s="98"/>
      <c r="L110" s="98"/>
      <c r="M110" s="98"/>
      <c r="N110" s="98"/>
      <c r="O110" s="98"/>
      <c r="P110" s="98"/>
      <c r="Q110" s="98"/>
      <c r="R110" s="82"/>
      <c r="S110" s="83"/>
    </row>
    <row r="111" spans="2:28" ht="12.75" customHeight="1" x14ac:dyDescent="0.2">
      <c r="B111" s="68"/>
      <c r="C111" s="99"/>
      <c r="D111" s="99"/>
      <c r="E111" s="99"/>
      <c r="F111" s="99"/>
      <c r="G111" s="99"/>
      <c r="H111" s="99"/>
      <c r="I111" s="99"/>
      <c r="J111" s="99"/>
      <c r="K111" s="99"/>
      <c r="L111" s="99"/>
      <c r="M111" s="99"/>
      <c r="N111" s="99"/>
      <c r="O111" s="99"/>
      <c r="P111" s="99"/>
      <c r="Q111" s="99"/>
      <c r="R111" s="3"/>
      <c r="S111" s="84"/>
    </row>
    <row r="112" spans="2:28" x14ac:dyDescent="0.2">
      <c r="B112" s="7"/>
      <c r="C112" s="36" t="s">
        <v>1363</v>
      </c>
      <c r="D112" s="36" t="s">
        <v>1759</v>
      </c>
      <c r="J112" s="61"/>
      <c r="K112" s="61"/>
      <c r="L112" s="61"/>
      <c r="M112" s="61"/>
      <c r="N112" s="61"/>
      <c r="O112" s="61"/>
      <c r="P112" s="61"/>
      <c r="Q112" s="61"/>
      <c r="S112" s="79"/>
    </row>
    <row r="113" spans="2:19" ht="12.75" customHeight="1" x14ac:dyDescent="0.2">
      <c r="B113" s="7"/>
      <c r="C113" s="378" t="s">
        <v>1355</v>
      </c>
      <c r="D113" s="378"/>
      <c r="E113" s="378" t="s">
        <v>1356</v>
      </c>
      <c r="F113" s="378"/>
      <c r="G113" s="378" t="s">
        <v>1357</v>
      </c>
      <c r="H113" s="378"/>
      <c r="I113" s="378" t="s">
        <v>1284</v>
      </c>
      <c r="J113" s="378"/>
      <c r="K113" s="378" t="s">
        <v>1364</v>
      </c>
      <c r="L113" s="378"/>
      <c r="M113" s="378" t="s">
        <v>1365</v>
      </c>
      <c r="N113" s="378"/>
      <c r="O113" s="61"/>
      <c r="P113" s="61"/>
      <c r="Q113" s="61"/>
      <c r="R113" s="61"/>
      <c r="S113" s="79"/>
    </row>
    <row r="114" spans="2:19" x14ac:dyDescent="0.2">
      <c r="B114" s="7"/>
      <c r="C114" s="369" t="s">
        <v>1342</v>
      </c>
      <c r="D114" s="369"/>
      <c r="E114" s="379">
        <v>304</v>
      </c>
      <c r="F114" s="379"/>
      <c r="G114" s="379">
        <v>156</v>
      </c>
      <c r="H114" s="379"/>
      <c r="I114" s="379">
        <f t="shared" ref="I114:I119" si="5">SUM(E114:H114)</f>
        <v>460</v>
      </c>
      <c r="J114" s="379"/>
      <c r="K114" s="380">
        <f t="shared" ref="K114:K119" si="6">E114/I114</f>
        <v>0.66086956521739126</v>
      </c>
      <c r="L114" s="380"/>
      <c r="M114" s="380">
        <f t="shared" ref="M114:M120" si="7">G114/I114</f>
        <v>0.33913043478260868</v>
      </c>
      <c r="N114" s="380"/>
      <c r="O114" s="61"/>
      <c r="P114" s="61"/>
      <c r="Q114" s="61"/>
      <c r="R114" s="61"/>
      <c r="S114" s="79"/>
    </row>
    <row r="115" spans="2:19" x14ac:dyDescent="0.2">
      <c r="B115" s="7"/>
      <c r="C115" s="369" t="s">
        <v>1343</v>
      </c>
      <c r="D115" s="369"/>
      <c r="E115" s="379">
        <v>294</v>
      </c>
      <c r="F115" s="379"/>
      <c r="G115" s="379">
        <v>88</v>
      </c>
      <c r="H115" s="379"/>
      <c r="I115" s="379">
        <f t="shared" si="5"/>
        <v>382</v>
      </c>
      <c r="J115" s="379"/>
      <c r="K115" s="380">
        <f t="shared" si="6"/>
        <v>0.76963350785340312</v>
      </c>
      <c r="L115" s="380"/>
      <c r="M115" s="380">
        <f t="shared" si="7"/>
        <v>0.23036649214659685</v>
      </c>
      <c r="N115" s="380"/>
      <c r="O115" s="61"/>
      <c r="P115" s="61"/>
      <c r="Q115" s="61"/>
      <c r="R115" s="61"/>
      <c r="S115" s="79"/>
    </row>
    <row r="116" spans="2:19" x14ac:dyDescent="0.2">
      <c r="B116" s="7"/>
      <c r="C116" s="369" t="s">
        <v>1344</v>
      </c>
      <c r="D116" s="369"/>
      <c r="E116" s="379">
        <v>360</v>
      </c>
      <c r="F116" s="379"/>
      <c r="G116" s="379">
        <v>59</v>
      </c>
      <c r="H116" s="379"/>
      <c r="I116" s="379">
        <f t="shared" si="5"/>
        <v>419</v>
      </c>
      <c r="J116" s="379"/>
      <c r="K116" s="380">
        <f t="shared" si="6"/>
        <v>0.85918854415274459</v>
      </c>
      <c r="L116" s="380"/>
      <c r="M116" s="380">
        <f t="shared" si="7"/>
        <v>0.14081145584725538</v>
      </c>
      <c r="N116" s="380"/>
      <c r="O116" s="61"/>
      <c r="P116" s="61"/>
      <c r="Q116" s="61"/>
      <c r="R116" s="61"/>
      <c r="S116" s="79"/>
    </row>
    <row r="117" spans="2:19" x14ac:dyDescent="0.2">
      <c r="B117" s="7"/>
      <c r="C117" s="369" t="s">
        <v>1345</v>
      </c>
      <c r="D117" s="369"/>
      <c r="E117" s="379">
        <v>285</v>
      </c>
      <c r="F117" s="379"/>
      <c r="G117" s="379">
        <v>46</v>
      </c>
      <c r="H117" s="379"/>
      <c r="I117" s="379">
        <f t="shared" si="5"/>
        <v>331</v>
      </c>
      <c r="J117" s="379"/>
      <c r="K117" s="380">
        <f t="shared" si="6"/>
        <v>0.86102719033232633</v>
      </c>
      <c r="L117" s="380"/>
      <c r="M117" s="380">
        <f t="shared" si="7"/>
        <v>0.13897280966767372</v>
      </c>
      <c r="N117" s="380"/>
      <c r="O117" s="61"/>
      <c r="P117" s="61"/>
      <c r="Q117" s="61"/>
      <c r="R117" s="61"/>
      <c r="S117" s="79"/>
    </row>
    <row r="118" spans="2:19" x14ac:dyDescent="0.2">
      <c r="B118" s="7"/>
      <c r="C118" s="369" t="s">
        <v>1346</v>
      </c>
      <c r="D118" s="369"/>
      <c r="E118" s="379">
        <v>180</v>
      </c>
      <c r="F118" s="379"/>
      <c r="G118" s="379">
        <v>26</v>
      </c>
      <c r="H118" s="379"/>
      <c r="I118" s="379">
        <f t="shared" si="5"/>
        <v>206</v>
      </c>
      <c r="J118" s="379"/>
      <c r="K118" s="380">
        <f t="shared" si="6"/>
        <v>0.87378640776699024</v>
      </c>
      <c r="L118" s="380"/>
      <c r="M118" s="380">
        <f t="shared" si="7"/>
        <v>0.12621359223300971</v>
      </c>
      <c r="N118" s="380"/>
      <c r="O118" s="61"/>
      <c r="P118" s="61"/>
      <c r="Q118" s="61"/>
      <c r="S118" s="79"/>
    </row>
    <row r="119" spans="2:19" x14ac:dyDescent="0.2">
      <c r="B119" s="7"/>
      <c r="C119" s="369" t="s">
        <v>1286</v>
      </c>
      <c r="D119" s="369"/>
      <c r="E119" s="379">
        <v>125</v>
      </c>
      <c r="F119" s="379"/>
      <c r="G119" s="379">
        <v>39</v>
      </c>
      <c r="H119" s="379"/>
      <c r="I119" s="379">
        <f t="shared" si="5"/>
        <v>164</v>
      </c>
      <c r="J119" s="379"/>
      <c r="K119" s="380">
        <f t="shared" si="6"/>
        <v>0.76219512195121952</v>
      </c>
      <c r="L119" s="380"/>
      <c r="M119" s="380">
        <f t="shared" si="7"/>
        <v>0.23780487804878048</v>
      </c>
      <c r="N119" s="380"/>
      <c r="O119" s="61"/>
      <c r="P119" s="61"/>
      <c r="Q119" s="61"/>
      <c r="S119" s="79"/>
    </row>
    <row r="120" spans="2:19" x14ac:dyDescent="0.2">
      <c r="B120" s="7"/>
      <c r="C120" s="384" t="s">
        <v>1523</v>
      </c>
      <c r="D120" s="384"/>
      <c r="E120" s="385">
        <f>E101</f>
        <v>103</v>
      </c>
      <c r="F120" s="385"/>
      <c r="G120" s="385">
        <f>G101</f>
        <v>38</v>
      </c>
      <c r="H120" s="385"/>
      <c r="I120" s="385">
        <f>SUM(E120:H120)</f>
        <v>141</v>
      </c>
      <c r="J120" s="385"/>
      <c r="K120" s="380">
        <f>E120/I120</f>
        <v>0.73049645390070927</v>
      </c>
      <c r="L120" s="380"/>
      <c r="M120" s="380">
        <f t="shared" si="7"/>
        <v>0.26950354609929078</v>
      </c>
      <c r="N120" s="380"/>
      <c r="O120" s="61"/>
      <c r="P120" s="61"/>
      <c r="Q120" s="61"/>
      <c r="S120" s="79"/>
    </row>
    <row r="121" spans="2:19" x14ac:dyDescent="0.2">
      <c r="B121" s="7"/>
      <c r="C121" s="382" t="s">
        <v>1284</v>
      </c>
      <c r="D121" s="382"/>
      <c r="E121" s="386">
        <f>SUM(E114:F120)</f>
        <v>1651</v>
      </c>
      <c r="F121" s="386"/>
      <c r="G121" s="386">
        <f>SUM(G114:H120)</f>
        <v>452</v>
      </c>
      <c r="H121" s="386"/>
      <c r="I121" s="386">
        <f>SUM(I114:J120)</f>
        <v>2103</v>
      </c>
      <c r="J121" s="386"/>
      <c r="K121" s="381"/>
      <c r="L121" s="381"/>
      <c r="M121" s="381"/>
      <c r="N121" s="381"/>
      <c r="O121" s="61"/>
      <c r="P121" s="61"/>
      <c r="Q121" s="61"/>
      <c r="S121" s="79"/>
    </row>
    <row r="122" spans="2:19" x14ac:dyDescent="0.2">
      <c r="B122" s="7"/>
      <c r="C122" s="382" t="s">
        <v>1362</v>
      </c>
      <c r="D122" s="382"/>
      <c r="E122" s="381">
        <f>E121/I121</f>
        <v>0.78506894912030434</v>
      </c>
      <c r="F122" s="381"/>
      <c r="G122" s="381">
        <f>G121/I121</f>
        <v>0.21493105087969566</v>
      </c>
      <c r="H122" s="381"/>
      <c r="I122" s="381"/>
      <c r="J122" s="381"/>
      <c r="K122" s="381"/>
      <c r="L122" s="381"/>
      <c r="M122" s="381"/>
      <c r="N122" s="381"/>
      <c r="O122" s="61"/>
      <c r="P122" s="61"/>
      <c r="Q122" s="61"/>
      <c r="S122" s="79"/>
    </row>
    <row r="123" spans="2:19" x14ac:dyDescent="0.2">
      <c r="B123" s="7"/>
      <c r="J123" s="61"/>
      <c r="K123" s="61"/>
      <c r="L123" s="61"/>
      <c r="M123" s="61"/>
      <c r="N123" s="61"/>
      <c r="O123" s="61"/>
      <c r="P123" s="61"/>
      <c r="Q123" s="61"/>
      <c r="S123" s="79"/>
    </row>
    <row r="124" spans="2:19" x14ac:dyDescent="0.2">
      <c r="B124" s="7"/>
      <c r="J124" s="61"/>
      <c r="K124" s="61"/>
      <c r="L124" s="61"/>
      <c r="M124" s="61"/>
      <c r="N124" s="61"/>
      <c r="O124" s="61"/>
      <c r="P124" s="61"/>
      <c r="Q124" s="61"/>
      <c r="S124" s="79"/>
    </row>
    <row r="125" spans="2:19" x14ac:dyDescent="0.2">
      <c r="B125" s="7"/>
      <c r="C125" s="36" t="s">
        <v>1366</v>
      </c>
      <c r="D125" s="36" t="s">
        <v>1367</v>
      </c>
      <c r="E125" s="100"/>
      <c r="J125" s="61"/>
      <c r="K125" s="36" t="s">
        <v>1368</v>
      </c>
      <c r="L125" s="36" t="s">
        <v>1369</v>
      </c>
      <c r="M125" s="103"/>
      <c r="N125" s="103"/>
      <c r="O125" s="103"/>
      <c r="P125" s="103"/>
      <c r="Q125" s="61"/>
      <c r="S125" s="79"/>
    </row>
    <row r="126" spans="2:19" x14ac:dyDescent="0.2">
      <c r="B126" s="7"/>
      <c r="C126" s="231" t="s">
        <v>1325</v>
      </c>
      <c r="D126" s="231" t="s">
        <v>1353</v>
      </c>
      <c r="E126" s="100"/>
      <c r="K126" s="104" t="s">
        <v>1325</v>
      </c>
      <c r="L126" s="104" t="s">
        <v>820</v>
      </c>
      <c r="M126" s="104" t="s">
        <v>1370</v>
      </c>
      <c r="N126" s="104" t="s">
        <v>1284</v>
      </c>
      <c r="O126" s="104" t="s">
        <v>1371</v>
      </c>
      <c r="P126" s="104" t="s">
        <v>1372</v>
      </c>
      <c r="Q126" s="61"/>
      <c r="S126" s="79"/>
    </row>
    <row r="127" spans="2:19" x14ac:dyDescent="0.2">
      <c r="B127" s="7"/>
      <c r="C127" s="236" t="s">
        <v>1329</v>
      </c>
      <c r="D127" s="233">
        <v>0.5</v>
      </c>
      <c r="E127" s="100"/>
      <c r="K127" s="101" t="s">
        <v>1339</v>
      </c>
      <c r="L127" s="105">
        <v>63</v>
      </c>
      <c r="M127" s="105">
        <v>172</v>
      </c>
      <c r="N127" s="105">
        <f t="shared" ref="N127:N132" si="8">SUM(L127:M127)</f>
        <v>235</v>
      </c>
      <c r="O127" s="102">
        <f>L127/N127</f>
        <v>0.26808510638297872</v>
      </c>
      <c r="P127" s="102">
        <f>M127/N127</f>
        <v>0.73191489361702122</v>
      </c>
      <c r="Q127" s="61"/>
      <c r="S127" s="79"/>
    </row>
    <row r="128" spans="2:19" x14ac:dyDescent="0.2">
      <c r="B128" s="7"/>
      <c r="C128" s="236" t="s">
        <v>1330</v>
      </c>
      <c r="D128" s="233">
        <v>0.72</v>
      </c>
      <c r="E128" s="100"/>
      <c r="K128" s="101" t="s">
        <v>1340</v>
      </c>
      <c r="L128" s="105">
        <v>238</v>
      </c>
      <c r="M128" s="105">
        <v>66</v>
      </c>
      <c r="N128" s="105">
        <f t="shared" si="8"/>
        <v>304</v>
      </c>
      <c r="O128" s="102">
        <f>L128/N128</f>
        <v>0.78289473684210531</v>
      </c>
      <c r="P128" s="102">
        <f>M128/N128</f>
        <v>0.21710526315789475</v>
      </c>
      <c r="Q128" s="61"/>
      <c r="S128" s="79"/>
    </row>
    <row r="129" spans="2:19" x14ac:dyDescent="0.2">
      <c r="B129" s="7"/>
      <c r="C129" s="236" t="s">
        <v>1331</v>
      </c>
      <c r="D129" s="233">
        <v>0.83</v>
      </c>
      <c r="E129" s="100"/>
      <c r="K129" s="101" t="s">
        <v>1341</v>
      </c>
      <c r="L129" s="105">
        <v>304</v>
      </c>
      <c r="M129" s="105">
        <v>187</v>
      </c>
      <c r="N129" s="105">
        <f t="shared" si="8"/>
        <v>491</v>
      </c>
      <c r="O129" s="102">
        <f>L129/N129</f>
        <v>0.61914460285132378</v>
      </c>
      <c r="P129" s="102">
        <f>M129/N129</f>
        <v>0.38085539714867617</v>
      </c>
      <c r="Q129" s="61"/>
      <c r="S129" s="79"/>
    </row>
    <row r="130" spans="2:19" x14ac:dyDescent="0.2">
      <c r="B130" s="7"/>
      <c r="C130" s="236" t="s">
        <v>1332</v>
      </c>
      <c r="D130" s="233">
        <v>0.41</v>
      </c>
      <c r="E130" s="100"/>
      <c r="K130" s="101" t="s">
        <v>1342</v>
      </c>
      <c r="L130" s="105">
        <v>242</v>
      </c>
      <c r="M130" s="105">
        <v>218</v>
      </c>
      <c r="N130" s="105">
        <f t="shared" si="8"/>
        <v>460</v>
      </c>
      <c r="O130" s="102">
        <f>L130/N130</f>
        <v>0.52608695652173909</v>
      </c>
      <c r="P130" s="102">
        <f>M130/N130</f>
        <v>0.47391304347826085</v>
      </c>
      <c r="Q130" s="61"/>
      <c r="S130" s="79"/>
    </row>
    <row r="131" spans="2:19" x14ac:dyDescent="0.2">
      <c r="B131" s="7"/>
      <c r="C131" s="236" t="s">
        <v>1333</v>
      </c>
      <c r="D131" s="233">
        <v>0.27</v>
      </c>
      <c r="E131" s="100"/>
      <c r="K131" s="101" t="s">
        <v>1343</v>
      </c>
      <c r="L131" s="105">
        <v>165</v>
      </c>
      <c r="M131" s="105">
        <v>217</v>
      </c>
      <c r="N131" s="105">
        <f t="shared" si="8"/>
        <v>382</v>
      </c>
      <c r="O131" s="102">
        <f t="shared" ref="O131:O132" si="9">L131/N131</f>
        <v>0.43193717277486909</v>
      </c>
      <c r="P131" s="102">
        <f t="shared" ref="P131:P132" si="10">M131/N131</f>
        <v>0.56806282722513091</v>
      </c>
      <c r="Q131" s="61"/>
      <c r="S131" s="79"/>
    </row>
    <row r="132" spans="2:19" x14ac:dyDescent="0.2">
      <c r="B132" s="7"/>
      <c r="C132" s="236" t="s">
        <v>1334</v>
      </c>
      <c r="D132" s="233">
        <v>0.61</v>
      </c>
      <c r="E132" s="100"/>
      <c r="K132" s="101" t="s">
        <v>1344</v>
      </c>
      <c r="L132" s="105">
        <v>125</v>
      </c>
      <c r="M132" s="105">
        <v>294</v>
      </c>
      <c r="N132" s="105">
        <f t="shared" si="8"/>
        <v>419</v>
      </c>
      <c r="O132" s="102">
        <f t="shared" si="9"/>
        <v>0.29832935560859186</v>
      </c>
      <c r="P132" s="102">
        <f t="shared" si="10"/>
        <v>0.70167064439140814</v>
      </c>
      <c r="Q132" s="61"/>
      <c r="S132" s="79"/>
    </row>
    <row r="133" spans="2:19" x14ac:dyDescent="0.2">
      <c r="B133" s="7"/>
      <c r="C133" s="236" t="s">
        <v>1335</v>
      </c>
      <c r="D133" s="233">
        <v>7.0000000000000007E-2</v>
      </c>
      <c r="E133" s="100"/>
      <c r="K133" s="101" t="s">
        <v>1345</v>
      </c>
      <c r="L133" s="105">
        <v>98</v>
      </c>
      <c r="M133" s="105">
        <v>233</v>
      </c>
      <c r="N133" s="105">
        <v>331</v>
      </c>
      <c r="O133" s="102">
        <v>0.29607250755287007</v>
      </c>
      <c r="P133" s="102">
        <v>0.70392749244712993</v>
      </c>
      <c r="Q133" s="61"/>
      <c r="S133" s="79"/>
    </row>
    <row r="134" spans="2:19" x14ac:dyDescent="0.2">
      <c r="B134" s="7"/>
      <c r="C134" s="236" t="s">
        <v>1336</v>
      </c>
      <c r="D134" s="233">
        <v>0.67</v>
      </c>
      <c r="E134" s="100"/>
      <c r="K134" s="101" t="s">
        <v>1346</v>
      </c>
      <c r="L134" s="105">
        <v>107</v>
      </c>
      <c r="M134" s="105">
        <v>99</v>
      </c>
      <c r="N134" s="105">
        <v>206</v>
      </c>
      <c r="O134" s="102">
        <v>0.51941747572815533</v>
      </c>
      <c r="P134" s="102">
        <v>0.48058252427184467</v>
      </c>
      <c r="Q134" s="61"/>
      <c r="S134" s="79"/>
    </row>
    <row r="135" spans="2:19" x14ac:dyDescent="0.2">
      <c r="B135" s="7"/>
      <c r="C135" s="236" t="s">
        <v>1337</v>
      </c>
      <c r="D135" s="233">
        <v>0.3</v>
      </c>
      <c r="E135" s="100"/>
      <c r="K135" s="101" t="s">
        <v>1286</v>
      </c>
      <c r="L135" s="105">
        <v>63</v>
      </c>
      <c r="M135" s="105">
        <v>101</v>
      </c>
      <c r="N135" s="105">
        <v>164</v>
      </c>
      <c r="O135" s="102">
        <f>L135/N135</f>
        <v>0.38414634146341464</v>
      </c>
      <c r="P135" s="102">
        <f>M135/N135</f>
        <v>0.61585365853658536</v>
      </c>
      <c r="Q135" s="61"/>
      <c r="S135" s="79"/>
    </row>
    <row r="136" spans="2:19" x14ac:dyDescent="0.2">
      <c r="B136" s="7"/>
      <c r="C136" s="236" t="s">
        <v>1338</v>
      </c>
      <c r="D136" s="233">
        <v>0.79</v>
      </c>
      <c r="E136" s="106"/>
      <c r="K136" s="107" t="s">
        <v>1523</v>
      </c>
      <c r="L136" s="206">
        <f>GETPIVOTDATA("Net Dwellings",Pivot!$B$261,"Large Site",)</f>
        <v>121</v>
      </c>
      <c r="M136" s="206">
        <f>GETPIVOTDATA("Net Dwellings",Pivot!$B$261,"Large Site","Y")</f>
        <v>20</v>
      </c>
      <c r="N136" s="206">
        <f>SUM(L136:M136)</f>
        <v>141</v>
      </c>
      <c r="O136" s="207">
        <f>L136/N136</f>
        <v>0.85815602836879434</v>
      </c>
      <c r="P136" s="207">
        <f>M136/N136</f>
        <v>0.14184397163120568</v>
      </c>
      <c r="Q136" s="61"/>
      <c r="S136" s="79"/>
    </row>
    <row r="137" spans="2:19" x14ac:dyDescent="0.2">
      <c r="B137" s="7"/>
      <c r="C137" s="236" t="s">
        <v>1339</v>
      </c>
      <c r="D137" s="233">
        <v>0.73</v>
      </c>
      <c r="E137" s="100"/>
      <c r="K137" s="104" t="s">
        <v>1373</v>
      </c>
      <c r="L137" s="108">
        <f>SUM(L127:L135)</f>
        <v>1405</v>
      </c>
      <c r="M137" s="108">
        <f>SUM(M127:M135)</f>
        <v>1587</v>
      </c>
      <c r="N137" s="108">
        <f>SUM(N127:N135)</f>
        <v>2992</v>
      </c>
      <c r="O137" s="109"/>
      <c r="P137" s="109"/>
      <c r="Q137" s="61"/>
      <c r="S137" s="79"/>
    </row>
    <row r="138" spans="2:19" x14ac:dyDescent="0.2">
      <c r="B138" s="7"/>
      <c r="C138" s="236" t="s">
        <v>1340</v>
      </c>
      <c r="D138" s="233">
        <v>0.22</v>
      </c>
      <c r="K138" s="104" t="s">
        <v>1374</v>
      </c>
      <c r="L138" s="108">
        <f>AVERAGE(L127:L135)</f>
        <v>156.11111111111111</v>
      </c>
      <c r="M138" s="108">
        <f>AVERAGE(M127:M135)</f>
        <v>176.33333333333334</v>
      </c>
      <c r="N138" s="108">
        <f>AVERAGE(N127:N135)</f>
        <v>332.44444444444446</v>
      </c>
      <c r="O138" s="109">
        <f>AVERAGE(O127:O135)</f>
        <v>0.45845713952511641</v>
      </c>
      <c r="P138" s="109">
        <f>AVERAGE(P127:P135)</f>
        <v>0.54154286047488354</v>
      </c>
      <c r="Q138" s="61"/>
      <c r="S138" s="79"/>
    </row>
    <row r="139" spans="2:19" x14ac:dyDescent="0.2">
      <c r="B139" s="7"/>
      <c r="C139" s="236" t="s">
        <v>1341</v>
      </c>
      <c r="D139" s="233">
        <v>0.38</v>
      </c>
      <c r="L139" s="61"/>
      <c r="M139" s="61"/>
      <c r="N139" s="61"/>
      <c r="O139" s="61"/>
      <c r="P139" s="61"/>
      <c r="Q139" s="61"/>
      <c r="S139" s="79"/>
    </row>
    <row r="140" spans="2:19" x14ac:dyDescent="0.2">
      <c r="B140" s="7"/>
      <c r="C140" s="236" t="s">
        <v>1342</v>
      </c>
      <c r="D140" s="233">
        <v>0.47</v>
      </c>
      <c r="L140" s="61"/>
      <c r="M140" s="61"/>
      <c r="N140" s="61"/>
      <c r="O140" s="61"/>
      <c r="P140" s="61"/>
      <c r="Q140" s="61"/>
      <c r="S140" s="79"/>
    </row>
    <row r="141" spans="2:19" x14ac:dyDescent="0.2">
      <c r="B141" s="7"/>
      <c r="C141" s="236" t="s">
        <v>1343</v>
      </c>
      <c r="D141" s="233">
        <v>0.56999999999999995</v>
      </c>
      <c r="L141" s="61"/>
      <c r="M141" s="61"/>
      <c r="N141" s="61"/>
      <c r="O141" s="61"/>
      <c r="P141" s="61"/>
      <c r="Q141" s="61"/>
      <c r="S141" s="79"/>
    </row>
    <row r="142" spans="2:19" x14ac:dyDescent="0.2">
      <c r="B142" s="7"/>
      <c r="C142" s="236" t="s">
        <v>1344</v>
      </c>
      <c r="D142" s="233">
        <f>P132</f>
        <v>0.70167064439140814</v>
      </c>
      <c r="L142" s="61"/>
      <c r="M142" s="61"/>
      <c r="N142" s="61"/>
      <c r="O142" s="61"/>
      <c r="P142" s="61"/>
      <c r="Q142" s="61"/>
      <c r="S142" s="79"/>
    </row>
    <row r="143" spans="2:19" x14ac:dyDescent="0.2">
      <c r="B143" s="7"/>
      <c r="C143" s="236" t="s">
        <v>1345</v>
      </c>
      <c r="D143" s="233">
        <f>P133</f>
        <v>0.70392749244712993</v>
      </c>
      <c r="J143" s="61"/>
      <c r="K143" s="61"/>
      <c r="L143" s="61"/>
      <c r="M143" s="61"/>
      <c r="N143" s="61"/>
      <c r="O143" s="61"/>
      <c r="P143" s="61"/>
      <c r="Q143" s="61"/>
      <c r="S143" s="79"/>
    </row>
    <row r="144" spans="2:19" x14ac:dyDescent="0.2">
      <c r="B144" s="7"/>
      <c r="C144" s="236" t="s">
        <v>1346</v>
      </c>
      <c r="D144" s="233">
        <f>P134</f>
        <v>0.48058252427184467</v>
      </c>
      <c r="J144" s="61"/>
      <c r="K144" s="61"/>
      <c r="L144" s="61"/>
      <c r="M144" s="61"/>
      <c r="N144" s="61"/>
      <c r="O144" s="61"/>
      <c r="P144" s="61"/>
      <c r="Q144" s="61"/>
      <c r="S144" s="79"/>
    </row>
    <row r="145" spans="2:19" x14ac:dyDescent="0.2">
      <c r="B145" s="7"/>
      <c r="C145" s="236" t="s">
        <v>1286</v>
      </c>
      <c r="D145" s="233">
        <f>P135</f>
        <v>0.61585365853658536</v>
      </c>
      <c r="J145" s="61"/>
      <c r="K145" s="61"/>
      <c r="L145" s="61"/>
      <c r="M145" s="61"/>
      <c r="N145" s="61"/>
      <c r="O145" s="61"/>
      <c r="Q145" s="61"/>
      <c r="S145" s="79"/>
    </row>
    <row r="146" spans="2:19" x14ac:dyDescent="0.2">
      <c r="B146" s="7"/>
      <c r="C146" s="237" t="s">
        <v>1523</v>
      </c>
      <c r="D146" s="238">
        <f>P136</f>
        <v>0.14184397163120568</v>
      </c>
      <c r="J146" s="61"/>
      <c r="K146" s="61"/>
      <c r="Q146" s="61"/>
      <c r="S146" s="79"/>
    </row>
    <row r="147" spans="2:19" x14ac:dyDescent="0.2">
      <c r="B147" s="7"/>
      <c r="Q147" s="61"/>
      <c r="S147" s="79"/>
    </row>
    <row r="148" spans="2:19" x14ac:dyDescent="0.2">
      <c r="B148" s="7"/>
      <c r="Q148" s="61"/>
      <c r="S148" s="79"/>
    </row>
    <row r="149" spans="2:19" x14ac:dyDescent="0.2">
      <c r="B149" s="7"/>
      <c r="Q149" s="61"/>
      <c r="S149" s="79"/>
    </row>
    <row r="150" spans="2:19" x14ac:dyDescent="0.2">
      <c r="B150" s="7"/>
      <c r="Q150" s="61"/>
      <c r="S150" s="79"/>
    </row>
    <row r="151" spans="2:19" x14ac:dyDescent="0.2">
      <c r="B151" s="7"/>
      <c r="Q151" s="61"/>
      <c r="S151" s="79"/>
    </row>
    <row r="152" spans="2:19" x14ac:dyDescent="0.2">
      <c r="B152" s="7"/>
      <c r="Q152" s="61"/>
      <c r="S152" s="79"/>
    </row>
    <row r="153" spans="2:19" x14ac:dyDescent="0.2">
      <c r="B153" s="7"/>
      <c r="Q153" s="61"/>
      <c r="S153" s="79"/>
    </row>
    <row r="154" spans="2:19" x14ac:dyDescent="0.2">
      <c r="B154" s="7"/>
      <c r="Q154" s="61"/>
      <c r="S154" s="79"/>
    </row>
    <row r="155" spans="2:19" x14ac:dyDescent="0.2">
      <c r="B155" s="7"/>
      <c r="Q155" s="61"/>
      <c r="S155" s="79"/>
    </row>
    <row r="156" spans="2:19" x14ac:dyDescent="0.2">
      <c r="B156" s="7"/>
      <c r="Q156" s="61"/>
      <c r="S156" s="79"/>
    </row>
    <row r="157" spans="2:19" x14ac:dyDescent="0.2">
      <c r="B157" s="7"/>
      <c r="Q157" s="61"/>
      <c r="S157" s="79"/>
    </row>
    <row r="158" spans="2:19" x14ac:dyDescent="0.2">
      <c r="B158" s="7"/>
      <c r="Q158" s="61"/>
      <c r="S158" s="79"/>
    </row>
    <row r="159" spans="2:19" x14ac:dyDescent="0.2">
      <c r="B159" s="7"/>
      <c r="Q159" s="61"/>
      <c r="S159" s="79"/>
    </row>
    <row r="160" spans="2:19" x14ac:dyDescent="0.2">
      <c r="B160" s="7"/>
      <c r="Q160" s="61"/>
      <c r="S160" s="79"/>
    </row>
    <row r="161" spans="2:19" x14ac:dyDescent="0.2">
      <c r="B161" s="7"/>
      <c r="Q161" s="61"/>
      <c r="S161" s="79"/>
    </row>
    <row r="162" spans="2:19" x14ac:dyDescent="0.2">
      <c r="B162" s="64"/>
      <c r="C162" s="82"/>
      <c r="D162" s="82"/>
      <c r="E162" s="82"/>
      <c r="F162" s="82"/>
      <c r="G162" s="82"/>
      <c r="H162" s="82"/>
      <c r="I162" s="82"/>
      <c r="J162" s="82"/>
      <c r="K162" s="82"/>
      <c r="L162" s="82"/>
      <c r="M162" s="82"/>
      <c r="N162" s="82"/>
      <c r="O162" s="82"/>
      <c r="P162" s="82"/>
      <c r="Q162" s="98"/>
      <c r="R162" s="82"/>
      <c r="S162" s="83"/>
    </row>
    <row r="163" spans="2:19" x14ac:dyDescent="0.2">
      <c r="B163" s="68"/>
      <c r="C163" s="3"/>
      <c r="D163" s="3"/>
      <c r="E163" s="3"/>
      <c r="F163" s="3"/>
      <c r="G163" s="3"/>
      <c r="H163" s="3"/>
      <c r="I163" s="3"/>
      <c r="J163" s="3"/>
      <c r="K163" s="3"/>
      <c r="L163" s="3"/>
      <c r="M163" s="3"/>
      <c r="N163" s="3"/>
      <c r="O163" s="3"/>
      <c r="P163" s="3"/>
      <c r="Q163" s="3"/>
      <c r="R163" s="3"/>
      <c r="S163" s="84"/>
    </row>
    <row r="164" spans="2:19" x14ac:dyDescent="0.2">
      <c r="B164" s="7"/>
      <c r="S164" s="79"/>
    </row>
    <row r="165" spans="2:19" x14ac:dyDescent="0.2">
      <c r="B165" s="7"/>
      <c r="S165" s="79"/>
    </row>
    <row r="166" spans="2:19" ht="20.25" x14ac:dyDescent="0.3">
      <c r="B166" s="7"/>
      <c r="C166" s="85" t="s">
        <v>1375</v>
      </c>
      <c r="D166" s="60"/>
      <c r="E166" s="60"/>
      <c r="F166" s="60"/>
      <c r="G166" s="60"/>
      <c r="H166" s="60"/>
      <c r="I166" s="60"/>
      <c r="J166" s="60"/>
      <c r="K166" s="60"/>
      <c r="L166" s="60"/>
      <c r="M166" s="60"/>
      <c r="N166" s="60"/>
      <c r="O166" s="60"/>
      <c r="P166" s="60"/>
      <c r="Q166" s="60"/>
      <c r="S166" s="79"/>
    </row>
    <row r="167" spans="2:19" ht="20.25" x14ac:dyDescent="0.3">
      <c r="B167" s="7"/>
      <c r="C167" s="85"/>
      <c r="D167" s="60"/>
      <c r="E167" s="60"/>
      <c r="F167" s="60"/>
      <c r="G167" s="60"/>
      <c r="H167" s="60"/>
      <c r="I167" s="60"/>
      <c r="J167" s="60"/>
      <c r="K167" s="60"/>
      <c r="L167" s="60"/>
      <c r="M167" s="60"/>
      <c r="N167" s="60"/>
      <c r="O167" s="60"/>
      <c r="P167" s="60"/>
      <c r="Q167" s="60"/>
      <c r="S167" s="79"/>
    </row>
    <row r="168" spans="2:19" ht="15" x14ac:dyDescent="0.25">
      <c r="B168" s="7"/>
      <c r="C168" s="110" t="s">
        <v>1376</v>
      </c>
      <c r="D168" s="60"/>
      <c r="E168" s="60"/>
      <c r="F168" s="60"/>
      <c r="G168" s="60"/>
      <c r="H168" s="60"/>
      <c r="I168" s="110" t="s">
        <v>1377</v>
      </c>
      <c r="J168" s="61"/>
      <c r="K168" s="61"/>
      <c r="O168" s="61"/>
      <c r="P168" s="60"/>
      <c r="Q168" s="60"/>
      <c r="S168" s="79"/>
    </row>
    <row r="169" spans="2:19" x14ac:dyDescent="0.2">
      <c r="B169" s="7"/>
      <c r="C169" s="36" t="s">
        <v>1378</v>
      </c>
      <c r="D169" s="36" t="s">
        <v>1379</v>
      </c>
      <c r="E169" s="60"/>
      <c r="F169" s="60"/>
      <c r="G169" s="60"/>
      <c r="H169" s="60"/>
      <c r="I169" s="36" t="s">
        <v>1380</v>
      </c>
      <c r="J169" s="36" t="s">
        <v>1381</v>
      </c>
      <c r="K169" s="60"/>
      <c r="O169" s="60"/>
      <c r="P169" s="60"/>
      <c r="Q169" s="60"/>
      <c r="S169" s="79"/>
    </row>
    <row r="170" spans="2:19" x14ac:dyDescent="0.2">
      <c r="B170" s="49"/>
      <c r="C170" s="390" t="s">
        <v>1382</v>
      </c>
      <c r="D170" s="391"/>
      <c r="E170" s="62" t="s">
        <v>1523</v>
      </c>
      <c r="F170" s="60"/>
      <c r="G170" s="60"/>
      <c r="H170" s="60"/>
      <c r="I170" s="391" t="s">
        <v>1383</v>
      </c>
      <c r="J170" s="391"/>
      <c r="K170" s="62" t="s">
        <v>1523</v>
      </c>
      <c r="O170" s="60"/>
      <c r="P170" s="60"/>
      <c r="Q170" s="60"/>
      <c r="R170" s="60"/>
      <c r="S170" s="79"/>
    </row>
    <row r="171" spans="2:19" x14ac:dyDescent="0.2">
      <c r="B171" s="49"/>
      <c r="C171" s="387" t="s">
        <v>1384</v>
      </c>
      <c r="D171" s="388"/>
      <c r="E171" s="111">
        <f>GETPIVOTDATA("Net Dwellings",Pivot!$B$246,"Town_Centre","East Sheen")</f>
        <v>6</v>
      </c>
      <c r="F171" s="60"/>
      <c r="G171" s="60"/>
      <c r="H171" s="60"/>
      <c r="I171" s="388" t="s">
        <v>1376</v>
      </c>
      <c r="J171" s="388"/>
      <c r="K171" s="112">
        <f>E176</f>
        <v>34</v>
      </c>
      <c r="O171" s="60"/>
      <c r="P171" s="60"/>
      <c r="Q171" s="60"/>
      <c r="R171" s="60"/>
      <c r="S171" s="79"/>
    </row>
    <row r="172" spans="2:19" x14ac:dyDescent="0.2">
      <c r="B172" s="49"/>
      <c r="C172" s="387" t="s">
        <v>1385</v>
      </c>
      <c r="D172" s="388"/>
      <c r="E172" s="111">
        <f>GETPIVOTDATA("Net Dwellings",Pivot!$B$246,"Town_Centre","Richmond")</f>
        <v>14</v>
      </c>
      <c r="F172" s="60"/>
      <c r="G172" s="60"/>
      <c r="H172" s="60"/>
      <c r="I172" s="388" t="s">
        <v>1386</v>
      </c>
      <c r="J172" s="388"/>
      <c r="K172" s="112">
        <f>GETPIVOTDATA("Net Dwellings",Pivot!$H$247,"Thames_Policy_Area","Thames Policy Area")</f>
        <v>-4</v>
      </c>
      <c r="O172" s="60"/>
      <c r="P172" s="60"/>
      <c r="Q172" s="60"/>
      <c r="R172" s="60"/>
      <c r="S172" s="79"/>
    </row>
    <row r="173" spans="2:19" x14ac:dyDescent="0.2">
      <c r="B173" s="49"/>
      <c r="C173" s="387" t="s">
        <v>1387</v>
      </c>
      <c r="D173" s="388"/>
      <c r="E173" s="111">
        <f>GETPIVOTDATA("Net Dwellings",Pivot!$B$246,"Town_Centre","Teddington")</f>
        <v>6</v>
      </c>
      <c r="F173" s="60"/>
      <c r="G173" s="60"/>
      <c r="H173" s="60"/>
      <c r="I173" s="388" t="s">
        <v>1388</v>
      </c>
      <c r="J173" s="388"/>
      <c r="K173" s="112">
        <f>GETPIVOTDATA("Net Dwellings",Pivot!$E$261,"Mixed Use Area","Y")</f>
        <v>11</v>
      </c>
      <c r="O173" s="60"/>
      <c r="P173" s="60"/>
      <c r="Q173" s="60"/>
      <c r="R173" s="60"/>
      <c r="S173" s="79"/>
    </row>
    <row r="174" spans="2:19" x14ac:dyDescent="0.2">
      <c r="B174" s="49"/>
      <c r="C174" s="387" t="s">
        <v>1389</v>
      </c>
      <c r="D174" s="388"/>
      <c r="E174" s="111">
        <f>GETPIVOTDATA("Net Dwellings",Pivot!$B$246,"Town_Centre","Twickenham")</f>
        <v>8</v>
      </c>
      <c r="F174" s="60"/>
      <c r="G174" s="60"/>
      <c r="H174" s="60"/>
      <c r="I174" s="389" t="s">
        <v>1390</v>
      </c>
      <c r="J174" s="387"/>
      <c r="K174" s="112">
        <v>0</v>
      </c>
      <c r="O174" s="60"/>
      <c r="P174" s="60"/>
      <c r="Q174" s="60"/>
      <c r="R174" s="60"/>
      <c r="S174" s="79"/>
    </row>
    <row r="175" spans="2:19" x14ac:dyDescent="0.2">
      <c r="B175" s="49"/>
      <c r="C175" s="387" t="s">
        <v>1391</v>
      </c>
      <c r="D175" s="388"/>
      <c r="E175" s="111">
        <v>0</v>
      </c>
      <c r="F175" s="60"/>
      <c r="G175" s="60"/>
      <c r="H175" s="60"/>
      <c r="I175" s="388" t="s">
        <v>1392</v>
      </c>
      <c r="J175" s="388"/>
      <c r="K175" s="112">
        <v>0</v>
      </c>
      <c r="O175" s="60"/>
      <c r="P175" s="60"/>
      <c r="Q175" s="60"/>
      <c r="R175" s="60"/>
      <c r="S175" s="79"/>
    </row>
    <row r="176" spans="2:19" x14ac:dyDescent="0.2">
      <c r="B176" s="49"/>
      <c r="C176" s="390" t="s">
        <v>1393</v>
      </c>
      <c r="D176" s="391"/>
      <c r="E176" s="63">
        <f>SUM(E171:E175)</f>
        <v>34</v>
      </c>
      <c r="F176" s="60"/>
      <c r="G176" s="60"/>
      <c r="H176" s="60"/>
      <c r="I176" s="388" t="s">
        <v>1394</v>
      </c>
      <c r="J176" s="388"/>
      <c r="K176" s="112">
        <f>GETPIVOTDATA("Net Dwellings",Pivot!$H$261,"Garden Land","Y")</f>
        <v>0</v>
      </c>
      <c r="O176" s="60"/>
      <c r="P176" s="60"/>
      <c r="Q176" s="60"/>
      <c r="R176" s="60"/>
      <c r="S176" s="79"/>
    </row>
    <row r="177" spans="2:19" x14ac:dyDescent="0.2">
      <c r="B177" s="7"/>
      <c r="C177" s="60"/>
      <c r="D177" s="60"/>
      <c r="E177" s="60"/>
      <c r="F177" s="60"/>
      <c r="G177" s="60"/>
      <c r="H177" s="60"/>
      <c r="I177" s="388" t="s">
        <v>1395</v>
      </c>
      <c r="J177" s="388"/>
      <c r="K177" s="112">
        <f>GETPIVOTDATA("Net Dwellings",Pivot!$E$247,"Conservation_Area","Y")</f>
        <v>63</v>
      </c>
      <c r="O177" s="60"/>
      <c r="P177" s="60"/>
      <c r="S177" s="79"/>
    </row>
    <row r="178" spans="2:19" x14ac:dyDescent="0.2">
      <c r="B178" s="7"/>
      <c r="C178" s="60"/>
      <c r="D178" s="60"/>
      <c r="E178" s="60"/>
      <c r="F178" s="60"/>
      <c r="G178" s="60"/>
      <c r="H178" s="60"/>
      <c r="I178" s="60"/>
      <c r="J178" s="60"/>
      <c r="K178" s="113"/>
      <c r="L178" s="81"/>
      <c r="M178" s="81"/>
      <c r="N178" s="114"/>
      <c r="O178" s="60"/>
      <c r="P178" s="60"/>
      <c r="S178" s="79"/>
    </row>
    <row r="179" spans="2:19" ht="15" x14ac:dyDescent="0.25">
      <c r="B179" s="7"/>
      <c r="C179" s="110" t="s">
        <v>1396</v>
      </c>
      <c r="D179" s="60"/>
      <c r="E179" s="61"/>
      <c r="F179" s="115"/>
      <c r="G179" s="115"/>
      <c r="H179" s="115"/>
      <c r="I179" s="115"/>
      <c r="J179" s="115"/>
      <c r="K179" s="115"/>
      <c r="L179" s="60"/>
      <c r="M179" s="60"/>
      <c r="N179" s="60"/>
      <c r="O179" s="60"/>
      <c r="P179" s="60"/>
      <c r="Q179" s="60"/>
      <c r="S179" s="79"/>
    </row>
    <row r="180" spans="2:19" x14ac:dyDescent="0.2">
      <c r="B180" s="7"/>
      <c r="C180" s="36" t="s">
        <v>1397</v>
      </c>
      <c r="D180" s="36" t="s">
        <v>1565</v>
      </c>
      <c r="E180" s="61"/>
      <c r="F180" s="115"/>
      <c r="G180" s="115"/>
      <c r="H180" s="115"/>
      <c r="I180" s="115"/>
      <c r="J180" s="115"/>
      <c r="K180" s="115"/>
      <c r="L180" s="60"/>
      <c r="M180" s="60"/>
      <c r="N180" s="60"/>
      <c r="O180" s="60"/>
      <c r="P180" s="60"/>
      <c r="Q180" s="60"/>
      <c r="S180" s="79"/>
    </row>
    <row r="181" spans="2:19" ht="33.75" x14ac:dyDescent="0.2">
      <c r="B181" s="49"/>
      <c r="C181" s="398" t="s">
        <v>1398</v>
      </c>
      <c r="D181" s="399"/>
      <c r="E181" s="399"/>
      <c r="F181" s="116" t="s">
        <v>1248</v>
      </c>
      <c r="G181" s="117" t="s">
        <v>1249</v>
      </c>
      <c r="H181" s="116" t="s">
        <v>1326</v>
      </c>
      <c r="I181" s="115"/>
      <c r="J181" s="115"/>
      <c r="K181" s="115"/>
      <c r="L181" s="115"/>
      <c r="M181" s="60"/>
      <c r="N181" s="60"/>
      <c r="O181" s="60"/>
      <c r="P181" s="60"/>
      <c r="Q181" s="60"/>
      <c r="R181" s="60"/>
      <c r="S181" s="79"/>
    </row>
    <row r="182" spans="2:19" x14ac:dyDescent="0.2">
      <c r="B182" s="49"/>
      <c r="C182" s="392" t="s">
        <v>1399</v>
      </c>
      <c r="D182" s="393"/>
      <c r="E182" s="394"/>
      <c r="F182" s="208">
        <f>GETPIVOTDATA("Net Dwellings",Pivot!$B$273,"Ward_Name","Barnes")</f>
        <v>1</v>
      </c>
      <c r="G182" s="181">
        <f>GETPIVOTDATA("Net Dwellings",Pivot!$E$273,"Ward_Name",C182)</f>
        <v>1</v>
      </c>
      <c r="H182" s="208">
        <f>GETPIVOTDATA("Net Dwellings",Pivot!$H$273,"Ward_Name",C182)</f>
        <v>2</v>
      </c>
      <c r="I182" s="115"/>
      <c r="J182" s="115"/>
      <c r="K182" s="115"/>
      <c r="L182" s="115"/>
      <c r="M182" s="60"/>
      <c r="N182" s="60"/>
      <c r="O182" s="60"/>
      <c r="P182" s="60"/>
      <c r="Q182" s="60"/>
      <c r="R182" s="60"/>
      <c r="S182" s="79"/>
    </row>
    <row r="183" spans="2:19" x14ac:dyDescent="0.2">
      <c r="B183" s="49"/>
      <c r="C183" s="392" t="s">
        <v>1384</v>
      </c>
      <c r="D183" s="393"/>
      <c r="E183" s="394"/>
      <c r="F183" s="208">
        <f>GETPIVOTDATA("Net Dwellings",Pivot!$B$273,"Ward_Name",C183)</f>
        <v>9</v>
      </c>
      <c r="G183" s="181">
        <f>GETPIVOTDATA("Net Dwellings",Pivot!$E$273,"Ward_Name",C183)</f>
        <v>11</v>
      </c>
      <c r="H183" s="208">
        <f>GETPIVOTDATA("Net Dwellings",Pivot!$H$273,"Ward_Name",C183)</f>
        <v>5</v>
      </c>
      <c r="I183" s="115"/>
      <c r="J183" s="115"/>
      <c r="K183" s="115"/>
      <c r="L183" s="115"/>
      <c r="M183" s="60"/>
      <c r="N183" s="60"/>
      <c r="O183" s="60"/>
      <c r="P183" s="60"/>
      <c r="Q183" s="60"/>
      <c r="R183" s="60"/>
      <c r="S183" s="79"/>
    </row>
    <row r="184" spans="2:19" x14ac:dyDescent="0.2">
      <c r="B184" s="49"/>
      <c r="C184" s="392" t="s">
        <v>1563</v>
      </c>
      <c r="D184" s="393"/>
      <c r="E184" s="394"/>
      <c r="F184" s="208">
        <f>GETPIVOTDATA("Net Dwellings",Pivot!$B$273,"Ward_Name",C184)</f>
        <v>35</v>
      </c>
      <c r="G184" s="181">
        <f>GETPIVOTDATA("Net Dwellings",Pivot!$E$273,"Ward_Name",C184)</f>
        <v>64</v>
      </c>
      <c r="H184" s="208">
        <f>GETPIVOTDATA("Net Dwellings",Pivot!$H$273,"Ward_Name",C184)</f>
        <v>7</v>
      </c>
      <c r="I184" s="115"/>
      <c r="J184" s="115"/>
      <c r="K184" s="115"/>
      <c r="L184" s="115"/>
      <c r="M184" s="60"/>
      <c r="N184" s="60"/>
      <c r="O184" s="60"/>
      <c r="P184" s="60"/>
      <c r="Q184" s="60"/>
      <c r="R184" s="60"/>
      <c r="S184" s="79"/>
    </row>
    <row r="185" spans="2:19" x14ac:dyDescent="0.2">
      <c r="B185" s="49"/>
      <c r="C185" s="395" t="s">
        <v>1560</v>
      </c>
      <c r="D185" s="396"/>
      <c r="E185" s="397"/>
      <c r="F185" s="208">
        <f>GETPIVOTDATA("Net Dwellings",Pivot!$B$273,"Ward_Name",C185)</f>
        <v>264</v>
      </c>
      <c r="G185" s="181">
        <f>GETPIVOTDATA("Net Dwellings",Pivot!$E$273,"Ward_Name",C185)</f>
        <v>1</v>
      </c>
      <c r="H185" s="208">
        <f>GETPIVOTDATA("Net Dwellings",Pivot!$H$273,"Ward_Name",C185)</f>
        <v>-3</v>
      </c>
      <c r="I185" s="115"/>
      <c r="J185" s="115"/>
      <c r="K185" s="115"/>
      <c r="L185" s="115"/>
      <c r="M185" s="60"/>
      <c r="N185" s="60"/>
      <c r="O185" s="60"/>
      <c r="P185" s="60"/>
      <c r="Q185" s="60"/>
      <c r="R185" s="60"/>
      <c r="S185" s="79"/>
    </row>
    <row r="186" spans="2:19" x14ac:dyDescent="0.2">
      <c r="B186" s="49"/>
      <c r="C186" s="392" t="s">
        <v>1400</v>
      </c>
      <c r="D186" s="393"/>
      <c r="E186" s="394"/>
      <c r="F186" s="208">
        <f>GETPIVOTDATA("Net Dwellings",Pivot!$B$273,"Ward_Name",C186)</f>
        <v>13</v>
      </c>
      <c r="G186" s="181">
        <f>GETPIVOTDATA("Net Dwellings",Pivot!$E$273,"Ward_Name",C186)</f>
        <v>8</v>
      </c>
      <c r="H186" s="208">
        <f>GETPIVOTDATA("Net Dwellings",Pivot!$H$273,"Ward_Name",C186)</f>
        <v>19</v>
      </c>
      <c r="I186" s="115"/>
      <c r="J186" s="115"/>
      <c r="K186" s="115"/>
      <c r="L186" s="115"/>
      <c r="M186" s="60"/>
      <c r="N186" s="60"/>
      <c r="O186" s="60"/>
      <c r="P186" s="60"/>
      <c r="Q186" s="60"/>
      <c r="R186" s="60"/>
      <c r="S186" s="79"/>
    </row>
    <row r="187" spans="2:19" x14ac:dyDescent="0.2">
      <c r="B187" s="49"/>
      <c r="C187" s="392" t="s">
        <v>1401</v>
      </c>
      <c r="D187" s="393"/>
      <c r="E187" s="394"/>
      <c r="F187" s="208">
        <f>GETPIVOTDATA("Net Dwellings",Pivot!$B$273,"Ward_Name",C187)</f>
        <v>4</v>
      </c>
      <c r="G187" s="181">
        <f>GETPIVOTDATA("Net Dwellings",Pivot!$E$273,"Ward_Name",C187)</f>
        <v>11</v>
      </c>
      <c r="H187" s="208">
        <f>GETPIVOTDATA("Net Dwellings",Pivot!$H$273,"Ward_Name",C187)</f>
        <v>1</v>
      </c>
      <c r="I187" s="115"/>
      <c r="J187" s="115"/>
      <c r="K187" s="115"/>
      <c r="L187" s="115"/>
      <c r="M187" s="60"/>
      <c r="N187" s="60"/>
      <c r="O187" s="60"/>
      <c r="P187" s="60"/>
      <c r="Q187" s="60"/>
      <c r="R187" s="60"/>
      <c r="S187" s="79"/>
    </row>
    <row r="188" spans="2:19" x14ac:dyDescent="0.2">
      <c r="B188" s="49"/>
      <c r="C188" s="392" t="s">
        <v>1559</v>
      </c>
      <c r="D188" s="393"/>
      <c r="E188" s="394"/>
      <c r="F188" s="208">
        <f>GETPIVOTDATA("Net Dwellings",Pivot!$B$273,"Ward_Name",C188)</f>
        <v>13</v>
      </c>
      <c r="G188" s="181">
        <f>GETPIVOTDATA("Net Dwellings",Pivot!$E$273,"Ward_Name",C188)</f>
        <v>32</v>
      </c>
      <c r="H188" s="208">
        <f>GETPIVOTDATA("Net Dwellings",Pivot!$H$273,"Ward_Name",C188)</f>
        <v>11</v>
      </c>
      <c r="I188" s="115"/>
      <c r="J188" s="115"/>
      <c r="K188" s="115"/>
      <c r="L188" s="115"/>
      <c r="M188" s="60"/>
      <c r="N188" s="60"/>
      <c r="O188" s="60"/>
      <c r="P188" s="60"/>
      <c r="Q188" s="60"/>
      <c r="R188" s="60"/>
      <c r="S188" s="79"/>
    </row>
    <row r="189" spans="2:19" x14ac:dyDescent="0.2">
      <c r="B189" s="49"/>
      <c r="C189" s="392" t="s">
        <v>1402</v>
      </c>
      <c r="D189" s="393"/>
      <c r="E189" s="394"/>
      <c r="F189" s="208">
        <f>GETPIVOTDATA("Net Dwellings",Pivot!$B$273,"Ward_Name",C189)</f>
        <v>4</v>
      </c>
      <c r="G189" s="181">
        <f>GETPIVOTDATA("Net Dwellings",Pivot!$E$273,"Ward_Name",C189)</f>
        <v>18</v>
      </c>
      <c r="H189" s="208">
        <f>GETPIVOTDATA("Net Dwellings",Pivot!$H$273,"Ward_Name",C189)</f>
        <v>10</v>
      </c>
      <c r="I189" s="115"/>
      <c r="J189" s="115"/>
      <c r="K189" s="115"/>
      <c r="L189" s="115"/>
      <c r="M189" s="60"/>
      <c r="N189" s="60"/>
      <c r="O189" s="60"/>
      <c r="P189" s="60"/>
      <c r="Q189" s="60"/>
      <c r="R189" s="60"/>
      <c r="S189" s="79"/>
    </row>
    <row r="190" spans="2:19" x14ac:dyDescent="0.2">
      <c r="B190" s="49"/>
      <c r="C190" s="392" t="s">
        <v>1403</v>
      </c>
      <c r="D190" s="393"/>
      <c r="E190" s="394"/>
      <c r="F190" s="208">
        <f>GETPIVOTDATA("Net Dwellings",Pivot!$B$273,"Ward_Name",C190)</f>
        <v>123</v>
      </c>
      <c r="G190" s="181">
        <f>GETPIVOTDATA("Net Dwellings",Pivot!$E$273,"Ward_Name",C190)</f>
        <v>9</v>
      </c>
      <c r="H190" s="208">
        <f>GETPIVOTDATA("Net Dwellings",Pivot!$H$273,"Ward_Name",C190)</f>
        <v>37</v>
      </c>
      <c r="I190" s="115"/>
      <c r="J190" s="115"/>
      <c r="K190" s="115"/>
      <c r="L190" s="115"/>
      <c r="M190" s="60"/>
      <c r="N190" s="60"/>
      <c r="O190" s="60"/>
      <c r="P190" s="60"/>
      <c r="Q190" s="60"/>
      <c r="R190" s="60"/>
      <c r="S190" s="79"/>
    </row>
    <row r="191" spans="2:19" x14ac:dyDescent="0.2">
      <c r="B191" s="49"/>
      <c r="C191" s="392" t="s">
        <v>1562</v>
      </c>
      <c r="D191" s="393"/>
      <c r="E191" s="394"/>
      <c r="F191" s="208">
        <f>GETPIVOTDATA("Net Dwellings",Pivot!$B$273,"Ward_Name",C191)</f>
        <v>96</v>
      </c>
      <c r="G191" s="181">
        <f>GETPIVOTDATA("Net Dwellings",Pivot!$E$273,"Ward_Name",C191)</f>
        <v>10</v>
      </c>
      <c r="H191" s="208">
        <f>GETPIVOTDATA("Net Dwellings",Pivot!$H$273,"Ward_Name",C191)</f>
        <v>5</v>
      </c>
      <c r="I191" s="115"/>
      <c r="J191" s="115"/>
      <c r="K191" s="115"/>
      <c r="L191" s="115"/>
      <c r="M191" s="60"/>
      <c r="N191" s="60"/>
      <c r="O191" s="60"/>
      <c r="P191" s="60"/>
      <c r="Q191" s="60"/>
      <c r="R191" s="60"/>
      <c r="S191" s="79"/>
    </row>
    <row r="192" spans="2:19" x14ac:dyDescent="0.2">
      <c r="B192" s="49"/>
      <c r="C192" s="392" t="s">
        <v>1404</v>
      </c>
      <c r="D192" s="393"/>
      <c r="E192" s="394"/>
      <c r="F192" s="208">
        <f>GETPIVOTDATA("Net Dwellings",Pivot!$B$273,"Ward_Name",C192)</f>
        <v>24</v>
      </c>
      <c r="G192" s="181">
        <f>GETPIVOTDATA("Net Dwellings",Pivot!$E$273,"Ward_Name",C192)</f>
        <v>85</v>
      </c>
      <c r="H192" s="208">
        <f>GETPIVOTDATA("Net Dwellings",Pivot!$H$273,"Ward_Name",C192)</f>
        <v>-1</v>
      </c>
      <c r="I192" s="115"/>
      <c r="J192" s="115"/>
      <c r="K192" s="115"/>
      <c r="L192" s="115"/>
      <c r="M192" s="60"/>
      <c r="N192" s="60"/>
      <c r="O192" s="60"/>
      <c r="P192" s="60"/>
      <c r="Q192" s="60"/>
      <c r="R192" s="60"/>
      <c r="S192" s="79"/>
    </row>
    <row r="193" spans="2:19" x14ac:dyDescent="0.2">
      <c r="B193" s="49"/>
      <c r="C193" s="392" t="s">
        <v>1405</v>
      </c>
      <c r="D193" s="393"/>
      <c r="E193" s="394"/>
      <c r="F193" s="208">
        <f>GETPIVOTDATA("Net Dwellings",Pivot!$B$273,"Ward_Name",C193)</f>
        <v>25</v>
      </c>
      <c r="G193" s="181">
        <f>GETPIVOTDATA("Net Dwellings",Pivot!$E$273,"Ward_Name",C193)</f>
        <v>24</v>
      </c>
      <c r="H193" s="208">
        <f>GETPIVOTDATA("Net Dwellings",Pivot!$H$273,"Ward_Name",C193)</f>
        <v>11</v>
      </c>
      <c r="I193" s="115"/>
      <c r="J193" s="115"/>
      <c r="K193" s="115"/>
      <c r="L193" s="115"/>
      <c r="M193" s="60"/>
      <c r="N193" s="60"/>
      <c r="O193" s="60"/>
      <c r="P193" s="60"/>
      <c r="Q193" s="60"/>
      <c r="R193" s="60"/>
      <c r="S193" s="79"/>
    </row>
    <row r="194" spans="2:19" x14ac:dyDescent="0.2">
      <c r="B194" s="49"/>
      <c r="C194" s="392" t="s">
        <v>1406</v>
      </c>
      <c r="D194" s="393"/>
      <c r="E194" s="394"/>
      <c r="F194" s="208">
        <f>GETPIVOTDATA("Net Dwellings",Pivot!$B$273,"Ward_Name",C194)</f>
        <v>30</v>
      </c>
      <c r="G194" s="181">
        <f>GETPIVOTDATA("Net Dwellings",Pivot!$E$273,"Ward_Name",C194)</f>
        <v>7</v>
      </c>
      <c r="H194" s="208">
        <f>GETPIVOTDATA("Net Dwellings",Pivot!$H$273,"Ward_Name",C194)</f>
        <v>5</v>
      </c>
      <c r="I194" s="115"/>
      <c r="J194" s="115"/>
      <c r="K194" s="115"/>
      <c r="L194" s="115"/>
      <c r="M194" s="60"/>
      <c r="N194" s="60"/>
      <c r="O194" s="60"/>
      <c r="P194" s="60"/>
      <c r="Q194" s="60"/>
      <c r="R194" s="60"/>
      <c r="S194" s="79"/>
    </row>
    <row r="195" spans="2:19" x14ac:dyDescent="0.2">
      <c r="B195" s="49"/>
      <c r="C195" s="392" t="s">
        <v>1561</v>
      </c>
      <c r="D195" s="393"/>
      <c r="E195" s="394"/>
      <c r="F195" s="208">
        <f>GETPIVOTDATA("Net Dwellings",Pivot!$B$273,"Ward_Name",C195)</f>
        <v>223</v>
      </c>
      <c r="G195" s="181">
        <f>GETPIVOTDATA("Net Dwellings",Pivot!$E$273,"Ward_Name",C195)</f>
        <v>17</v>
      </c>
      <c r="H195" s="208">
        <f>GETPIVOTDATA("Net Dwellings",Pivot!$H$273,"Ward_Name",C195)</f>
        <v>7</v>
      </c>
      <c r="I195" s="115"/>
      <c r="J195" s="115"/>
      <c r="K195" s="115"/>
      <c r="L195" s="115"/>
      <c r="M195" s="60"/>
      <c r="N195" s="60"/>
      <c r="O195" s="60"/>
      <c r="P195" s="60"/>
      <c r="Q195" s="60"/>
      <c r="R195" s="60"/>
      <c r="S195" s="79"/>
    </row>
    <row r="196" spans="2:19" x14ac:dyDescent="0.2">
      <c r="B196" s="49"/>
      <c r="C196" s="392" t="s">
        <v>1387</v>
      </c>
      <c r="D196" s="393"/>
      <c r="E196" s="394"/>
      <c r="F196" s="208">
        <f>GETPIVOTDATA("Net Dwellings",Pivot!$B$273,"Ward_Name",C196)</f>
        <v>41</v>
      </c>
      <c r="G196" s="181">
        <f>GETPIVOTDATA("Net Dwellings",Pivot!$E$273,"Ward_Name",C196)</f>
        <v>3</v>
      </c>
      <c r="H196" s="208">
        <f>GETPIVOTDATA("Net Dwellings",Pivot!$H$273,"Ward_Name",C196)</f>
        <v>12</v>
      </c>
      <c r="I196" s="115"/>
      <c r="J196" s="115"/>
      <c r="K196" s="115"/>
      <c r="L196" s="115"/>
      <c r="M196" s="60"/>
      <c r="N196" s="60"/>
      <c r="O196" s="60"/>
      <c r="P196" s="60"/>
      <c r="Q196" s="60"/>
      <c r="R196" s="60"/>
      <c r="S196" s="79"/>
    </row>
    <row r="197" spans="2:19" x14ac:dyDescent="0.2">
      <c r="B197" s="49"/>
      <c r="C197" s="392" t="s">
        <v>1407</v>
      </c>
      <c r="D197" s="393"/>
      <c r="E197" s="394"/>
      <c r="F197" s="208">
        <f>GETPIVOTDATA("Net Dwellings",Pivot!$B$273,"Ward_Name",C197)</f>
        <v>112</v>
      </c>
      <c r="G197" s="181">
        <f>GETPIVOTDATA("Net Dwellings",Pivot!$E$273,"Ward_Name",C197)</f>
        <v>9</v>
      </c>
      <c r="H197" s="208">
        <f>GETPIVOTDATA("Net Dwellings",Pivot!$H$273,"Ward_Name",C197)</f>
        <v>5</v>
      </c>
      <c r="I197" s="115"/>
      <c r="J197" s="115"/>
      <c r="K197" s="115"/>
      <c r="L197" s="115"/>
      <c r="M197" s="60"/>
      <c r="N197" s="60"/>
      <c r="O197" s="60"/>
      <c r="P197" s="60"/>
      <c r="Q197" s="60"/>
      <c r="R197" s="60"/>
      <c r="S197" s="79"/>
    </row>
    <row r="198" spans="2:19" x14ac:dyDescent="0.2">
      <c r="B198" s="49"/>
      <c r="C198" s="392" t="s">
        <v>1408</v>
      </c>
      <c r="D198" s="393"/>
      <c r="E198" s="394"/>
      <c r="F198" s="208">
        <f>GETPIVOTDATA("Net Dwellings",Pivot!$B$273,"Ward_Name",C198)</f>
        <v>-1</v>
      </c>
      <c r="G198" s="181">
        <f>GETPIVOTDATA("Net Dwellings",Pivot!$E$273,"Ward_Name",C198)</f>
        <v>2</v>
      </c>
      <c r="H198" s="208">
        <f>GETPIVOTDATA("Net Dwellings",Pivot!$H$273,"Ward_Name",C198)</f>
        <v>6</v>
      </c>
      <c r="I198" s="115"/>
      <c r="J198" s="115"/>
      <c r="K198" s="115"/>
      <c r="L198" s="115"/>
      <c r="M198" s="60"/>
      <c r="N198" s="60"/>
      <c r="O198" s="60"/>
      <c r="P198" s="60"/>
      <c r="Q198" s="60"/>
      <c r="R198" s="60"/>
      <c r="S198" s="79"/>
    </row>
    <row r="199" spans="2:19" x14ac:dyDescent="0.2">
      <c r="B199" s="49"/>
      <c r="C199" s="392" t="s">
        <v>1391</v>
      </c>
      <c r="D199" s="393"/>
      <c r="E199" s="394"/>
      <c r="F199" s="208">
        <f>GETPIVOTDATA("Net Dwellings",Pivot!$B$273,"Ward_Name",C199)</f>
        <v>12</v>
      </c>
      <c r="G199" s="181">
        <f>GETPIVOTDATA("Net Dwellings",Pivot!$E$273,"Ward_Name",C199)</f>
        <v>-3</v>
      </c>
      <c r="H199" s="208">
        <f>GETPIVOTDATA("Net Dwellings",Pivot!$H$273,"Ward_Name",C199)</f>
        <v>2</v>
      </c>
      <c r="I199" s="115"/>
      <c r="J199" s="115"/>
      <c r="K199" s="115"/>
      <c r="L199" s="115"/>
      <c r="M199" s="60"/>
      <c r="N199" s="60"/>
      <c r="O199" s="60"/>
      <c r="P199" s="60"/>
      <c r="Q199" s="60"/>
      <c r="R199" s="60"/>
      <c r="S199" s="79"/>
    </row>
    <row r="200" spans="2:19" x14ac:dyDescent="0.2">
      <c r="B200" s="49"/>
      <c r="C200" s="400" t="s">
        <v>1284</v>
      </c>
      <c r="D200" s="401"/>
      <c r="E200" s="401"/>
      <c r="F200" s="63">
        <f>SUM(F182:F199)</f>
        <v>1028</v>
      </c>
      <c r="G200" s="63">
        <f>SUM(G182:G199)</f>
        <v>309</v>
      </c>
      <c r="H200" s="118">
        <f>SUM(H182:H199)</f>
        <v>141</v>
      </c>
      <c r="I200" s="115"/>
      <c r="J200" s="115"/>
      <c r="K200" s="115"/>
      <c r="L200" s="115"/>
      <c r="M200" s="60"/>
      <c r="N200" s="60"/>
      <c r="O200" s="60"/>
      <c r="P200" s="60"/>
      <c r="Q200" s="60"/>
      <c r="R200" s="60"/>
      <c r="S200" s="79"/>
    </row>
    <row r="201" spans="2:19" x14ac:dyDescent="0.2">
      <c r="B201" s="7"/>
      <c r="C201" s="119"/>
      <c r="D201" s="119"/>
      <c r="E201" s="119"/>
      <c r="F201" s="81"/>
      <c r="G201" s="81"/>
      <c r="H201" s="114"/>
      <c r="I201" s="115"/>
      <c r="J201" s="115"/>
      <c r="K201" s="115"/>
      <c r="L201" s="115"/>
      <c r="M201" s="60"/>
      <c r="N201" s="60"/>
      <c r="O201" s="60"/>
      <c r="P201" s="60"/>
      <c r="Q201" s="60"/>
      <c r="R201" s="60"/>
      <c r="S201" s="79"/>
    </row>
    <row r="202" spans="2:19" x14ac:dyDescent="0.2">
      <c r="B202" s="7"/>
      <c r="C202" s="119"/>
      <c r="D202" s="119"/>
      <c r="E202" s="119"/>
      <c r="F202" s="81"/>
      <c r="G202" s="81"/>
      <c r="H202" s="114"/>
      <c r="I202" s="115"/>
      <c r="J202" s="115"/>
      <c r="K202" s="115"/>
      <c r="L202" s="115"/>
      <c r="M202" s="60"/>
      <c r="N202" s="60"/>
      <c r="O202" s="60"/>
      <c r="P202" s="60"/>
      <c r="Q202" s="60"/>
      <c r="R202" s="60"/>
      <c r="S202" s="79"/>
    </row>
    <row r="203" spans="2:19" x14ac:dyDescent="0.2">
      <c r="B203" s="64"/>
      <c r="C203" s="120"/>
      <c r="D203" s="120"/>
      <c r="E203" s="120"/>
      <c r="F203" s="121"/>
      <c r="G203" s="121"/>
      <c r="H203" s="122"/>
      <c r="I203" s="123"/>
      <c r="J203" s="123"/>
      <c r="K203" s="123"/>
      <c r="L203" s="123"/>
      <c r="M203" s="17"/>
      <c r="N203" s="17"/>
      <c r="O203" s="17"/>
      <c r="P203" s="17"/>
      <c r="Q203" s="17"/>
      <c r="R203" s="17"/>
      <c r="S203" s="83"/>
    </row>
    <row r="204" spans="2:19" x14ac:dyDescent="0.2">
      <c r="B204" s="68"/>
      <c r="C204" s="124"/>
      <c r="D204" s="125"/>
      <c r="E204" s="126"/>
      <c r="F204" s="126"/>
      <c r="G204" s="126"/>
      <c r="H204" s="126"/>
      <c r="I204" s="126"/>
      <c r="J204" s="126"/>
      <c r="K204" s="126"/>
      <c r="L204" s="126"/>
      <c r="M204" s="126"/>
      <c r="N204" s="5"/>
      <c r="O204" s="5"/>
      <c r="P204" s="5"/>
      <c r="Q204" s="5"/>
      <c r="R204" s="3"/>
      <c r="S204" s="84"/>
    </row>
    <row r="205" spans="2:19" x14ac:dyDescent="0.2">
      <c r="B205" s="7"/>
      <c r="C205" s="119"/>
      <c r="D205" s="60"/>
      <c r="E205" s="61"/>
      <c r="F205" s="115"/>
      <c r="G205" s="115"/>
      <c r="H205" s="115"/>
      <c r="I205" s="115"/>
      <c r="J205" s="115"/>
      <c r="K205" s="115"/>
      <c r="L205" s="60"/>
      <c r="M205" s="60"/>
      <c r="N205" s="60"/>
      <c r="O205" s="60"/>
      <c r="P205" s="60"/>
      <c r="Q205" s="60"/>
      <c r="S205" s="79"/>
    </row>
    <row r="206" spans="2:19" x14ac:dyDescent="0.2">
      <c r="B206" s="7"/>
      <c r="C206" s="36" t="s">
        <v>1409</v>
      </c>
      <c r="D206" s="36" t="s">
        <v>1566</v>
      </c>
      <c r="E206" s="61"/>
      <c r="F206" s="115"/>
      <c r="G206" s="115"/>
      <c r="H206" s="115"/>
      <c r="I206" s="115"/>
      <c r="J206" s="115"/>
      <c r="K206" s="115"/>
      <c r="L206" s="60"/>
      <c r="M206" s="60"/>
      <c r="N206" s="60"/>
      <c r="O206" s="60"/>
      <c r="P206" s="60"/>
      <c r="Q206" s="60"/>
      <c r="S206" s="79"/>
    </row>
    <row r="207" spans="2:19" x14ac:dyDescent="0.2">
      <c r="B207" s="49"/>
      <c r="C207" s="390" t="s">
        <v>1398</v>
      </c>
      <c r="D207" s="391"/>
      <c r="E207" s="391"/>
      <c r="F207" s="127" t="s">
        <v>1410</v>
      </c>
      <c r="G207" s="127" t="s">
        <v>1411</v>
      </c>
      <c r="H207" s="127" t="s">
        <v>1412</v>
      </c>
      <c r="I207" s="115"/>
      <c r="J207" s="115"/>
      <c r="K207" s="115"/>
      <c r="L207" s="60"/>
      <c r="M207" s="60"/>
      <c r="N207" s="60"/>
      <c r="O207" s="60"/>
      <c r="P207" s="60"/>
      <c r="Q207" s="60"/>
      <c r="S207" s="79"/>
    </row>
    <row r="208" spans="2:19" x14ac:dyDescent="0.2">
      <c r="B208" s="49"/>
      <c r="C208" s="394" t="s">
        <v>1399</v>
      </c>
      <c r="D208" s="402"/>
      <c r="E208" s="402"/>
      <c r="F208" s="181">
        <f>GETPIVOTDATA("Sum of Units Proposed",Pivot!$B$301,"Ward_Name",C208)</f>
        <v>8</v>
      </c>
      <c r="G208" s="208">
        <f>GETPIVOTDATA("Sum of Units Existing",Pivot!$B$301,"Ward_Name",C208)</f>
        <v>6</v>
      </c>
      <c r="H208" s="208">
        <f>GETPIVOTDATA("Sum of Net Dwellings",Pivot!$B$301,"Ward_Name",C208)</f>
        <v>2</v>
      </c>
      <c r="I208" s="115"/>
      <c r="J208" s="115"/>
      <c r="K208" s="115"/>
      <c r="L208" s="60"/>
      <c r="M208" s="60"/>
      <c r="N208" s="60"/>
      <c r="O208" s="60"/>
      <c r="P208" s="60"/>
      <c r="Q208" s="60"/>
      <c r="S208" s="79"/>
    </row>
    <row r="209" spans="2:19" x14ac:dyDescent="0.2">
      <c r="B209" s="49"/>
      <c r="C209" s="394" t="s">
        <v>1384</v>
      </c>
      <c r="D209" s="402"/>
      <c r="E209" s="402"/>
      <c r="F209" s="181">
        <f>GETPIVOTDATA("Sum of Units Proposed",Pivot!$B$301,"Ward_Name",C209)</f>
        <v>7</v>
      </c>
      <c r="G209" s="208">
        <f>GETPIVOTDATA("Sum of Units Existing",Pivot!$B$301,"Ward_Name",C209)</f>
        <v>2</v>
      </c>
      <c r="H209" s="208">
        <f>GETPIVOTDATA("Sum of Net Dwellings",Pivot!$B$301,"Ward_Name",C209)</f>
        <v>5</v>
      </c>
      <c r="I209" s="115"/>
      <c r="J209" s="115"/>
      <c r="K209" s="115"/>
      <c r="L209" s="60"/>
      <c r="M209" s="60"/>
      <c r="N209" s="60"/>
      <c r="O209" s="60"/>
      <c r="P209" s="60"/>
      <c r="Q209" s="60"/>
      <c r="S209" s="79"/>
    </row>
    <row r="210" spans="2:19" x14ac:dyDescent="0.2">
      <c r="B210" s="49"/>
      <c r="C210" s="394" t="s">
        <v>1563</v>
      </c>
      <c r="D210" s="402"/>
      <c r="E210" s="402"/>
      <c r="F210" s="181">
        <f>GETPIVOTDATA("Sum of Units Proposed",Pivot!$B$301,"Ward_Name",C210)</f>
        <v>8</v>
      </c>
      <c r="G210" s="208">
        <f>GETPIVOTDATA("Sum of Units Existing",Pivot!$B$301,"Ward_Name",C210)</f>
        <v>1</v>
      </c>
      <c r="H210" s="208">
        <f>GETPIVOTDATA("Sum of Net Dwellings",Pivot!$B$301,"Ward_Name",C210)</f>
        <v>7</v>
      </c>
      <c r="I210" s="115"/>
      <c r="J210" s="115"/>
      <c r="K210" s="115"/>
      <c r="L210" s="60"/>
      <c r="M210" s="60"/>
      <c r="N210" s="60"/>
      <c r="O210" s="60"/>
      <c r="P210" s="60"/>
      <c r="Q210" s="60"/>
      <c r="S210" s="79"/>
    </row>
    <row r="211" spans="2:19" x14ac:dyDescent="0.2">
      <c r="B211" s="49"/>
      <c r="C211" s="396" t="s">
        <v>1560</v>
      </c>
      <c r="D211" s="396"/>
      <c r="E211" s="397"/>
      <c r="F211" s="181">
        <f>GETPIVOTDATA("Sum of Units Proposed",Pivot!$B$301,"Ward_Name",C211)</f>
        <v>3</v>
      </c>
      <c r="G211" s="208">
        <f>GETPIVOTDATA("Sum of Units Existing",Pivot!$B$301,"Ward_Name",C211)</f>
        <v>6</v>
      </c>
      <c r="H211" s="208">
        <f>GETPIVOTDATA("Sum of Net Dwellings",Pivot!$B$301,"Ward_Name",C211)</f>
        <v>-3</v>
      </c>
      <c r="I211" s="115"/>
      <c r="J211" s="115"/>
      <c r="K211" s="115"/>
      <c r="L211" s="60"/>
      <c r="M211" s="60"/>
      <c r="N211" s="60"/>
      <c r="O211" s="60"/>
      <c r="P211" s="60"/>
      <c r="Q211" s="60"/>
      <c r="S211" s="79"/>
    </row>
    <row r="212" spans="2:19" x14ac:dyDescent="0.2">
      <c r="B212" s="49"/>
      <c r="C212" s="394" t="s">
        <v>1400</v>
      </c>
      <c r="D212" s="402"/>
      <c r="E212" s="402"/>
      <c r="F212" s="181">
        <f>GETPIVOTDATA("Sum of Units Proposed",Pivot!$B$301,"Ward_Name",C212)</f>
        <v>20</v>
      </c>
      <c r="G212" s="208">
        <f>GETPIVOTDATA("Sum of Units Existing",Pivot!$B$301,"Ward_Name",C212)</f>
        <v>1</v>
      </c>
      <c r="H212" s="208">
        <f>GETPIVOTDATA("Sum of Net Dwellings",Pivot!$B$301,"Ward_Name",C212)</f>
        <v>19</v>
      </c>
      <c r="I212" s="115"/>
      <c r="J212" s="115"/>
      <c r="K212" s="115"/>
      <c r="L212" s="60"/>
      <c r="M212" s="60"/>
      <c r="N212" s="60"/>
      <c r="O212" s="60"/>
      <c r="P212" s="60"/>
      <c r="Q212" s="60"/>
      <c r="S212" s="79"/>
    </row>
    <row r="213" spans="2:19" x14ac:dyDescent="0.2">
      <c r="B213" s="49"/>
      <c r="C213" s="394" t="s">
        <v>1401</v>
      </c>
      <c r="D213" s="402"/>
      <c r="E213" s="402"/>
      <c r="F213" s="181">
        <f>GETPIVOTDATA("Sum of Units Proposed",Pivot!$B$301,"Ward_Name",C213)</f>
        <v>1</v>
      </c>
      <c r="G213" s="208">
        <f>GETPIVOTDATA("Sum of Units Existing",Pivot!$B$301,"Ward_Name",C213)</f>
        <v>0</v>
      </c>
      <c r="H213" s="208">
        <f>GETPIVOTDATA("Sum of Net Dwellings",Pivot!$B$301,"Ward_Name",C213)</f>
        <v>1</v>
      </c>
      <c r="I213" s="115"/>
      <c r="J213" s="115"/>
      <c r="K213" s="115"/>
      <c r="L213" s="60"/>
      <c r="M213" s="60"/>
      <c r="N213" s="60"/>
      <c r="O213" s="60"/>
      <c r="P213" s="60"/>
      <c r="Q213" s="60"/>
      <c r="S213" s="79"/>
    </row>
    <row r="214" spans="2:19" x14ac:dyDescent="0.2">
      <c r="B214" s="49"/>
      <c r="C214" s="394" t="s">
        <v>1559</v>
      </c>
      <c r="D214" s="402"/>
      <c r="E214" s="402"/>
      <c r="F214" s="181">
        <f>GETPIVOTDATA("Sum of Units Proposed",Pivot!$B$301,"Ward_Name",C214)</f>
        <v>16</v>
      </c>
      <c r="G214" s="208">
        <f>GETPIVOTDATA("Sum of Units Existing",Pivot!$B$301,"Ward_Name",C214)</f>
        <v>5</v>
      </c>
      <c r="H214" s="208">
        <f>GETPIVOTDATA("Sum of Net Dwellings",Pivot!$B$301,"Ward_Name",C214)</f>
        <v>11</v>
      </c>
      <c r="I214" s="115"/>
      <c r="J214" s="115"/>
      <c r="K214" s="115"/>
      <c r="L214" s="60"/>
      <c r="M214" s="60"/>
      <c r="N214" s="60"/>
      <c r="O214" s="60"/>
      <c r="P214" s="60"/>
      <c r="Q214" s="60"/>
      <c r="S214" s="79"/>
    </row>
    <row r="215" spans="2:19" x14ac:dyDescent="0.2">
      <c r="B215" s="49"/>
      <c r="C215" s="394" t="s">
        <v>1402</v>
      </c>
      <c r="D215" s="402"/>
      <c r="E215" s="402"/>
      <c r="F215" s="181">
        <f>GETPIVOTDATA("Sum of Units Proposed",Pivot!$B$301,"Ward_Name",C215)</f>
        <v>13</v>
      </c>
      <c r="G215" s="208">
        <f>GETPIVOTDATA("Sum of Units Existing",Pivot!$B$301,"Ward_Name",C215)</f>
        <v>3</v>
      </c>
      <c r="H215" s="208">
        <f>GETPIVOTDATA("Sum of Net Dwellings",Pivot!$B$301,"Ward_Name",C215)</f>
        <v>10</v>
      </c>
      <c r="I215" s="115"/>
      <c r="J215" s="115"/>
      <c r="K215" s="115"/>
      <c r="L215" s="60"/>
      <c r="M215" s="60"/>
      <c r="N215" s="60"/>
      <c r="O215" s="60"/>
      <c r="P215" s="60"/>
      <c r="Q215" s="60"/>
      <c r="S215" s="79"/>
    </row>
    <row r="216" spans="2:19" x14ac:dyDescent="0.2">
      <c r="B216" s="49"/>
      <c r="C216" s="394" t="s">
        <v>1403</v>
      </c>
      <c r="D216" s="402"/>
      <c r="E216" s="402"/>
      <c r="F216" s="181">
        <f>GETPIVOTDATA("Sum of Units Proposed",Pivot!$B$301,"Ward_Name",C216)</f>
        <v>37</v>
      </c>
      <c r="G216" s="208">
        <f>GETPIVOTDATA("Sum of Units Existing",Pivot!$B$301,"Ward_Name",C216)</f>
        <v>0</v>
      </c>
      <c r="H216" s="208">
        <f>GETPIVOTDATA("Sum of Net Dwellings",Pivot!$B$301,"Ward_Name",C216)</f>
        <v>37</v>
      </c>
      <c r="I216" s="115"/>
      <c r="J216" s="115"/>
      <c r="K216" s="115"/>
      <c r="L216" s="60"/>
      <c r="M216" s="60"/>
      <c r="N216" s="60"/>
      <c r="O216" s="60"/>
      <c r="P216" s="60"/>
      <c r="Q216" s="60"/>
      <c r="S216" s="79"/>
    </row>
    <row r="217" spans="2:19" x14ac:dyDescent="0.2">
      <c r="B217" s="49"/>
      <c r="C217" s="394" t="s">
        <v>1562</v>
      </c>
      <c r="D217" s="402"/>
      <c r="E217" s="402"/>
      <c r="F217" s="181">
        <f>GETPIVOTDATA("Sum of Units Proposed",Pivot!$B$301,"Ward_Name",C217)</f>
        <v>6</v>
      </c>
      <c r="G217" s="208">
        <f>GETPIVOTDATA("Sum of Units Existing",Pivot!$B$301,"Ward_Name",C217)</f>
        <v>1</v>
      </c>
      <c r="H217" s="208">
        <f>GETPIVOTDATA("Sum of Net Dwellings",Pivot!$B$301,"Ward_Name",C217)</f>
        <v>5</v>
      </c>
      <c r="I217" s="115"/>
      <c r="J217" s="115"/>
      <c r="K217" s="115"/>
      <c r="L217" s="60"/>
      <c r="M217" s="60"/>
      <c r="N217" s="60"/>
      <c r="O217" s="60"/>
      <c r="P217" s="60"/>
      <c r="Q217" s="60"/>
      <c r="S217" s="79"/>
    </row>
    <row r="218" spans="2:19" x14ac:dyDescent="0.2">
      <c r="B218" s="49"/>
      <c r="C218" s="394" t="s">
        <v>1404</v>
      </c>
      <c r="D218" s="402"/>
      <c r="E218" s="402"/>
      <c r="F218" s="181">
        <f>GETPIVOTDATA("Sum of Units Proposed",Pivot!$B$301,"Ward_Name",C218)</f>
        <v>1</v>
      </c>
      <c r="G218" s="208">
        <f>GETPIVOTDATA("Sum of Units Existing",Pivot!$B$301,"Ward_Name",C218)</f>
        <v>2</v>
      </c>
      <c r="H218" s="208">
        <f>GETPIVOTDATA("Sum of Net Dwellings",Pivot!$B$301,"Ward_Name",C218)</f>
        <v>-1</v>
      </c>
      <c r="I218" s="115"/>
      <c r="J218" s="115"/>
      <c r="K218" s="115"/>
      <c r="L218" s="60"/>
      <c r="M218" s="60"/>
      <c r="N218" s="60"/>
      <c r="O218" s="60"/>
      <c r="P218" s="60"/>
      <c r="Q218" s="60"/>
      <c r="S218" s="79"/>
    </row>
    <row r="219" spans="2:19" x14ac:dyDescent="0.2">
      <c r="B219" s="49"/>
      <c r="C219" s="394" t="s">
        <v>1405</v>
      </c>
      <c r="D219" s="402"/>
      <c r="E219" s="402"/>
      <c r="F219" s="181">
        <f>GETPIVOTDATA("Sum of Units Proposed",Pivot!$B$301,"Ward_Name",C219)</f>
        <v>20</v>
      </c>
      <c r="G219" s="208">
        <f>GETPIVOTDATA("Sum of Units Existing",Pivot!$B$301,"Ward_Name",C219)</f>
        <v>9</v>
      </c>
      <c r="H219" s="208">
        <f>GETPIVOTDATA("Sum of Net Dwellings",Pivot!$B$301,"Ward_Name",C219)</f>
        <v>11</v>
      </c>
      <c r="I219" s="115"/>
      <c r="J219" s="115"/>
      <c r="K219" s="115"/>
      <c r="L219" s="60"/>
      <c r="M219" s="60"/>
      <c r="N219" s="60"/>
      <c r="O219" s="60"/>
      <c r="P219" s="60"/>
      <c r="Q219" s="60"/>
      <c r="S219" s="79"/>
    </row>
    <row r="220" spans="2:19" x14ac:dyDescent="0.2">
      <c r="B220" s="49"/>
      <c r="C220" s="394" t="s">
        <v>1406</v>
      </c>
      <c r="D220" s="402"/>
      <c r="E220" s="402"/>
      <c r="F220" s="181">
        <f>GETPIVOTDATA("Sum of Units Proposed",Pivot!$B$301,"Ward_Name",C220)</f>
        <v>7</v>
      </c>
      <c r="G220" s="208">
        <f>GETPIVOTDATA("Sum of Units Existing",Pivot!$B$301,"Ward_Name",C220)</f>
        <v>2</v>
      </c>
      <c r="H220" s="208">
        <f>GETPIVOTDATA("Sum of Net Dwellings",Pivot!$B$301,"Ward_Name",C220)</f>
        <v>5</v>
      </c>
      <c r="I220" s="115"/>
      <c r="J220" s="115"/>
      <c r="K220" s="115"/>
      <c r="L220" s="60"/>
      <c r="M220" s="60"/>
      <c r="N220" s="60"/>
      <c r="O220" s="60"/>
      <c r="P220" s="60"/>
      <c r="Q220" s="60"/>
      <c r="S220" s="79"/>
    </row>
    <row r="221" spans="2:19" x14ac:dyDescent="0.2">
      <c r="B221" s="49"/>
      <c r="C221" s="394" t="s">
        <v>1561</v>
      </c>
      <c r="D221" s="402"/>
      <c r="E221" s="402"/>
      <c r="F221" s="181">
        <f>GETPIVOTDATA("Sum of Units Proposed",Pivot!$B$301,"Ward_Name",C221)</f>
        <v>8</v>
      </c>
      <c r="G221" s="208">
        <f>GETPIVOTDATA("Sum of Units Existing",Pivot!$B$301,"Ward_Name",C221)</f>
        <v>1</v>
      </c>
      <c r="H221" s="208">
        <f>GETPIVOTDATA("Sum of Net Dwellings",Pivot!$B$301,"Ward_Name",C221)</f>
        <v>7</v>
      </c>
      <c r="I221" s="115"/>
      <c r="J221" s="115"/>
      <c r="K221" s="115"/>
      <c r="L221" s="60"/>
      <c r="M221" s="60"/>
      <c r="N221" s="60"/>
      <c r="O221" s="60"/>
      <c r="P221" s="60"/>
      <c r="Q221" s="60"/>
      <c r="S221" s="79"/>
    </row>
    <row r="222" spans="2:19" x14ac:dyDescent="0.2">
      <c r="B222" s="49"/>
      <c r="C222" s="394" t="s">
        <v>1387</v>
      </c>
      <c r="D222" s="402"/>
      <c r="E222" s="402"/>
      <c r="F222" s="181">
        <f>GETPIVOTDATA("Sum of Units Proposed",Pivot!$B$301,"Ward_Name",C222)</f>
        <v>19</v>
      </c>
      <c r="G222" s="208">
        <f>GETPIVOTDATA("Sum of Units Existing",Pivot!$B$301,"Ward_Name",C222)</f>
        <v>7</v>
      </c>
      <c r="H222" s="208">
        <f>GETPIVOTDATA("Sum of Net Dwellings",Pivot!$B$301,"Ward_Name",C222)</f>
        <v>12</v>
      </c>
      <c r="I222" s="115"/>
      <c r="J222" s="115"/>
      <c r="K222" s="115"/>
      <c r="L222" s="60"/>
      <c r="M222" s="60"/>
      <c r="N222" s="60"/>
      <c r="O222" s="60"/>
      <c r="P222" s="60"/>
      <c r="Q222" s="60"/>
      <c r="S222" s="79"/>
    </row>
    <row r="223" spans="2:19" x14ac:dyDescent="0.2">
      <c r="B223" s="49"/>
      <c r="C223" s="394" t="s">
        <v>1407</v>
      </c>
      <c r="D223" s="402"/>
      <c r="E223" s="402"/>
      <c r="F223" s="181">
        <f>GETPIVOTDATA("Sum of Units Proposed",Pivot!$B$301,"Ward_Name",C223)</f>
        <v>6</v>
      </c>
      <c r="G223" s="208">
        <f>GETPIVOTDATA("Sum of Units Existing",Pivot!$B$301,"Ward_Name",C223)</f>
        <v>1</v>
      </c>
      <c r="H223" s="208">
        <f>GETPIVOTDATA("Sum of Net Dwellings",Pivot!$B$301,"Ward_Name",C223)</f>
        <v>5</v>
      </c>
      <c r="I223" s="115"/>
      <c r="J223" s="115"/>
      <c r="K223" s="115"/>
      <c r="L223" s="60"/>
      <c r="M223" s="60"/>
      <c r="N223" s="60"/>
      <c r="O223" s="60"/>
      <c r="P223" s="60"/>
      <c r="Q223" s="60"/>
      <c r="S223" s="79"/>
    </row>
    <row r="224" spans="2:19" x14ac:dyDescent="0.2">
      <c r="B224" s="49"/>
      <c r="C224" s="394" t="s">
        <v>1408</v>
      </c>
      <c r="D224" s="402"/>
      <c r="E224" s="402"/>
      <c r="F224" s="181">
        <f>GETPIVOTDATA("Sum of Units Proposed",Pivot!$B$301,"Ward_Name",C224)</f>
        <v>6</v>
      </c>
      <c r="G224" s="208">
        <f>GETPIVOTDATA("Sum of Units Existing",Pivot!$B$301,"Ward_Name",C224)</f>
        <v>0</v>
      </c>
      <c r="H224" s="208">
        <f>GETPIVOTDATA("Sum of Net Dwellings",Pivot!$B$301,"Ward_Name",C224)</f>
        <v>6</v>
      </c>
      <c r="I224" s="115"/>
      <c r="J224" s="115"/>
      <c r="K224" s="115"/>
      <c r="L224" s="60"/>
      <c r="M224" s="60"/>
      <c r="N224" s="60"/>
      <c r="O224" s="60"/>
      <c r="P224" s="60"/>
      <c r="Q224" s="60"/>
      <c r="S224" s="79"/>
    </row>
    <row r="225" spans="2:19" x14ac:dyDescent="0.2">
      <c r="B225" s="49"/>
      <c r="C225" s="394" t="s">
        <v>1391</v>
      </c>
      <c r="D225" s="402"/>
      <c r="E225" s="402"/>
      <c r="F225" s="181">
        <f>GETPIVOTDATA("Sum of Units Proposed",Pivot!$B$301,"Ward_Name",C225)</f>
        <v>5</v>
      </c>
      <c r="G225" s="208">
        <f>GETPIVOTDATA("Sum of Units Existing",Pivot!$B$301,"Ward_Name",C225)</f>
        <v>3</v>
      </c>
      <c r="H225" s="208">
        <f>GETPIVOTDATA("Sum of Net Dwellings",Pivot!$B$301,"Ward_Name",C225)</f>
        <v>2</v>
      </c>
      <c r="I225" s="115"/>
      <c r="J225" s="115"/>
      <c r="K225" s="115"/>
      <c r="L225" s="60"/>
      <c r="M225" s="60"/>
      <c r="N225" s="60"/>
      <c r="O225" s="60"/>
      <c r="P225" s="60"/>
      <c r="Q225" s="60"/>
      <c r="S225" s="79"/>
    </row>
    <row r="226" spans="2:19" x14ac:dyDescent="0.2">
      <c r="B226" s="49"/>
      <c r="C226" s="400" t="s">
        <v>1284</v>
      </c>
      <c r="D226" s="401"/>
      <c r="E226" s="401"/>
      <c r="F226" s="63">
        <f>SUM(F208:F225)</f>
        <v>191</v>
      </c>
      <c r="G226" s="63">
        <f>SUM(G208:G225)</f>
        <v>50</v>
      </c>
      <c r="H226" s="63">
        <f>SUM(H208:H225)</f>
        <v>141</v>
      </c>
      <c r="I226" s="115"/>
      <c r="J226" s="115"/>
      <c r="K226" s="115"/>
      <c r="L226" s="60"/>
      <c r="M226" s="60"/>
      <c r="N226" s="60"/>
      <c r="O226" s="60"/>
      <c r="P226" s="60"/>
      <c r="Q226" s="60"/>
      <c r="S226" s="79"/>
    </row>
    <row r="227" spans="2:19" x14ac:dyDescent="0.2">
      <c r="B227" s="7"/>
      <c r="C227" s="119"/>
      <c r="D227" s="119"/>
      <c r="E227" s="119"/>
      <c r="F227" s="81"/>
      <c r="G227" s="81"/>
      <c r="H227" s="81"/>
      <c r="I227" s="115"/>
      <c r="J227" s="115"/>
      <c r="K227" s="115"/>
      <c r="L227" s="60"/>
      <c r="M227" s="60"/>
      <c r="N227" s="60"/>
      <c r="O227" s="60"/>
      <c r="P227" s="60"/>
      <c r="Q227" s="60"/>
      <c r="S227" s="79"/>
    </row>
    <row r="228" spans="2:19" x14ac:dyDescent="0.2">
      <c r="B228" s="7"/>
      <c r="C228" s="119"/>
      <c r="D228" s="119"/>
      <c r="E228" s="119"/>
      <c r="F228" s="81"/>
      <c r="G228" s="81"/>
      <c r="H228" s="81"/>
      <c r="I228" s="115"/>
      <c r="J228" s="115"/>
      <c r="K228" s="115"/>
      <c r="L228" s="60"/>
      <c r="M228" s="60"/>
      <c r="N228" s="60"/>
      <c r="O228" s="60"/>
      <c r="P228" s="60"/>
      <c r="Q228" s="60"/>
      <c r="S228" s="79"/>
    </row>
    <row r="229" spans="2:19" x14ac:dyDescent="0.2">
      <c r="B229" s="7"/>
      <c r="C229" s="119"/>
      <c r="D229" s="119"/>
      <c r="E229" s="119"/>
      <c r="F229" s="81"/>
      <c r="G229" s="81"/>
      <c r="H229" s="81"/>
      <c r="I229" s="115"/>
      <c r="J229" s="115"/>
      <c r="K229" s="115"/>
      <c r="L229" s="60"/>
      <c r="M229" s="60"/>
      <c r="N229" s="60"/>
      <c r="O229" s="60"/>
      <c r="P229" s="60"/>
      <c r="Q229" s="60"/>
      <c r="S229" s="79"/>
    </row>
    <row r="230" spans="2:19" x14ac:dyDescent="0.2">
      <c r="B230" s="64"/>
      <c r="C230" s="120"/>
      <c r="D230" s="120"/>
      <c r="E230" s="120"/>
      <c r="F230" s="121"/>
      <c r="G230" s="121"/>
      <c r="H230" s="121"/>
      <c r="I230" s="123"/>
      <c r="J230" s="123"/>
      <c r="K230" s="123"/>
      <c r="L230" s="17"/>
      <c r="M230" s="17"/>
      <c r="N230" s="17"/>
      <c r="O230" s="17"/>
      <c r="P230" s="17"/>
      <c r="Q230" s="17"/>
      <c r="R230" s="82"/>
      <c r="S230" s="83"/>
    </row>
    <row r="231" spans="2:19" x14ac:dyDescent="0.2">
      <c r="B231" s="68"/>
      <c r="C231" s="125"/>
      <c r="D231" s="125"/>
      <c r="E231" s="126"/>
      <c r="F231" s="126"/>
      <c r="G231" s="126"/>
      <c r="H231" s="126"/>
      <c r="I231" s="126"/>
      <c r="J231" s="126"/>
      <c r="K231" s="126"/>
      <c r="L231" s="126"/>
      <c r="M231" s="126"/>
      <c r="N231" s="5"/>
      <c r="O231" s="5"/>
      <c r="P231" s="5"/>
      <c r="Q231" s="5"/>
      <c r="R231" s="3"/>
      <c r="S231" s="84"/>
    </row>
    <row r="232" spans="2:19" ht="20.25" x14ac:dyDescent="0.3">
      <c r="B232" s="7"/>
      <c r="C232" s="85" t="s">
        <v>1413</v>
      </c>
      <c r="D232" s="60"/>
      <c r="E232" s="60"/>
      <c r="F232" s="60"/>
      <c r="G232" s="60"/>
      <c r="H232" s="60"/>
      <c r="I232" s="60"/>
      <c r="J232" s="60"/>
      <c r="K232" s="60"/>
      <c r="L232" s="60"/>
      <c r="M232" s="60"/>
      <c r="N232" s="60"/>
      <c r="O232" s="60"/>
      <c r="P232" s="60"/>
      <c r="Q232" s="60"/>
      <c r="S232" s="79"/>
    </row>
    <row r="233" spans="2:19" x14ac:dyDescent="0.2">
      <c r="B233" s="7"/>
      <c r="C233" s="60"/>
      <c r="D233" s="60"/>
      <c r="E233" s="60"/>
      <c r="F233" s="60"/>
      <c r="G233" s="60"/>
      <c r="H233" s="60"/>
      <c r="I233" s="60"/>
      <c r="J233" s="60"/>
      <c r="K233" s="60"/>
      <c r="L233" s="60"/>
      <c r="M233" s="60"/>
      <c r="N233" s="60"/>
      <c r="O233" s="60"/>
      <c r="P233" s="60"/>
      <c r="Q233" s="60"/>
      <c r="S233" s="79"/>
    </row>
    <row r="234" spans="2:19" x14ac:dyDescent="0.2">
      <c r="B234" s="7"/>
      <c r="C234" s="36" t="s">
        <v>1414</v>
      </c>
      <c r="D234" s="36" t="s">
        <v>1415</v>
      </c>
      <c r="E234" s="60"/>
      <c r="F234" s="60"/>
      <c r="G234" s="60"/>
      <c r="H234" s="60"/>
      <c r="I234" s="60"/>
      <c r="J234" s="60"/>
      <c r="K234" s="60"/>
      <c r="M234" s="128" t="s">
        <v>1416</v>
      </c>
      <c r="O234" s="60"/>
      <c r="P234" s="60"/>
      <c r="Q234" s="60"/>
      <c r="S234" s="79"/>
    </row>
    <row r="235" spans="2:19" x14ac:dyDescent="0.2">
      <c r="B235" s="49"/>
      <c r="C235" s="403"/>
      <c r="D235" s="404"/>
      <c r="E235" s="62" t="s">
        <v>1417</v>
      </c>
      <c r="F235" s="62" t="s">
        <v>1418</v>
      </c>
      <c r="G235" s="62" t="s">
        <v>1419</v>
      </c>
      <c r="H235" s="62" t="s">
        <v>1420</v>
      </c>
      <c r="I235" s="62" t="s">
        <v>1421</v>
      </c>
      <c r="J235" s="62" t="s">
        <v>1284</v>
      </c>
      <c r="K235" s="60"/>
      <c r="L235" s="60"/>
      <c r="M235" s="60"/>
      <c r="N235" s="60"/>
      <c r="O235" s="60"/>
      <c r="P235" s="60"/>
      <c r="S235" s="79"/>
    </row>
    <row r="236" spans="2:19" x14ac:dyDescent="0.2">
      <c r="B236" s="49"/>
      <c r="C236" s="405" t="s">
        <v>122</v>
      </c>
      <c r="D236" s="406"/>
      <c r="E236" s="181">
        <f>GETPIVOTDATA("Sum of 1 bed net",Pivot!$B$328,"Tenure","Open Market")</f>
        <v>27</v>
      </c>
      <c r="F236" s="181">
        <f>GETPIVOTDATA("Sum of 2 bed net",Pivot!$B$328,"Tenure","Open Market")</f>
        <v>19</v>
      </c>
      <c r="G236" s="181">
        <f>GETPIVOTDATA("Sum of 3 bed net",Pivot!$B$328,"Tenure","Open Market")</f>
        <v>5</v>
      </c>
      <c r="H236" s="181">
        <f>GETPIVOTDATA("Sum of 4 bed net",Pivot!$B$328,"Tenure","Open Market")+GETPIVOTDATA("Sum of 5 bed net",Pivot!$B$328,"Tenure","Open Market")+GETPIVOTDATA("Sum of 6 bed net",Pivot!$B$328,"Tenure","Open Market")+GETPIVOTDATA("Sum of 7 bed net",Pivot!$B$328,"Tenure","Open Market")</f>
        <v>9</v>
      </c>
      <c r="I236" s="181">
        <v>0</v>
      </c>
      <c r="J236" s="181">
        <f t="shared" ref="J236:J241" si="11">SUM(D236:I236)</f>
        <v>60</v>
      </c>
      <c r="K236" s="60"/>
      <c r="L236" s="60"/>
      <c r="M236" s="60"/>
      <c r="N236" s="60"/>
      <c r="O236" s="60"/>
      <c r="P236" s="60"/>
      <c r="S236" s="79"/>
    </row>
    <row r="237" spans="2:19" x14ac:dyDescent="0.2">
      <c r="B237" s="49"/>
      <c r="C237" s="405"/>
      <c r="D237" s="406"/>
      <c r="E237" s="209">
        <f>E236/$J$242</f>
        <v>0.36486486486486486</v>
      </c>
      <c r="F237" s="209">
        <f>F236/$J$242</f>
        <v>0.25675675675675674</v>
      </c>
      <c r="G237" s="209">
        <f>G236/$J$242</f>
        <v>6.7567567567567571E-2</v>
      </c>
      <c r="H237" s="209">
        <f>H236/$J$242</f>
        <v>0.12162162162162163</v>
      </c>
      <c r="I237" s="209">
        <f>I236/$J$242</f>
        <v>0</v>
      </c>
      <c r="J237" s="209">
        <f>SUM(E237:I237)</f>
        <v>0.81081081081081074</v>
      </c>
      <c r="K237" s="60"/>
      <c r="L237" s="60"/>
      <c r="M237" s="60"/>
      <c r="N237" s="60"/>
      <c r="O237" s="60"/>
      <c r="P237" s="60"/>
      <c r="S237" s="79"/>
    </row>
    <row r="238" spans="2:19" x14ac:dyDescent="0.2">
      <c r="B238" s="49"/>
      <c r="C238" s="405" t="s">
        <v>36</v>
      </c>
      <c r="D238" s="406"/>
      <c r="E238" s="181">
        <v>0</v>
      </c>
      <c r="F238" s="181">
        <v>0</v>
      </c>
      <c r="G238" s="181">
        <v>0</v>
      </c>
      <c r="H238" s="181">
        <v>0</v>
      </c>
      <c r="I238" s="181">
        <v>0</v>
      </c>
      <c r="J238" s="181">
        <f t="shared" si="11"/>
        <v>0</v>
      </c>
      <c r="K238" s="60"/>
      <c r="L238" s="60"/>
      <c r="M238" s="61"/>
      <c r="N238" s="61"/>
      <c r="O238" s="61"/>
      <c r="P238" s="61"/>
      <c r="S238" s="79"/>
    </row>
    <row r="239" spans="2:19" x14ac:dyDescent="0.2">
      <c r="B239" s="49"/>
      <c r="C239" s="405"/>
      <c r="D239" s="406"/>
      <c r="E239" s="209">
        <f>E238/$J$242</f>
        <v>0</v>
      </c>
      <c r="F239" s="209">
        <f>F238/$J$242</f>
        <v>0</v>
      </c>
      <c r="G239" s="209">
        <f>G238/$J$242</f>
        <v>0</v>
      </c>
      <c r="H239" s="209">
        <f>H238/$J$242</f>
        <v>0</v>
      </c>
      <c r="I239" s="209">
        <f>I238/$J$242</f>
        <v>0</v>
      </c>
      <c r="J239" s="209">
        <f t="shared" si="11"/>
        <v>0</v>
      </c>
      <c r="K239" s="60"/>
      <c r="L239" s="60"/>
      <c r="M239" s="60"/>
      <c r="N239" s="60"/>
      <c r="O239" s="60"/>
      <c r="P239" s="60"/>
      <c r="S239" s="79"/>
    </row>
    <row r="240" spans="2:19" x14ac:dyDescent="0.2">
      <c r="B240" s="49"/>
      <c r="C240" s="405" t="s">
        <v>1422</v>
      </c>
      <c r="D240" s="406"/>
      <c r="E240" s="181">
        <f>GETPIVOTDATA("Sum of 1 bed net",Pivot!$B$328,"Tenure","London Affordable Rent")</f>
        <v>0</v>
      </c>
      <c r="F240" s="181">
        <f>GETPIVOTDATA("Sum of 2 bed net",Pivot!$B$328,"Tenure","London Affordable Rent")</f>
        <v>5</v>
      </c>
      <c r="G240" s="181">
        <f>GETPIVOTDATA("Sum of 3 bed net",Pivot!$B$328,"Tenure","London Affordable Rent")</f>
        <v>7</v>
      </c>
      <c r="H240" s="181">
        <f>GETPIVOTDATA("Sum of 4 bed net",Pivot!$B$328,"Tenure","London Affordable Rent")</f>
        <v>2</v>
      </c>
      <c r="I240" s="181">
        <v>0</v>
      </c>
      <c r="J240" s="181">
        <f t="shared" si="11"/>
        <v>14</v>
      </c>
      <c r="K240" s="60"/>
      <c r="L240" s="60"/>
      <c r="M240" s="60"/>
      <c r="N240" s="60"/>
      <c r="O240" s="60"/>
      <c r="P240" s="60"/>
      <c r="S240" s="79"/>
    </row>
    <row r="241" spans="2:19" x14ac:dyDescent="0.2">
      <c r="B241" s="49"/>
      <c r="C241" s="405"/>
      <c r="D241" s="406"/>
      <c r="E241" s="209">
        <f>E240/$J$242</f>
        <v>0</v>
      </c>
      <c r="F241" s="209">
        <f>F240/$J$242</f>
        <v>6.7567567567567571E-2</v>
      </c>
      <c r="G241" s="209">
        <f>G240/$J$242</f>
        <v>9.45945945945946E-2</v>
      </c>
      <c r="H241" s="209">
        <f>H240/$J$242</f>
        <v>2.7027027027027029E-2</v>
      </c>
      <c r="I241" s="209">
        <f>I240/$J$242</f>
        <v>0</v>
      </c>
      <c r="J241" s="209">
        <f t="shared" si="11"/>
        <v>0.1891891891891892</v>
      </c>
      <c r="K241" s="60"/>
      <c r="L241" s="60"/>
      <c r="M241" s="60"/>
      <c r="N241" s="60"/>
      <c r="O241" s="60"/>
      <c r="P241" s="60"/>
      <c r="S241" s="79"/>
    </row>
    <row r="242" spans="2:19" x14ac:dyDescent="0.2">
      <c r="B242" s="49"/>
      <c r="C242" s="407" t="s">
        <v>1284</v>
      </c>
      <c r="D242" s="408"/>
      <c r="E242" s="63">
        <f>E236+E238+E240</f>
        <v>27</v>
      </c>
      <c r="F242" s="63">
        <f t="shared" ref="F242:I242" si="12">F236+F238+F240</f>
        <v>24</v>
      </c>
      <c r="G242" s="63">
        <f t="shared" si="12"/>
        <v>12</v>
      </c>
      <c r="H242" s="63">
        <f t="shared" si="12"/>
        <v>11</v>
      </c>
      <c r="I242" s="63">
        <f t="shared" si="12"/>
        <v>0</v>
      </c>
      <c r="J242" s="63">
        <f>SUM(D242:I242)</f>
        <v>74</v>
      </c>
      <c r="K242" s="60"/>
      <c r="L242" s="60"/>
      <c r="M242" s="60"/>
      <c r="N242" s="60"/>
      <c r="O242" s="60"/>
      <c r="P242" s="60"/>
      <c r="S242" s="79"/>
    </row>
    <row r="243" spans="2:19" x14ac:dyDescent="0.2">
      <c r="B243" s="49"/>
      <c r="C243" s="407"/>
      <c r="D243" s="408"/>
      <c r="E243" s="129">
        <f>E242/$J$242</f>
        <v>0.36486486486486486</v>
      </c>
      <c r="F243" s="129">
        <f>F242/$J$242</f>
        <v>0.32432432432432434</v>
      </c>
      <c r="G243" s="129">
        <f>G242/$J$242</f>
        <v>0.16216216216216217</v>
      </c>
      <c r="H243" s="129">
        <f>H242/$J$242</f>
        <v>0.14864864864864866</v>
      </c>
      <c r="I243" s="129">
        <f>I242/$J$242</f>
        <v>0</v>
      </c>
      <c r="J243" s="129">
        <f>SUM(E243:I243)</f>
        <v>1</v>
      </c>
      <c r="K243" s="60"/>
      <c r="L243" s="60"/>
      <c r="M243" s="60"/>
      <c r="N243" s="60"/>
      <c r="O243" s="60"/>
      <c r="P243" s="60"/>
      <c r="S243" s="79"/>
    </row>
    <row r="244" spans="2:19" x14ac:dyDescent="0.2">
      <c r="B244" s="7"/>
      <c r="C244" s="60"/>
      <c r="D244" s="130"/>
      <c r="E244" s="130"/>
      <c r="F244" s="130"/>
      <c r="G244" s="130"/>
      <c r="H244" s="130"/>
      <c r="I244" s="130"/>
      <c r="J244" s="130"/>
      <c r="K244" s="60"/>
      <c r="L244" s="60"/>
      <c r="M244" s="60"/>
      <c r="N244" s="60"/>
      <c r="O244" s="60"/>
      <c r="P244" s="60"/>
      <c r="Q244" s="60"/>
      <c r="S244" s="79"/>
    </row>
    <row r="245" spans="2:19" x14ac:dyDescent="0.2">
      <c r="B245" s="7"/>
      <c r="C245" s="36"/>
      <c r="D245" s="61"/>
      <c r="E245" s="61"/>
      <c r="F245" s="61"/>
      <c r="G245" s="61"/>
      <c r="H245" s="61"/>
      <c r="I245" s="61"/>
      <c r="J245" s="61"/>
      <c r="K245" s="61"/>
      <c r="L245" s="61"/>
      <c r="M245" s="61"/>
      <c r="N245" s="60"/>
      <c r="O245" s="60"/>
      <c r="P245" s="60"/>
      <c r="Q245" s="60"/>
      <c r="S245" s="79"/>
    </row>
    <row r="246" spans="2:19" x14ac:dyDescent="0.2">
      <c r="B246" s="7"/>
      <c r="C246" s="36" t="s">
        <v>1423</v>
      </c>
      <c r="D246" s="36" t="s">
        <v>1424</v>
      </c>
      <c r="E246" s="60"/>
      <c r="F246" s="60"/>
      <c r="G246" s="60"/>
      <c r="H246" s="60"/>
      <c r="I246" s="60"/>
      <c r="J246" s="60"/>
      <c r="K246" s="60"/>
      <c r="M246" s="36" t="s">
        <v>1425</v>
      </c>
      <c r="O246" s="60"/>
      <c r="P246" s="60"/>
      <c r="Q246" s="60"/>
      <c r="S246" s="79"/>
    </row>
    <row r="247" spans="2:19" x14ac:dyDescent="0.2">
      <c r="B247" s="49"/>
      <c r="C247" s="403"/>
      <c r="D247" s="404"/>
      <c r="E247" s="62" t="s">
        <v>1417</v>
      </c>
      <c r="F247" s="62" t="s">
        <v>1418</v>
      </c>
      <c r="G247" s="62" t="s">
        <v>1419</v>
      </c>
      <c r="H247" s="62" t="s">
        <v>1420</v>
      </c>
      <c r="I247" s="62" t="s">
        <v>1421</v>
      </c>
      <c r="J247" s="62" t="s">
        <v>1284</v>
      </c>
      <c r="K247" s="60"/>
      <c r="L247" s="60"/>
      <c r="M247" s="60"/>
      <c r="N247" s="60"/>
      <c r="O247" s="60"/>
      <c r="P247" s="60"/>
      <c r="S247" s="79"/>
    </row>
    <row r="248" spans="2:19" x14ac:dyDescent="0.2">
      <c r="B248" s="49"/>
      <c r="C248" s="405" t="s">
        <v>122</v>
      </c>
      <c r="D248" s="406"/>
      <c r="E248" s="181">
        <f>GETPIVOTDATA("Sum of 1 bed net",Pivot!$B$339,"Tenure","Open Market")</f>
        <v>20</v>
      </c>
      <c r="F248" s="181">
        <f>GETPIVOTDATA("Sum of 2 bed net",Pivot!$B$339,"Tenure","Open Market")</f>
        <v>64</v>
      </c>
      <c r="G248" s="181">
        <f>GETPIVOTDATA("Sum of 3 bed net",Pivot!$B$339,"Tenure","Open Market")</f>
        <v>14</v>
      </c>
      <c r="H248" s="181">
        <f>GETPIVOTDATA("Sum of 4 bed net",Pivot!$B$339,"Tenure","Open Market")+GETPIVOTDATA("Sum of 5 bed net",Pivot!$B$339,"Tenure","Open Market")+GETPIVOTDATA("Sum of 6 bed net",Pivot!$B$339,"Tenure","Open Market")</f>
        <v>24</v>
      </c>
      <c r="I248" s="181">
        <v>0</v>
      </c>
      <c r="J248" s="181">
        <f t="shared" ref="J248:J257" si="13">SUM(E248:I248)</f>
        <v>122</v>
      </c>
      <c r="K248" s="60"/>
      <c r="L248" s="60"/>
      <c r="M248" s="60"/>
      <c r="N248" s="60"/>
      <c r="O248" s="60"/>
      <c r="P248" s="60"/>
      <c r="S248" s="79"/>
    </row>
    <row r="249" spans="2:19" x14ac:dyDescent="0.2">
      <c r="B249" s="49"/>
      <c r="C249" s="405"/>
      <c r="D249" s="406"/>
      <c r="E249" s="209">
        <f>E248/$J$256</f>
        <v>0.11904761904761904</v>
      </c>
      <c r="F249" s="209">
        <f>F248/$J$256</f>
        <v>0.38095238095238093</v>
      </c>
      <c r="G249" s="209">
        <f>G248/$J$256</f>
        <v>8.3333333333333329E-2</v>
      </c>
      <c r="H249" s="209">
        <f>H248/$J$256</f>
        <v>0.14285714285714285</v>
      </c>
      <c r="I249" s="209">
        <f>I248/$J$256</f>
        <v>0</v>
      </c>
      <c r="J249" s="209">
        <f>SUM(E249:I249)</f>
        <v>0.72619047619047628</v>
      </c>
      <c r="K249" s="60"/>
      <c r="L249" s="60"/>
      <c r="M249" s="60"/>
      <c r="N249" s="60"/>
      <c r="O249" s="60"/>
      <c r="P249" s="60"/>
      <c r="S249" s="79"/>
    </row>
    <row r="250" spans="2:19" x14ac:dyDescent="0.2">
      <c r="B250" s="49"/>
      <c r="C250" s="405" t="s">
        <v>1426</v>
      </c>
      <c r="D250" s="406"/>
      <c r="E250" s="181">
        <f>GETPIVOTDATA("Sum of 1 bed net",Pivot!$B$339,"Tenure","Intermediate")+GETPIVOTDATA("Sum of 1 bed net",Pivot!$B$339,"Tenure","Shared Ownership")</f>
        <v>12</v>
      </c>
      <c r="F250" s="181">
        <f>GETPIVOTDATA("Sum of 2 bed net",Pivot!$B$339,"Tenure","Intermediate")+GETPIVOTDATA("Sum of 2 bed net",Pivot!$B$339,"Tenure","Shared Ownership")</f>
        <v>7</v>
      </c>
      <c r="G250" s="181">
        <f>GETPIVOTDATA("Sum of 3 bed net",Pivot!$B$339,"Tenure","Intermediate")</f>
        <v>0</v>
      </c>
      <c r="H250" s="181">
        <f>GETPIVOTDATA("Sum of 5 bed net",Pivot!$B$339,"Tenure","Intermediate")</f>
        <v>0</v>
      </c>
      <c r="I250" s="181">
        <v>0</v>
      </c>
      <c r="J250" s="181">
        <f t="shared" si="13"/>
        <v>19</v>
      </c>
      <c r="K250" s="60"/>
      <c r="L250" s="60"/>
      <c r="M250" s="60"/>
      <c r="N250" s="60"/>
      <c r="O250" s="60"/>
      <c r="P250" s="60"/>
      <c r="S250" s="79"/>
    </row>
    <row r="251" spans="2:19" x14ac:dyDescent="0.2">
      <c r="B251" s="49"/>
      <c r="C251" s="405"/>
      <c r="D251" s="406"/>
      <c r="E251" s="209">
        <f>E250/$J$256</f>
        <v>7.1428571428571425E-2</v>
      </c>
      <c r="F251" s="209">
        <f>F250/$J$256</f>
        <v>4.1666666666666664E-2</v>
      </c>
      <c r="G251" s="209">
        <f>G250/$J$256</f>
        <v>0</v>
      </c>
      <c r="H251" s="209">
        <f>H250/$J$256</f>
        <v>0</v>
      </c>
      <c r="I251" s="209">
        <f>I250/$J$256</f>
        <v>0</v>
      </c>
      <c r="J251" s="209">
        <f t="shared" si="13"/>
        <v>0.11309523809523808</v>
      </c>
      <c r="K251" s="60"/>
      <c r="L251" s="60"/>
      <c r="M251" s="60"/>
      <c r="N251" s="60"/>
      <c r="O251" s="60"/>
      <c r="P251" s="60"/>
      <c r="S251" s="79"/>
    </row>
    <row r="252" spans="2:19" x14ac:dyDescent="0.2">
      <c r="B252" s="49"/>
      <c r="C252" s="405" t="s">
        <v>1422</v>
      </c>
      <c r="D252" s="406"/>
      <c r="E252" s="181">
        <f>GETPIVOTDATA("Sum of 1 bed net",Pivot!$B$339,"Tenure","Affordable Rent")+GETPIVOTDATA("Sum of 1 bed net",Pivot!$B$339,"Tenure","London Affordable Rent")+GETPIVOTDATA("Sum of 1 bed net",Pivot!$B$339,"Tenure","London Living Rent")</f>
        <v>32</v>
      </c>
      <c r="F252" s="181">
        <f>GETPIVOTDATA("Sum of 2 bed net",Pivot!$B$339,"Tenure","Affordable Rent")+GETPIVOTDATA("Sum of 2 bed net",Pivot!$B$339,"Tenure","London Affordable Rent")+GETPIVOTDATA("Sum of 2 bed net",Pivot!$B$339,"Tenure","London Living Rent")</f>
        <v>16</v>
      </c>
      <c r="G252" s="181">
        <f>GETPIVOTDATA("Sum of 3 bed net",Pivot!$B$339,"Tenure","Affordable Rent")+GETPIVOTDATA("Sum of 3 bed net",Pivot!$B$339,"Tenure","London Affordable Rent")</f>
        <v>7</v>
      </c>
      <c r="H252" s="181">
        <f>GETPIVOTDATA("Sum of 4 bed net",Pivot!$B$339,"Tenure","Affordable Rent")+GETPIVOTDATA("Sum of 4 bed net",Pivot!$B$339,"Tenure","London Affordable Rent")</f>
        <v>2</v>
      </c>
      <c r="I252" s="181">
        <v>0</v>
      </c>
      <c r="J252" s="181">
        <f t="shared" si="13"/>
        <v>57</v>
      </c>
      <c r="K252" s="60"/>
      <c r="L252" s="60"/>
      <c r="M252" s="60"/>
      <c r="N252" s="60"/>
      <c r="O252" s="60"/>
      <c r="P252" s="60"/>
      <c r="S252" s="79"/>
    </row>
    <row r="253" spans="2:19" x14ac:dyDescent="0.2">
      <c r="B253" s="49"/>
      <c r="C253" s="405"/>
      <c r="D253" s="406"/>
      <c r="E253" s="209">
        <f>E252/$J$256</f>
        <v>0.19047619047619047</v>
      </c>
      <c r="F253" s="209">
        <f>F252/$J$256</f>
        <v>9.5238095238095233E-2</v>
      </c>
      <c r="G253" s="209">
        <f>G252/$J$256</f>
        <v>4.1666666666666664E-2</v>
      </c>
      <c r="H253" s="209">
        <f>H252/$J$256</f>
        <v>1.1904761904761904E-2</v>
      </c>
      <c r="I253" s="209">
        <f>I252/$J$256</f>
        <v>0</v>
      </c>
      <c r="J253" s="209">
        <f t="shared" si="13"/>
        <v>0.3392857142857143</v>
      </c>
      <c r="K253" s="60"/>
      <c r="L253" s="60"/>
      <c r="M253" s="60"/>
      <c r="N253" s="60"/>
      <c r="O253" s="60"/>
      <c r="P253" s="60"/>
      <c r="S253" s="79"/>
    </row>
    <row r="254" spans="2:19" x14ac:dyDescent="0.2">
      <c r="B254" s="49"/>
      <c r="C254" s="405" t="s">
        <v>1427</v>
      </c>
      <c r="D254" s="406"/>
      <c r="E254" s="181">
        <f>GETPIVOTDATA("Sum of 1 bed net",Pivot!$B$339,"Tenure","Social Rent")</f>
        <v>-29</v>
      </c>
      <c r="F254" s="181">
        <f>GETPIVOTDATA("Sum of 2 bed net",Pivot!$B$339,"Tenure","Social Rent")</f>
        <v>-1</v>
      </c>
      <c r="G254" s="181">
        <v>0</v>
      </c>
      <c r="H254" s="181">
        <v>0</v>
      </c>
      <c r="I254" s="181">
        <v>0</v>
      </c>
      <c r="J254" s="181">
        <f t="shared" si="13"/>
        <v>-30</v>
      </c>
      <c r="K254" s="60"/>
      <c r="L254" s="60"/>
      <c r="M254" s="60"/>
      <c r="N254" s="60"/>
      <c r="O254" s="60"/>
      <c r="P254" s="60"/>
      <c r="S254" s="79"/>
    </row>
    <row r="255" spans="2:19" x14ac:dyDescent="0.2">
      <c r="B255" s="49"/>
      <c r="C255" s="405"/>
      <c r="D255" s="406"/>
      <c r="E255" s="209">
        <f>E254/$J$256</f>
        <v>-0.17261904761904762</v>
      </c>
      <c r="F255" s="209">
        <f>F254/$J$256</f>
        <v>-5.9523809523809521E-3</v>
      </c>
      <c r="G255" s="209">
        <f>G254/$J$256</f>
        <v>0</v>
      </c>
      <c r="H255" s="209">
        <f>H254/$J$256</f>
        <v>0</v>
      </c>
      <c r="I255" s="209">
        <f>I254/$J$256</f>
        <v>0</v>
      </c>
      <c r="J255" s="209">
        <f t="shared" si="13"/>
        <v>-0.17857142857142858</v>
      </c>
      <c r="K255" s="60"/>
      <c r="L255" s="60"/>
      <c r="M255" s="60"/>
      <c r="N255" s="60"/>
      <c r="O255" s="60"/>
      <c r="P255" s="60"/>
      <c r="S255" s="79"/>
    </row>
    <row r="256" spans="2:19" x14ac:dyDescent="0.2">
      <c r="B256" s="49"/>
      <c r="C256" s="407" t="s">
        <v>1284</v>
      </c>
      <c r="D256" s="408"/>
      <c r="E256" s="63">
        <f>E248+E250+E252+E254</f>
        <v>35</v>
      </c>
      <c r="F256" s="63">
        <f>F248+F250+F252+F254</f>
        <v>86</v>
      </c>
      <c r="G256" s="63">
        <f>G248+G250+G252+G254</f>
        <v>21</v>
      </c>
      <c r="H256" s="63">
        <f>H248+H250+H252+H254</f>
        <v>26</v>
      </c>
      <c r="I256" s="63">
        <f>I248+I250+I252+I254</f>
        <v>0</v>
      </c>
      <c r="J256" s="63">
        <f>SUM(E256:I256)</f>
        <v>168</v>
      </c>
      <c r="K256" s="131"/>
      <c r="L256" s="60"/>
      <c r="M256" s="60"/>
      <c r="N256" s="60"/>
      <c r="O256" s="60"/>
      <c r="P256" s="60"/>
      <c r="S256" s="79"/>
    </row>
    <row r="257" spans="2:19" x14ac:dyDescent="0.2">
      <c r="B257" s="49"/>
      <c r="C257" s="407"/>
      <c r="D257" s="408"/>
      <c r="E257" s="129">
        <f>E256/$J$256</f>
        <v>0.20833333333333334</v>
      </c>
      <c r="F257" s="129">
        <f>F256/$J$256</f>
        <v>0.51190476190476186</v>
      </c>
      <c r="G257" s="129">
        <f>G256/$J$256</f>
        <v>0.125</v>
      </c>
      <c r="H257" s="129">
        <f>H256/$J$256</f>
        <v>0.15476190476190477</v>
      </c>
      <c r="I257" s="129">
        <f>I256/$J$256</f>
        <v>0</v>
      </c>
      <c r="J257" s="129">
        <f t="shared" si="13"/>
        <v>1</v>
      </c>
      <c r="K257" s="60"/>
      <c r="L257" s="60"/>
      <c r="M257" s="60"/>
      <c r="N257" s="60"/>
      <c r="O257" s="60"/>
      <c r="P257" s="60"/>
      <c r="S257" s="79"/>
    </row>
    <row r="258" spans="2:19" x14ac:dyDescent="0.2">
      <c r="B258" s="7"/>
      <c r="C258" s="60"/>
      <c r="D258" s="130"/>
      <c r="E258" s="130"/>
      <c r="F258" s="130"/>
      <c r="G258" s="130"/>
      <c r="H258" s="130"/>
      <c r="I258" s="130"/>
      <c r="J258" s="130"/>
      <c r="K258" s="60"/>
      <c r="L258" s="60"/>
      <c r="M258" s="60"/>
      <c r="N258" s="60"/>
      <c r="O258" s="60"/>
      <c r="P258" s="60"/>
      <c r="Q258" s="60"/>
      <c r="S258" s="79"/>
    </row>
    <row r="259" spans="2:19" x14ac:dyDescent="0.2">
      <c r="B259" s="7"/>
      <c r="C259" s="60"/>
      <c r="D259" s="130"/>
      <c r="E259" s="130"/>
      <c r="F259" s="130"/>
      <c r="G259" s="130"/>
      <c r="H259" s="130"/>
      <c r="I259" s="130"/>
      <c r="J259" s="130"/>
      <c r="K259" s="60"/>
      <c r="L259" s="60"/>
      <c r="M259" s="60"/>
      <c r="N259" s="60"/>
      <c r="O259" s="60"/>
      <c r="P259" s="60"/>
      <c r="Q259" s="60"/>
      <c r="S259" s="79"/>
    </row>
    <row r="260" spans="2:19" x14ac:dyDescent="0.2">
      <c r="B260" s="7"/>
      <c r="D260" s="130"/>
      <c r="E260" s="130"/>
      <c r="F260" s="130"/>
      <c r="G260" s="130"/>
      <c r="H260" s="130"/>
      <c r="I260" s="130"/>
      <c r="J260" s="130"/>
      <c r="K260" s="60"/>
      <c r="L260" s="60"/>
      <c r="M260" s="60"/>
      <c r="N260" s="60"/>
      <c r="O260" s="60"/>
      <c r="P260" s="60"/>
      <c r="Q260" s="60"/>
      <c r="S260" s="79"/>
    </row>
    <row r="261" spans="2:19" x14ac:dyDescent="0.2">
      <c r="B261" s="7"/>
      <c r="C261" s="36" t="s">
        <v>1428</v>
      </c>
      <c r="D261" s="36" t="s">
        <v>1429</v>
      </c>
      <c r="E261" s="60"/>
      <c r="F261" s="60"/>
      <c r="G261" s="60"/>
      <c r="H261" s="60"/>
      <c r="I261" s="60"/>
      <c r="J261" s="60"/>
      <c r="K261" s="60"/>
      <c r="M261" s="128" t="s">
        <v>1430</v>
      </c>
      <c r="O261" s="60"/>
      <c r="P261" s="60"/>
      <c r="Q261" s="60"/>
      <c r="S261" s="79"/>
    </row>
    <row r="262" spans="2:19" x14ac:dyDescent="0.2">
      <c r="B262" s="49"/>
      <c r="C262" s="403"/>
      <c r="D262" s="404"/>
      <c r="E262" s="62" t="s">
        <v>1417</v>
      </c>
      <c r="F262" s="62" t="s">
        <v>1418</v>
      </c>
      <c r="G262" s="62" t="s">
        <v>1419</v>
      </c>
      <c r="H262" s="62" t="s">
        <v>1420</v>
      </c>
      <c r="I262" s="62" t="s">
        <v>1421</v>
      </c>
      <c r="J262" s="62" t="s">
        <v>1284</v>
      </c>
      <c r="K262" s="60"/>
      <c r="L262" s="60"/>
      <c r="M262" s="60"/>
      <c r="N262" s="60"/>
      <c r="O262" s="60"/>
      <c r="P262" s="60"/>
      <c r="S262" s="79"/>
    </row>
    <row r="263" spans="2:19" x14ac:dyDescent="0.2">
      <c r="B263" s="49"/>
      <c r="C263" s="405" t="s">
        <v>122</v>
      </c>
      <c r="D263" s="406"/>
      <c r="E263" s="181">
        <f>GETPIVOTDATA("Sum of 1 bed net",Pivot!$B$356,"Tenure","Open Market")</f>
        <v>209</v>
      </c>
      <c r="F263" s="181">
        <f>GETPIVOTDATA("Sum of 2 bed net",Pivot!$B$356,"Tenure","Open Market")</f>
        <v>247</v>
      </c>
      <c r="G263" s="181">
        <f>GETPIVOTDATA("Sum of 3 bed net",Pivot!$B$356,"Tenure","Open Market")</f>
        <v>60</v>
      </c>
      <c r="H263" s="181">
        <f>GETPIVOTDATA("Sum of 4 bed net",Pivot!$B$356,"Tenure","Open Market")+GETPIVOTDATA("Sum of 5 bed net",Pivot!$B$356,"Tenure","Open Market")+GETPIVOTDATA("Sum of 6 bed net",Pivot!$B$356,"Tenure","Open Market")+GETPIVOTDATA("Sum of 7 bed net",Pivot!$B$356,"Tenure","Open Market")</f>
        <v>55</v>
      </c>
      <c r="I263" s="181">
        <v>0</v>
      </c>
      <c r="J263" s="181">
        <f t="shared" ref="J263:J270" si="14">SUM(E263:I263)</f>
        <v>571</v>
      </c>
      <c r="K263" s="60"/>
      <c r="L263" s="60"/>
      <c r="M263" s="60"/>
      <c r="N263" s="60"/>
      <c r="O263" s="60"/>
      <c r="P263" s="60"/>
      <c r="S263" s="79"/>
    </row>
    <row r="264" spans="2:19" x14ac:dyDescent="0.2">
      <c r="B264" s="49"/>
      <c r="C264" s="405"/>
      <c r="D264" s="406"/>
      <c r="E264" s="209">
        <f>E263/$J$271</f>
        <v>0.24274099883855982</v>
      </c>
      <c r="F264" s="209">
        <f t="shared" ref="F264:I264" si="15">F263/$J$271</f>
        <v>0.28687572590011612</v>
      </c>
      <c r="G264" s="209">
        <f t="shared" si="15"/>
        <v>6.968641114982578E-2</v>
      </c>
      <c r="H264" s="209">
        <f t="shared" si="15"/>
        <v>6.3879210220673638E-2</v>
      </c>
      <c r="I264" s="209">
        <f t="shared" si="15"/>
        <v>0</v>
      </c>
      <c r="J264" s="209">
        <f t="shared" si="14"/>
        <v>0.66318234610917537</v>
      </c>
      <c r="K264" s="60"/>
      <c r="L264" s="60"/>
      <c r="M264" s="60"/>
      <c r="N264" s="60"/>
      <c r="O264" s="60"/>
      <c r="P264" s="60"/>
      <c r="S264" s="79"/>
    </row>
    <row r="265" spans="2:19" x14ac:dyDescent="0.2">
      <c r="B265" s="49"/>
      <c r="C265" s="405" t="s">
        <v>1426</v>
      </c>
      <c r="D265" s="406"/>
      <c r="E265" s="181">
        <f>GETPIVOTDATA("Sum of 1 bed net",Pivot!$B$356,"Tenure","Intermediate")+GETPIVOTDATA("Sum of 1 bed net",Pivot!$B$356,"Tenure","Shared Ownership")</f>
        <v>65</v>
      </c>
      <c r="F265" s="181">
        <f>GETPIVOTDATA("Sum of 2 bed net",Pivot!$B$356,"Tenure","Intermediate")+GETPIVOTDATA("Sum of 2 bed net",Pivot!$B$356,"Tenure","Shared Ownership")</f>
        <v>82</v>
      </c>
      <c r="G265" s="181">
        <f>GETPIVOTDATA("Sum of 3 bed net",Pivot!$B$356,"Tenure","Intermediate")+GETPIVOTDATA("Sum of 3 bed net",Pivot!$B$356,"Tenure","Shared Ownership")</f>
        <v>16</v>
      </c>
      <c r="H265" s="181">
        <f>GETPIVOTDATA("Sum of 4 bed net",Pivot!$B$356,"Tenure","Intermediate")</f>
        <v>0</v>
      </c>
      <c r="I265" s="181">
        <v>0</v>
      </c>
      <c r="J265" s="181">
        <f t="shared" si="14"/>
        <v>163</v>
      </c>
      <c r="K265" s="60"/>
      <c r="L265" s="60"/>
      <c r="M265" s="60"/>
      <c r="N265" s="60"/>
      <c r="O265" s="60"/>
      <c r="P265" s="60"/>
      <c r="S265" s="79"/>
    </row>
    <row r="266" spans="2:19" x14ac:dyDescent="0.2">
      <c r="B266" s="49"/>
      <c r="C266" s="405"/>
      <c r="D266" s="406"/>
      <c r="E266" s="209">
        <f>E265/$J$271</f>
        <v>7.5493612078977937E-2</v>
      </c>
      <c r="F266" s="209">
        <f t="shared" ref="F266:I266" si="16">F265/$J$271</f>
        <v>9.5238095238095233E-2</v>
      </c>
      <c r="G266" s="209">
        <f t="shared" si="16"/>
        <v>1.8583042973286876E-2</v>
      </c>
      <c r="H266" s="209">
        <f t="shared" si="16"/>
        <v>0</v>
      </c>
      <c r="I266" s="209">
        <f t="shared" si="16"/>
        <v>0</v>
      </c>
      <c r="J266" s="209">
        <f t="shared" si="14"/>
        <v>0.18931475029036005</v>
      </c>
      <c r="K266" s="60"/>
      <c r="L266" s="60"/>
      <c r="M266" s="60"/>
      <c r="N266" s="60"/>
      <c r="O266" s="60"/>
      <c r="P266" s="60"/>
      <c r="S266" s="79"/>
    </row>
    <row r="267" spans="2:19" x14ac:dyDescent="0.2">
      <c r="B267" s="49"/>
      <c r="C267" s="405" t="s">
        <v>1422</v>
      </c>
      <c r="D267" s="406"/>
      <c r="E267" s="181">
        <f>GETPIVOTDATA("Sum of 1 bed net",Pivot!$B$356,"Tenure","Affordable rent")+GETPIVOTDATA("Sum of 1 bed net",Pivot!$B$356,"Tenure","London Affordable Rent")+GETPIVOTDATA("Sum of 1 bed net",Pivot!$B$356,"Tenure","London Living Rent")</f>
        <v>-25</v>
      </c>
      <c r="F267" s="181">
        <f>GETPIVOTDATA("Sum of 2 bed net",Pivot!$B$356,"Tenure","Affordable Rent")+GETPIVOTDATA("Sum of 2 bed net",Pivot!$B$356,"Tenure","London Affordable Rent")+GETPIVOTDATA("Sum of 2 bed net",Pivot!$B$356,"Tenure","London Living Rent")</f>
        <v>-4</v>
      </c>
      <c r="G267" s="181">
        <f>GETPIVOTDATA("Sum of 3 bed net",Pivot!$B$356,"Tenure","Affordable Rent")+GETPIVOTDATA("Sum of 3 bed net",Pivot!$B$356,"Tenure","London Affordable Rent")+GETPIVOTDATA("Sum of 3 bed net",Pivot!$B$356,"Tenure","London Living Rent")</f>
        <v>-3</v>
      </c>
      <c r="H267" s="181">
        <f>GETPIVOTDATA("Sum of 4 bed net",Pivot!$B$356,"Tenure","Affordable Rent")</f>
        <v>0</v>
      </c>
      <c r="I267" s="181">
        <v>0</v>
      </c>
      <c r="J267" s="181">
        <f t="shared" si="14"/>
        <v>-32</v>
      </c>
      <c r="K267" s="60"/>
      <c r="L267" s="60"/>
      <c r="M267" s="60"/>
      <c r="N267" s="60"/>
      <c r="O267" s="60"/>
      <c r="P267" s="60"/>
      <c r="S267" s="79"/>
    </row>
    <row r="268" spans="2:19" x14ac:dyDescent="0.2">
      <c r="B268" s="49"/>
      <c r="C268" s="405"/>
      <c r="D268" s="406"/>
      <c r="E268" s="209">
        <f>E267/$J$271</f>
        <v>-2.9036004645760744E-2</v>
      </c>
      <c r="F268" s="209">
        <f t="shared" ref="F268:I268" si="17">F267/$J$271</f>
        <v>-4.6457607433217189E-3</v>
      </c>
      <c r="G268" s="209">
        <f t="shared" si="17"/>
        <v>-3.4843205574912892E-3</v>
      </c>
      <c r="H268" s="209">
        <f t="shared" si="17"/>
        <v>0</v>
      </c>
      <c r="I268" s="209">
        <f t="shared" si="17"/>
        <v>0</v>
      </c>
      <c r="J268" s="209">
        <f t="shared" si="14"/>
        <v>-3.7166085946573751E-2</v>
      </c>
      <c r="K268" s="60"/>
      <c r="L268" s="60"/>
      <c r="M268" s="60"/>
      <c r="N268" s="60"/>
      <c r="O268" s="60"/>
      <c r="P268" s="60"/>
      <c r="S268" s="79"/>
    </row>
    <row r="269" spans="2:19" x14ac:dyDescent="0.2">
      <c r="B269" s="49"/>
      <c r="C269" s="405" t="s">
        <v>1427</v>
      </c>
      <c r="D269" s="406"/>
      <c r="E269" s="181">
        <f>GETPIVOTDATA("Sum of 1 bed net",Pivot!$B$356,"Tenure","Social Rent")</f>
        <v>98</v>
      </c>
      <c r="F269" s="181">
        <f>GETPIVOTDATA("Sum of 2 bed net",Pivot!$B$356,"Tenure","Social Rent")</f>
        <v>49</v>
      </c>
      <c r="G269" s="181">
        <f>GETPIVOTDATA("Sum of 3 bed net",Pivot!$B$356,"Tenure","Social Rent")</f>
        <v>12</v>
      </c>
      <c r="H269" s="181">
        <v>0</v>
      </c>
      <c r="I269" s="181">
        <v>0</v>
      </c>
      <c r="J269" s="181">
        <f t="shared" si="14"/>
        <v>159</v>
      </c>
      <c r="K269" s="60"/>
      <c r="L269" s="60"/>
      <c r="M269" s="60"/>
      <c r="N269" s="60"/>
      <c r="O269" s="60"/>
      <c r="P269" s="60"/>
      <c r="S269" s="79"/>
    </row>
    <row r="270" spans="2:19" x14ac:dyDescent="0.2">
      <c r="B270" s="49"/>
      <c r="C270" s="405"/>
      <c r="D270" s="406"/>
      <c r="E270" s="209">
        <f>E269/$J$271</f>
        <v>0.11382113821138211</v>
      </c>
      <c r="F270" s="209">
        <f t="shared" ref="F270:I270" si="18">F269/$J$271</f>
        <v>5.6910569105691054E-2</v>
      </c>
      <c r="G270" s="209">
        <f t="shared" si="18"/>
        <v>1.3937282229965157E-2</v>
      </c>
      <c r="H270" s="209">
        <f t="shared" si="18"/>
        <v>0</v>
      </c>
      <c r="I270" s="209">
        <f t="shared" si="18"/>
        <v>0</v>
      </c>
      <c r="J270" s="209">
        <f t="shared" si="14"/>
        <v>0.18466898954703831</v>
      </c>
      <c r="K270" s="60"/>
      <c r="L270" s="60"/>
      <c r="M270" s="60"/>
      <c r="N270" s="60"/>
      <c r="O270" s="60"/>
      <c r="P270" s="60"/>
      <c r="S270" s="79"/>
    </row>
    <row r="271" spans="2:19" x14ac:dyDescent="0.2">
      <c r="B271" s="49"/>
      <c r="C271" s="407" t="s">
        <v>1284</v>
      </c>
      <c r="D271" s="408"/>
      <c r="E271" s="63">
        <f>E263+E265+E267+E269</f>
        <v>347</v>
      </c>
      <c r="F271" s="63">
        <f t="shared" ref="F271:I271" si="19">F263+F265+F267+F269</f>
        <v>374</v>
      </c>
      <c r="G271" s="63">
        <f t="shared" si="19"/>
        <v>85</v>
      </c>
      <c r="H271" s="63">
        <f t="shared" si="19"/>
        <v>55</v>
      </c>
      <c r="I271" s="63">
        <f t="shared" si="19"/>
        <v>0</v>
      </c>
      <c r="J271" s="63">
        <f>SUM(E271:I271)</f>
        <v>861</v>
      </c>
      <c r="K271" s="60"/>
      <c r="L271" s="60"/>
      <c r="M271" s="60"/>
      <c r="N271" s="60"/>
      <c r="O271" s="60"/>
      <c r="P271" s="60"/>
      <c r="S271" s="79"/>
    </row>
    <row r="272" spans="2:19" x14ac:dyDescent="0.2">
      <c r="B272" s="49"/>
      <c r="C272" s="407"/>
      <c r="D272" s="408"/>
      <c r="E272" s="129">
        <f>E271/$J$271</f>
        <v>0.40301974448315914</v>
      </c>
      <c r="F272" s="129">
        <f>F271/$J$271</f>
        <v>0.4343786295005807</v>
      </c>
      <c r="G272" s="129">
        <f>G271/$J$271</f>
        <v>9.8722415795586521E-2</v>
      </c>
      <c r="H272" s="129">
        <f>H271/$J$271</f>
        <v>6.3879210220673638E-2</v>
      </c>
      <c r="I272" s="129">
        <f>I271/$J$271</f>
        <v>0</v>
      </c>
      <c r="J272" s="129">
        <f>SUM(E272:I272)</f>
        <v>1</v>
      </c>
      <c r="K272" s="60"/>
      <c r="L272" s="60"/>
      <c r="M272" s="60"/>
      <c r="N272" s="60"/>
      <c r="O272" s="60"/>
      <c r="P272" s="60"/>
      <c r="S272" s="79"/>
    </row>
    <row r="273" spans="2:19" x14ac:dyDescent="0.2">
      <c r="B273" s="7"/>
      <c r="C273" s="60"/>
      <c r="D273" s="130"/>
      <c r="E273" s="130"/>
      <c r="F273" s="130"/>
      <c r="G273" s="130"/>
      <c r="H273" s="130"/>
      <c r="I273" s="130"/>
      <c r="J273" s="130"/>
      <c r="K273" s="60"/>
      <c r="L273" s="60"/>
      <c r="M273" s="60"/>
      <c r="N273" s="60"/>
      <c r="O273" s="60"/>
      <c r="P273" s="60"/>
      <c r="Q273" s="60"/>
      <c r="S273" s="79"/>
    </row>
    <row r="274" spans="2:19" x14ac:dyDescent="0.2">
      <c r="B274" s="7"/>
      <c r="C274" s="60"/>
      <c r="D274" s="130"/>
      <c r="E274" s="130"/>
      <c r="F274" s="130"/>
      <c r="G274" s="130"/>
      <c r="H274" s="130"/>
      <c r="I274" s="130"/>
      <c r="J274" s="130"/>
      <c r="K274" s="60"/>
      <c r="L274" s="60"/>
      <c r="M274" s="60"/>
      <c r="N274" s="60"/>
      <c r="O274" s="60"/>
      <c r="P274" s="60"/>
      <c r="Q274" s="60"/>
      <c r="S274" s="79"/>
    </row>
    <row r="275" spans="2:19" x14ac:dyDescent="0.2">
      <c r="B275" s="64"/>
      <c r="C275" s="17"/>
      <c r="D275" s="132"/>
      <c r="E275" s="132"/>
      <c r="F275" s="132"/>
      <c r="G275" s="132"/>
      <c r="H275" s="132"/>
      <c r="I275" s="132"/>
      <c r="J275" s="132"/>
      <c r="K275" s="17"/>
      <c r="L275" s="17"/>
      <c r="M275" s="17"/>
      <c r="N275" s="17"/>
      <c r="O275" s="17"/>
      <c r="P275" s="17"/>
      <c r="Q275" s="17"/>
      <c r="R275" s="82"/>
      <c r="S275" s="83"/>
    </row>
    <row r="276" spans="2:19" x14ac:dyDescent="0.2">
      <c r="B276" s="68"/>
      <c r="C276" s="5"/>
      <c r="D276" s="133"/>
      <c r="E276" s="133"/>
      <c r="F276" s="133"/>
      <c r="G276" s="133"/>
      <c r="H276" s="133"/>
      <c r="I276" s="133"/>
      <c r="J276" s="133"/>
      <c r="K276" s="5"/>
      <c r="L276" s="5"/>
      <c r="M276" s="5"/>
      <c r="N276" s="5"/>
      <c r="O276" s="5"/>
      <c r="P276" s="5"/>
      <c r="Q276" s="5"/>
      <c r="R276" s="3"/>
      <c r="S276" s="84"/>
    </row>
    <row r="277" spans="2:19" ht="20.25" x14ac:dyDescent="0.3">
      <c r="B277" s="7"/>
      <c r="C277" s="85" t="s">
        <v>1431</v>
      </c>
      <c r="D277" s="130"/>
      <c r="E277" s="130"/>
      <c r="F277" s="130"/>
      <c r="G277" s="130"/>
      <c r="H277" s="130"/>
      <c r="I277" s="130"/>
      <c r="J277" s="130"/>
      <c r="K277" s="60"/>
      <c r="L277" s="60"/>
      <c r="M277" s="60"/>
      <c r="N277" s="60"/>
      <c r="O277" s="60"/>
      <c r="P277" s="60"/>
      <c r="Q277" s="60"/>
      <c r="S277" s="79"/>
    </row>
    <row r="278" spans="2:19" x14ac:dyDescent="0.2">
      <c r="B278" s="7"/>
      <c r="C278" s="60"/>
      <c r="D278" s="130"/>
      <c r="E278" s="130"/>
      <c r="F278" s="130"/>
      <c r="G278" s="130"/>
      <c r="H278" s="130"/>
      <c r="I278" s="130"/>
      <c r="J278" s="130"/>
      <c r="K278" s="60"/>
      <c r="L278" s="60"/>
      <c r="M278" s="60"/>
      <c r="N278" s="60"/>
      <c r="O278" s="60"/>
      <c r="P278" s="60"/>
      <c r="Q278" s="60"/>
      <c r="S278" s="79"/>
    </row>
    <row r="279" spans="2:19" x14ac:dyDescent="0.2">
      <c r="B279" s="7"/>
      <c r="C279" s="36" t="s">
        <v>1432</v>
      </c>
      <c r="D279" s="36" t="s">
        <v>1753</v>
      </c>
      <c r="E279" s="134"/>
      <c r="F279" s="134"/>
      <c r="G279" s="134"/>
      <c r="H279" s="134"/>
      <c r="I279" s="134"/>
      <c r="J279" s="134"/>
      <c r="K279" s="60"/>
      <c r="L279" s="60"/>
      <c r="M279" s="60"/>
      <c r="N279" s="60"/>
      <c r="O279" s="60"/>
      <c r="P279" s="60"/>
      <c r="Q279" s="60"/>
      <c r="S279" s="79"/>
    </row>
    <row r="280" spans="2:19" x14ac:dyDescent="0.2">
      <c r="B280" s="49"/>
      <c r="C280" s="411" t="s">
        <v>1754</v>
      </c>
      <c r="D280" s="411"/>
      <c r="E280" s="411"/>
      <c r="F280" s="411"/>
      <c r="G280" s="411"/>
      <c r="H280" s="411"/>
      <c r="I280" s="411"/>
      <c r="J280" s="411"/>
      <c r="K280" s="411"/>
      <c r="L280" s="411"/>
      <c r="M280" s="60"/>
      <c r="N280" s="60"/>
      <c r="O280" s="60"/>
      <c r="P280" s="60"/>
      <c r="S280" s="79"/>
    </row>
    <row r="281" spans="2:19" ht="39" x14ac:dyDescent="0.2">
      <c r="B281" s="49"/>
      <c r="C281" s="412"/>
      <c r="D281" s="413"/>
      <c r="E281" s="413"/>
      <c r="F281" s="135" t="s">
        <v>1433</v>
      </c>
      <c r="G281" s="135" t="s">
        <v>1317</v>
      </c>
      <c r="H281" s="135" t="s">
        <v>1434</v>
      </c>
      <c r="I281" s="135" t="s">
        <v>1435</v>
      </c>
      <c r="J281" s="136" t="s">
        <v>1436</v>
      </c>
      <c r="K281" s="136" t="s">
        <v>1437</v>
      </c>
      <c r="L281" s="137" t="s">
        <v>1284</v>
      </c>
      <c r="M281" s="60"/>
      <c r="N281" s="60"/>
      <c r="O281" s="60"/>
      <c r="P281" s="60"/>
      <c r="S281" s="79"/>
    </row>
    <row r="282" spans="2:19" x14ac:dyDescent="0.2">
      <c r="B282" s="49"/>
      <c r="C282" s="409" t="s">
        <v>1399</v>
      </c>
      <c r="D282" s="410"/>
      <c r="E282" s="410"/>
      <c r="F282" s="138">
        <f>GETPIVOTDATA("Net Dwellings",Pivot!$B$375,"Ward_Name",C282)</f>
        <v>2</v>
      </c>
      <c r="G282" s="138">
        <f>GETPIVOTDATA("Net Dwellings",Pivot!$E$375,"Ward_Name",C282)</f>
        <v>1</v>
      </c>
      <c r="H282" s="138">
        <f>GETPIVOTDATA("Net Dwellings",Pivot!$H$375,"Ward_Name",C282)</f>
        <v>-1</v>
      </c>
      <c r="I282" s="138">
        <f>GETPIVOTDATA("Net Dwellings",Pivot!$B$407,"Ward_Name",C282)</f>
        <v>0</v>
      </c>
      <c r="J282" s="138">
        <v>0</v>
      </c>
      <c r="K282" s="138">
        <v>0</v>
      </c>
      <c r="L282" s="139">
        <f t="shared" ref="L282:L300" si="20">SUM(F282:K282)</f>
        <v>2</v>
      </c>
      <c r="M282" s="60"/>
      <c r="N282" s="60"/>
      <c r="O282" s="60"/>
      <c r="P282" s="60"/>
      <c r="S282" s="79"/>
    </row>
    <row r="283" spans="2:19" x14ac:dyDescent="0.2">
      <c r="B283" s="49"/>
      <c r="C283" s="409" t="s">
        <v>1384</v>
      </c>
      <c r="D283" s="410"/>
      <c r="E283" s="410"/>
      <c r="F283" s="138">
        <f>GETPIVOTDATA("Net Dwellings",Pivot!$B$375,"Ward_Name",C283)</f>
        <v>6</v>
      </c>
      <c r="G283" s="138">
        <f>GETPIVOTDATA("Net Dwellings",Pivot!$E$375,"Ward_Name",C283)</f>
        <v>3</v>
      </c>
      <c r="H283" s="138">
        <f>GETPIVOTDATA("Net Dwellings",Pivot!$H$375,"Ward_Name",C283)</f>
        <v>5</v>
      </c>
      <c r="I283" s="138">
        <f>GETPIVOTDATA("Net Dwellings",Pivot!$B$407,"Ward_Name",C283)</f>
        <v>4</v>
      </c>
      <c r="J283" s="138">
        <f>GETPIVOTDATA("Net Dwellings",Pivot!$H$407,"Ward_Name",C283)</f>
        <v>2</v>
      </c>
      <c r="K283" s="138">
        <v>0</v>
      </c>
      <c r="L283" s="139">
        <f t="shared" si="20"/>
        <v>20</v>
      </c>
      <c r="M283" s="60"/>
      <c r="N283" s="60"/>
      <c r="O283" s="60"/>
      <c r="P283" s="60"/>
      <c r="S283" s="79"/>
    </row>
    <row r="284" spans="2:19" ht="12.75" customHeight="1" x14ac:dyDescent="0.2">
      <c r="B284" s="49"/>
      <c r="C284" s="409" t="s">
        <v>1563</v>
      </c>
      <c r="D284" s="410"/>
      <c r="E284" s="410"/>
      <c r="F284" s="138">
        <f>GETPIVOTDATA("Net Dwellings",Pivot!$B$375,"Ward_Name",C284)</f>
        <v>50</v>
      </c>
      <c r="G284" s="138">
        <f>GETPIVOTDATA("Net Dwellings",Pivot!$E$375,"Ward_Name",C284)</f>
        <v>7</v>
      </c>
      <c r="H284" s="138">
        <f>GETPIVOTDATA("Net Dwellings",Pivot!$H$375,"Ward_Name",C284)</f>
        <v>14</v>
      </c>
      <c r="I284" s="138">
        <f>GETPIVOTDATA("Net Dwellings",Pivot!$B$407,"Ward_Name",C284)</f>
        <v>8</v>
      </c>
      <c r="J284" s="138">
        <f>GETPIVOTDATA("Net Dwellings",Pivot!$H$407,"Ward_Name",C284)</f>
        <v>20</v>
      </c>
      <c r="K284" s="138">
        <f>GETPIVOTDATA("Sum of 2023-2033 Total",Pivot!$B$448,"Ward_Name",C284)</f>
        <v>100</v>
      </c>
      <c r="L284" s="139">
        <f t="shared" si="20"/>
        <v>199</v>
      </c>
      <c r="M284" s="60"/>
      <c r="N284" s="60"/>
      <c r="O284" s="60"/>
      <c r="P284" s="60"/>
      <c r="S284" s="79"/>
    </row>
    <row r="285" spans="2:19" x14ac:dyDescent="0.2">
      <c r="B285" s="49"/>
      <c r="C285" s="414" t="s">
        <v>1560</v>
      </c>
      <c r="D285" s="414"/>
      <c r="E285" s="415"/>
      <c r="F285" s="138">
        <f>GETPIVOTDATA("Net Dwellings",Pivot!$B$375,"Ward_Name",C285)</f>
        <v>1</v>
      </c>
      <c r="G285" s="138">
        <f>GETPIVOTDATA("Net Dwellings",Pivot!$E$375,"Ward_Name",C285)</f>
        <v>261</v>
      </c>
      <c r="H285" s="138">
        <f>GETPIVOTDATA("Net Dwellings",Pivot!$H$375,"Ward_Name",C285)</f>
        <v>0</v>
      </c>
      <c r="I285" s="138">
        <f>GETPIVOTDATA("Net Dwellings",Pivot!$B$407,"Ward_Name",C285)</f>
        <v>3</v>
      </c>
      <c r="J285" s="138">
        <v>0</v>
      </c>
      <c r="K285" s="138">
        <v>0</v>
      </c>
      <c r="L285" s="139">
        <f t="shared" si="20"/>
        <v>265</v>
      </c>
      <c r="M285" s="60"/>
      <c r="N285" s="60"/>
      <c r="O285" s="60"/>
      <c r="P285" s="60"/>
      <c r="S285" s="79"/>
    </row>
    <row r="286" spans="2:19" x14ac:dyDescent="0.2">
      <c r="B286" s="49"/>
      <c r="C286" s="409" t="s">
        <v>1400</v>
      </c>
      <c r="D286" s="410"/>
      <c r="E286" s="410"/>
      <c r="F286" s="138">
        <f>GETPIVOTDATA("Net Dwellings",Pivot!$B$375,"Ward_Name",C286)</f>
        <v>5</v>
      </c>
      <c r="G286" s="138">
        <f>GETPIVOTDATA("Net Dwellings",Pivot!$E$375,"Ward_Name",C286)</f>
        <v>7</v>
      </c>
      <c r="H286" s="138">
        <f>GETPIVOTDATA("Net Dwellings",Pivot!$H$375,"Ward_Name",C286)</f>
        <v>3</v>
      </c>
      <c r="I286" s="138">
        <f>GETPIVOTDATA("Net Dwellings",Pivot!$B$407,"Ward_Name",C286)</f>
        <v>2</v>
      </c>
      <c r="J286" s="138">
        <f>GETPIVOTDATA("Net Dwellings",Pivot!$H$407,"Ward_Name",C286)</f>
        <v>4</v>
      </c>
      <c r="K286" s="138">
        <v>0</v>
      </c>
      <c r="L286" s="139">
        <f t="shared" si="20"/>
        <v>21</v>
      </c>
      <c r="M286" s="60"/>
      <c r="N286" s="60"/>
      <c r="O286" s="60"/>
      <c r="P286" s="60"/>
      <c r="S286" s="79"/>
    </row>
    <row r="287" spans="2:19" x14ac:dyDescent="0.2">
      <c r="B287" s="49"/>
      <c r="C287" s="409" t="s">
        <v>1401</v>
      </c>
      <c r="D287" s="410"/>
      <c r="E287" s="410"/>
      <c r="F287" s="138">
        <f>GETPIVOTDATA("Net Dwellings",Pivot!$B$375,"Ward_Name",C287)</f>
        <v>11</v>
      </c>
      <c r="G287" s="138">
        <f>GETPIVOTDATA("Net Dwellings",Pivot!$E$375,"Ward_Name",C287)</f>
        <v>3</v>
      </c>
      <c r="H287" s="138">
        <v>0</v>
      </c>
      <c r="I287" s="138">
        <v>0</v>
      </c>
      <c r="J287" s="138">
        <f>GETPIVOTDATA("Net Dwellings",Pivot!$H$407,"Ward_Name",C287)</f>
        <v>1</v>
      </c>
      <c r="K287" s="138">
        <v>0</v>
      </c>
      <c r="L287" s="139">
        <f t="shared" si="20"/>
        <v>15</v>
      </c>
      <c r="M287" s="60"/>
      <c r="N287" s="60"/>
      <c r="O287" s="60"/>
      <c r="P287" s="60"/>
      <c r="S287" s="79"/>
    </row>
    <row r="288" spans="2:19" x14ac:dyDescent="0.2">
      <c r="B288" s="49"/>
      <c r="C288" s="409" t="s">
        <v>1559</v>
      </c>
      <c r="D288" s="410"/>
      <c r="E288" s="410"/>
      <c r="F288" s="138">
        <f>GETPIVOTDATA("Net Dwellings",Pivot!$B$375,"Ward_Name",C288)</f>
        <v>24</v>
      </c>
      <c r="G288" s="138">
        <f>GETPIVOTDATA("Net Dwellings",Pivot!$E$375,"Ward_Name",C288)</f>
        <v>5</v>
      </c>
      <c r="H288" s="138">
        <f>GETPIVOTDATA("Net Dwellings",Pivot!$H$375,"Ward_Name",C288)</f>
        <v>8</v>
      </c>
      <c r="I288" s="138">
        <f>GETPIVOTDATA("Net Dwellings",Pivot!$B$407,"Ward_Name",C288)</f>
        <v>2</v>
      </c>
      <c r="J288" s="138">
        <f>GETPIVOTDATA("Net Dwellings",Pivot!$H$407,"Ward_Name",C288)</f>
        <v>6</v>
      </c>
      <c r="K288" s="138">
        <v>0</v>
      </c>
      <c r="L288" s="139">
        <f t="shared" si="20"/>
        <v>45</v>
      </c>
      <c r="M288" s="60"/>
      <c r="N288" s="60"/>
      <c r="O288" s="60"/>
      <c r="P288" s="60"/>
      <c r="S288" s="79"/>
    </row>
    <row r="289" spans="2:19" x14ac:dyDescent="0.2">
      <c r="B289" s="49"/>
      <c r="C289" s="409" t="s">
        <v>1402</v>
      </c>
      <c r="D289" s="410"/>
      <c r="E289" s="410"/>
      <c r="F289" s="138">
        <f>GETPIVOTDATA("Net Dwellings",Pivot!$B$375,"Ward_Name",C289)</f>
        <v>18</v>
      </c>
      <c r="G289" s="138">
        <f>GETPIVOTDATA("Net Dwellings",Pivot!$E$375,"Ward_Name",C289)</f>
        <v>2</v>
      </c>
      <c r="H289" s="138">
        <v>0</v>
      </c>
      <c r="I289" s="138">
        <f>GETPIVOTDATA("Net Dwellings",Pivot!$B$407,"Ward_Name",C289)</f>
        <v>2</v>
      </c>
      <c r="J289" s="138">
        <v>0</v>
      </c>
      <c r="K289" s="138">
        <v>0</v>
      </c>
      <c r="L289" s="139">
        <f t="shared" si="20"/>
        <v>22</v>
      </c>
      <c r="M289" s="60"/>
      <c r="N289" s="60"/>
      <c r="O289" s="60"/>
      <c r="P289" s="60"/>
      <c r="S289" s="79"/>
    </row>
    <row r="290" spans="2:19" x14ac:dyDescent="0.2">
      <c r="B290" s="49"/>
      <c r="C290" s="409" t="s">
        <v>1403</v>
      </c>
      <c r="D290" s="410"/>
      <c r="E290" s="410"/>
      <c r="F290" s="138">
        <f>GETPIVOTDATA("Net Dwellings",Pivot!$B$375,"Ward_Name",C290)</f>
        <v>7</v>
      </c>
      <c r="G290" s="138">
        <f>GETPIVOTDATA("Net Dwellings",Pivot!$E$375,"Ward_Name",C290)</f>
        <v>92</v>
      </c>
      <c r="H290" s="138">
        <f>GETPIVOTDATA("Net Dwellings",Pivot!$H$375,"Ward_Name",C290)</f>
        <v>2</v>
      </c>
      <c r="I290" s="138">
        <v>0</v>
      </c>
      <c r="J290" s="138">
        <f>GETPIVOTDATA("Net Dwellings",Pivot!$H$407,"Ward_Name",C290)</f>
        <v>31</v>
      </c>
      <c r="K290" s="138">
        <v>0</v>
      </c>
      <c r="L290" s="139">
        <f t="shared" si="20"/>
        <v>132</v>
      </c>
      <c r="M290" s="60"/>
      <c r="N290" s="60"/>
      <c r="O290" s="60"/>
      <c r="P290" s="60"/>
      <c r="S290" s="79"/>
    </row>
    <row r="291" spans="2:19" x14ac:dyDescent="0.2">
      <c r="B291" s="49"/>
      <c r="C291" s="409" t="s">
        <v>1562</v>
      </c>
      <c r="D291" s="410"/>
      <c r="E291" s="410"/>
      <c r="F291" s="138">
        <f>GETPIVOTDATA("Net Dwellings",Pivot!$B$375,"Ward_Name",C291)</f>
        <v>8</v>
      </c>
      <c r="G291" s="138">
        <f>GETPIVOTDATA("Net Dwellings",Pivot!$E$375,"Ward_Name",C291)</f>
        <v>95</v>
      </c>
      <c r="H291" s="138">
        <f>GETPIVOTDATA("Net Dwellings",Pivot!$H$375,"Ward_Name",C291)</f>
        <v>2</v>
      </c>
      <c r="I291" s="138">
        <f>GETPIVOTDATA("Net Dwellings",Pivot!$B$407,"Ward_Name",C291)</f>
        <v>1</v>
      </c>
      <c r="J291" s="138">
        <v>0</v>
      </c>
      <c r="K291" s="138">
        <f>GETPIVOTDATA("Sum of 2023-2033 Total",Pivot!$B$448,"Ward_Name",C291)</f>
        <v>550</v>
      </c>
      <c r="L291" s="139">
        <f t="shared" si="20"/>
        <v>656</v>
      </c>
      <c r="M291" s="60"/>
      <c r="N291" s="60"/>
      <c r="O291" s="60"/>
      <c r="P291" s="60"/>
      <c r="S291" s="79"/>
    </row>
    <row r="292" spans="2:19" x14ac:dyDescent="0.2">
      <c r="B292" s="49"/>
      <c r="C292" s="409" t="s">
        <v>1404</v>
      </c>
      <c r="D292" s="410"/>
      <c r="E292" s="410"/>
      <c r="F292" s="138">
        <f>GETPIVOTDATA("Net Dwellings",Pivot!$B$375,"Ward_Name",C292)</f>
        <v>1</v>
      </c>
      <c r="G292" s="138">
        <f>GETPIVOTDATA("Net Dwellings",Pivot!$E$375,"Ward_Name",C292)</f>
        <v>20</v>
      </c>
      <c r="H292" s="138">
        <f>GETPIVOTDATA("Net Dwellings",Pivot!$H$375,"Ward_Name",C292)</f>
        <v>84</v>
      </c>
      <c r="I292" s="138">
        <f>GETPIVOTDATA("Net Dwellings",Pivot!$B$407,"Ward_Name",C292)</f>
        <v>1</v>
      </c>
      <c r="J292" s="138">
        <f>GETPIVOTDATA("Net Dwellings",Pivot!$H$407,"Ward_Name",C292)</f>
        <v>3</v>
      </c>
      <c r="K292" s="138">
        <f>GETPIVOTDATA("Sum of 2023-2033 Total",Pivot!$B$448,"Ward_Name",C292)</f>
        <v>635</v>
      </c>
      <c r="L292" s="139">
        <f t="shared" si="20"/>
        <v>744</v>
      </c>
      <c r="M292" s="60"/>
      <c r="N292" s="60"/>
      <c r="O292" s="60"/>
      <c r="P292" s="60"/>
      <c r="S292" s="79"/>
    </row>
    <row r="293" spans="2:19" x14ac:dyDescent="0.2">
      <c r="B293" s="49"/>
      <c r="C293" s="409" t="s">
        <v>1405</v>
      </c>
      <c r="D293" s="410"/>
      <c r="E293" s="410"/>
      <c r="F293" s="138">
        <f>GETPIVOTDATA("Net Dwellings",Pivot!$B$375,"Ward_Name",C293)</f>
        <v>4</v>
      </c>
      <c r="G293" s="138">
        <f>GETPIVOTDATA("Net Dwellings",Pivot!$E$375,"Ward_Name",C293)</f>
        <v>15</v>
      </c>
      <c r="H293" s="138">
        <f>GETPIVOTDATA("Net Dwellings",Pivot!$H$375,"Ward_Name",C293)</f>
        <v>20</v>
      </c>
      <c r="I293" s="138">
        <f>GETPIVOTDATA("Net Dwellings",Pivot!$B$407,"Ward_Name",C293)</f>
        <v>1</v>
      </c>
      <c r="J293" s="138">
        <f>GETPIVOTDATA("Net Dwellings",Pivot!$H$407,"Ward_Name",C293)</f>
        <v>9</v>
      </c>
      <c r="K293" s="138">
        <f>GETPIVOTDATA("Sum of 2023-2033 Total",Pivot!$B$448,"Ward_Name",C293)</f>
        <v>12</v>
      </c>
      <c r="L293" s="139">
        <f t="shared" si="20"/>
        <v>61</v>
      </c>
      <c r="M293" s="60"/>
      <c r="N293" s="60"/>
      <c r="O293" s="60"/>
      <c r="P293" s="60"/>
      <c r="S293" s="79"/>
    </row>
    <row r="294" spans="2:19" x14ac:dyDescent="0.2">
      <c r="B294" s="49"/>
      <c r="C294" s="409" t="s">
        <v>1406</v>
      </c>
      <c r="D294" s="410"/>
      <c r="E294" s="410"/>
      <c r="F294" s="138">
        <f>GETPIVOTDATA("Net Dwellings",Pivot!$B$375,"Ward_Name",C294)</f>
        <v>0</v>
      </c>
      <c r="G294" s="138">
        <f>GETPIVOTDATA("Net Dwellings",Pivot!$E$375,"Ward_Name",C294)</f>
        <v>15</v>
      </c>
      <c r="H294" s="138">
        <f>GETPIVOTDATA("Net Dwellings",Pivot!$H$375,"Ward_Name",C294)</f>
        <v>7</v>
      </c>
      <c r="I294" s="138">
        <f>GETPIVOTDATA("Net Dwellings",Pivot!$B$407,"Ward_Name",C294)</f>
        <v>8</v>
      </c>
      <c r="J294" s="138">
        <f>GETPIVOTDATA("Net Dwellings",Pivot!$H$407,"Ward_Name",C294)</f>
        <v>7</v>
      </c>
      <c r="K294" s="138">
        <f>GETPIVOTDATA("Sum of 2023-2033 Total",Pivot!$B$448,"Ward_Name",C294)</f>
        <v>7</v>
      </c>
      <c r="L294" s="139">
        <f t="shared" si="20"/>
        <v>44</v>
      </c>
      <c r="M294" s="60"/>
      <c r="N294" s="60"/>
      <c r="O294" s="60"/>
      <c r="P294" s="60"/>
      <c r="S294" s="79"/>
    </row>
    <row r="295" spans="2:19" x14ac:dyDescent="0.2">
      <c r="B295" s="49"/>
      <c r="C295" s="409" t="s">
        <v>1561</v>
      </c>
      <c r="D295" s="410"/>
      <c r="E295" s="410"/>
      <c r="F295" s="138">
        <f>GETPIVOTDATA("Net Dwellings",Pivot!$B$375,"Ward_Name",C295)</f>
        <v>3</v>
      </c>
      <c r="G295" s="138">
        <f>GETPIVOTDATA("Net Dwellings",Pivot!$E$375,"Ward_Name",C295)</f>
        <v>213</v>
      </c>
      <c r="H295" s="138">
        <f>GETPIVOTDATA("Net Dwellings",Pivot!$H$375,"Ward_Name",C295)</f>
        <v>14</v>
      </c>
      <c r="I295" s="138">
        <f>GETPIVOTDATA("Net Dwellings",Pivot!$B$407,"Ward_Name",C295)</f>
        <v>5</v>
      </c>
      <c r="J295" s="138">
        <f>GETPIVOTDATA("Net Dwellings",Pivot!$H$407,"Ward_Name",C295)</f>
        <v>5</v>
      </c>
      <c r="K295" s="138">
        <v>0</v>
      </c>
      <c r="L295" s="139">
        <f t="shared" si="20"/>
        <v>240</v>
      </c>
      <c r="M295" s="60"/>
      <c r="N295" s="60"/>
      <c r="O295" s="60"/>
      <c r="P295" s="60"/>
      <c r="S295" s="79"/>
    </row>
    <row r="296" spans="2:19" x14ac:dyDescent="0.2">
      <c r="B296" s="49"/>
      <c r="C296" s="409" t="s">
        <v>1387</v>
      </c>
      <c r="D296" s="410"/>
      <c r="E296" s="410"/>
      <c r="F296" s="138">
        <f>GETPIVOTDATA("Net Dwellings",Pivot!$B$375,"Ward_Name",C296)</f>
        <v>1</v>
      </c>
      <c r="G296" s="138">
        <f>GETPIVOTDATA("Net Dwellings",Pivot!$E$375,"Ward_Name",C296)</f>
        <v>17</v>
      </c>
      <c r="H296" s="138">
        <f>GETPIVOTDATA("Net Dwellings",Pivot!$H$375,"Ward_Name",C296)</f>
        <v>2</v>
      </c>
      <c r="I296" s="138">
        <f>GETPIVOTDATA("Net Dwellings",Pivot!$B$407,"Ward_Name",C296)</f>
        <v>4</v>
      </c>
      <c r="J296" s="138">
        <f>GETPIVOTDATA("Net Dwellings",Pivot!$H$407,"Ward_Name",C296)</f>
        <v>20</v>
      </c>
      <c r="K296" s="138">
        <f>GETPIVOTDATA("Sum of 2023-2033 Total",Pivot!$B$448,"Ward_Name",C296)</f>
        <v>40</v>
      </c>
      <c r="L296" s="139">
        <f t="shared" si="20"/>
        <v>84</v>
      </c>
      <c r="M296" s="60"/>
      <c r="N296" s="60"/>
      <c r="O296" s="60"/>
      <c r="P296" s="60"/>
      <c r="S296" s="79"/>
    </row>
    <row r="297" spans="2:19" x14ac:dyDescent="0.2">
      <c r="B297" s="49"/>
      <c r="C297" s="409" t="s">
        <v>1407</v>
      </c>
      <c r="D297" s="410"/>
      <c r="E297" s="410"/>
      <c r="F297" s="138">
        <f>GETPIVOTDATA("Net Dwellings",Pivot!$B$375,"Ward_Name",C297)</f>
        <v>3</v>
      </c>
      <c r="G297" s="138">
        <f>GETPIVOTDATA("Net Dwellings",Pivot!$E$375,"Ward_Name",C297)</f>
        <v>104</v>
      </c>
      <c r="H297" s="138">
        <f>GETPIVOTDATA("Net Dwellings",Pivot!$H$375,"Ward_Name",C297)</f>
        <v>6</v>
      </c>
      <c r="I297" s="138">
        <f>GETPIVOTDATA("Net Dwellings",Pivot!$B$407,"Ward_Name",C297)</f>
        <v>5</v>
      </c>
      <c r="J297" s="138">
        <f>GETPIVOTDATA("Net Dwellings",Pivot!$H$407,"Ward_Name",C297)</f>
        <v>3</v>
      </c>
      <c r="K297" s="138">
        <f>GETPIVOTDATA("Sum of 2023-2033 Total",Pivot!$B$448,"Ward_Name",C297)</f>
        <v>20</v>
      </c>
      <c r="L297" s="139">
        <f t="shared" si="20"/>
        <v>141</v>
      </c>
      <c r="M297" s="60"/>
      <c r="N297" s="60"/>
      <c r="O297" s="60"/>
      <c r="P297" s="60"/>
      <c r="S297" s="79"/>
    </row>
    <row r="298" spans="2:19" x14ac:dyDescent="0.2">
      <c r="B298" s="49"/>
      <c r="C298" s="409" t="s">
        <v>1408</v>
      </c>
      <c r="D298" s="410"/>
      <c r="E298" s="410"/>
      <c r="F298" s="138">
        <f>GETPIVOTDATA("Net Dwellings",Pivot!$B$375,"Ward_Name",C298)</f>
        <v>1</v>
      </c>
      <c r="G298" s="138">
        <f>GETPIVOTDATA("Net Dwellings",Pivot!$E$375,"Ward_Name",C298)</f>
        <v>3</v>
      </c>
      <c r="H298" s="138">
        <f>GETPIVOTDATA("Net Dwellings",Pivot!$H$375,"Ward_Name",C298)</f>
        <v>1</v>
      </c>
      <c r="I298" s="138">
        <f>GETPIVOTDATA("Net Dwellings",Pivot!$B$407,"Ward_Name",C298)</f>
        <v>-4</v>
      </c>
      <c r="J298" s="138">
        <v>0</v>
      </c>
      <c r="K298" s="138">
        <v>0</v>
      </c>
      <c r="L298" s="139">
        <f t="shared" si="20"/>
        <v>1</v>
      </c>
      <c r="M298" s="60"/>
      <c r="N298" s="60"/>
      <c r="O298" s="60"/>
      <c r="P298" s="60"/>
      <c r="S298" s="79"/>
    </row>
    <row r="299" spans="2:19" x14ac:dyDescent="0.2">
      <c r="B299" s="49"/>
      <c r="C299" s="409" t="s">
        <v>1391</v>
      </c>
      <c r="D299" s="410"/>
      <c r="E299" s="410"/>
      <c r="F299" s="138">
        <f>GETPIVOTDATA("Net Dwellings",Pivot!$B$375,"Ward_Name",C299)</f>
        <v>-5</v>
      </c>
      <c r="G299" s="138">
        <f>GETPIVOTDATA("Net Dwellings",Pivot!$E$375,"Ward_Name",C299)</f>
        <v>12</v>
      </c>
      <c r="H299" s="138">
        <f>GETPIVOTDATA("Net Dwellings",Pivot!$H$375,"Ward_Name",C299)</f>
        <v>2</v>
      </c>
      <c r="I299" s="138">
        <v>0</v>
      </c>
      <c r="J299" s="138">
        <v>0</v>
      </c>
      <c r="K299" s="138">
        <f>GETPIVOTDATA("Sum of 2023-2033 Total",Pivot!$B$448,"Ward_Name",C299)</f>
        <v>20</v>
      </c>
      <c r="L299" s="139">
        <f t="shared" si="20"/>
        <v>29</v>
      </c>
      <c r="M299" s="60"/>
      <c r="N299" s="60"/>
      <c r="O299" s="60"/>
      <c r="P299" s="60"/>
      <c r="S299" s="79"/>
    </row>
    <row r="300" spans="2:19" x14ac:dyDescent="0.2">
      <c r="B300" s="49"/>
      <c r="C300" s="416" t="s">
        <v>1762</v>
      </c>
      <c r="D300" s="417"/>
      <c r="E300" s="417"/>
      <c r="F300" s="138">
        <v>0</v>
      </c>
      <c r="G300" s="138">
        <v>0</v>
      </c>
      <c r="H300" s="138">
        <v>0</v>
      </c>
      <c r="I300" s="138">
        <v>0</v>
      </c>
      <c r="J300" s="138">
        <v>0</v>
      </c>
      <c r="K300" s="138">
        <f>GETPIVOTDATA("Sum of 2023-2033 Total",Pivot!$B$448,"Ward_Name","N/A")</f>
        <v>2056</v>
      </c>
      <c r="L300" s="139">
        <f t="shared" si="20"/>
        <v>2056</v>
      </c>
      <c r="M300" s="60"/>
      <c r="N300" s="60"/>
      <c r="O300" s="60"/>
      <c r="P300" s="60"/>
      <c r="S300" s="79"/>
    </row>
    <row r="301" spans="2:19" x14ac:dyDescent="0.2">
      <c r="B301" s="49"/>
      <c r="C301" s="418" t="s">
        <v>1284</v>
      </c>
      <c r="D301" s="419"/>
      <c r="E301" s="419"/>
      <c r="F301" s="140">
        <f t="shared" ref="F301" si="21">SUM(F282:F300)</f>
        <v>140</v>
      </c>
      <c r="G301" s="140">
        <f t="shared" ref="G301:I301" si="22">SUM(G282:G300)</f>
        <v>875</v>
      </c>
      <c r="H301" s="140">
        <f t="shared" si="22"/>
        <v>169</v>
      </c>
      <c r="I301" s="140">
        <f t="shared" si="22"/>
        <v>42</v>
      </c>
      <c r="J301" s="140">
        <f>SUM(J282:J300)</f>
        <v>111</v>
      </c>
      <c r="K301" s="140">
        <f>SUM(K282:K300)</f>
        <v>3440</v>
      </c>
      <c r="L301" s="140">
        <f>SUM(L282:L300)</f>
        <v>4777</v>
      </c>
      <c r="M301" s="60"/>
      <c r="N301" s="60"/>
      <c r="O301" s="60"/>
      <c r="P301" s="60"/>
      <c r="S301" s="79"/>
    </row>
    <row r="302" spans="2:19" x14ac:dyDescent="0.2">
      <c r="B302" s="64"/>
      <c r="C302" s="82"/>
      <c r="D302" s="82"/>
      <c r="E302" s="82"/>
      <c r="F302" s="82"/>
      <c r="G302" s="82"/>
      <c r="H302" s="82"/>
      <c r="I302" s="82"/>
      <c r="J302" s="82"/>
      <c r="K302" s="82"/>
      <c r="L302" s="82"/>
      <c r="M302" s="17"/>
      <c r="N302" s="17"/>
      <c r="O302" s="17"/>
      <c r="P302" s="17"/>
      <c r="Q302" s="17"/>
      <c r="R302" s="82"/>
      <c r="S302" s="83"/>
    </row>
    <row r="309" ht="12.75" customHeight="1" x14ac:dyDescent="0.2"/>
  </sheetData>
  <mergeCells count="249">
    <mergeCell ref="Q33:R33"/>
    <mergeCell ref="K34:P34"/>
    <mergeCell ref="Q34:R34"/>
    <mergeCell ref="K35:P35"/>
    <mergeCell ref="Q35:R35"/>
    <mergeCell ref="K36:P36"/>
    <mergeCell ref="Q36:R36"/>
    <mergeCell ref="K28:P28"/>
    <mergeCell ref="Q28:R28"/>
    <mergeCell ref="K29:P29"/>
    <mergeCell ref="Q29:R29"/>
    <mergeCell ref="K30:P30"/>
    <mergeCell ref="Q30:R30"/>
    <mergeCell ref="K31:P31"/>
    <mergeCell ref="Q31:R31"/>
    <mergeCell ref="K32:P32"/>
    <mergeCell ref="Q32:R32"/>
    <mergeCell ref="C298:E298"/>
    <mergeCell ref="C299:E299"/>
    <mergeCell ref="C300:E300"/>
    <mergeCell ref="C301:E301"/>
    <mergeCell ref="C292:E292"/>
    <mergeCell ref="C293:E293"/>
    <mergeCell ref="C294:E294"/>
    <mergeCell ref="C295:E295"/>
    <mergeCell ref="C296:E296"/>
    <mergeCell ref="C297:E297"/>
    <mergeCell ref="C286:E286"/>
    <mergeCell ref="C287:E287"/>
    <mergeCell ref="C288:E288"/>
    <mergeCell ref="C289:E289"/>
    <mergeCell ref="C290:E290"/>
    <mergeCell ref="C291:E291"/>
    <mergeCell ref="C280:L280"/>
    <mergeCell ref="C281:E281"/>
    <mergeCell ref="C282:E282"/>
    <mergeCell ref="C283:E283"/>
    <mergeCell ref="C284:E284"/>
    <mergeCell ref="C285:E285"/>
    <mergeCell ref="C262:D262"/>
    <mergeCell ref="C263:D264"/>
    <mergeCell ref="C265:D266"/>
    <mergeCell ref="C267:D268"/>
    <mergeCell ref="C269:D270"/>
    <mergeCell ref="C271:D272"/>
    <mergeCell ref="C247:D247"/>
    <mergeCell ref="C248:D249"/>
    <mergeCell ref="C250:D251"/>
    <mergeCell ref="C252:D253"/>
    <mergeCell ref="C254:D255"/>
    <mergeCell ref="C256:D257"/>
    <mergeCell ref="C226:E226"/>
    <mergeCell ref="C235:D235"/>
    <mergeCell ref="C236:D237"/>
    <mergeCell ref="C238:D239"/>
    <mergeCell ref="C240:D241"/>
    <mergeCell ref="C242:D243"/>
    <mergeCell ref="C220:E220"/>
    <mergeCell ref="C221:E221"/>
    <mergeCell ref="C222:E222"/>
    <mergeCell ref="C223:E223"/>
    <mergeCell ref="C224:E224"/>
    <mergeCell ref="C225:E225"/>
    <mergeCell ref="C214:E214"/>
    <mergeCell ref="C215:E215"/>
    <mergeCell ref="C216:E216"/>
    <mergeCell ref="C217:E217"/>
    <mergeCell ref="C218:E218"/>
    <mergeCell ref="C219:E219"/>
    <mergeCell ref="C208:E208"/>
    <mergeCell ref="C209:E209"/>
    <mergeCell ref="C210:E210"/>
    <mergeCell ref="C211:E211"/>
    <mergeCell ref="C212:E212"/>
    <mergeCell ref="C213:E213"/>
    <mergeCell ref="C196:E196"/>
    <mergeCell ref="C197:E197"/>
    <mergeCell ref="C198:E198"/>
    <mergeCell ref="C199:E199"/>
    <mergeCell ref="C200:E200"/>
    <mergeCell ref="C207:E207"/>
    <mergeCell ref="C190:E190"/>
    <mergeCell ref="C191:E191"/>
    <mergeCell ref="C192:E192"/>
    <mergeCell ref="C193:E193"/>
    <mergeCell ref="C194:E194"/>
    <mergeCell ref="C195:E195"/>
    <mergeCell ref="C184:E184"/>
    <mergeCell ref="C185:E185"/>
    <mergeCell ref="C186:E186"/>
    <mergeCell ref="C187:E187"/>
    <mergeCell ref="C188:E188"/>
    <mergeCell ref="C189:E189"/>
    <mergeCell ref="C176:D176"/>
    <mergeCell ref="I176:J176"/>
    <mergeCell ref="I177:J177"/>
    <mergeCell ref="C181:E181"/>
    <mergeCell ref="C182:E182"/>
    <mergeCell ref="C183:E183"/>
    <mergeCell ref="C173:D173"/>
    <mergeCell ref="I173:J173"/>
    <mergeCell ref="C174:D174"/>
    <mergeCell ref="I174:J174"/>
    <mergeCell ref="C175:D175"/>
    <mergeCell ref="I175:J175"/>
    <mergeCell ref="C170:D170"/>
    <mergeCell ref="I170:J170"/>
    <mergeCell ref="C171:D171"/>
    <mergeCell ref="I171:J171"/>
    <mergeCell ref="C172:D172"/>
    <mergeCell ref="I172:J172"/>
    <mergeCell ref="C122:D122"/>
    <mergeCell ref="E122:F122"/>
    <mergeCell ref="G122:H122"/>
    <mergeCell ref="I122:J122"/>
    <mergeCell ref="K122:L122"/>
    <mergeCell ref="M122:N122"/>
    <mergeCell ref="C121:D121"/>
    <mergeCell ref="E121:F121"/>
    <mergeCell ref="G121:H121"/>
    <mergeCell ref="I121:J121"/>
    <mergeCell ref="K121:L121"/>
    <mergeCell ref="M121:N121"/>
    <mergeCell ref="C120:D120"/>
    <mergeCell ref="E120:F120"/>
    <mergeCell ref="G120:H120"/>
    <mergeCell ref="I120:J120"/>
    <mergeCell ref="K120:L120"/>
    <mergeCell ref="M120:N120"/>
    <mergeCell ref="C119:D119"/>
    <mergeCell ref="E119:F119"/>
    <mergeCell ref="G119:H119"/>
    <mergeCell ref="I119:J119"/>
    <mergeCell ref="K119:L119"/>
    <mergeCell ref="M119:N119"/>
    <mergeCell ref="K116:L116"/>
    <mergeCell ref="M116:N116"/>
    <mergeCell ref="C115:D115"/>
    <mergeCell ref="E115:F115"/>
    <mergeCell ref="G115:H115"/>
    <mergeCell ref="I115:J115"/>
    <mergeCell ref="K115:L115"/>
    <mergeCell ref="M115:N115"/>
    <mergeCell ref="C118:D118"/>
    <mergeCell ref="E118:F118"/>
    <mergeCell ref="G118:H118"/>
    <mergeCell ref="I118:J118"/>
    <mergeCell ref="K118:L118"/>
    <mergeCell ref="M118:N118"/>
    <mergeCell ref="C117:D117"/>
    <mergeCell ref="E117:F117"/>
    <mergeCell ref="G117:H117"/>
    <mergeCell ref="I117:J117"/>
    <mergeCell ref="K117:L117"/>
    <mergeCell ref="M117:N117"/>
    <mergeCell ref="I102:J102"/>
    <mergeCell ref="C101:D101"/>
    <mergeCell ref="E101:F101"/>
    <mergeCell ref="G101:H101"/>
    <mergeCell ref="C102:D102"/>
    <mergeCell ref="E102:F102"/>
    <mergeCell ref="G102:H102"/>
    <mergeCell ref="C116:D116"/>
    <mergeCell ref="E116:F116"/>
    <mergeCell ref="G116:H116"/>
    <mergeCell ref="I116:J116"/>
    <mergeCell ref="M113:N113"/>
    <mergeCell ref="C114:D114"/>
    <mergeCell ref="E114:F114"/>
    <mergeCell ref="G114:H114"/>
    <mergeCell ref="I114:J114"/>
    <mergeCell ref="K114:L114"/>
    <mergeCell ref="M114:N114"/>
    <mergeCell ref="C113:D113"/>
    <mergeCell ref="E113:F113"/>
    <mergeCell ref="G113:H113"/>
    <mergeCell ref="I113:J113"/>
    <mergeCell ref="K113:L113"/>
    <mergeCell ref="Y82:Z82"/>
    <mergeCell ref="AA82:AB82"/>
    <mergeCell ref="C71:C72"/>
    <mergeCell ref="D71:E71"/>
    <mergeCell ref="F71:G71"/>
    <mergeCell ref="H71:H72"/>
    <mergeCell ref="V82:V83"/>
    <mergeCell ref="W82:X82"/>
    <mergeCell ref="C96:D96"/>
    <mergeCell ref="E96:F96"/>
    <mergeCell ref="G96:H96"/>
    <mergeCell ref="H33:I33"/>
    <mergeCell ref="H35:I35"/>
    <mergeCell ref="H34:I34"/>
    <mergeCell ref="C33:G33"/>
    <mergeCell ref="C34:G34"/>
    <mergeCell ref="C35:G35"/>
    <mergeCell ref="K33:P33"/>
    <mergeCell ref="C100:D100"/>
    <mergeCell ref="E100:F100"/>
    <mergeCell ref="G100:H100"/>
    <mergeCell ref="C98:D98"/>
    <mergeCell ref="E98:F98"/>
    <mergeCell ref="G98:H98"/>
    <mergeCell ref="C99:D99"/>
    <mergeCell ref="E99:F99"/>
    <mergeCell ref="G99:H99"/>
    <mergeCell ref="C97:D97"/>
    <mergeCell ref="E97:F97"/>
    <mergeCell ref="G97:H97"/>
    <mergeCell ref="H32:I32"/>
    <mergeCell ref="H29:I29"/>
    <mergeCell ref="H30:I30"/>
    <mergeCell ref="D24:J24"/>
    <mergeCell ref="C28:G28"/>
    <mergeCell ref="C29:G29"/>
    <mergeCell ref="C30:G30"/>
    <mergeCell ref="C31:G31"/>
    <mergeCell ref="C32:G32"/>
    <mergeCell ref="C27:G27"/>
    <mergeCell ref="H28:I28"/>
    <mergeCell ref="D21:J21"/>
    <mergeCell ref="K21:L21"/>
    <mergeCell ref="D22:J22"/>
    <mergeCell ref="K22:L22"/>
    <mergeCell ref="D23:J23"/>
    <mergeCell ref="K23:L23"/>
    <mergeCell ref="K27:P27"/>
    <mergeCell ref="H31:I31"/>
    <mergeCell ref="Q27:R27"/>
    <mergeCell ref="K24:L24"/>
    <mergeCell ref="H27:I27"/>
    <mergeCell ref="D20:J20"/>
    <mergeCell ref="K20:L20"/>
    <mergeCell ref="C13:M13"/>
    <mergeCell ref="D14:L14"/>
    <mergeCell ref="D15:L15"/>
    <mergeCell ref="D16:J16"/>
    <mergeCell ref="K16:L16"/>
    <mergeCell ref="D17:J17"/>
    <mergeCell ref="K17:L17"/>
    <mergeCell ref="B2:S3"/>
    <mergeCell ref="G6:G7"/>
    <mergeCell ref="H6:I6"/>
    <mergeCell ref="J6:J7"/>
    <mergeCell ref="D18:J18"/>
    <mergeCell ref="K18:L18"/>
    <mergeCell ref="D19:J19"/>
    <mergeCell ref="K19:L19"/>
    <mergeCell ref="C6:F7"/>
    <mergeCell ref="C8:F8"/>
  </mergeCells>
  <printOptions horizontalCentered="1"/>
  <pageMargins left="0.23622047244094491" right="0.23622047244094491" top="0.35433070866141736" bottom="0.39370078740157483" header="0.31496062992125984" footer="0.31496062992125984"/>
  <pageSetup paperSize="9" scale="74" fitToHeight="0" orientation="landscape" r:id="rId1"/>
  <headerFooter alignWithMargins="0"/>
  <rowBreaks count="7" manualBreakCount="7">
    <brk id="39" min="1" max="18" man="1"/>
    <brk id="66" min="1" max="18" man="1"/>
    <brk id="110" min="1" max="18" man="1"/>
    <brk id="162" min="1" max="18" man="1"/>
    <brk id="203" min="1" max="18" man="1"/>
    <brk id="230" min="1" max="18" man="1"/>
    <brk id="275" min="1" max="18" man="1"/>
  </rowBreaks>
  <ignoredErrors>
    <ignoredError sqref="E47:E62" formulaRange="1"/>
    <ignoredError sqref="E91 E237:J242 E250:I256 E265:I271 G9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05F4-4E4F-43FB-9E4B-7D22AF71F714}">
  <sheetPr>
    <pageSetUpPr fitToPage="1"/>
  </sheetPr>
  <dimension ref="B1:AC18"/>
  <sheetViews>
    <sheetView zoomScaleNormal="100" zoomScaleSheetLayoutView="85" workbookViewId="0">
      <selection activeCell="B2" sqref="B2:Z2"/>
    </sheetView>
  </sheetViews>
  <sheetFormatPr defaultColWidth="9.140625" defaultRowHeight="12" x14ac:dyDescent="0.2"/>
  <cols>
    <col min="1" max="1" width="5.7109375" style="158" customWidth="1"/>
    <col min="2" max="2" width="12.28515625" style="158" bestFit="1" customWidth="1"/>
    <col min="3" max="3" width="36.85546875" style="157" customWidth="1"/>
    <col min="4" max="20" width="6.5703125" style="158" bestFit="1" customWidth="1"/>
    <col min="21" max="26" width="6.5703125" style="158" customWidth="1"/>
    <col min="27" max="16384" width="9.140625" style="158"/>
  </cols>
  <sheetData>
    <row r="1" spans="2:29" ht="23.25" customHeight="1" x14ac:dyDescent="0.2"/>
    <row r="2" spans="2:29" s="2" customFormat="1" ht="50.1" customHeight="1" x14ac:dyDescent="0.2">
      <c r="B2" s="428" t="s">
        <v>1525</v>
      </c>
      <c r="C2" s="429"/>
      <c r="D2" s="429"/>
      <c r="E2" s="429"/>
      <c r="F2" s="429"/>
      <c r="G2" s="429"/>
      <c r="H2" s="429"/>
      <c r="I2" s="429"/>
      <c r="J2" s="429"/>
      <c r="K2" s="429"/>
      <c r="L2" s="429"/>
      <c r="M2" s="429"/>
      <c r="N2" s="429"/>
      <c r="O2" s="429"/>
      <c r="P2" s="429"/>
      <c r="Q2" s="429"/>
      <c r="R2" s="429"/>
      <c r="S2" s="429"/>
      <c r="T2" s="429"/>
      <c r="U2" s="429"/>
      <c r="V2" s="429"/>
      <c r="W2" s="429"/>
      <c r="X2" s="429"/>
      <c r="Y2" s="429"/>
      <c r="Z2" s="430"/>
    </row>
    <row r="3" spans="2:29" x14ac:dyDescent="0.2">
      <c r="B3" s="156"/>
    </row>
    <row r="4" spans="2:29" ht="20.100000000000001" customHeight="1" x14ac:dyDescent="0.2">
      <c r="B4" s="440" t="s">
        <v>1578</v>
      </c>
      <c r="C4" s="441"/>
      <c r="D4" s="441"/>
      <c r="E4" s="441"/>
      <c r="F4" s="441"/>
      <c r="G4" s="441"/>
      <c r="H4" s="441"/>
      <c r="I4" s="441"/>
      <c r="J4" s="441"/>
      <c r="K4" s="441"/>
      <c r="L4" s="441"/>
      <c r="M4" s="441"/>
      <c r="N4" s="441"/>
      <c r="O4" s="441"/>
      <c r="P4" s="441"/>
      <c r="Q4" s="441"/>
      <c r="R4" s="441"/>
      <c r="S4" s="441"/>
      <c r="T4" s="441"/>
      <c r="U4" s="441"/>
      <c r="V4" s="441"/>
      <c r="W4" s="441"/>
      <c r="X4" s="441"/>
      <c r="Y4" s="441"/>
      <c r="Z4" s="442"/>
    </row>
    <row r="5" spans="2:29" ht="12.75" customHeight="1" x14ac:dyDescent="0.2">
      <c r="B5" s="431" t="s">
        <v>1579</v>
      </c>
      <c r="C5" s="432"/>
      <c r="D5" s="433" t="s">
        <v>1580</v>
      </c>
      <c r="E5" s="434"/>
      <c r="F5" s="434"/>
      <c r="G5" s="434"/>
      <c r="H5" s="434"/>
      <c r="I5" s="435" t="s">
        <v>1645</v>
      </c>
      <c r="J5" s="436"/>
      <c r="K5" s="436"/>
      <c r="L5" s="436"/>
      <c r="M5" s="436"/>
      <c r="N5" s="436"/>
      <c r="O5" s="436"/>
      <c r="P5" s="436"/>
      <c r="Q5" s="436"/>
      <c r="R5" s="437"/>
      <c r="S5" s="211"/>
      <c r="T5" s="215"/>
      <c r="U5" s="215"/>
      <c r="V5" s="215"/>
      <c r="W5" s="215"/>
      <c r="X5" s="215"/>
      <c r="Y5" s="215"/>
      <c r="Z5" s="216"/>
    </row>
    <row r="6" spans="2:29" ht="12" customHeight="1" x14ac:dyDescent="0.2">
      <c r="B6" s="438" t="s">
        <v>1589</v>
      </c>
      <c r="C6" s="439"/>
      <c r="D6" s="195">
        <v>10</v>
      </c>
      <c r="E6" s="160">
        <f>D6-1</f>
        <v>9</v>
      </c>
      <c r="F6" s="160">
        <f t="shared" ref="F6:R6" si="0">E6-1</f>
        <v>8</v>
      </c>
      <c r="G6" s="160">
        <f t="shared" si="0"/>
        <v>7</v>
      </c>
      <c r="H6" s="161">
        <f t="shared" si="0"/>
        <v>6</v>
      </c>
      <c r="I6" s="195">
        <v>10</v>
      </c>
      <c r="J6" s="160">
        <v>9</v>
      </c>
      <c r="K6" s="159">
        <f t="shared" si="0"/>
        <v>8</v>
      </c>
      <c r="L6" s="159">
        <f t="shared" si="0"/>
        <v>7</v>
      </c>
      <c r="M6" s="159">
        <f t="shared" si="0"/>
        <v>6</v>
      </c>
      <c r="N6" s="159">
        <f t="shared" si="0"/>
        <v>5</v>
      </c>
      <c r="O6" s="159">
        <f t="shared" si="0"/>
        <v>4</v>
      </c>
      <c r="P6" s="159">
        <f t="shared" si="0"/>
        <v>3</v>
      </c>
      <c r="Q6" s="159">
        <f t="shared" si="0"/>
        <v>2</v>
      </c>
      <c r="R6" s="187">
        <f t="shared" si="0"/>
        <v>1</v>
      </c>
      <c r="S6" s="159"/>
      <c r="T6" s="159"/>
      <c r="U6" s="159"/>
      <c r="V6" s="159"/>
      <c r="W6" s="159"/>
      <c r="X6" s="159"/>
      <c r="Y6" s="159"/>
      <c r="Z6" s="187"/>
      <c r="AA6" s="162"/>
      <c r="AB6" s="163"/>
      <c r="AC6" s="163"/>
    </row>
    <row r="7" spans="2:29" ht="12.75" customHeight="1" x14ac:dyDescent="0.2">
      <c r="B7" s="191"/>
      <c r="C7" s="192"/>
      <c r="D7" s="193"/>
      <c r="E7" s="194"/>
      <c r="F7" s="194"/>
      <c r="G7" s="194"/>
      <c r="H7" s="194"/>
      <c r="I7" s="194"/>
      <c r="J7" s="194"/>
      <c r="K7" s="425" t="s">
        <v>1761</v>
      </c>
      <c r="L7" s="426"/>
      <c r="M7" s="426"/>
      <c r="N7" s="426"/>
      <c r="O7" s="426"/>
      <c r="P7" s="426"/>
      <c r="Q7" s="426"/>
      <c r="R7" s="426"/>
      <c r="S7" s="426"/>
      <c r="T7" s="427"/>
      <c r="U7" s="219"/>
      <c r="V7" s="219"/>
      <c r="W7" s="219"/>
      <c r="X7" s="219"/>
      <c r="Y7" s="219"/>
      <c r="Z7" s="220"/>
    </row>
    <row r="8" spans="2:29" ht="12.75" customHeight="1" x14ac:dyDescent="0.2">
      <c r="B8" s="191"/>
      <c r="C8" s="192"/>
      <c r="D8" s="193"/>
      <c r="E8" s="194"/>
      <c r="F8" s="194"/>
      <c r="G8" s="194"/>
      <c r="H8" s="194"/>
      <c r="I8" s="194"/>
      <c r="J8" s="194"/>
      <c r="K8" s="195">
        <v>10</v>
      </c>
      <c r="L8" s="159">
        <v>9</v>
      </c>
      <c r="M8" s="159">
        <f t="shared" ref="M8:T8" si="1">L8-1</f>
        <v>8</v>
      </c>
      <c r="N8" s="159">
        <f t="shared" si="1"/>
        <v>7</v>
      </c>
      <c r="O8" s="159">
        <f t="shared" si="1"/>
        <v>6</v>
      </c>
      <c r="P8" s="159">
        <f t="shared" si="1"/>
        <v>5</v>
      </c>
      <c r="Q8" s="159">
        <f t="shared" si="1"/>
        <v>4</v>
      </c>
      <c r="R8" s="159">
        <f t="shared" si="1"/>
        <v>3</v>
      </c>
      <c r="S8" s="159">
        <f t="shared" si="1"/>
        <v>2</v>
      </c>
      <c r="T8" s="187">
        <f t="shared" si="1"/>
        <v>1</v>
      </c>
      <c r="U8" s="212"/>
      <c r="V8" s="212"/>
      <c r="W8" s="212"/>
      <c r="X8" s="212"/>
      <c r="Y8" s="212"/>
      <c r="Z8" s="217"/>
    </row>
    <row r="9" spans="2:29" ht="12.75" customHeight="1" x14ac:dyDescent="0.2">
      <c r="B9" s="191"/>
      <c r="C9" s="192"/>
      <c r="D9" s="193"/>
      <c r="E9" s="194"/>
      <c r="F9" s="194"/>
      <c r="G9" s="194"/>
      <c r="H9" s="194"/>
      <c r="I9" s="194"/>
      <c r="J9" s="194"/>
      <c r="K9" s="218"/>
      <c r="L9" s="425" t="s">
        <v>1633</v>
      </c>
      <c r="M9" s="426"/>
      <c r="N9" s="426"/>
      <c r="O9" s="426"/>
      <c r="P9" s="426"/>
      <c r="Q9" s="426"/>
      <c r="R9" s="426"/>
      <c r="S9" s="426"/>
      <c r="T9" s="426"/>
      <c r="U9" s="426"/>
      <c r="V9" s="426"/>
      <c r="W9" s="426"/>
      <c r="X9" s="426"/>
      <c r="Y9" s="426"/>
      <c r="Z9" s="427"/>
    </row>
    <row r="10" spans="2:29" ht="12.75" customHeight="1" x14ac:dyDescent="0.2">
      <c r="B10" s="191"/>
      <c r="C10" s="192"/>
      <c r="D10" s="193"/>
      <c r="E10" s="194"/>
      <c r="F10" s="194"/>
      <c r="G10" s="194"/>
      <c r="H10" s="194"/>
      <c r="I10" s="194"/>
      <c r="J10" s="213"/>
      <c r="K10" s="212"/>
      <c r="L10" s="195">
        <v>15</v>
      </c>
      <c r="M10" s="160">
        <v>14</v>
      </c>
      <c r="N10" s="160">
        <v>13</v>
      </c>
      <c r="O10" s="160">
        <f t="shared" ref="O10" si="2">N10-1</f>
        <v>12</v>
      </c>
      <c r="P10" s="160">
        <f t="shared" ref="P10" si="3">O10-1</f>
        <v>11</v>
      </c>
      <c r="Q10" s="160">
        <f t="shared" ref="Q10" si="4">P10-1</f>
        <v>10</v>
      </c>
      <c r="R10" s="160">
        <f t="shared" ref="R10" si="5">Q10-1</f>
        <v>9</v>
      </c>
      <c r="S10" s="160">
        <f t="shared" ref="S10" si="6">R10-1</f>
        <v>8</v>
      </c>
      <c r="T10" s="160">
        <f t="shared" ref="T10" si="7">S10-1</f>
        <v>7</v>
      </c>
      <c r="U10" s="160">
        <f t="shared" ref="U10:V10" si="8">T10-1</f>
        <v>6</v>
      </c>
      <c r="V10" s="160">
        <f t="shared" si="8"/>
        <v>5</v>
      </c>
      <c r="W10" s="160">
        <f t="shared" ref="W10" si="9">V10-1</f>
        <v>4</v>
      </c>
      <c r="X10" s="160">
        <f t="shared" ref="X10" si="10">W10-1</f>
        <v>3</v>
      </c>
      <c r="Y10" s="160">
        <f t="shared" ref="Y10" si="11">X10-1</f>
        <v>2</v>
      </c>
      <c r="Z10" s="161">
        <f t="shared" ref="Z10" si="12">Y10-1</f>
        <v>1</v>
      </c>
    </row>
    <row r="11" spans="2:29" x14ac:dyDescent="0.2">
      <c r="B11" s="420" t="s">
        <v>1325</v>
      </c>
      <c r="C11" s="421"/>
      <c r="D11" s="196" t="s">
        <v>1342</v>
      </c>
      <c r="E11" s="197" t="s">
        <v>1343</v>
      </c>
      <c r="F11" s="197" t="s">
        <v>1344</v>
      </c>
      <c r="G11" s="197" t="s">
        <v>1345</v>
      </c>
      <c r="H11" s="197" t="s">
        <v>1346</v>
      </c>
      <c r="I11" s="197" t="s">
        <v>1286</v>
      </c>
      <c r="J11" s="197" t="s">
        <v>1523</v>
      </c>
      <c r="K11" s="197" t="s">
        <v>1581</v>
      </c>
      <c r="L11" s="197" t="s">
        <v>1582</v>
      </c>
      <c r="M11" s="197" t="s">
        <v>1583</v>
      </c>
      <c r="N11" s="197" t="s">
        <v>1584</v>
      </c>
      <c r="O11" s="197" t="s">
        <v>1585</v>
      </c>
      <c r="P11" s="197" t="s">
        <v>1586</v>
      </c>
      <c r="Q11" s="197" t="s">
        <v>1587</v>
      </c>
      <c r="R11" s="197" t="s">
        <v>1588</v>
      </c>
      <c r="S11" s="197" t="s">
        <v>1631</v>
      </c>
      <c r="T11" s="198" t="s">
        <v>1632</v>
      </c>
      <c r="U11" s="196" t="s">
        <v>1654</v>
      </c>
      <c r="V11" s="196" t="s">
        <v>1655</v>
      </c>
      <c r="W11" s="196" t="s">
        <v>1656</v>
      </c>
      <c r="X11" s="196" t="s">
        <v>1657</v>
      </c>
      <c r="Y11" s="196" t="s">
        <v>1658</v>
      </c>
      <c r="Z11" s="242" t="s">
        <v>1659</v>
      </c>
    </row>
    <row r="12" spans="2:29" ht="23.1" customHeight="1" x14ac:dyDescent="0.2">
      <c r="B12" s="422" t="s">
        <v>1326</v>
      </c>
      <c r="C12" s="164" t="s">
        <v>1590</v>
      </c>
      <c r="D12" s="165">
        <v>460</v>
      </c>
      <c r="E12" s="165">
        <v>382</v>
      </c>
      <c r="F12" s="165">
        <v>419</v>
      </c>
      <c r="G12" s="165">
        <v>331</v>
      </c>
      <c r="H12" s="166">
        <v>206</v>
      </c>
      <c r="I12" s="167">
        <v>164</v>
      </c>
      <c r="J12" s="167">
        <f>'Summary Tables'!I8</f>
        <v>141</v>
      </c>
      <c r="K12" s="186"/>
      <c r="L12" s="186"/>
      <c r="M12" s="186"/>
      <c r="N12" s="186"/>
      <c r="O12" s="186"/>
      <c r="P12" s="167"/>
      <c r="Q12" s="167"/>
      <c r="R12" s="167"/>
      <c r="S12" s="199"/>
      <c r="T12" s="199"/>
      <c r="U12" s="165"/>
      <c r="V12" s="165"/>
      <c r="W12" s="165"/>
      <c r="X12" s="165"/>
      <c r="Y12" s="165"/>
      <c r="Z12" s="165"/>
    </row>
    <row r="13" spans="2:29" ht="23.1" customHeight="1" x14ac:dyDescent="0.2">
      <c r="B13" s="423"/>
      <c r="C13" s="164" t="s">
        <v>1591</v>
      </c>
      <c r="D13" s="200"/>
      <c r="E13" s="168"/>
      <c r="F13" s="169"/>
      <c r="G13" s="170"/>
      <c r="H13" s="171"/>
      <c r="I13" s="172"/>
      <c r="J13" s="184"/>
      <c r="K13" s="172">
        <f>GETPIVOTDATA("Sum of 2023/24 (1)",Pivot!$B$433)+GETPIVOTDATA("Sum of 2023/24 (1)",Pivot!$B$441)</f>
        <v>219.75</v>
      </c>
      <c r="L13" s="172">
        <f>GETPIVOTDATA("Sum of 2024/25 (2)",Pivot!$B$433)+GETPIVOTDATA("Sum of 2024/25 (2)",Pivot!$B$441)</f>
        <v>308.47222222222223</v>
      </c>
      <c r="M13" s="172">
        <f>GETPIVOTDATA("Sum of 2025/26 (3)",Pivot!$B$433)+GETPIVOTDATA("Sum of 2025/26 (3)",Pivot!$B$441)</f>
        <v>704.65</v>
      </c>
      <c r="N13" s="172">
        <f>GETPIVOTDATA("Sum of 2026/27 (4)",Pivot!$B$433)+GETPIVOTDATA("Sum of 2026/27 (4)",Pivot!$B$441)</f>
        <v>446.15</v>
      </c>
      <c r="O13" s="172">
        <f>GETPIVOTDATA("Sum of 2027/28 (5)",Pivot!$B$433)+GETPIVOTDATA("Sum of 2027/28 (5)",Pivot!$B$441)</f>
        <v>850.15</v>
      </c>
      <c r="P13" s="185">
        <f>GETPIVOTDATA("Sum of 2028/29 (6)",Pivot!$B$433)</f>
        <v>369.75</v>
      </c>
      <c r="Q13" s="172">
        <f>GETPIVOTDATA("Sum of 2029/30 (7)",Pivot!$B$433)</f>
        <v>465.25</v>
      </c>
      <c r="R13" s="172">
        <f>GETPIVOTDATA("Sum of 2030/31 (8)",Pivot!$B$433)</f>
        <v>687.25</v>
      </c>
      <c r="S13" s="172">
        <f>GETPIVOTDATA("Sum of 2031/32 (9)",Pivot!$B$433)</f>
        <v>441</v>
      </c>
      <c r="T13" s="172">
        <f>GETPIVOTDATA("Sum of 2032/33 (10)",Pivot!$B$433)</f>
        <v>441</v>
      </c>
      <c r="U13" s="173">
        <f>GETPIVOTDATA("Sum of 2033/34",Pivot!$B$469)</f>
        <v>306</v>
      </c>
      <c r="V13" s="201">
        <f>GETPIVOTDATA("Sum of 2034/35",Pivot!$B$469)</f>
        <v>306</v>
      </c>
      <c r="W13" s="165">
        <f>GETPIVOTDATA("Sum of 2035/36",Pivot!$B$469)</f>
        <v>306</v>
      </c>
      <c r="X13" s="165">
        <f>GETPIVOTDATA("Sum of 2036/37",Pivot!$B$469)</f>
        <v>306</v>
      </c>
      <c r="Y13" s="165">
        <f>GETPIVOTDATA("Sum of 2037/38",Pivot!$B$469)</f>
        <v>306</v>
      </c>
      <c r="Z13" s="165">
        <f>GETPIVOTDATA("Sum of 2038/39",Pivot!$B$469)</f>
        <v>306</v>
      </c>
    </row>
    <row r="14" spans="2:29" ht="23.1" customHeight="1" x14ac:dyDescent="0.2">
      <c r="B14" s="424"/>
      <c r="C14" s="164" t="s">
        <v>1592</v>
      </c>
      <c r="D14" s="173">
        <f>D12</f>
        <v>460</v>
      </c>
      <c r="E14" s="173">
        <f>D14+E12</f>
        <v>842</v>
      </c>
      <c r="F14" s="173">
        <f>E14+F12</f>
        <v>1261</v>
      </c>
      <c r="G14" s="173">
        <f>F14+G12</f>
        <v>1592</v>
      </c>
      <c r="H14" s="174">
        <f>G14+H12</f>
        <v>1798</v>
      </c>
      <c r="I14" s="214">
        <f>I12</f>
        <v>164</v>
      </c>
      <c r="J14" s="214">
        <f>J12+I12</f>
        <v>305</v>
      </c>
      <c r="K14" s="311">
        <f>J14+K13</f>
        <v>524.75</v>
      </c>
      <c r="L14" s="311">
        <f t="shared" ref="L14:T14" si="13">K14+L13</f>
        <v>833.22222222222217</v>
      </c>
      <c r="M14" s="311">
        <f>L14+M13</f>
        <v>1537.8722222222223</v>
      </c>
      <c r="N14" s="311">
        <f t="shared" si="13"/>
        <v>1984.0222222222224</v>
      </c>
      <c r="O14" s="311">
        <f t="shared" si="13"/>
        <v>2834.1722222222224</v>
      </c>
      <c r="P14" s="312">
        <f t="shared" si="13"/>
        <v>3203.9222222222224</v>
      </c>
      <c r="Q14" s="312">
        <f t="shared" si="13"/>
        <v>3669.1722222222224</v>
      </c>
      <c r="R14" s="313">
        <f t="shared" si="13"/>
        <v>4356.4222222222224</v>
      </c>
      <c r="S14" s="313">
        <f t="shared" si="13"/>
        <v>4797.4222222222224</v>
      </c>
      <c r="T14" s="313">
        <f t="shared" si="13"/>
        <v>5238.4222222222224</v>
      </c>
      <c r="U14" s="313">
        <f t="shared" ref="U14" si="14">T14+U13</f>
        <v>5544.4222222222224</v>
      </c>
      <c r="V14" s="313">
        <f t="shared" ref="V14" si="15">U14+V13</f>
        <v>5850.4222222222224</v>
      </c>
      <c r="W14" s="313">
        <f t="shared" ref="W14" si="16">V14+W13</f>
        <v>6156.4222222222224</v>
      </c>
      <c r="X14" s="313">
        <f t="shared" ref="X14" si="17">W14+X13</f>
        <v>6462.4222222222224</v>
      </c>
      <c r="Y14" s="313">
        <f t="shared" ref="Y14" si="18">X14+Y13</f>
        <v>6768.4222222222224</v>
      </c>
      <c r="Z14" s="313">
        <f t="shared" ref="Z14" si="19">Y14+Z13</f>
        <v>7074.4222222222224</v>
      </c>
    </row>
    <row r="15" spans="2:29" ht="23.1" customHeight="1" x14ac:dyDescent="0.2">
      <c r="B15" s="422" t="s">
        <v>1593</v>
      </c>
      <c r="C15" s="175" t="s">
        <v>1594</v>
      </c>
      <c r="D15" s="173">
        <v>315</v>
      </c>
      <c r="E15" s="173">
        <v>315</v>
      </c>
      <c r="F15" s="173">
        <v>315</v>
      </c>
      <c r="G15" s="173">
        <v>315</v>
      </c>
      <c r="H15" s="174">
        <v>315</v>
      </c>
      <c r="I15" s="173">
        <v>411</v>
      </c>
      <c r="J15" s="173">
        <v>411</v>
      </c>
      <c r="K15" s="173">
        <v>411</v>
      </c>
      <c r="L15" s="173">
        <v>411</v>
      </c>
      <c r="M15" s="173">
        <v>411</v>
      </c>
      <c r="N15" s="173">
        <v>411</v>
      </c>
      <c r="O15" s="173">
        <v>411</v>
      </c>
      <c r="P15" s="173">
        <v>411</v>
      </c>
      <c r="Q15" s="173">
        <v>411</v>
      </c>
      <c r="R15" s="173">
        <v>411</v>
      </c>
      <c r="S15" s="173">
        <v>306</v>
      </c>
      <c r="T15" s="173">
        <v>306</v>
      </c>
      <c r="U15" s="173">
        <v>306</v>
      </c>
      <c r="V15" s="173">
        <v>306</v>
      </c>
      <c r="W15" s="173">
        <v>306</v>
      </c>
      <c r="X15" s="173">
        <v>306</v>
      </c>
      <c r="Y15" s="173">
        <v>306</v>
      </c>
      <c r="Z15" s="173">
        <v>306</v>
      </c>
    </row>
    <row r="16" spans="2:29" ht="23.1" customHeight="1" x14ac:dyDescent="0.2">
      <c r="B16" s="424"/>
      <c r="C16" s="175" t="s">
        <v>1595</v>
      </c>
      <c r="D16" s="167">
        <f>D15</f>
        <v>315</v>
      </c>
      <c r="E16" s="167">
        <f t="shared" ref="E16:T16" si="20">D16+E15</f>
        <v>630</v>
      </c>
      <c r="F16" s="167">
        <f t="shared" si="20"/>
        <v>945</v>
      </c>
      <c r="G16" s="167">
        <f t="shared" si="20"/>
        <v>1260</v>
      </c>
      <c r="H16" s="166">
        <f t="shared" si="20"/>
        <v>1575</v>
      </c>
      <c r="I16" s="203">
        <v>411</v>
      </c>
      <c r="J16" s="203">
        <f>I16+J15</f>
        <v>822</v>
      </c>
      <c r="K16" s="203">
        <f t="shared" ref="K16" si="21">J16+K15</f>
        <v>1233</v>
      </c>
      <c r="L16" s="203">
        <f t="shared" si="20"/>
        <v>1644</v>
      </c>
      <c r="M16" s="203">
        <f t="shared" si="20"/>
        <v>2055</v>
      </c>
      <c r="N16" s="203">
        <f t="shared" si="20"/>
        <v>2466</v>
      </c>
      <c r="O16" s="203">
        <f t="shared" si="20"/>
        <v>2877</v>
      </c>
      <c r="P16" s="203">
        <f t="shared" si="20"/>
        <v>3288</v>
      </c>
      <c r="Q16" s="203">
        <f t="shared" si="20"/>
        <v>3699</v>
      </c>
      <c r="R16" s="203">
        <f t="shared" si="20"/>
        <v>4110</v>
      </c>
      <c r="S16" s="203">
        <f t="shared" si="20"/>
        <v>4416</v>
      </c>
      <c r="T16" s="203">
        <f t="shared" si="20"/>
        <v>4722</v>
      </c>
      <c r="U16" s="203">
        <f t="shared" ref="U16" si="22">T16+U15</f>
        <v>5028</v>
      </c>
      <c r="V16" s="203">
        <f t="shared" ref="V16" si="23">U16+V15</f>
        <v>5334</v>
      </c>
      <c r="W16" s="203">
        <f t="shared" ref="W16" si="24">V16+W15</f>
        <v>5640</v>
      </c>
      <c r="X16" s="203">
        <f t="shared" ref="X16" si="25">W16+X15</f>
        <v>5946</v>
      </c>
      <c r="Y16" s="203">
        <f t="shared" ref="Y16" si="26">X16+Y15</f>
        <v>6252</v>
      </c>
      <c r="Z16" s="203">
        <f t="shared" ref="Z16" si="27">Y16+Z15</f>
        <v>6558</v>
      </c>
    </row>
    <row r="17" spans="2:26" ht="23.1" customHeight="1" x14ac:dyDescent="0.2">
      <c r="B17" s="202" t="s">
        <v>1596</v>
      </c>
      <c r="C17" s="175" t="s">
        <v>1597</v>
      </c>
      <c r="D17" s="167">
        <f>D14-D16</f>
        <v>145</v>
      </c>
      <c r="E17" s="167">
        <f t="shared" ref="E17:Z17" si="28">E14-E16</f>
        <v>212</v>
      </c>
      <c r="F17" s="167">
        <f t="shared" si="28"/>
        <v>316</v>
      </c>
      <c r="G17" s="167">
        <f t="shared" si="28"/>
        <v>332</v>
      </c>
      <c r="H17" s="166">
        <f>H14-H16</f>
        <v>223</v>
      </c>
      <c r="I17" s="167">
        <f>I14-I16</f>
        <v>-247</v>
      </c>
      <c r="J17" s="167">
        <f t="shared" si="28"/>
        <v>-517</v>
      </c>
      <c r="K17" s="167">
        <f>K14-K16</f>
        <v>-708.25</v>
      </c>
      <c r="L17" s="167">
        <f t="shared" si="28"/>
        <v>-810.77777777777783</v>
      </c>
      <c r="M17" s="167">
        <f>M14-M16</f>
        <v>-517.12777777777774</v>
      </c>
      <c r="N17" s="167">
        <f>N14-N16</f>
        <v>-481.97777777777765</v>
      </c>
      <c r="O17" s="167">
        <f t="shared" si="28"/>
        <v>-42.827777777777555</v>
      </c>
      <c r="P17" s="167">
        <f t="shared" si="28"/>
        <v>-84.077777777777555</v>
      </c>
      <c r="Q17" s="167">
        <f t="shared" si="28"/>
        <v>-29.827777777777555</v>
      </c>
      <c r="R17" s="167">
        <f t="shared" si="28"/>
        <v>246.42222222222244</v>
      </c>
      <c r="S17" s="167">
        <f t="shared" si="28"/>
        <v>381.42222222222244</v>
      </c>
      <c r="T17" s="167">
        <f>T14-T16</f>
        <v>516.42222222222244</v>
      </c>
      <c r="U17" s="167">
        <f t="shared" si="28"/>
        <v>516.42222222222244</v>
      </c>
      <c r="V17" s="167">
        <f t="shared" si="28"/>
        <v>516.42222222222244</v>
      </c>
      <c r="W17" s="167">
        <f t="shared" si="28"/>
        <v>516.42222222222244</v>
      </c>
      <c r="X17" s="167">
        <f t="shared" si="28"/>
        <v>516.42222222222244</v>
      </c>
      <c r="Y17" s="167">
        <f t="shared" si="28"/>
        <v>516.42222222222244</v>
      </c>
      <c r="Z17" s="167">
        <f t="shared" si="28"/>
        <v>516.42222222222244</v>
      </c>
    </row>
    <row r="18" spans="2:26" x14ac:dyDescent="0.2">
      <c r="B18" s="176"/>
      <c r="C18" s="175" t="s">
        <v>1598</v>
      </c>
      <c r="I18" s="177">
        <v>200</v>
      </c>
      <c r="J18" s="177">
        <v>250</v>
      </c>
      <c r="K18" s="177">
        <v>300</v>
      </c>
      <c r="L18" s="177">
        <v>350</v>
      </c>
      <c r="M18" s="177">
        <v>400</v>
      </c>
      <c r="N18" s="177">
        <v>450</v>
      </c>
      <c r="O18" s="177">
        <v>500</v>
      </c>
      <c r="P18" s="177">
        <v>550</v>
      </c>
      <c r="Q18" s="177">
        <v>600</v>
      </c>
      <c r="R18" s="177">
        <v>650</v>
      </c>
    </row>
  </sheetData>
  <mergeCells count="11">
    <mergeCell ref="B2:Z2"/>
    <mergeCell ref="B5:C5"/>
    <mergeCell ref="D5:H5"/>
    <mergeCell ref="I5:R5"/>
    <mergeCell ref="B6:C6"/>
    <mergeCell ref="B4:Z4"/>
    <mergeCell ref="B11:C11"/>
    <mergeCell ref="B12:B14"/>
    <mergeCell ref="B15:B16"/>
    <mergeCell ref="L9:Z9"/>
    <mergeCell ref="K7:T7"/>
  </mergeCells>
  <phoneticPr fontId="45" type="noConversion"/>
  <pageMargins left="0.39370078740157483" right="0.39370078740157483" top="0.39370078740157483" bottom="0.39370078740157483" header="0.19685039370078741" footer="0.19685039370078741"/>
  <pageSetup paperSize="8" scale="58" orientation="landscape" verticalDpi="1200" r:id="rId1"/>
  <headerFooter alignWithMargins="0">
    <oddHeader>&amp;L&amp;"Calibri"&amp;10&amp;K000000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358"/>
  <sheetViews>
    <sheetView zoomScale="90" zoomScaleNormal="90" workbookViewId="0">
      <pane ySplit="1" topLeftCell="A2" activePane="bottomLeft" state="frozen"/>
      <selection pane="bottomLeft"/>
    </sheetView>
  </sheetViews>
  <sheetFormatPr defaultColWidth="9.140625" defaultRowHeight="15" customHeight="1" x14ac:dyDescent="0.25"/>
  <cols>
    <col min="1" max="1" width="17.28515625" style="275" bestFit="1" customWidth="1"/>
    <col min="2" max="2" width="14.5703125" style="276" customWidth="1"/>
    <col min="3" max="3" width="14.5703125" style="1" customWidth="1"/>
    <col min="4" max="4" width="12.85546875" style="275" bestFit="1" customWidth="1"/>
    <col min="5" max="5" width="15.28515625" style="275" bestFit="1" customWidth="1"/>
    <col min="6" max="6" width="14" style="275" bestFit="1" customWidth="1"/>
    <col min="7" max="7" width="18.42578125" style="275" bestFit="1" customWidth="1"/>
    <col min="8" max="8" width="49.7109375" style="275" bestFit="1" customWidth="1"/>
    <col min="9" max="9" width="25" style="275" bestFit="1" customWidth="1"/>
    <col min="10" max="10" width="17.7109375" style="270" customWidth="1"/>
    <col min="11" max="11" width="32.140625" style="275" customWidth="1"/>
    <col min="12" max="12" width="29" style="275" customWidth="1"/>
    <col min="13" max="13" width="11.42578125" style="275" customWidth="1"/>
    <col min="14" max="14" width="15" style="1" customWidth="1"/>
    <col min="15" max="39" width="10.7109375" style="1" hidden="1" customWidth="1"/>
    <col min="40" max="40" width="10.7109375" style="278" customWidth="1"/>
    <col min="41" max="41" width="11.85546875" style="279" customWidth="1"/>
    <col min="42" max="51" width="11.85546875" style="1" customWidth="1"/>
    <col min="52" max="52" width="12.85546875" style="1" customWidth="1"/>
    <col min="53" max="58" width="11.85546875" style="1" customWidth="1"/>
    <col min="59" max="61" width="11.85546875" style="278" customWidth="1"/>
    <col min="62" max="62" width="14.140625" style="1" customWidth="1"/>
    <col min="63" max="63" width="14" style="1" customWidth="1"/>
    <col min="64" max="65" width="9.7109375" style="1" customWidth="1"/>
    <col min="66" max="67" width="44.28515625" style="1" customWidth="1"/>
    <col min="68" max="75" width="20.28515625" style="284" customWidth="1"/>
    <col min="76" max="76" width="17.85546875" style="1" customWidth="1"/>
    <col min="77" max="16384" width="9.140625" style="1"/>
  </cols>
  <sheetData>
    <row r="1" spans="1:76" s="268" customFormat="1" ht="50.1" customHeight="1" x14ac:dyDescent="0.25">
      <c r="A1" s="268" t="s">
        <v>1259</v>
      </c>
      <c r="B1" s="268" t="s">
        <v>1260</v>
      </c>
      <c r="C1" s="268" t="s">
        <v>1261</v>
      </c>
      <c r="D1" s="268" t="s">
        <v>1263</v>
      </c>
      <c r="E1" s="268" t="s">
        <v>1264</v>
      </c>
      <c r="F1" s="268" t="s">
        <v>1265</v>
      </c>
      <c r="G1" s="268" t="s">
        <v>1266</v>
      </c>
      <c r="H1" s="268" t="s">
        <v>1267</v>
      </c>
      <c r="I1" s="268" t="s">
        <v>1268</v>
      </c>
      <c r="J1" s="269" t="s">
        <v>1449</v>
      </c>
      <c r="K1" s="268" t="s">
        <v>0</v>
      </c>
      <c r="L1" s="268" t="s">
        <v>1</v>
      </c>
      <c r="M1" s="268" t="s">
        <v>2</v>
      </c>
      <c r="N1" s="268" t="s">
        <v>62</v>
      </c>
      <c r="O1" s="268" t="s">
        <v>3</v>
      </c>
      <c r="P1" s="268" t="s">
        <v>4</v>
      </c>
      <c r="Q1" s="268" t="s">
        <v>5</v>
      </c>
      <c r="R1" s="268" t="s">
        <v>6</v>
      </c>
      <c r="S1" s="268" t="s">
        <v>7</v>
      </c>
      <c r="T1" s="268" t="s">
        <v>8</v>
      </c>
      <c r="U1" s="268" t="s">
        <v>9</v>
      </c>
      <c r="V1" s="268" t="s">
        <v>1269</v>
      </c>
      <c r="W1" s="268" t="s">
        <v>11</v>
      </c>
      <c r="X1" s="268" t="s">
        <v>12</v>
      </c>
      <c r="Y1" s="268" t="s">
        <v>13</v>
      </c>
      <c r="Z1" s="268" t="s">
        <v>14</v>
      </c>
      <c r="AA1" s="268" t="s">
        <v>15</v>
      </c>
      <c r="AB1" s="268" t="s">
        <v>16</v>
      </c>
      <c r="AC1" s="268" t="s">
        <v>17</v>
      </c>
      <c r="AD1" s="268" t="s">
        <v>18</v>
      </c>
      <c r="AE1" s="268" t="s">
        <v>1270</v>
      </c>
      <c r="AF1" s="268" t="s">
        <v>1271</v>
      </c>
      <c r="AG1" s="268" t="s">
        <v>1272</v>
      </c>
      <c r="AH1" s="268" t="s">
        <v>1273</v>
      </c>
      <c r="AI1" s="268" t="s">
        <v>1274</v>
      </c>
      <c r="AJ1" s="268" t="s">
        <v>1275</v>
      </c>
      <c r="AK1" s="268" t="s">
        <v>1276</v>
      </c>
      <c r="AL1" s="268" t="s">
        <v>1277</v>
      </c>
      <c r="AM1" s="268" t="s">
        <v>1278</v>
      </c>
      <c r="AN1" s="270" t="s">
        <v>1279</v>
      </c>
      <c r="AO1" s="270" t="s">
        <v>1247</v>
      </c>
      <c r="AP1" s="271" t="s">
        <v>1541</v>
      </c>
      <c r="AQ1" s="272" t="s">
        <v>1542</v>
      </c>
      <c r="AR1" s="272" t="s">
        <v>1543</v>
      </c>
      <c r="AS1" s="268" t="s">
        <v>1544</v>
      </c>
      <c r="AT1" s="268" t="s">
        <v>1545</v>
      </c>
      <c r="AU1" s="273" t="s">
        <v>1546</v>
      </c>
      <c r="AV1" s="268" t="s">
        <v>1547</v>
      </c>
      <c r="AW1" s="268" t="s">
        <v>1548</v>
      </c>
      <c r="AX1" s="268" t="s">
        <v>1549</v>
      </c>
      <c r="AY1" s="268" t="s">
        <v>1550</v>
      </c>
      <c r="AZ1" s="273" t="s">
        <v>1551</v>
      </c>
      <c r="BA1" s="268" t="s">
        <v>1654</v>
      </c>
      <c r="BB1" s="268" t="s">
        <v>1655</v>
      </c>
      <c r="BC1" s="268" t="s">
        <v>1656</v>
      </c>
      <c r="BD1" s="268" t="s">
        <v>1657</v>
      </c>
      <c r="BE1" s="268" t="s">
        <v>1658</v>
      </c>
      <c r="BF1" s="268" t="s">
        <v>1659</v>
      </c>
      <c r="BG1" s="274" t="s">
        <v>1552</v>
      </c>
      <c r="BH1" s="274" t="s">
        <v>1553</v>
      </c>
      <c r="BI1" s="274" t="s">
        <v>1660</v>
      </c>
      <c r="BJ1" s="268" t="s">
        <v>19</v>
      </c>
      <c r="BK1" s="268" t="s">
        <v>1677</v>
      </c>
      <c r="BL1" s="268" t="s">
        <v>1678</v>
      </c>
      <c r="BM1" s="268" t="s">
        <v>1679</v>
      </c>
      <c r="BN1" s="268" t="s">
        <v>1602</v>
      </c>
      <c r="BO1" s="268" t="s">
        <v>1564</v>
      </c>
      <c r="BP1" s="270" t="s">
        <v>1680</v>
      </c>
      <c r="BQ1" s="270" t="s">
        <v>1681</v>
      </c>
      <c r="BR1" s="270" t="s">
        <v>1751</v>
      </c>
      <c r="BS1" s="270" t="s">
        <v>1388</v>
      </c>
      <c r="BT1" s="270" t="s">
        <v>1682</v>
      </c>
      <c r="BU1" s="270" t="s">
        <v>1750</v>
      </c>
      <c r="BV1" s="270" t="s">
        <v>1749</v>
      </c>
      <c r="BW1" s="270" t="s">
        <v>1683</v>
      </c>
      <c r="BX1" s="268" t="s">
        <v>1394</v>
      </c>
    </row>
    <row r="2" spans="1:76" ht="15" customHeight="1" x14ac:dyDescent="0.25">
      <c r="A2" s="275" t="s">
        <v>1647</v>
      </c>
      <c r="B2" s="276" t="s">
        <v>44</v>
      </c>
      <c r="D2" s="277">
        <v>41079</v>
      </c>
      <c r="E2" s="277">
        <v>42219</v>
      </c>
      <c r="F2" s="277">
        <v>41275</v>
      </c>
      <c r="G2" s="277">
        <v>44712</v>
      </c>
      <c r="H2" s="275" t="s">
        <v>22</v>
      </c>
      <c r="I2" s="275" t="s">
        <v>1473</v>
      </c>
      <c r="K2" s="275" t="s">
        <v>1648</v>
      </c>
      <c r="L2" s="275" t="s">
        <v>1649</v>
      </c>
      <c r="M2" s="275" t="s">
        <v>1650</v>
      </c>
      <c r="R2" s="1">
        <v>1</v>
      </c>
      <c r="V2" s="1">
        <f t="shared" ref="V2:V65" si="0">SUM(O2:U2)</f>
        <v>1</v>
      </c>
      <c r="W2" s="1">
        <v>6</v>
      </c>
      <c r="X2" s="1">
        <v>1</v>
      </c>
      <c r="AE2" s="1">
        <f t="shared" ref="AE2:AE65" si="1">SUM(W2:AD2)</f>
        <v>7</v>
      </c>
      <c r="AF2" s="1">
        <f t="shared" ref="AF2:AF65" si="2">W2-O2</f>
        <v>6</v>
      </c>
      <c r="AG2" s="1">
        <f t="shared" ref="AG2:AG65" si="3">X2-P2</f>
        <v>1</v>
      </c>
      <c r="AH2" s="1">
        <f t="shared" ref="AH2:AH65" si="4">Y2-Q2</f>
        <v>0</v>
      </c>
      <c r="AI2" s="1">
        <f t="shared" ref="AI2:AI65" si="5">Z2-R2</f>
        <v>-1</v>
      </c>
      <c r="AJ2" s="1">
        <f t="shared" ref="AJ2:AJ65" si="6">AA2-S2</f>
        <v>0</v>
      </c>
      <c r="AK2" s="1">
        <f t="shared" ref="AK2:AK65" si="7">AB2-T2</f>
        <v>0</v>
      </c>
      <c r="AL2" s="1">
        <f t="shared" ref="AL2:AL65" si="8">AC2-U2</f>
        <v>0</v>
      </c>
      <c r="AM2" s="1">
        <f t="shared" ref="AM2:AM65" si="9">AD2</f>
        <v>0</v>
      </c>
      <c r="AN2" s="278">
        <f t="shared" ref="AN2:AN33" si="10">AE2-V2</f>
        <v>6</v>
      </c>
      <c r="AP2" s="280">
        <v>6</v>
      </c>
      <c r="AU2" s="281"/>
      <c r="AZ2" s="281"/>
      <c r="BG2" s="282">
        <f t="shared" ref="BG2:BG65" si="11">SUBTOTAL(9,AQ2:AU2)</f>
        <v>0</v>
      </c>
      <c r="BH2" s="282">
        <f t="shared" ref="BH2:BH65" si="12">SUBTOTAL(9,AQ2:AZ2)</f>
        <v>0</v>
      </c>
      <c r="BI2" s="283">
        <f t="shared" ref="BI2:BI65" si="13">SUM(AQ2:BF2)</f>
        <v>0</v>
      </c>
      <c r="BL2" s="1">
        <v>515626</v>
      </c>
      <c r="BM2" s="1">
        <v>170961</v>
      </c>
      <c r="BN2" s="1" t="s">
        <v>1600</v>
      </c>
      <c r="BO2" s="1" t="s">
        <v>1387</v>
      </c>
      <c r="BP2" s="284" t="s">
        <v>1387</v>
      </c>
      <c r="BU2" s="284" t="s">
        <v>1684</v>
      </c>
      <c r="BV2" s="284" t="s">
        <v>27</v>
      </c>
      <c r="BW2" s="284" t="s">
        <v>27</v>
      </c>
    </row>
    <row r="3" spans="1:76" ht="15" customHeight="1" x14ac:dyDescent="0.25">
      <c r="A3" s="275" t="s">
        <v>343</v>
      </c>
      <c r="B3" s="276" t="s">
        <v>49</v>
      </c>
      <c r="D3" s="277">
        <v>41737</v>
      </c>
      <c r="E3" s="277">
        <v>43563</v>
      </c>
      <c r="F3" s="277">
        <v>41883</v>
      </c>
      <c r="G3" s="277">
        <v>45016</v>
      </c>
      <c r="H3" s="275" t="s">
        <v>22</v>
      </c>
      <c r="I3" s="275" t="s">
        <v>1473</v>
      </c>
      <c r="K3" s="275" t="s">
        <v>344</v>
      </c>
      <c r="L3" s="275" t="s">
        <v>345</v>
      </c>
      <c r="M3" s="275" t="s">
        <v>346</v>
      </c>
      <c r="V3" s="1">
        <f t="shared" si="0"/>
        <v>0</v>
      </c>
      <c r="W3" s="1">
        <v>1</v>
      </c>
      <c r="AE3" s="1">
        <f t="shared" si="1"/>
        <v>1</v>
      </c>
      <c r="AF3" s="1">
        <f t="shared" si="2"/>
        <v>1</v>
      </c>
      <c r="AG3" s="1">
        <f t="shared" si="3"/>
        <v>0</v>
      </c>
      <c r="AH3" s="1">
        <f t="shared" si="4"/>
        <v>0</v>
      </c>
      <c r="AI3" s="1">
        <f t="shared" si="5"/>
        <v>0</v>
      </c>
      <c r="AJ3" s="1">
        <f t="shared" si="6"/>
        <v>0</v>
      </c>
      <c r="AK3" s="1">
        <f t="shared" si="7"/>
        <v>0</v>
      </c>
      <c r="AL3" s="1">
        <f t="shared" si="8"/>
        <v>0</v>
      </c>
      <c r="AM3" s="1">
        <f t="shared" si="9"/>
        <v>0</v>
      </c>
      <c r="AN3" s="278">
        <f t="shared" si="10"/>
        <v>1</v>
      </c>
      <c r="AP3" s="280">
        <v>1</v>
      </c>
      <c r="AU3" s="281"/>
      <c r="AZ3" s="281"/>
      <c r="BG3" s="282">
        <f t="shared" si="11"/>
        <v>0</v>
      </c>
      <c r="BH3" s="282">
        <f t="shared" si="12"/>
        <v>0</v>
      </c>
      <c r="BI3" s="283">
        <f t="shared" si="13"/>
        <v>0</v>
      </c>
      <c r="BL3" s="1">
        <v>513841</v>
      </c>
      <c r="BM3" s="1">
        <v>170798</v>
      </c>
      <c r="BN3" s="1" t="s">
        <v>1600</v>
      </c>
      <c r="BO3" s="1" t="s">
        <v>1401</v>
      </c>
    </row>
    <row r="4" spans="1:76" ht="15" customHeight="1" x14ac:dyDescent="0.25">
      <c r="A4" s="275" t="s">
        <v>362</v>
      </c>
      <c r="B4" s="276" t="s">
        <v>49</v>
      </c>
      <c r="D4" s="277">
        <v>42650</v>
      </c>
      <c r="E4" s="277">
        <v>43745</v>
      </c>
      <c r="F4" s="277">
        <v>43160</v>
      </c>
      <c r="G4" s="277">
        <v>44691</v>
      </c>
      <c r="H4" s="269" t="s">
        <v>22</v>
      </c>
      <c r="I4" s="275" t="s">
        <v>1473</v>
      </c>
      <c r="K4" s="275" t="s">
        <v>363</v>
      </c>
      <c r="L4" s="275" t="s">
        <v>364</v>
      </c>
      <c r="M4" s="275" t="s">
        <v>30</v>
      </c>
      <c r="V4" s="1">
        <f t="shared" si="0"/>
        <v>0</v>
      </c>
      <c r="X4" s="1">
        <v>6</v>
      </c>
      <c r="AE4" s="1">
        <f t="shared" si="1"/>
        <v>6</v>
      </c>
      <c r="AF4" s="1">
        <f t="shared" si="2"/>
        <v>0</v>
      </c>
      <c r="AG4" s="1">
        <f t="shared" si="3"/>
        <v>6</v>
      </c>
      <c r="AH4" s="1">
        <f t="shared" si="4"/>
        <v>0</v>
      </c>
      <c r="AI4" s="1">
        <f t="shared" si="5"/>
        <v>0</v>
      </c>
      <c r="AJ4" s="1">
        <f t="shared" si="6"/>
        <v>0</v>
      </c>
      <c r="AK4" s="1">
        <f t="shared" si="7"/>
        <v>0</v>
      </c>
      <c r="AL4" s="1">
        <f t="shared" si="8"/>
        <v>0</v>
      </c>
      <c r="AM4" s="1">
        <f t="shared" si="9"/>
        <v>0</v>
      </c>
      <c r="AN4" s="278">
        <f t="shared" si="10"/>
        <v>6</v>
      </c>
      <c r="AP4" s="280">
        <v>6</v>
      </c>
      <c r="AU4" s="281"/>
      <c r="AZ4" s="281"/>
      <c r="BG4" s="282">
        <f t="shared" si="11"/>
        <v>0</v>
      </c>
      <c r="BH4" s="282">
        <f t="shared" si="12"/>
        <v>0</v>
      </c>
      <c r="BI4" s="283">
        <f t="shared" si="13"/>
        <v>0</v>
      </c>
      <c r="BL4" s="1">
        <v>516013</v>
      </c>
      <c r="BM4" s="1">
        <v>171023</v>
      </c>
      <c r="BN4" s="1" t="s">
        <v>1600</v>
      </c>
      <c r="BO4" s="1" t="s">
        <v>1387</v>
      </c>
      <c r="BU4" s="284" t="s">
        <v>1685</v>
      </c>
      <c r="BV4" s="284" t="s">
        <v>27</v>
      </c>
      <c r="BW4" s="284" t="s">
        <v>27</v>
      </c>
    </row>
    <row r="5" spans="1:76" ht="15" customHeight="1" x14ac:dyDescent="0.25">
      <c r="A5" s="275" t="s">
        <v>143</v>
      </c>
      <c r="B5" s="276" t="s">
        <v>144</v>
      </c>
      <c r="D5" s="277">
        <v>42599</v>
      </c>
      <c r="E5" s="277">
        <v>43694</v>
      </c>
      <c r="F5" s="277">
        <v>43479</v>
      </c>
      <c r="G5" s="277">
        <v>44713</v>
      </c>
      <c r="H5" s="269" t="s">
        <v>22</v>
      </c>
      <c r="I5" s="275" t="s">
        <v>1473</v>
      </c>
      <c r="K5" s="275" t="s">
        <v>145</v>
      </c>
      <c r="L5" s="275" t="s">
        <v>146</v>
      </c>
      <c r="O5" s="1">
        <v>2</v>
      </c>
      <c r="P5" s="1">
        <v>2</v>
      </c>
      <c r="Q5" s="1">
        <v>1</v>
      </c>
      <c r="V5" s="1">
        <f t="shared" si="0"/>
        <v>5</v>
      </c>
      <c r="W5" s="1">
        <v>1</v>
      </c>
      <c r="Z5" s="1">
        <v>1</v>
      </c>
      <c r="AE5" s="1">
        <f t="shared" si="1"/>
        <v>2</v>
      </c>
      <c r="AF5" s="1">
        <f t="shared" si="2"/>
        <v>-1</v>
      </c>
      <c r="AG5" s="1">
        <f t="shared" si="3"/>
        <v>-2</v>
      </c>
      <c r="AH5" s="1">
        <f t="shared" si="4"/>
        <v>-1</v>
      </c>
      <c r="AI5" s="1">
        <f t="shared" si="5"/>
        <v>1</v>
      </c>
      <c r="AJ5" s="1">
        <f t="shared" si="6"/>
        <v>0</v>
      </c>
      <c r="AK5" s="1">
        <f t="shared" si="7"/>
        <v>0</v>
      </c>
      <c r="AL5" s="1">
        <f t="shared" si="8"/>
        <v>0</v>
      </c>
      <c r="AM5" s="1">
        <f t="shared" si="9"/>
        <v>0</v>
      </c>
      <c r="AN5" s="278">
        <f t="shared" si="10"/>
        <v>-3</v>
      </c>
      <c r="AP5" s="280">
        <v>-3</v>
      </c>
      <c r="AU5" s="281"/>
      <c r="AZ5" s="281"/>
      <c r="BG5" s="282">
        <f t="shared" si="11"/>
        <v>0</v>
      </c>
      <c r="BH5" s="282">
        <f t="shared" si="12"/>
        <v>0</v>
      </c>
      <c r="BI5" s="283">
        <f t="shared" si="13"/>
        <v>0</v>
      </c>
      <c r="BL5" s="1">
        <v>518294</v>
      </c>
      <c r="BM5" s="1">
        <v>174078</v>
      </c>
      <c r="BN5" s="1" t="s">
        <v>1601</v>
      </c>
      <c r="BO5" s="1" t="s">
        <v>1560</v>
      </c>
      <c r="BQ5" s="284" t="s">
        <v>1386</v>
      </c>
      <c r="BU5" s="284" t="s">
        <v>1686</v>
      </c>
      <c r="BV5" s="284" t="s">
        <v>27</v>
      </c>
      <c r="BW5" s="284" t="s">
        <v>27</v>
      </c>
    </row>
    <row r="6" spans="1:76" ht="15" customHeight="1" x14ac:dyDescent="0.25">
      <c r="A6" s="275" t="s">
        <v>119</v>
      </c>
      <c r="B6" s="276" t="s">
        <v>21</v>
      </c>
      <c r="D6" s="277">
        <v>42986</v>
      </c>
      <c r="E6" s="277">
        <v>44082</v>
      </c>
      <c r="F6" s="277">
        <v>43554</v>
      </c>
      <c r="G6" s="277">
        <v>44853</v>
      </c>
      <c r="H6" s="269" t="s">
        <v>22</v>
      </c>
      <c r="I6" s="275" t="s">
        <v>1473</v>
      </c>
      <c r="K6" s="275" t="s">
        <v>120</v>
      </c>
      <c r="L6" s="275" t="s">
        <v>121</v>
      </c>
      <c r="M6" s="275" t="s">
        <v>123</v>
      </c>
      <c r="V6" s="1">
        <f t="shared" si="0"/>
        <v>0</v>
      </c>
      <c r="W6" s="1">
        <v>9</v>
      </c>
      <c r="X6" s="1">
        <v>7</v>
      </c>
      <c r="Y6" s="1">
        <v>4</v>
      </c>
      <c r="AE6" s="1">
        <f t="shared" si="1"/>
        <v>20</v>
      </c>
      <c r="AF6" s="1">
        <f t="shared" si="2"/>
        <v>9</v>
      </c>
      <c r="AG6" s="1">
        <f t="shared" si="3"/>
        <v>7</v>
      </c>
      <c r="AH6" s="1">
        <f t="shared" si="4"/>
        <v>4</v>
      </c>
      <c r="AI6" s="1">
        <f t="shared" si="5"/>
        <v>0</v>
      </c>
      <c r="AJ6" s="1">
        <f t="shared" si="6"/>
        <v>0</v>
      </c>
      <c r="AK6" s="1">
        <f t="shared" si="7"/>
        <v>0</v>
      </c>
      <c r="AL6" s="1">
        <f t="shared" si="8"/>
        <v>0</v>
      </c>
      <c r="AM6" s="1">
        <f t="shared" si="9"/>
        <v>0</v>
      </c>
      <c r="AN6" s="278">
        <f t="shared" si="10"/>
        <v>20</v>
      </c>
      <c r="AO6" s="279" t="s">
        <v>27</v>
      </c>
      <c r="AP6" s="280">
        <v>20</v>
      </c>
      <c r="AU6" s="281"/>
      <c r="AZ6" s="281"/>
      <c r="BG6" s="282">
        <f t="shared" si="11"/>
        <v>0</v>
      </c>
      <c r="BH6" s="282">
        <f t="shared" si="12"/>
        <v>0</v>
      </c>
      <c r="BI6" s="283">
        <f t="shared" si="13"/>
        <v>0</v>
      </c>
      <c r="BL6" s="1">
        <v>519012</v>
      </c>
      <c r="BM6" s="1">
        <v>175761</v>
      </c>
      <c r="BN6" s="1" t="s">
        <v>1385</v>
      </c>
      <c r="BO6" s="1" t="s">
        <v>1403</v>
      </c>
      <c r="BW6" s="284" t="s">
        <v>27</v>
      </c>
    </row>
    <row r="7" spans="1:76" ht="15" customHeight="1" x14ac:dyDescent="0.25">
      <c r="A7" s="275" t="s">
        <v>254</v>
      </c>
      <c r="B7" s="276" t="s">
        <v>144</v>
      </c>
      <c r="D7" s="277">
        <v>43698</v>
      </c>
      <c r="E7" s="277">
        <v>44794</v>
      </c>
      <c r="F7" s="277">
        <v>43773</v>
      </c>
      <c r="G7" s="277">
        <v>44713</v>
      </c>
      <c r="H7" s="269" t="s">
        <v>22</v>
      </c>
      <c r="I7" s="275" t="s">
        <v>1473</v>
      </c>
      <c r="K7" s="275" t="s">
        <v>255</v>
      </c>
      <c r="L7" s="275" t="s">
        <v>256</v>
      </c>
      <c r="M7" s="275" t="s">
        <v>257</v>
      </c>
      <c r="O7" s="1">
        <v>1</v>
      </c>
      <c r="P7" s="1">
        <v>1</v>
      </c>
      <c r="V7" s="1">
        <f t="shared" si="0"/>
        <v>2</v>
      </c>
      <c r="AA7" s="1">
        <v>1</v>
      </c>
      <c r="AE7" s="1">
        <f t="shared" si="1"/>
        <v>1</v>
      </c>
      <c r="AF7" s="1">
        <f t="shared" si="2"/>
        <v>-1</v>
      </c>
      <c r="AG7" s="1">
        <f t="shared" si="3"/>
        <v>-1</v>
      </c>
      <c r="AH7" s="1">
        <f t="shared" si="4"/>
        <v>0</v>
      </c>
      <c r="AI7" s="1">
        <f t="shared" si="5"/>
        <v>0</v>
      </c>
      <c r="AJ7" s="1">
        <f t="shared" si="6"/>
        <v>1</v>
      </c>
      <c r="AK7" s="1">
        <f t="shared" si="7"/>
        <v>0</v>
      </c>
      <c r="AL7" s="1">
        <f t="shared" si="8"/>
        <v>0</v>
      </c>
      <c r="AM7" s="1">
        <f t="shared" si="9"/>
        <v>0</v>
      </c>
      <c r="AN7" s="278">
        <f t="shared" si="10"/>
        <v>-1</v>
      </c>
      <c r="AP7" s="280">
        <v>-1</v>
      </c>
      <c r="AU7" s="281"/>
      <c r="AZ7" s="281"/>
      <c r="BG7" s="282">
        <f t="shared" si="11"/>
        <v>0</v>
      </c>
      <c r="BH7" s="282">
        <f t="shared" si="12"/>
        <v>0</v>
      </c>
      <c r="BI7" s="283">
        <f t="shared" si="13"/>
        <v>0</v>
      </c>
      <c r="BL7" s="1">
        <v>518458</v>
      </c>
      <c r="BM7" s="1">
        <v>175501</v>
      </c>
      <c r="BN7" s="1" t="s">
        <v>1385</v>
      </c>
      <c r="BO7" s="1" t="s">
        <v>1404</v>
      </c>
      <c r="BW7" s="284" t="s">
        <v>27</v>
      </c>
    </row>
    <row r="8" spans="1:76" ht="15" customHeight="1" x14ac:dyDescent="0.25">
      <c r="A8" s="275" t="s">
        <v>1241</v>
      </c>
      <c r="B8" s="276" t="s">
        <v>49</v>
      </c>
      <c r="D8" s="277">
        <v>43543</v>
      </c>
      <c r="E8" s="277">
        <v>44639</v>
      </c>
      <c r="F8" s="277">
        <v>43922</v>
      </c>
      <c r="G8" s="277">
        <v>44652</v>
      </c>
      <c r="H8" s="275" t="s">
        <v>22</v>
      </c>
      <c r="I8" s="275" t="s">
        <v>1473</v>
      </c>
      <c r="K8" s="275" t="s">
        <v>1242</v>
      </c>
      <c r="L8" s="275" t="s">
        <v>1243</v>
      </c>
      <c r="M8" s="275" t="s">
        <v>837</v>
      </c>
      <c r="Q8" s="1">
        <v>1</v>
      </c>
      <c r="V8" s="1">
        <f t="shared" si="0"/>
        <v>1</v>
      </c>
      <c r="W8" s="1">
        <v>1</v>
      </c>
      <c r="X8" s="1">
        <v>2</v>
      </c>
      <c r="AE8" s="1">
        <f t="shared" si="1"/>
        <v>3</v>
      </c>
      <c r="AF8" s="1">
        <f t="shared" si="2"/>
        <v>1</v>
      </c>
      <c r="AG8" s="1">
        <f t="shared" si="3"/>
        <v>2</v>
      </c>
      <c r="AH8" s="1">
        <f t="shared" si="4"/>
        <v>-1</v>
      </c>
      <c r="AI8" s="1">
        <f t="shared" si="5"/>
        <v>0</v>
      </c>
      <c r="AJ8" s="1">
        <f t="shared" si="6"/>
        <v>0</v>
      </c>
      <c r="AK8" s="1">
        <f t="shared" si="7"/>
        <v>0</v>
      </c>
      <c r="AL8" s="1">
        <f t="shared" si="8"/>
        <v>0</v>
      </c>
      <c r="AM8" s="1">
        <f t="shared" si="9"/>
        <v>0</v>
      </c>
      <c r="AN8" s="278">
        <f t="shared" si="10"/>
        <v>2</v>
      </c>
      <c r="AP8" s="280">
        <v>2</v>
      </c>
      <c r="AU8" s="281"/>
      <c r="AZ8" s="281"/>
      <c r="BG8" s="282">
        <f t="shared" si="11"/>
        <v>0</v>
      </c>
      <c r="BH8" s="282">
        <f t="shared" si="12"/>
        <v>0</v>
      </c>
      <c r="BI8" s="283">
        <f t="shared" si="13"/>
        <v>0</v>
      </c>
      <c r="BL8" s="1">
        <v>515746</v>
      </c>
      <c r="BM8" s="1">
        <v>173156</v>
      </c>
      <c r="BN8" s="1" t="s">
        <v>1389</v>
      </c>
      <c r="BO8" s="1" t="s">
        <v>1406</v>
      </c>
      <c r="BP8" s="284" t="s">
        <v>1389</v>
      </c>
      <c r="BW8" s="284" t="s">
        <v>27</v>
      </c>
    </row>
    <row r="9" spans="1:76" ht="15" customHeight="1" x14ac:dyDescent="0.25">
      <c r="A9" s="275" t="s">
        <v>250</v>
      </c>
      <c r="B9" s="276" t="s">
        <v>21</v>
      </c>
      <c r="D9" s="277">
        <v>43377</v>
      </c>
      <c r="E9" s="277">
        <v>44473</v>
      </c>
      <c r="F9" s="277">
        <v>44005</v>
      </c>
      <c r="G9" s="277">
        <v>44677</v>
      </c>
      <c r="H9" s="269" t="s">
        <v>22</v>
      </c>
      <c r="I9" s="275" t="s">
        <v>1473</v>
      </c>
      <c r="K9" s="275" t="s">
        <v>251</v>
      </c>
      <c r="L9" s="275" t="s">
        <v>252</v>
      </c>
      <c r="M9" s="275" t="s">
        <v>253</v>
      </c>
      <c r="R9" s="1">
        <v>1</v>
      </c>
      <c r="V9" s="1">
        <f t="shared" si="0"/>
        <v>1</v>
      </c>
      <c r="Z9" s="1">
        <v>1</v>
      </c>
      <c r="AE9" s="1">
        <f t="shared" si="1"/>
        <v>1</v>
      </c>
      <c r="AF9" s="1">
        <f t="shared" si="2"/>
        <v>0</v>
      </c>
      <c r="AG9" s="1">
        <f t="shared" si="3"/>
        <v>0</v>
      </c>
      <c r="AH9" s="1">
        <f t="shared" si="4"/>
        <v>0</v>
      </c>
      <c r="AI9" s="1">
        <f t="shared" si="5"/>
        <v>0</v>
      </c>
      <c r="AJ9" s="1">
        <f t="shared" si="6"/>
        <v>0</v>
      </c>
      <c r="AK9" s="1">
        <f t="shared" si="7"/>
        <v>0</v>
      </c>
      <c r="AL9" s="1">
        <f t="shared" si="8"/>
        <v>0</v>
      </c>
      <c r="AM9" s="1">
        <f t="shared" si="9"/>
        <v>0</v>
      </c>
      <c r="AN9" s="278">
        <f t="shared" si="10"/>
        <v>0</v>
      </c>
      <c r="AP9" s="280">
        <v>0</v>
      </c>
      <c r="AU9" s="281"/>
      <c r="AZ9" s="281"/>
      <c r="BG9" s="282">
        <f t="shared" si="11"/>
        <v>0</v>
      </c>
      <c r="BH9" s="282">
        <f t="shared" si="12"/>
        <v>0</v>
      </c>
      <c r="BI9" s="283">
        <f t="shared" si="13"/>
        <v>0</v>
      </c>
      <c r="BL9" s="1">
        <v>518695</v>
      </c>
      <c r="BM9" s="1">
        <v>174476</v>
      </c>
      <c r="BN9" s="1" t="s">
        <v>1385</v>
      </c>
      <c r="BO9" s="1" t="s">
        <v>1405</v>
      </c>
      <c r="BW9" s="284" t="s">
        <v>27</v>
      </c>
    </row>
    <row r="10" spans="1:76" ht="15" customHeight="1" x14ac:dyDescent="0.25">
      <c r="A10" s="275" t="s">
        <v>307</v>
      </c>
      <c r="B10" s="276" t="s">
        <v>49</v>
      </c>
      <c r="C10" s="1" t="s">
        <v>1262</v>
      </c>
      <c r="D10" s="277">
        <v>43543</v>
      </c>
      <c r="E10" s="277">
        <v>44639</v>
      </c>
      <c r="F10" s="277">
        <v>44013</v>
      </c>
      <c r="G10" s="285">
        <v>44746</v>
      </c>
      <c r="H10" s="269" t="s">
        <v>22</v>
      </c>
      <c r="I10" s="275" t="s">
        <v>1473</v>
      </c>
      <c r="K10" s="275" t="s">
        <v>308</v>
      </c>
      <c r="L10" s="275" t="s">
        <v>309</v>
      </c>
      <c r="M10" s="275" t="s">
        <v>310</v>
      </c>
      <c r="V10" s="1">
        <f t="shared" si="0"/>
        <v>0</v>
      </c>
      <c r="X10" s="1">
        <v>2</v>
      </c>
      <c r="AE10" s="1">
        <f t="shared" si="1"/>
        <v>2</v>
      </c>
      <c r="AF10" s="1">
        <f t="shared" si="2"/>
        <v>0</v>
      </c>
      <c r="AG10" s="1">
        <f t="shared" si="3"/>
        <v>2</v>
      </c>
      <c r="AH10" s="1">
        <f t="shared" si="4"/>
        <v>0</v>
      </c>
      <c r="AI10" s="1">
        <f t="shared" si="5"/>
        <v>0</v>
      </c>
      <c r="AJ10" s="1">
        <f t="shared" si="6"/>
        <v>0</v>
      </c>
      <c r="AK10" s="1">
        <f t="shared" si="7"/>
        <v>0</v>
      </c>
      <c r="AL10" s="1">
        <f t="shared" si="8"/>
        <v>0</v>
      </c>
      <c r="AM10" s="1">
        <f t="shared" si="9"/>
        <v>0</v>
      </c>
      <c r="AN10" s="278">
        <f t="shared" si="10"/>
        <v>2</v>
      </c>
      <c r="AP10" s="280">
        <v>2</v>
      </c>
      <c r="AU10" s="281"/>
      <c r="AZ10" s="281"/>
      <c r="BG10" s="282">
        <f t="shared" si="11"/>
        <v>0</v>
      </c>
      <c r="BH10" s="282">
        <f t="shared" si="12"/>
        <v>0</v>
      </c>
      <c r="BI10" s="283">
        <f t="shared" si="13"/>
        <v>0</v>
      </c>
      <c r="BL10" s="1">
        <v>522531</v>
      </c>
      <c r="BM10" s="1">
        <v>177884</v>
      </c>
      <c r="BN10" s="1" t="s">
        <v>1599</v>
      </c>
      <c r="BO10" s="1" t="s">
        <v>1399</v>
      </c>
      <c r="BU10" s="284" t="s">
        <v>1687</v>
      </c>
      <c r="BV10" s="284" t="s">
        <v>27</v>
      </c>
      <c r="BW10" s="284" t="s">
        <v>27</v>
      </c>
    </row>
    <row r="11" spans="1:76" ht="15" customHeight="1" x14ac:dyDescent="0.25">
      <c r="A11" s="275" t="s">
        <v>220</v>
      </c>
      <c r="B11" s="276" t="s">
        <v>49</v>
      </c>
      <c r="C11" s="1" t="s">
        <v>1262</v>
      </c>
      <c r="D11" s="277">
        <v>43922</v>
      </c>
      <c r="E11" s="277">
        <v>45017</v>
      </c>
      <c r="F11" s="277">
        <v>44075</v>
      </c>
      <c r="G11" s="277">
        <v>45016</v>
      </c>
      <c r="H11" s="275" t="s">
        <v>22</v>
      </c>
      <c r="I11" s="275" t="s">
        <v>1473</v>
      </c>
      <c r="K11" s="275" t="s">
        <v>221</v>
      </c>
      <c r="L11" s="275" t="s">
        <v>222</v>
      </c>
      <c r="M11" s="275" t="s">
        <v>223</v>
      </c>
      <c r="V11" s="1">
        <f t="shared" si="0"/>
        <v>0</v>
      </c>
      <c r="Z11" s="1">
        <v>1</v>
      </c>
      <c r="AE11" s="1">
        <f t="shared" si="1"/>
        <v>1</v>
      </c>
      <c r="AF11" s="1">
        <f t="shared" si="2"/>
        <v>0</v>
      </c>
      <c r="AG11" s="1">
        <f t="shared" si="3"/>
        <v>0</v>
      </c>
      <c r="AH11" s="1">
        <f t="shared" si="4"/>
        <v>0</v>
      </c>
      <c r="AI11" s="1">
        <f t="shared" si="5"/>
        <v>1</v>
      </c>
      <c r="AJ11" s="1">
        <f t="shared" si="6"/>
        <v>0</v>
      </c>
      <c r="AK11" s="1">
        <f t="shared" si="7"/>
        <v>0</v>
      </c>
      <c r="AL11" s="1">
        <f t="shared" si="8"/>
        <v>0</v>
      </c>
      <c r="AM11" s="1">
        <f t="shared" si="9"/>
        <v>0</v>
      </c>
      <c r="AN11" s="278">
        <f t="shared" si="10"/>
        <v>1</v>
      </c>
      <c r="AP11" s="280">
        <v>1</v>
      </c>
      <c r="AU11" s="281"/>
      <c r="AZ11" s="281"/>
      <c r="BG11" s="282">
        <f t="shared" si="11"/>
        <v>0</v>
      </c>
      <c r="BH11" s="282">
        <f t="shared" si="12"/>
        <v>0</v>
      </c>
      <c r="BI11" s="283">
        <f t="shared" si="13"/>
        <v>0</v>
      </c>
      <c r="BL11" s="1">
        <v>521854</v>
      </c>
      <c r="BM11" s="1">
        <v>176284</v>
      </c>
      <c r="BN11" s="1" t="s">
        <v>1599</v>
      </c>
      <c r="BO11" s="1" t="s">
        <v>1562</v>
      </c>
      <c r="BU11" s="284" t="s">
        <v>1688</v>
      </c>
      <c r="BV11" s="284" t="s">
        <v>27</v>
      </c>
      <c r="BW11" s="284" t="s">
        <v>27</v>
      </c>
    </row>
    <row r="12" spans="1:76" ht="15" customHeight="1" x14ac:dyDescent="0.25">
      <c r="A12" s="275" t="s">
        <v>311</v>
      </c>
      <c r="B12" s="276" t="s">
        <v>21</v>
      </c>
      <c r="D12" s="277">
        <v>44186</v>
      </c>
      <c r="E12" s="277">
        <v>45281</v>
      </c>
      <c r="F12" s="277">
        <v>44095</v>
      </c>
      <c r="G12" s="277">
        <v>45016</v>
      </c>
      <c r="H12" s="275" t="s">
        <v>22</v>
      </c>
      <c r="I12" s="275" t="s">
        <v>1473</v>
      </c>
      <c r="K12" s="275" t="s">
        <v>312</v>
      </c>
      <c r="L12" s="275" t="s">
        <v>313</v>
      </c>
      <c r="M12" s="275" t="s">
        <v>123</v>
      </c>
      <c r="V12" s="1">
        <f t="shared" si="0"/>
        <v>0</v>
      </c>
      <c r="W12" s="1">
        <v>5</v>
      </c>
      <c r="X12" s="1">
        <v>3</v>
      </c>
      <c r="AE12" s="1">
        <f t="shared" si="1"/>
        <v>8</v>
      </c>
      <c r="AF12" s="1">
        <f t="shared" si="2"/>
        <v>5</v>
      </c>
      <c r="AG12" s="1">
        <f t="shared" si="3"/>
        <v>3</v>
      </c>
      <c r="AH12" s="1">
        <f t="shared" si="4"/>
        <v>0</v>
      </c>
      <c r="AI12" s="1">
        <f t="shared" si="5"/>
        <v>0</v>
      </c>
      <c r="AJ12" s="1">
        <f t="shared" si="6"/>
        <v>0</v>
      </c>
      <c r="AK12" s="1">
        <f t="shared" si="7"/>
        <v>0</v>
      </c>
      <c r="AL12" s="1">
        <f t="shared" si="8"/>
        <v>0</v>
      </c>
      <c r="AM12" s="1">
        <f t="shared" si="9"/>
        <v>0</v>
      </c>
      <c r="AN12" s="278">
        <f t="shared" si="10"/>
        <v>8</v>
      </c>
      <c r="AP12" s="280">
        <v>8</v>
      </c>
      <c r="AU12" s="281"/>
      <c r="AZ12" s="281"/>
      <c r="BG12" s="282">
        <f t="shared" si="11"/>
        <v>0</v>
      </c>
      <c r="BH12" s="282">
        <f t="shared" si="12"/>
        <v>0</v>
      </c>
      <c r="BI12" s="283">
        <f t="shared" si="13"/>
        <v>0</v>
      </c>
      <c r="BL12" s="1">
        <v>519026</v>
      </c>
      <c r="BM12" s="1">
        <v>175926</v>
      </c>
      <c r="BN12" s="1" t="s">
        <v>1385</v>
      </c>
      <c r="BO12" s="1" t="s">
        <v>1403</v>
      </c>
      <c r="BW12" s="284" t="s">
        <v>27</v>
      </c>
    </row>
    <row r="13" spans="1:76" ht="15" customHeight="1" x14ac:dyDescent="0.25">
      <c r="A13" s="275" t="s">
        <v>231</v>
      </c>
      <c r="B13" s="276" t="s">
        <v>49</v>
      </c>
      <c r="D13" s="277">
        <v>44043</v>
      </c>
      <c r="E13" s="277">
        <v>45138</v>
      </c>
      <c r="F13" s="277">
        <v>44105</v>
      </c>
      <c r="G13" s="277">
        <v>45016</v>
      </c>
      <c r="H13" s="275" t="s">
        <v>22</v>
      </c>
      <c r="I13" s="275" t="s">
        <v>1473</v>
      </c>
      <c r="K13" s="275" t="s">
        <v>232</v>
      </c>
      <c r="L13" s="275" t="s">
        <v>233</v>
      </c>
      <c r="M13" s="275" t="s">
        <v>234</v>
      </c>
      <c r="P13" s="1">
        <v>1</v>
      </c>
      <c r="V13" s="1">
        <f t="shared" si="0"/>
        <v>1</v>
      </c>
      <c r="W13" s="1">
        <v>2</v>
      </c>
      <c r="X13" s="1">
        <v>1</v>
      </c>
      <c r="AE13" s="1">
        <f t="shared" si="1"/>
        <v>3</v>
      </c>
      <c r="AF13" s="1">
        <f t="shared" si="2"/>
        <v>2</v>
      </c>
      <c r="AG13" s="1">
        <f t="shared" si="3"/>
        <v>0</v>
      </c>
      <c r="AH13" s="1">
        <f t="shared" si="4"/>
        <v>0</v>
      </c>
      <c r="AI13" s="1">
        <f t="shared" si="5"/>
        <v>0</v>
      </c>
      <c r="AJ13" s="1">
        <f t="shared" si="6"/>
        <v>0</v>
      </c>
      <c r="AK13" s="1">
        <f t="shared" si="7"/>
        <v>0</v>
      </c>
      <c r="AL13" s="1">
        <f t="shared" si="8"/>
        <v>0</v>
      </c>
      <c r="AM13" s="1">
        <f t="shared" si="9"/>
        <v>0</v>
      </c>
      <c r="AN13" s="278">
        <f t="shared" si="10"/>
        <v>2</v>
      </c>
      <c r="AP13" s="280">
        <v>2</v>
      </c>
      <c r="AU13" s="281"/>
      <c r="AZ13" s="281"/>
      <c r="BG13" s="282">
        <f t="shared" si="11"/>
        <v>0</v>
      </c>
      <c r="BH13" s="282">
        <f t="shared" si="12"/>
        <v>0</v>
      </c>
      <c r="BI13" s="283">
        <f t="shared" si="13"/>
        <v>0</v>
      </c>
      <c r="BL13" s="1">
        <v>516334</v>
      </c>
      <c r="BM13" s="1">
        <v>173358</v>
      </c>
      <c r="BN13" s="1" t="s">
        <v>1389</v>
      </c>
      <c r="BO13" s="1" t="s">
        <v>1407</v>
      </c>
      <c r="BP13" s="284" t="s">
        <v>1389</v>
      </c>
      <c r="BU13" s="284" t="s">
        <v>1689</v>
      </c>
      <c r="BV13" s="284" t="s">
        <v>27</v>
      </c>
      <c r="BW13" s="284" t="s">
        <v>27</v>
      </c>
    </row>
    <row r="14" spans="1:76" ht="15" customHeight="1" x14ac:dyDescent="0.25">
      <c r="A14" s="275" t="s">
        <v>385</v>
      </c>
      <c r="B14" s="276" t="s">
        <v>21</v>
      </c>
      <c r="D14" s="277">
        <v>43035</v>
      </c>
      <c r="E14" s="277">
        <v>44131</v>
      </c>
      <c r="F14" s="277">
        <v>44130</v>
      </c>
      <c r="G14" s="277">
        <v>44880</v>
      </c>
      <c r="H14" s="269" t="s">
        <v>22</v>
      </c>
      <c r="I14" s="275" t="s">
        <v>1473</v>
      </c>
      <c r="K14" s="275" t="s">
        <v>386</v>
      </c>
      <c r="L14" s="275" t="s">
        <v>387</v>
      </c>
      <c r="M14" s="275" t="s">
        <v>388</v>
      </c>
      <c r="V14" s="1">
        <f t="shared" si="0"/>
        <v>0</v>
      </c>
      <c r="W14" s="1">
        <v>1</v>
      </c>
      <c r="AE14" s="1">
        <f t="shared" si="1"/>
        <v>1</v>
      </c>
      <c r="AF14" s="1">
        <f t="shared" si="2"/>
        <v>1</v>
      </c>
      <c r="AG14" s="1">
        <f t="shared" si="3"/>
        <v>0</v>
      </c>
      <c r="AH14" s="1">
        <f t="shared" si="4"/>
        <v>0</v>
      </c>
      <c r="AI14" s="1">
        <f t="shared" si="5"/>
        <v>0</v>
      </c>
      <c r="AJ14" s="1">
        <f t="shared" si="6"/>
        <v>0</v>
      </c>
      <c r="AK14" s="1">
        <f t="shared" si="7"/>
        <v>0</v>
      </c>
      <c r="AL14" s="1">
        <f t="shared" si="8"/>
        <v>0</v>
      </c>
      <c r="AM14" s="1">
        <f t="shared" si="9"/>
        <v>0</v>
      </c>
      <c r="AN14" s="278">
        <f t="shared" si="10"/>
        <v>1</v>
      </c>
      <c r="AP14" s="280">
        <v>1</v>
      </c>
      <c r="AU14" s="281"/>
      <c r="AZ14" s="281"/>
      <c r="BG14" s="282">
        <f t="shared" si="11"/>
        <v>0</v>
      </c>
      <c r="BH14" s="282">
        <f t="shared" si="12"/>
        <v>0</v>
      </c>
      <c r="BI14" s="283">
        <f t="shared" si="13"/>
        <v>0</v>
      </c>
      <c r="BL14" s="1">
        <v>520624</v>
      </c>
      <c r="BM14" s="1">
        <v>175780</v>
      </c>
      <c r="BN14" s="1" t="s">
        <v>1599</v>
      </c>
      <c r="BO14" s="1" t="s">
        <v>1562</v>
      </c>
      <c r="BU14" s="284" t="s">
        <v>1690</v>
      </c>
      <c r="BV14" s="284" t="s">
        <v>27</v>
      </c>
      <c r="BW14" s="284" t="s">
        <v>27</v>
      </c>
    </row>
    <row r="15" spans="1:76" ht="15" customHeight="1" x14ac:dyDescent="0.25">
      <c r="A15" s="275" t="s">
        <v>332</v>
      </c>
      <c r="B15" s="276" t="s">
        <v>49</v>
      </c>
      <c r="C15" s="1" t="s">
        <v>1262</v>
      </c>
      <c r="D15" s="277">
        <v>43780</v>
      </c>
      <c r="E15" s="277">
        <v>44876</v>
      </c>
      <c r="F15" s="277">
        <v>44200</v>
      </c>
      <c r="G15" s="277">
        <v>44810</v>
      </c>
      <c r="H15" s="269" t="s">
        <v>22</v>
      </c>
      <c r="I15" s="275" t="s">
        <v>1473</v>
      </c>
      <c r="K15" s="275" t="s">
        <v>333</v>
      </c>
      <c r="L15" s="275" t="s">
        <v>334</v>
      </c>
      <c r="M15" s="275" t="s">
        <v>95</v>
      </c>
      <c r="V15" s="1">
        <f t="shared" si="0"/>
        <v>0</v>
      </c>
      <c r="W15" s="1">
        <v>3</v>
      </c>
      <c r="AE15" s="1">
        <f t="shared" si="1"/>
        <v>3</v>
      </c>
      <c r="AF15" s="1">
        <f t="shared" si="2"/>
        <v>3</v>
      </c>
      <c r="AG15" s="1">
        <f t="shared" si="3"/>
        <v>0</v>
      </c>
      <c r="AH15" s="1">
        <f t="shared" si="4"/>
        <v>0</v>
      </c>
      <c r="AI15" s="1">
        <f t="shared" si="5"/>
        <v>0</v>
      </c>
      <c r="AJ15" s="1">
        <f t="shared" si="6"/>
        <v>0</v>
      </c>
      <c r="AK15" s="1">
        <f t="shared" si="7"/>
        <v>0</v>
      </c>
      <c r="AL15" s="1">
        <f t="shared" si="8"/>
        <v>0</v>
      </c>
      <c r="AM15" s="1">
        <f t="shared" si="9"/>
        <v>0</v>
      </c>
      <c r="AN15" s="278">
        <f t="shared" si="10"/>
        <v>3</v>
      </c>
      <c r="AP15" s="280">
        <v>3</v>
      </c>
      <c r="AU15" s="281"/>
      <c r="AZ15" s="281"/>
      <c r="BG15" s="282">
        <f t="shared" si="11"/>
        <v>0</v>
      </c>
      <c r="BH15" s="282">
        <f t="shared" si="12"/>
        <v>0</v>
      </c>
      <c r="BI15" s="283">
        <f t="shared" si="13"/>
        <v>0</v>
      </c>
      <c r="BL15" s="1">
        <v>516291</v>
      </c>
      <c r="BM15" s="1">
        <v>173345</v>
      </c>
      <c r="BN15" s="1" t="s">
        <v>1389</v>
      </c>
      <c r="BO15" s="1" t="s">
        <v>1407</v>
      </c>
      <c r="BP15" s="284" t="s">
        <v>1389</v>
      </c>
      <c r="BU15" s="284" t="s">
        <v>1689</v>
      </c>
      <c r="BV15" s="284" t="s">
        <v>27</v>
      </c>
      <c r="BW15" s="284" t="s">
        <v>27</v>
      </c>
    </row>
    <row r="16" spans="1:76" ht="15" customHeight="1" x14ac:dyDescent="0.25">
      <c r="A16" s="275" t="s">
        <v>151</v>
      </c>
      <c r="B16" s="276" t="s">
        <v>49</v>
      </c>
      <c r="D16" s="277">
        <v>44144</v>
      </c>
      <c r="E16" s="277">
        <v>45239</v>
      </c>
      <c r="F16" s="277">
        <v>44201</v>
      </c>
      <c r="G16" s="277">
        <v>44887</v>
      </c>
      <c r="H16" s="269" t="s">
        <v>22</v>
      </c>
      <c r="I16" s="275" t="s">
        <v>1473</v>
      </c>
      <c r="K16" s="275" t="s">
        <v>152</v>
      </c>
      <c r="L16" s="275" t="s">
        <v>153</v>
      </c>
      <c r="M16" s="275" t="s">
        <v>154</v>
      </c>
      <c r="R16" s="1">
        <v>1</v>
      </c>
      <c r="V16" s="1">
        <f t="shared" si="0"/>
        <v>1</v>
      </c>
      <c r="X16" s="1">
        <v>2</v>
      </c>
      <c r="AE16" s="1">
        <f t="shared" si="1"/>
        <v>2</v>
      </c>
      <c r="AF16" s="1">
        <f t="shared" si="2"/>
        <v>0</v>
      </c>
      <c r="AG16" s="1">
        <f t="shared" si="3"/>
        <v>2</v>
      </c>
      <c r="AH16" s="1">
        <f t="shared" si="4"/>
        <v>0</v>
      </c>
      <c r="AI16" s="1">
        <f t="shared" si="5"/>
        <v>-1</v>
      </c>
      <c r="AJ16" s="1">
        <f t="shared" si="6"/>
        <v>0</v>
      </c>
      <c r="AK16" s="1">
        <f t="shared" si="7"/>
        <v>0</v>
      </c>
      <c r="AL16" s="1">
        <f t="shared" si="8"/>
        <v>0</v>
      </c>
      <c r="AM16" s="1">
        <f t="shared" si="9"/>
        <v>0</v>
      </c>
      <c r="AN16" s="278">
        <f t="shared" si="10"/>
        <v>1</v>
      </c>
      <c r="AP16" s="280">
        <v>1</v>
      </c>
      <c r="AU16" s="281"/>
      <c r="AZ16" s="281"/>
      <c r="BG16" s="282">
        <f t="shared" si="11"/>
        <v>0</v>
      </c>
      <c r="BH16" s="282">
        <f t="shared" si="12"/>
        <v>0</v>
      </c>
      <c r="BI16" s="283">
        <f t="shared" si="13"/>
        <v>0</v>
      </c>
      <c r="BL16" s="1">
        <v>515798</v>
      </c>
      <c r="BM16" s="1">
        <v>173148</v>
      </c>
      <c r="BN16" s="1" t="s">
        <v>1389</v>
      </c>
      <c r="BO16" s="1" t="s">
        <v>1406</v>
      </c>
      <c r="BP16" s="284" t="s">
        <v>1389</v>
      </c>
      <c r="BW16" s="284" t="s">
        <v>27</v>
      </c>
    </row>
    <row r="17" spans="1:75" ht="15" customHeight="1" x14ac:dyDescent="0.25">
      <c r="A17" s="275" t="s">
        <v>369</v>
      </c>
      <c r="B17" s="276" t="s">
        <v>21</v>
      </c>
      <c r="D17" s="277">
        <v>43671</v>
      </c>
      <c r="E17" s="277">
        <v>44767</v>
      </c>
      <c r="F17" s="277">
        <v>44224</v>
      </c>
      <c r="G17" s="277">
        <v>44726</v>
      </c>
      <c r="H17" s="269" t="s">
        <v>22</v>
      </c>
      <c r="I17" s="275" t="s">
        <v>1473</v>
      </c>
      <c r="K17" s="275" t="s">
        <v>370</v>
      </c>
      <c r="L17" s="275" t="s">
        <v>371</v>
      </c>
      <c r="M17" s="275" t="s">
        <v>372</v>
      </c>
      <c r="V17" s="1">
        <f t="shared" si="0"/>
        <v>0</v>
      </c>
      <c r="Y17" s="1">
        <v>1</v>
      </c>
      <c r="AE17" s="1">
        <f t="shared" si="1"/>
        <v>1</v>
      </c>
      <c r="AF17" s="1">
        <f t="shared" si="2"/>
        <v>0</v>
      </c>
      <c r="AG17" s="1">
        <f t="shared" si="3"/>
        <v>0</v>
      </c>
      <c r="AH17" s="1">
        <f t="shared" si="4"/>
        <v>1</v>
      </c>
      <c r="AI17" s="1">
        <f t="shared" si="5"/>
        <v>0</v>
      </c>
      <c r="AJ17" s="1">
        <f t="shared" si="6"/>
        <v>0</v>
      </c>
      <c r="AK17" s="1">
        <f t="shared" si="7"/>
        <v>0</v>
      </c>
      <c r="AL17" s="1">
        <f t="shared" si="8"/>
        <v>0</v>
      </c>
      <c r="AM17" s="1">
        <f t="shared" si="9"/>
        <v>0</v>
      </c>
      <c r="AN17" s="278">
        <f t="shared" si="10"/>
        <v>1</v>
      </c>
      <c r="AP17" s="280">
        <v>1</v>
      </c>
      <c r="AU17" s="281"/>
      <c r="AZ17" s="281"/>
      <c r="BG17" s="282">
        <f t="shared" si="11"/>
        <v>0</v>
      </c>
      <c r="BH17" s="282">
        <f t="shared" si="12"/>
        <v>0</v>
      </c>
      <c r="BI17" s="283">
        <f t="shared" si="13"/>
        <v>0</v>
      </c>
      <c r="BL17" s="1">
        <v>521611</v>
      </c>
      <c r="BM17" s="1">
        <v>175705</v>
      </c>
      <c r="BN17" s="1" t="s">
        <v>1599</v>
      </c>
      <c r="BO17" s="1" t="s">
        <v>1562</v>
      </c>
      <c r="BW17" s="284" t="s">
        <v>27</v>
      </c>
    </row>
    <row r="18" spans="1:75" ht="15" customHeight="1" x14ac:dyDescent="0.25">
      <c r="A18" s="275" t="s">
        <v>405</v>
      </c>
      <c r="B18" s="276" t="s">
        <v>21</v>
      </c>
      <c r="D18" s="277">
        <v>44970</v>
      </c>
      <c r="E18" s="277">
        <v>46066</v>
      </c>
      <c r="F18" s="277">
        <v>44228</v>
      </c>
      <c r="G18" s="277">
        <v>44706</v>
      </c>
      <c r="H18" s="269" t="s">
        <v>22</v>
      </c>
      <c r="I18" s="275" t="s">
        <v>1473</v>
      </c>
      <c r="K18" s="275" t="s">
        <v>406</v>
      </c>
      <c r="L18" s="275" t="s">
        <v>407</v>
      </c>
      <c r="M18" s="275" t="s">
        <v>408</v>
      </c>
      <c r="Q18" s="1">
        <v>1</v>
      </c>
      <c r="V18" s="1">
        <f t="shared" si="0"/>
        <v>1</v>
      </c>
      <c r="W18" s="1">
        <v>3</v>
      </c>
      <c r="X18" s="1">
        <v>4</v>
      </c>
      <c r="Y18" s="1">
        <v>1</v>
      </c>
      <c r="AE18" s="1">
        <f t="shared" si="1"/>
        <v>8</v>
      </c>
      <c r="AF18" s="1">
        <f t="shared" si="2"/>
        <v>3</v>
      </c>
      <c r="AG18" s="1">
        <f t="shared" si="3"/>
        <v>4</v>
      </c>
      <c r="AH18" s="1">
        <f t="shared" si="4"/>
        <v>0</v>
      </c>
      <c r="AI18" s="1">
        <f t="shared" si="5"/>
        <v>0</v>
      </c>
      <c r="AJ18" s="1">
        <f t="shared" si="6"/>
        <v>0</v>
      </c>
      <c r="AK18" s="1">
        <f t="shared" si="7"/>
        <v>0</v>
      </c>
      <c r="AL18" s="1">
        <f t="shared" si="8"/>
        <v>0</v>
      </c>
      <c r="AM18" s="1">
        <f t="shared" si="9"/>
        <v>0</v>
      </c>
      <c r="AN18" s="278">
        <f t="shared" si="10"/>
        <v>7</v>
      </c>
      <c r="AP18" s="280">
        <v>7</v>
      </c>
      <c r="AU18" s="281"/>
      <c r="AZ18" s="281"/>
      <c r="BG18" s="282">
        <f t="shared" si="11"/>
        <v>0</v>
      </c>
      <c r="BH18" s="282">
        <f t="shared" si="12"/>
        <v>0</v>
      </c>
      <c r="BI18" s="283">
        <f t="shared" si="13"/>
        <v>0</v>
      </c>
      <c r="BL18" s="1">
        <v>517393</v>
      </c>
      <c r="BM18" s="1">
        <v>169491</v>
      </c>
      <c r="BN18" s="1" t="s">
        <v>1600</v>
      </c>
      <c r="BO18" s="1" t="s">
        <v>1559</v>
      </c>
      <c r="BU18" s="284" t="s">
        <v>1691</v>
      </c>
      <c r="BV18" s="284" t="s">
        <v>27</v>
      </c>
      <c r="BW18" s="284" t="s">
        <v>27</v>
      </c>
    </row>
    <row r="19" spans="1:75" ht="15" customHeight="1" x14ac:dyDescent="0.25">
      <c r="A19" s="275" t="s">
        <v>316</v>
      </c>
      <c r="B19" s="276" t="s">
        <v>224</v>
      </c>
      <c r="D19" s="277">
        <v>43957</v>
      </c>
      <c r="E19" s="277">
        <v>45052</v>
      </c>
      <c r="F19" s="277">
        <v>44256</v>
      </c>
      <c r="G19" s="277">
        <v>44817</v>
      </c>
      <c r="H19" s="269" t="s">
        <v>22</v>
      </c>
      <c r="I19" s="275" t="s">
        <v>1473</v>
      </c>
      <c r="K19" s="275" t="s">
        <v>317</v>
      </c>
      <c r="L19" s="275" t="s">
        <v>318</v>
      </c>
      <c r="M19" s="275" t="s">
        <v>319</v>
      </c>
      <c r="P19" s="1">
        <v>1</v>
      </c>
      <c r="S19" s="1">
        <v>1</v>
      </c>
      <c r="V19" s="1">
        <f t="shared" si="0"/>
        <v>2</v>
      </c>
      <c r="AA19" s="1">
        <v>1</v>
      </c>
      <c r="AE19" s="1">
        <f t="shared" si="1"/>
        <v>1</v>
      </c>
      <c r="AF19" s="1">
        <f t="shared" si="2"/>
        <v>0</v>
      </c>
      <c r="AG19" s="1">
        <f t="shared" si="3"/>
        <v>-1</v>
      </c>
      <c r="AH19" s="1">
        <f t="shared" si="4"/>
        <v>0</v>
      </c>
      <c r="AI19" s="1">
        <f t="shared" si="5"/>
        <v>0</v>
      </c>
      <c r="AJ19" s="1">
        <f t="shared" si="6"/>
        <v>0</v>
      </c>
      <c r="AK19" s="1">
        <f t="shared" si="7"/>
        <v>0</v>
      </c>
      <c r="AL19" s="1">
        <f t="shared" si="8"/>
        <v>0</v>
      </c>
      <c r="AM19" s="1">
        <f t="shared" si="9"/>
        <v>0</v>
      </c>
      <c r="AN19" s="278">
        <f t="shared" si="10"/>
        <v>-1</v>
      </c>
      <c r="AP19" s="280">
        <v>-1</v>
      </c>
      <c r="AU19" s="281"/>
      <c r="AZ19" s="281"/>
      <c r="BG19" s="282">
        <f t="shared" si="11"/>
        <v>0</v>
      </c>
      <c r="BH19" s="282">
        <f t="shared" si="12"/>
        <v>0</v>
      </c>
      <c r="BI19" s="283">
        <f t="shared" si="13"/>
        <v>0</v>
      </c>
      <c r="BL19" s="1">
        <v>518373</v>
      </c>
      <c r="BM19" s="1">
        <v>174608</v>
      </c>
      <c r="BN19" s="1" t="s">
        <v>1385</v>
      </c>
      <c r="BO19" s="1" t="s">
        <v>1405</v>
      </c>
      <c r="BU19" s="284" t="s">
        <v>1692</v>
      </c>
      <c r="BV19" s="284" t="s">
        <v>27</v>
      </c>
      <c r="BW19" s="284" t="s">
        <v>27</v>
      </c>
    </row>
    <row r="20" spans="1:75" ht="15" customHeight="1" x14ac:dyDescent="0.25">
      <c r="A20" s="275" t="s">
        <v>197</v>
      </c>
      <c r="B20" s="276" t="s">
        <v>21</v>
      </c>
      <c r="D20" s="277">
        <v>43916</v>
      </c>
      <c r="E20" s="277">
        <v>45011</v>
      </c>
      <c r="F20" s="277">
        <v>44256</v>
      </c>
      <c r="G20" s="277">
        <v>44932</v>
      </c>
      <c r="H20" s="269" t="s">
        <v>22</v>
      </c>
      <c r="I20" s="275" t="s">
        <v>1473</v>
      </c>
      <c r="K20" s="275" t="s">
        <v>198</v>
      </c>
      <c r="L20" s="275" t="s">
        <v>199</v>
      </c>
      <c r="M20" s="275" t="s">
        <v>200</v>
      </c>
      <c r="Q20" s="1">
        <v>1</v>
      </c>
      <c r="V20" s="1">
        <f t="shared" si="0"/>
        <v>1</v>
      </c>
      <c r="Z20" s="1">
        <v>1</v>
      </c>
      <c r="AE20" s="1">
        <f t="shared" si="1"/>
        <v>1</v>
      </c>
      <c r="AF20" s="1">
        <f t="shared" si="2"/>
        <v>0</v>
      </c>
      <c r="AG20" s="1">
        <f t="shared" si="3"/>
        <v>0</v>
      </c>
      <c r="AH20" s="1">
        <f t="shared" si="4"/>
        <v>-1</v>
      </c>
      <c r="AI20" s="1">
        <f t="shared" si="5"/>
        <v>1</v>
      </c>
      <c r="AJ20" s="1">
        <f t="shared" si="6"/>
        <v>0</v>
      </c>
      <c r="AK20" s="1">
        <f t="shared" si="7"/>
        <v>0</v>
      </c>
      <c r="AL20" s="1">
        <f t="shared" si="8"/>
        <v>0</v>
      </c>
      <c r="AM20" s="1">
        <f t="shared" si="9"/>
        <v>0</v>
      </c>
      <c r="AN20" s="278">
        <f t="shared" si="10"/>
        <v>0</v>
      </c>
      <c r="AP20" s="280">
        <v>0</v>
      </c>
      <c r="AU20" s="281"/>
      <c r="AZ20" s="281"/>
      <c r="BG20" s="282">
        <f t="shared" si="11"/>
        <v>0</v>
      </c>
      <c r="BH20" s="282">
        <f t="shared" si="12"/>
        <v>0</v>
      </c>
      <c r="BI20" s="283">
        <f t="shared" si="13"/>
        <v>0</v>
      </c>
      <c r="BL20" s="1">
        <v>521893</v>
      </c>
      <c r="BM20" s="1">
        <v>177129</v>
      </c>
      <c r="BN20" s="1" t="s">
        <v>1599</v>
      </c>
      <c r="BO20" s="1" t="s">
        <v>1399</v>
      </c>
    </row>
    <row r="21" spans="1:75" ht="15" customHeight="1" x14ac:dyDescent="0.25">
      <c r="A21" s="275" t="s">
        <v>393</v>
      </c>
      <c r="B21" s="276" t="s">
        <v>49</v>
      </c>
      <c r="D21" s="277">
        <v>43958</v>
      </c>
      <c r="E21" s="277">
        <v>45053</v>
      </c>
      <c r="F21" s="277">
        <v>44286</v>
      </c>
      <c r="G21" s="277">
        <v>44764</v>
      </c>
      <c r="H21" s="269" t="s">
        <v>22</v>
      </c>
      <c r="I21" s="275" t="s">
        <v>1473</v>
      </c>
      <c r="K21" s="275" t="s">
        <v>394</v>
      </c>
      <c r="L21" s="275" t="s">
        <v>395</v>
      </c>
      <c r="M21" s="275" t="s">
        <v>396</v>
      </c>
      <c r="V21" s="1">
        <f t="shared" si="0"/>
        <v>0</v>
      </c>
      <c r="Y21" s="1">
        <v>5</v>
      </c>
      <c r="AE21" s="1">
        <f t="shared" si="1"/>
        <v>5</v>
      </c>
      <c r="AF21" s="1">
        <f t="shared" si="2"/>
        <v>0</v>
      </c>
      <c r="AG21" s="1">
        <f t="shared" si="3"/>
        <v>0</v>
      </c>
      <c r="AH21" s="1">
        <f t="shared" si="4"/>
        <v>5</v>
      </c>
      <c r="AI21" s="1">
        <f t="shared" si="5"/>
        <v>0</v>
      </c>
      <c r="AJ21" s="1">
        <f t="shared" si="6"/>
        <v>0</v>
      </c>
      <c r="AK21" s="1">
        <f t="shared" si="7"/>
        <v>0</v>
      </c>
      <c r="AL21" s="1">
        <f t="shared" si="8"/>
        <v>0</v>
      </c>
      <c r="AM21" s="1">
        <f t="shared" si="9"/>
        <v>0</v>
      </c>
      <c r="AN21" s="278">
        <f t="shared" si="10"/>
        <v>5</v>
      </c>
      <c r="AP21" s="280">
        <v>5</v>
      </c>
      <c r="AU21" s="281"/>
      <c r="AZ21" s="281"/>
      <c r="BG21" s="282">
        <f t="shared" si="11"/>
        <v>0</v>
      </c>
      <c r="BH21" s="282">
        <f t="shared" si="12"/>
        <v>0</v>
      </c>
      <c r="BI21" s="283">
        <f t="shared" si="13"/>
        <v>0</v>
      </c>
      <c r="BL21" s="1">
        <v>515028</v>
      </c>
      <c r="BM21" s="1">
        <v>172768</v>
      </c>
      <c r="BN21" s="1" t="s">
        <v>1389</v>
      </c>
      <c r="BO21" s="1" t="s">
        <v>1408</v>
      </c>
      <c r="BW21" s="284" t="s">
        <v>27</v>
      </c>
    </row>
    <row r="22" spans="1:75" ht="15" customHeight="1" x14ac:dyDescent="0.25">
      <c r="A22" s="275" t="s">
        <v>335</v>
      </c>
      <c r="B22" s="276" t="s">
        <v>21</v>
      </c>
      <c r="D22" s="277">
        <v>43901</v>
      </c>
      <c r="E22" s="277">
        <v>44996</v>
      </c>
      <c r="F22" s="277">
        <v>44286</v>
      </c>
      <c r="G22" s="277">
        <v>44941</v>
      </c>
      <c r="H22" s="275" t="s">
        <v>22</v>
      </c>
      <c r="I22" s="275" t="s">
        <v>1473</v>
      </c>
      <c r="K22" s="275" t="s">
        <v>336</v>
      </c>
      <c r="L22" s="275" t="s">
        <v>337</v>
      </c>
      <c r="M22" s="275" t="s">
        <v>338</v>
      </c>
      <c r="R22" s="1">
        <v>1</v>
      </c>
      <c r="V22" s="1">
        <f t="shared" si="0"/>
        <v>1</v>
      </c>
      <c r="AA22" s="1">
        <v>1</v>
      </c>
      <c r="AE22" s="1">
        <f t="shared" si="1"/>
        <v>1</v>
      </c>
      <c r="AF22" s="1">
        <f t="shared" si="2"/>
        <v>0</v>
      </c>
      <c r="AG22" s="1">
        <f t="shared" si="3"/>
        <v>0</v>
      </c>
      <c r="AH22" s="1">
        <f t="shared" si="4"/>
        <v>0</v>
      </c>
      <c r="AI22" s="1">
        <f t="shared" si="5"/>
        <v>-1</v>
      </c>
      <c r="AJ22" s="1">
        <f t="shared" si="6"/>
        <v>1</v>
      </c>
      <c r="AK22" s="1">
        <f t="shared" si="7"/>
        <v>0</v>
      </c>
      <c r="AL22" s="1">
        <f t="shared" si="8"/>
        <v>0</v>
      </c>
      <c r="AM22" s="1">
        <f t="shared" si="9"/>
        <v>0</v>
      </c>
      <c r="AN22" s="278">
        <f t="shared" si="10"/>
        <v>0</v>
      </c>
      <c r="AP22" s="280">
        <v>0</v>
      </c>
      <c r="AU22" s="281"/>
      <c r="AZ22" s="281"/>
      <c r="BG22" s="282">
        <f t="shared" si="11"/>
        <v>0</v>
      </c>
      <c r="BH22" s="282">
        <f t="shared" si="12"/>
        <v>0</v>
      </c>
      <c r="BI22" s="283">
        <f t="shared" si="13"/>
        <v>0</v>
      </c>
      <c r="BL22" s="1">
        <v>517948</v>
      </c>
      <c r="BM22" s="1">
        <v>172696</v>
      </c>
      <c r="BN22" s="1" t="s">
        <v>1601</v>
      </c>
      <c r="BO22" s="1" t="s">
        <v>1560</v>
      </c>
    </row>
    <row r="23" spans="1:75" ht="15" customHeight="1" x14ac:dyDescent="0.25">
      <c r="A23" s="275" t="s">
        <v>389</v>
      </c>
      <c r="B23" s="276" t="s">
        <v>21</v>
      </c>
      <c r="D23" s="277">
        <v>44053</v>
      </c>
      <c r="E23" s="277">
        <v>45148</v>
      </c>
      <c r="F23" s="277">
        <v>44286</v>
      </c>
      <c r="G23" s="277">
        <v>44946</v>
      </c>
      <c r="H23" s="269" t="s">
        <v>22</v>
      </c>
      <c r="I23" s="275" t="s">
        <v>1473</v>
      </c>
      <c r="K23" s="275" t="s">
        <v>390</v>
      </c>
      <c r="L23" s="275" t="s">
        <v>391</v>
      </c>
      <c r="M23" s="275" t="s">
        <v>392</v>
      </c>
      <c r="V23" s="1">
        <f t="shared" si="0"/>
        <v>0</v>
      </c>
      <c r="W23" s="1">
        <v>1</v>
      </c>
      <c r="AE23" s="1">
        <f t="shared" si="1"/>
        <v>1</v>
      </c>
      <c r="AF23" s="1">
        <f t="shared" si="2"/>
        <v>1</v>
      </c>
      <c r="AG23" s="1">
        <f t="shared" si="3"/>
        <v>0</v>
      </c>
      <c r="AH23" s="1">
        <f t="shared" si="4"/>
        <v>0</v>
      </c>
      <c r="AI23" s="1">
        <f t="shared" si="5"/>
        <v>0</v>
      </c>
      <c r="AJ23" s="1">
        <f t="shared" si="6"/>
        <v>0</v>
      </c>
      <c r="AK23" s="1">
        <f t="shared" si="7"/>
        <v>0</v>
      </c>
      <c r="AL23" s="1">
        <f t="shared" si="8"/>
        <v>0</v>
      </c>
      <c r="AM23" s="1">
        <f t="shared" si="9"/>
        <v>0</v>
      </c>
      <c r="AN23" s="278">
        <f t="shared" si="10"/>
        <v>1</v>
      </c>
      <c r="AP23" s="280">
        <v>1</v>
      </c>
      <c r="AU23" s="281"/>
      <c r="AZ23" s="281"/>
      <c r="BG23" s="282">
        <f t="shared" si="11"/>
        <v>0</v>
      </c>
      <c r="BH23" s="282">
        <f t="shared" si="12"/>
        <v>0</v>
      </c>
      <c r="BI23" s="283">
        <f t="shared" si="13"/>
        <v>0</v>
      </c>
      <c r="BL23" s="1">
        <v>516812</v>
      </c>
      <c r="BM23" s="1">
        <v>170692</v>
      </c>
      <c r="BN23" s="1" t="s">
        <v>1600</v>
      </c>
      <c r="BO23" s="1" t="s">
        <v>1559</v>
      </c>
      <c r="BW23" s="284" t="s">
        <v>27</v>
      </c>
    </row>
    <row r="24" spans="1:75" ht="15" customHeight="1" x14ac:dyDescent="0.25">
      <c r="A24" s="275" t="s">
        <v>132</v>
      </c>
      <c r="B24" s="276" t="s">
        <v>21</v>
      </c>
      <c r="D24" s="277">
        <v>44251</v>
      </c>
      <c r="E24" s="277">
        <v>45346</v>
      </c>
      <c r="F24" s="277">
        <v>44286</v>
      </c>
      <c r="G24" s="277">
        <v>44670</v>
      </c>
      <c r="H24" s="269" t="s">
        <v>22</v>
      </c>
      <c r="I24" s="275" t="s">
        <v>1473</v>
      </c>
      <c r="K24" s="275" t="s">
        <v>133</v>
      </c>
      <c r="L24" s="275" t="s">
        <v>134</v>
      </c>
      <c r="M24" s="275" t="s">
        <v>135</v>
      </c>
      <c r="V24" s="1">
        <f t="shared" si="0"/>
        <v>0</v>
      </c>
      <c r="Z24" s="1">
        <v>1</v>
      </c>
      <c r="AE24" s="1">
        <f t="shared" si="1"/>
        <v>1</v>
      </c>
      <c r="AF24" s="1">
        <f t="shared" si="2"/>
        <v>0</v>
      </c>
      <c r="AG24" s="1">
        <f t="shared" si="3"/>
        <v>0</v>
      </c>
      <c r="AH24" s="1">
        <f t="shared" si="4"/>
        <v>0</v>
      </c>
      <c r="AI24" s="1">
        <f t="shared" si="5"/>
        <v>1</v>
      </c>
      <c r="AJ24" s="1">
        <f t="shared" si="6"/>
        <v>0</v>
      </c>
      <c r="AK24" s="1">
        <f t="shared" si="7"/>
        <v>0</v>
      </c>
      <c r="AL24" s="1">
        <f t="shared" si="8"/>
        <v>0</v>
      </c>
      <c r="AM24" s="1">
        <f t="shared" si="9"/>
        <v>0</v>
      </c>
      <c r="AN24" s="278">
        <f t="shared" si="10"/>
        <v>1</v>
      </c>
      <c r="AP24" s="280">
        <v>1</v>
      </c>
      <c r="AU24" s="281"/>
      <c r="AZ24" s="281"/>
      <c r="BG24" s="282">
        <f t="shared" si="11"/>
        <v>0</v>
      </c>
      <c r="BH24" s="282">
        <f t="shared" si="12"/>
        <v>0</v>
      </c>
      <c r="BI24" s="283">
        <f t="shared" si="13"/>
        <v>0</v>
      </c>
      <c r="BL24" s="1">
        <v>513900</v>
      </c>
      <c r="BM24" s="1">
        <v>174312</v>
      </c>
      <c r="BN24" s="1" t="s">
        <v>1391</v>
      </c>
      <c r="BO24" s="1" t="s">
        <v>1391</v>
      </c>
      <c r="BW24" s="284" t="s">
        <v>27</v>
      </c>
    </row>
    <row r="25" spans="1:75" ht="15" customHeight="1" x14ac:dyDescent="0.25">
      <c r="A25" s="275" t="s">
        <v>259</v>
      </c>
      <c r="B25" s="276" t="s">
        <v>49</v>
      </c>
      <c r="D25" s="277">
        <v>43879</v>
      </c>
      <c r="E25" s="277">
        <v>44975</v>
      </c>
      <c r="F25" s="277">
        <v>44317</v>
      </c>
      <c r="G25" s="277">
        <v>44742</v>
      </c>
      <c r="H25" s="269" t="s">
        <v>22</v>
      </c>
      <c r="I25" s="275" t="s">
        <v>1473</v>
      </c>
      <c r="K25" s="275" t="s">
        <v>260</v>
      </c>
      <c r="L25" s="275" t="s">
        <v>261</v>
      </c>
      <c r="M25" s="275" t="s">
        <v>262</v>
      </c>
      <c r="V25" s="1">
        <f t="shared" si="0"/>
        <v>0</v>
      </c>
      <c r="X25" s="1">
        <v>2</v>
      </c>
      <c r="AE25" s="1">
        <f t="shared" si="1"/>
        <v>2</v>
      </c>
      <c r="AF25" s="1">
        <f t="shared" si="2"/>
        <v>0</v>
      </c>
      <c r="AG25" s="1">
        <f t="shared" si="3"/>
        <v>2</v>
      </c>
      <c r="AH25" s="1">
        <f t="shared" si="4"/>
        <v>0</v>
      </c>
      <c r="AI25" s="1">
        <f t="shared" si="5"/>
        <v>0</v>
      </c>
      <c r="AJ25" s="1">
        <f t="shared" si="6"/>
        <v>0</v>
      </c>
      <c r="AK25" s="1">
        <f t="shared" si="7"/>
        <v>0</v>
      </c>
      <c r="AL25" s="1">
        <f t="shared" si="8"/>
        <v>0</v>
      </c>
      <c r="AM25" s="1">
        <f t="shared" si="9"/>
        <v>0</v>
      </c>
      <c r="AN25" s="278">
        <f t="shared" si="10"/>
        <v>2</v>
      </c>
      <c r="AP25" s="280">
        <v>2</v>
      </c>
      <c r="AU25" s="281"/>
      <c r="AZ25" s="281"/>
      <c r="BG25" s="282">
        <f t="shared" si="11"/>
        <v>0</v>
      </c>
      <c r="BH25" s="282">
        <f t="shared" si="12"/>
        <v>0</v>
      </c>
      <c r="BI25" s="283">
        <f t="shared" si="13"/>
        <v>0</v>
      </c>
      <c r="BL25" s="1">
        <v>520577</v>
      </c>
      <c r="BM25" s="1">
        <v>175397</v>
      </c>
      <c r="BN25" s="1" t="s">
        <v>1599</v>
      </c>
      <c r="BO25" s="1" t="s">
        <v>1384</v>
      </c>
      <c r="BP25" s="284" t="s">
        <v>1384</v>
      </c>
      <c r="BW25" s="284" t="s">
        <v>27</v>
      </c>
    </row>
    <row r="26" spans="1:75" ht="15" customHeight="1" x14ac:dyDescent="0.25">
      <c r="A26" s="275" t="s">
        <v>235</v>
      </c>
      <c r="B26" s="276" t="s">
        <v>21</v>
      </c>
      <c r="D26" s="277">
        <v>44333</v>
      </c>
      <c r="E26" s="277">
        <v>45429</v>
      </c>
      <c r="F26" s="277">
        <v>44348</v>
      </c>
      <c r="G26" s="277">
        <v>44785</v>
      </c>
      <c r="H26" s="269" t="s">
        <v>22</v>
      </c>
      <c r="I26" s="275" t="s">
        <v>1473</v>
      </c>
      <c r="K26" s="275" t="s">
        <v>236</v>
      </c>
      <c r="L26" s="275" t="s">
        <v>237</v>
      </c>
      <c r="M26" s="275" t="s">
        <v>238</v>
      </c>
      <c r="Q26" s="1">
        <v>1</v>
      </c>
      <c r="V26" s="1">
        <f t="shared" si="0"/>
        <v>1</v>
      </c>
      <c r="Y26" s="1">
        <v>3</v>
      </c>
      <c r="AE26" s="1">
        <f t="shared" si="1"/>
        <v>3</v>
      </c>
      <c r="AF26" s="1">
        <f t="shared" si="2"/>
        <v>0</v>
      </c>
      <c r="AG26" s="1">
        <f t="shared" si="3"/>
        <v>0</v>
      </c>
      <c r="AH26" s="1">
        <f t="shared" si="4"/>
        <v>2</v>
      </c>
      <c r="AI26" s="1">
        <f t="shared" si="5"/>
        <v>0</v>
      </c>
      <c r="AJ26" s="1">
        <f t="shared" si="6"/>
        <v>0</v>
      </c>
      <c r="AK26" s="1">
        <f t="shared" si="7"/>
        <v>0</v>
      </c>
      <c r="AL26" s="1">
        <f t="shared" si="8"/>
        <v>0</v>
      </c>
      <c r="AM26" s="1">
        <f t="shared" si="9"/>
        <v>0</v>
      </c>
      <c r="AN26" s="278">
        <f t="shared" si="10"/>
        <v>2</v>
      </c>
      <c r="AP26" s="280">
        <v>2</v>
      </c>
      <c r="AU26" s="281"/>
      <c r="AZ26" s="281"/>
      <c r="BG26" s="282">
        <f t="shared" si="11"/>
        <v>0</v>
      </c>
      <c r="BH26" s="282">
        <f t="shared" si="12"/>
        <v>0</v>
      </c>
      <c r="BI26" s="283">
        <f t="shared" si="13"/>
        <v>0</v>
      </c>
      <c r="BL26" s="1">
        <v>515086</v>
      </c>
      <c r="BM26" s="1">
        <v>171011</v>
      </c>
      <c r="BN26" s="1" t="s">
        <v>1600</v>
      </c>
      <c r="BO26" s="1" t="s">
        <v>1563</v>
      </c>
      <c r="BW26" s="284" t="s">
        <v>27</v>
      </c>
    </row>
    <row r="27" spans="1:75" ht="15" customHeight="1" x14ac:dyDescent="0.25">
      <c r="A27" s="275" t="s">
        <v>28</v>
      </c>
      <c r="B27" s="276" t="s">
        <v>21</v>
      </c>
      <c r="D27" s="277">
        <v>43690</v>
      </c>
      <c r="E27" s="277">
        <v>44786</v>
      </c>
      <c r="F27" s="277">
        <v>44355</v>
      </c>
      <c r="G27" s="277">
        <v>44790</v>
      </c>
      <c r="H27" s="269" t="s">
        <v>22</v>
      </c>
      <c r="I27" s="275" t="s">
        <v>23</v>
      </c>
      <c r="K27" s="275" t="s">
        <v>1253</v>
      </c>
      <c r="L27" s="275" t="s">
        <v>29</v>
      </c>
      <c r="M27" s="275" t="s">
        <v>30</v>
      </c>
      <c r="V27" s="1">
        <f t="shared" si="0"/>
        <v>0</v>
      </c>
      <c r="Y27" s="1">
        <v>3</v>
      </c>
      <c r="Z27" s="1">
        <v>2</v>
      </c>
      <c r="AE27" s="1">
        <f t="shared" si="1"/>
        <v>5</v>
      </c>
      <c r="AF27" s="1">
        <f t="shared" si="2"/>
        <v>0</v>
      </c>
      <c r="AG27" s="1">
        <f t="shared" si="3"/>
        <v>0</v>
      </c>
      <c r="AH27" s="1">
        <f t="shared" si="4"/>
        <v>3</v>
      </c>
      <c r="AI27" s="1">
        <f t="shared" si="5"/>
        <v>2</v>
      </c>
      <c r="AJ27" s="1">
        <f t="shared" si="6"/>
        <v>0</v>
      </c>
      <c r="AK27" s="1">
        <f t="shared" si="7"/>
        <v>0</v>
      </c>
      <c r="AL27" s="1">
        <f t="shared" si="8"/>
        <v>0</v>
      </c>
      <c r="AM27" s="1">
        <f t="shared" si="9"/>
        <v>0</v>
      </c>
      <c r="AN27" s="278">
        <f t="shared" si="10"/>
        <v>5</v>
      </c>
      <c r="AP27" s="280">
        <v>5</v>
      </c>
      <c r="AU27" s="281"/>
      <c r="AZ27" s="281"/>
      <c r="BG27" s="282">
        <f t="shared" si="11"/>
        <v>0</v>
      </c>
      <c r="BH27" s="282">
        <f t="shared" si="12"/>
        <v>0</v>
      </c>
      <c r="BI27" s="283">
        <f t="shared" si="13"/>
        <v>0</v>
      </c>
      <c r="BL27" s="1">
        <v>517328</v>
      </c>
      <c r="BM27" s="1">
        <v>170954</v>
      </c>
      <c r="BN27" s="1" t="s">
        <v>1600</v>
      </c>
      <c r="BO27" s="1" t="s">
        <v>1559</v>
      </c>
      <c r="BW27" s="284" t="s">
        <v>27</v>
      </c>
    </row>
    <row r="28" spans="1:75" ht="15" customHeight="1" x14ac:dyDescent="0.25">
      <c r="A28" s="275" t="s">
        <v>279</v>
      </c>
      <c r="B28" s="276" t="s">
        <v>21</v>
      </c>
      <c r="D28" s="277">
        <v>43556</v>
      </c>
      <c r="E28" s="277">
        <v>44652</v>
      </c>
      <c r="F28" s="277">
        <v>44378</v>
      </c>
      <c r="G28" s="277">
        <v>45016</v>
      </c>
      <c r="H28" s="275" t="s">
        <v>22</v>
      </c>
      <c r="I28" s="275" t="s">
        <v>1473</v>
      </c>
      <c r="K28" s="275" t="s">
        <v>280</v>
      </c>
      <c r="L28" s="275" t="s">
        <v>281</v>
      </c>
      <c r="M28" s="275" t="s">
        <v>282</v>
      </c>
      <c r="S28" s="1">
        <v>1</v>
      </c>
      <c r="V28" s="1">
        <f t="shared" si="0"/>
        <v>1</v>
      </c>
      <c r="AA28" s="1">
        <v>1</v>
      </c>
      <c r="AE28" s="1">
        <f t="shared" si="1"/>
        <v>1</v>
      </c>
      <c r="AF28" s="1">
        <f t="shared" si="2"/>
        <v>0</v>
      </c>
      <c r="AG28" s="1">
        <f t="shared" si="3"/>
        <v>0</v>
      </c>
      <c r="AH28" s="1">
        <f t="shared" si="4"/>
        <v>0</v>
      </c>
      <c r="AI28" s="1">
        <f t="shared" si="5"/>
        <v>0</v>
      </c>
      <c r="AJ28" s="1">
        <f t="shared" si="6"/>
        <v>0</v>
      </c>
      <c r="AK28" s="1">
        <f t="shared" si="7"/>
        <v>0</v>
      </c>
      <c r="AL28" s="1">
        <f t="shared" si="8"/>
        <v>0</v>
      </c>
      <c r="AM28" s="1">
        <f t="shared" si="9"/>
        <v>0</v>
      </c>
      <c r="AN28" s="278">
        <f t="shared" si="10"/>
        <v>0</v>
      </c>
      <c r="AP28" s="280">
        <v>0</v>
      </c>
      <c r="AU28" s="281"/>
      <c r="AZ28" s="281"/>
      <c r="BG28" s="282">
        <f t="shared" si="11"/>
        <v>0</v>
      </c>
      <c r="BH28" s="282">
        <f t="shared" si="12"/>
        <v>0</v>
      </c>
      <c r="BI28" s="283">
        <f t="shared" si="13"/>
        <v>0</v>
      </c>
      <c r="BL28" s="1">
        <v>513943</v>
      </c>
      <c r="BM28" s="1">
        <v>170016</v>
      </c>
      <c r="BN28" s="1" t="s">
        <v>1600</v>
      </c>
      <c r="BO28" s="1" t="s">
        <v>1400</v>
      </c>
      <c r="BW28" s="284" t="s">
        <v>27</v>
      </c>
    </row>
    <row r="29" spans="1:75" ht="15" customHeight="1" x14ac:dyDescent="0.25">
      <c r="A29" s="275" t="s">
        <v>193</v>
      </c>
      <c r="B29" s="276" t="s">
        <v>21</v>
      </c>
      <c r="D29" s="277">
        <v>43284</v>
      </c>
      <c r="E29" s="277">
        <v>44380</v>
      </c>
      <c r="F29" s="277">
        <v>44380</v>
      </c>
      <c r="G29" s="277">
        <v>44958</v>
      </c>
      <c r="H29" s="275" t="s">
        <v>22</v>
      </c>
      <c r="I29" s="275" t="s">
        <v>1473</v>
      </c>
      <c r="K29" s="275" t="s">
        <v>194</v>
      </c>
      <c r="L29" s="275" t="s">
        <v>195</v>
      </c>
      <c r="M29" s="275" t="s">
        <v>196</v>
      </c>
      <c r="V29" s="1">
        <f t="shared" si="0"/>
        <v>0</v>
      </c>
      <c r="X29" s="1">
        <v>1</v>
      </c>
      <c r="AE29" s="1">
        <f t="shared" si="1"/>
        <v>1</v>
      </c>
      <c r="AF29" s="1">
        <f t="shared" si="2"/>
        <v>0</v>
      </c>
      <c r="AG29" s="1">
        <f t="shared" si="3"/>
        <v>1</v>
      </c>
      <c r="AH29" s="1">
        <f t="shared" si="4"/>
        <v>0</v>
      </c>
      <c r="AI29" s="1">
        <f t="shared" si="5"/>
        <v>0</v>
      </c>
      <c r="AJ29" s="1">
        <f t="shared" si="6"/>
        <v>0</v>
      </c>
      <c r="AK29" s="1">
        <f t="shared" si="7"/>
        <v>0</v>
      </c>
      <c r="AL29" s="1">
        <f t="shared" si="8"/>
        <v>0</v>
      </c>
      <c r="AM29" s="1">
        <f t="shared" si="9"/>
        <v>0</v>
      </c>
      <c r="AN29" s="278">
        <f t="shared" si="10"/>
        <v>1</v>
      </c>
      <c r="AP29" s="280">
        <v>1</v>
      </c>
      <c r="AU29" s="281"/>
      <c r="AZ29" s="281"/>
      <c r="BG29" s="282">
        <f t="shared" si="11"/>
        <v>0</v>
      </c>
      <c r="BH29" s="282">
        <f t="shared" si="12"/>
        <v>0</v>
      </c>
      <c r="BI29" s="283">
        <f t="shared" si="13"/>
        <v>0</v>
      </c>
      <c r="BL29" s="1">
        <v>514174</v>
      </c>
      <c r="BM29" s="1">
        <v>174381</v>
      </c>
      <c r="BN29" s="1" t="s">
        <v>1391</v>
      </c>
      <c r="BO29" s="1" t="s">
        <v>1391</v>
      </c>
      <c r="BW29" s="284" t="s">
        <v>27</v>
      </c>
    </row>
    <row r="30" spans="1:75" ht="15" customHeight="1" x14ac:dyDescent="0.25">
      <c r="A30" s="275" t="s">
        <v>381</v>
      </c>
      <c r="B30" s="276" t="s">
        <v>21</v>
      </c>
      <c r="D30" s="277">
        <v>44209</v>
      </c>
      <c r="E30" s="277">
        <v>45304</v>
      </c>
      <c r="F30" s="277">
        <v>44409</v>
      </c>
      <c r="G30" s="277">
        <v>44958</v>
      </c>
      <c r="H30" s="269" t="s">
        <v>22</v>
      </c>
      <c r="I30" s="275" t="s">
        <v>1473</v>
      </c>
      <c r="K30" s="275" t="s">
        <v>382</v>
      </c>
      <c r="L30" s="275" t="s">
        <v>383</v>
      </c>
      <c r="M30" s="275" t="s">
        <v>384</v>
      </c>
      <c r="V30" s="1">
        <f t="shared" si="0"/>
        <v>0</v>
      </c>
      <c r="Z30" s="1">
        <v>6</v>
      </c>
      <c r="AE30" s="1">
        <f t="shared" si="1"/>
        <v>6</v>
      </c>
      <c r="AF30" s="1">
        <f t="shared" si="2"/>
        <v>0</v>
      </c>
      <c r="AG30" s="1">
        <f t="shared" si="3"/>
        <v>0</v>
      </c>
      <c r="AH30" s="1">
        <f t="shared" si="4"/>
        <v>0</v>
      </c>
      <c r="AI30" s="1">
        <f t="shared" si="5"/>
        <v>6</v>
      </c>
      <c r="AJ30" s="1">
        <f t="shared" si="6"/>
        <v>0</v>
      </c>
      <c r="AK30" s="1">
        <f t="shared" si="7"/>
        <v>0</v>
      </c>
      <c r="AL30" s="1">
        <f t="shared" si="8"/>
        <v>0</v>
      </c>
      <c r="AM30" s="1">
        <f t="shared" si="9"/>
        <v>0</v>
      </c>
      <c r="AN30" s="278">
        <f t="shared" si="10"/>
        <v>6</v>
      </c>
      <c r="AP30" s="280">
        <v>6</v>
      </c>
      <c r="AU30" s="281"/>
      <c r="AZ30" s="281"/>
      <c r="BG30" s="282">
        <f t="shared" si="11"/>
        <v>0</v>
      </c>
      <c r="BH30" s="282">
        <f t="shared" si="12"/>
        <v>0</v>
      </c>
      <c r="BI30" s="283">
        <f t="shared" si="13"/>
        <v>0</v>
      </c>
      <c r="BL30" s="1">
        <v>513446</v>
      </c>
      <c r="BM30" s="1">
        <v>169655</v>
      </c>
      <c r="BN30" s="1" t="s">
        <v>1600</v>
      </c>
      <c r="BO30" s="1" t="s">
        <v>1400</v>
      </c>
      <c r="BU30" s="284" t="s">
        <v>1693</v>
      </c>
      <c r="BV30" s="284" t="s">
        <v>27</v>
      </c>
      <c r="BW30" s="284" t="s">
        <v>27</v>
      </c>
    </row>
    <row r="31" spans="1:75" ht="15" customHeight="1" x14ac:dyDescent="0.25">
      <c r="A31" s="275" t="s">
        <v>140</v>
      </c>
      <c r="B31" s="276" t="s">
        <v>21</v>
      </c>
      <c r="D31" s="277">
        <v>44232</v>
      </c>
      <c r="E31" s="277">
        <v>45327</v>
      </c>
      <c r="F31" s="277">
        <v>44409</v>
      </c>
      <c r="G31" s="277">
        <v>44979</v>
      </c>
      <c r="H31" s="269" t="s">
        <v>22</v>
      </c>
      <c r="I31" s="275" t="s">
        <v>1473</v>
      </c>
      <c r="K31" s="275" t="s">
        <v>141</v>
      </c>
      <c r="L31" s="275" t="s">
        <v>142</v>
      </c>
      <c r="M31" s="275" t="s">
        <v>95</v>
      </c>
      <c r="V31" s="1">
        <f t="shared" si="0"/>
        <v>0</v>
      </c>
      <c r="Y31" s="1">
        <v>1</v>
      </c>
      <c r="AE31" s="1">
        <f t="shared" si="1"/>
        <v>1</v>
      </c>
      <c r="AF31" s="1">
        <f t="shared" si="2"/>
        <v>0</v>
      </c>
      <c r="AG31" s="1">
        <f t="shared" si="3"/>
        <v>0</v>
      </c>
      <c r="AH31" s="1">
        <f t="shared" si="4"/>
        <v>1</v>
      </c>
      <c r="AI31" s="1">
        <f t="shared" si="5"/>
        <v>0</v>
      </c>
      <c r="AJ31" s="1">
        <f t="shared" si="6"/>
        <v>0</v>
      </c>
      <c r="AK31" s="1">
        <f t="shared" si="7"/>
        <v>0</v>
      </c>
      <c r="AL31" s="1">
        <f t="shared" si="8"/>
        <v>0</v>
      </c>
      <c r="AM31" s="1">
        <f t="shared" si="9"/>
        <v>0</v>
      </c>
      <c r="AN31" s="278">
        <f t="shared" si="10"/>
        <v>1</v>
      </c>
      <c r="AP31" s="280">
        <v>1</v>
      </c>
      <c r="AU31" s="281"/>
      <c r="AZ31" s="281"/>
      <c r="BG31" s="282">
        <f t="shared" si="11"/>
        <v>0</v>
      </c>
      <c r="BH31" s="282">
        <f t="shared" si="12"/>
        <v>0</v>
      </c>
      <c r="BI31" s="283">
        <f t="shared" si="13"/>
        <v>0</v>
      </c>
      <c r="BL31" s="1">
        <v>515563</v>
      </c>
      <c r="BM31" s="1">
        <v>171846</v>
      </c>
      <c r="BN31" s="1" t="s">
        <v>1389</v>
      </c>
      <c r="BO31" s="1" t="s">
        <v>1406</v>
      </c>
      <c r="BW31" s="284" t="s">
        <v>27</v>
      </c>
    </row>
    <row r="32" spans="1:75" ht="15" customHeight="1" x14ac:dyDescent="0.25">
      <c r="A32" s="275" t="s">
        <v>418</v>
      </c>
      <c r="B32" s="276" t="s">
        <v>49</v>
      </c>
      <c r="D32" s="277">
        <v>44256</v>
      </c>
      <c r="E32" s="277">
        <v>45352</v>
      </c>
      <c r="F32" s="277">
        <v>44410</v>
      </c>
      <c r="G32" s="277">
        <v>44747</v>
      </c>
      <c r="H32" s="269" t="s">
        <v>22</v>
      </c>
      <c r="I32" s="275" t="s">
        <v>1473</v>
      </c>
      <c r="K32" s="275" t="s">
        <v>419</v>
      </c>
      <c r="L32" s="275" t="s">
        <v>420</v>
      </c>
      <c r="M32" s="275" t="s">
        <v>421</v>
      </c>
      <c r="V32" s="1">
        <f t="shared" si="0"/>
        <v>0</v>
      </c>
      <c r="Y32" s="1">
        <v>1</v>
      </c>
      <c r="AE32" s="1">
        <f t="shared" si="1"/>
        <v>1</v>
      </c>
      <c r="AF32" s="1">
        <f t="shared" si="2"/>
        <v>0</v>
      </c>
      <c r="AG32" s="1">
        <f t="shared" si="3"/>
        <v>0</v>
      </c>
      <c r="AH32" s="1">
        <f t="shared" si="4"/>
        <v>1</v>
      </c>
      <c r="AI32" s="1">
        <f t="shared" si="5"/>
        <v>0</v>
      </c>
      <c r="AJ32" s="1">
        <f t="shared" si="6"/>
        <v>0</v>
      </c>
      <c r="AK32" s="1">
        <f t="shared" si="7"/>
        <v>0</v>
      </c>
      <c r="AL32" s="1">
        <f t="shared" si="8"/>
        <v>0</v>
      </c>
      <c r="AM32" s="1">
        <f t="shared" si="9"/>
        <v>0</v>
      </c>
      <c r="AN32" s="278">
        <f t="shared" si="10"/>
        <v>1</v>
      </c>
      <c r="AP32" s="280">
        <v>1</v>
      </c>
      <c r="AU32" s="281"/>
      <c r="AZ32" s="281"/>
      <c r="BG32" s="282">
        <f t="shared" si="11"/>
        <v>0</v>
      </c>
      <c r="BH32" s="282">
        <f t="shared" si="12"/>
        <v>0</v>
      </c>
      <c r="BI32" s="283">
        <f t="shared" si="13"/>
        <v>0</v>
      </c>
      <c r="BL32" s="1">
        <v>513992</v>
      </c>
      <c r="BM32" s="1">
        <v>169525</v>
      </c>
      <c r="BN32" s="1" t="s">
        <v>1600</v>
      </c>
      <c r="BO32" s="1" t="s">
        <v>1400</v>
      </c>
      <c r="BR32" s="284" t="s">
        <v>1694</v>
      </c>
      <c r="BS32" s="284" t="s">
        <v>27</v>
      </c>
      <c r="BU32" s="284" t="s">
        <v>1693</v>
      </c>
      <c r="BV32" s="284" t="s">
        <v>27</v>
      </c>
      <c r="BW32" s="284" t="s">
        <v>27</v>
      </c>
    </row>
    <row r="33" spans="1:76" ht="15" customHeight="1" x14ac:dyDescent="0.25">
      <c r="A33" s="275" t="s">
        <v>303</v>
      </c>
      <c r="B33" s="276" t="s">
        <v>144</v>
      </c>
      <c r="D33" s="277">
        <v>44253</v>
      </c>
      <c r="E33" s="277">
        <v>45348</v>
      </c>
      <c r="F33" s="277">
        <v>44410</v>
      </c>
      <c r="G33" s="277">
        <v>44713</v>
      </c>
      <c r="H33" s="269" t="s">
        <v>22</v>
      </c>
      <c r="I33" s="275" t="s">
        <v>1473</v>
      </c>
      <c r="K33" s="275" t="s">
        <v>304</v>
      </c>
      <c r="L33" s="275" t="s">
        <v>305</v>
      </c>
      <c r="M33" s="275" t="s">
        <v>306</v>
      </c>
      <c r="Q33" s="1">
        <v>1</v>
      </c>
      <c r="V33" s="1">
        <f t="shared" si="0"/>
        <v>1</v>
      </c>
      <c r="X33" s="1">
        <v>1</v>
      </c>
      <c r="Y33" s="1">
        <v>1</v>
      </c>
      <c r="AE33" s="1">
        <f t="shared" si="1"/>
        <v>2</v>
      </c>
      <c r="AF33" s="1">
        <f t="shared" si="2"/>
        <v>0</v>
      </c>
      <c r="AG33" s="1">
        <f t="shared" si="3"/>
        <v>1</v>
      </c>
      <c r="AH33" s="1">
        <f t="shared" si="4"/>
        <v>0</v>
      </c>
      <c r="AI33" s="1">
        <f t="shared" si="5"/>
        <v>0</v>
      </c>
      <c r="AJ33" s="1">
        <f t="shared" si="6"/>
        <v>0</v>
      </c>
      <c r="AK33" s="1">
        <f t="shared" si="7"/>
        <v>0</v>
      </c>
      <c r="AL33" s="1">
        <f t="shared" si="8"/>
        <v>0</v>
      </c>
      <c r="AM33" s="1">
        <f t="shared" si="9"/>
        <v>0</v>
      </c>
      <c r="AN33" s="278">
        <f t="shared" si="10"/>
        <v>1</v>
      </c>
      <c r="AP33" s="280">
        <v>1</v>
      </c>
      <c r="AU33" s="281"/>
      <c r="AZ33" s="281"/>
      <c r="BG33" s="282">
        <f t="shared" si="11"/>
        <v>0</v>
      </c>
      <c r="BH33" s="282">
        <f t="shared" si="12"/>
        <v>0</v>
      </c>
      <c r="BI33" s="283">
        <f t="shared" si="13"/>
        <v>0</v>
      </c>
      <c r="BL33" s="1">
        <v>512962</v>
      </c>
      <c r="BM33" s="1">
        <v>173989</v>
      </c>
      <c r="BN33" s="1" t="s">
        <v>1391</v>
      </c>
      <c r="BO33" s="1" t="s">
        <v>1402</v>
      </c>
    </row>
    <row r="34" spans="1:76" ht="15" customHeight="1" x14ac:dyDescent="0.25">
      <c r="A34" s="275" t="s">
        <v>401</v>
      </c>
      <c r="B34" s="276" t="s">
        <v>49</v>
      </c>
      <c r="C34" s="1" t="s">
        <v>1262</v>
      </c>
      <c r="D34" s="277">
        <v>43971</v>
      </c>
      <c r="E34" s="277">
        <v>45066</v>
      </c>
      <c r="F34" s="277">
        <v>44410</v>
      </c>
      <c r="G34" s="277">
        <v>45016</v>
      </c>
      <c r="H34" s="275" t="s">
        <v>22</v>
      </c>
      <c r="I34" s="275" t="s">
        <v>1473</v>
      </c>
      <c r="K34" s="275" t="s">
        <v>402</v>
      </c>
      <c r="L34" s="275" t="s">
        <v>403</v>
      </c>
      <c r="M34" s="275" t="s">
        <v>404</v>
      </c>
      <c r="V34" s="1">
        <f t="shared" si="0"/>
        <v>0</v>
      </c>
      <c r="W34" s="1">
        <v>5</v>
      </c>
      <c r="AE34" s="1">
        <f t="shared" si="1"/>
        <v>5</v>
      </c>
      <c r="AF34" s="1">
        <f t="shared" si="2"/>
        <v>5</v>
      </c>
      <c r="AG34" s="1">
        <f t="shared" si="3"/>
        <v>0</v>
      </c>
      <c r="AH34" s="1">
        <f t="shared" si="4"/>
        <v>0</v>
      </c>
      <c r="AI34" s="1">
        <f t="shared" si="5"/>
        <v>0</v>
      </c>
      <c r="AJ34" s="1">
        <f t="shared" si="6"/>
        <v>0</v>
      </c>
      <c r="AK34" s="1">
        <f t="shared" si="7"/>
        <v>0</v>
      </c>
      <c r="AL34" s="1">
        <f t="shared" si="8"/>
        <v>0</v>
      </c>
      <c r="AM34" s="1">
        <f t="shared" si="9"/>
        <v>0</v>
      </c>
      <c r="AN34" s="278">
        <f t="shared" ref="AN34:AN65" si="14">AE34-V34</f>
        <v>5</v>
      </c>
      <c r="AP34" s="280">
        <v>5</v>
      </c>
      <c r="AU34" s="281"/>
      <c r="AZ34" s="281"/>
      <c r="BG34" s="282">
        <f t="shared" si="11"/>
        <v>0</v>
      </c>
      <c r="BH34" s="282">
        <f t="shared" si="12"/>
        <v>0</v>
      </c>
      <c r="BI34" s="283">
        <f t="shared" si="13"/>
        <v>0</v>
      </c>
      <c r="BL34" s="1">
        <v>519113</v>
      </c>
      <c r="BM34" s="1">
        <v>176411</v>
      </c>
      <c r="BN34" s="1" t="s">
        <v>1385</v>
      </c>
      <c r="BO34" s="1" t="s">
        <v>1403</v>
      </c>
      <c r="BU34" s="284" t="s">
        <v>1695</v>
      </c>
      <c r="BV34" s="284" t="s">
        <v>27</v>
      </c>
      <c r="BW34" s="284" t="s">
        <v>27</v>
      </c>
    </row>
    <row r="35" spans="1:76" ht="15" customHeight="1" x14ac:dyDescent="0.25">
      <c r="A35" s="275" t="s">
        <v>181</v>
      </c>
      <c r="B35" s="276" t="s">
        <v>21</v>
      </c>
      <c r="D35" s="277">
        <v>43704</v>
      </c>
      <c r="E35" s="277">
        <v>44800</v>
      </c>
      <c r="F35" s="277">
        <v>44424</v>
      </c>
      <c r="G35" s="277">
        <v>44866</v>
      </c>
      <c r="H35" s="269" t="s">
        <v>22</v>
      </c>
      <c r="I35" s="275" t="s">
        <v>1473</v>
      </c>
      <c r="K35" s="275" t="s">
        <v>182</v>
      </c>
      <c r="L35" s="275" t="s">
        <v>183</v>
      </c>
      <c r="M35" s="275" t="s">
        <v>184</v>
      </c>
      <c r="Q35" s="1">
        <v>1</v>
      </c>
      <c r="V35" s="1">
        <f t="shared" si="0"/>
        <v>1</v>
      </c>
      <c r="AE35" s="1">
        <f t="shared" si="1"/>
        <v>0</v>
      </c>
      <c r="AF35" s="1">
        <f t="shared" si="2"/>
        <v>0</v>
      </c>
      <c r="AG35" s="1">
        <f t="shared" si="3"/>
        <v>0</v>
      </c>
      <c r="AH35" s="1">
        <f t="shared" si="4"/>
        <v>-1</v>
      </c>
      <c r="AI35" s="1">
        <f t="shared" si="5"/>
        <v>0</v>
      </c>
      <c r="AJ35" s="1">
        <f t="shared" si="6"/>
        <v>0</v>
      </c>
      <c r="AK35" s="1">
        <f t="shared" si="7"/>
        <v>0</v>
      </c>
      <c r="AL35" s="1">
        <f t="shared" si="8"/>
        <v>0</v>
      </c>
      <c r="AM35" s="1">
        <f t="shared" si="9"/>
        <v>0</v>
      </c>
      <c r="AN35" s="278">
        <f t="shared" si="14"/>
        <v>-1</v>
      </c>
      <c r="AP35" s="280">
        <v>-1</v>
      </c>
      <c r="AU35" s="281"/>
      <c r="AZ35" s="281"/>
      <c r="BG35" s="282">
        <f t="shared" si="11"/>
        <v>0</v>
      </c>
      <c r="BH35" s="282">
        <f t="shared" si="12"/>
        <v>0</v>
      </c>
      <c r="BI35" s="283">
        <f t="shared" si="13"/>
        <v>0</v>
      </c>
      <c r="BL35" s="1">
        <v>520394</v>
      </c>
      <c r="BM35" s="1">
        <v>175127</v>
      </c>
      <c r="BN35" s="1" t="s">
        <v>1599</v>
      </c>
      <c r="BO35" s="1" t="s">
        <v>1384</v>
      </c>
      <c r="BU35" s="284" t="s">
        <v>1696</v>
      </c>
      <c r="BV35" s="284" t="s">
        <v>27</v>
      </c>
      <c r="BW35" s="284" t="s">
        <v>27</v>
      </c>
    </row>
    <row r="36" spans="1:76" ht="15" customHeight="1" x14ac:dyDescent="0.25">
      <c r="A36" s="275" t="s">
        <v>328</v>
      </c>
      <c r="B36" s="276" t="s">
        <v>21</v>
      </c>
      <c r="D36" s="277">
        <v>43542</v>
      </c>
      <c r="E36" s="277">
        <v>44638</v>
      </c>
      <c r="F36" s="277">
        <v>44440</v>
      </c>
      <c r="G36" s="277">
        <v>45016</v>
      </c>
      <c r="H36" s="275" t="s">
        <v>22</v>
      </c>
      <c r="I36" s="275" t="s">
        <v>1473</v>
      </c>
      <c r="K36" s="275" t="s">
        <v>329</v>
      </c>
      <c r="L36" s="275" t="s">
        <v>330</v>
      </c>
      <c r="M36" s="275" t="s">
        <v>331</v>
      </c>
      <c r="R36" s="1">
        <v>1</v>
      </c>
      <c r="V36" s="1">
        <f t="shared" si="0"/>
        <v>1</v>
      </c>
      <c r="AA36" s="1">
        <v>1</v>
      </c>
      <c r="AE36" s="1">
        <f t="shared" si="1"/>
        <v>1</v>
      </c>
      <c r="AF36" s="1">
        <f t="shared" si="2"/>
        <v>0</v>
      </c>
      <c r="AG36" s="1">
        <f t="shared" si="3"/>
        <v>0</v>
      </c>
      <c r="AH36" s="1">
        <f t="shared" si="4"/>
        <v>0</v>
      </c>
      <c r="AI36" s="1">
        <f t="shared" si="5"/>
        <v>-1</v>
      </c>
      <c r="AJ36" s="1">
        <f t="shared" si="6"/>
        <v>1</v>
      </c>
      <c r="AK36" s="1">
        <f t="shared" si="7"/>
        <v>0</v>
      </c>
      <c r="AL36" s="1">
        <f t="shared" si="8"/>
        <v>0</v>
      </c>
      <c r="AM36" s="1">
        <f t="shared" si="9"/>
        <v>0</v>
      </c>
      <c r="AN36" s="278">
        <f t="shared" si="14"/>
        <v>0</v>
      </c>
      <c r="AP36" s="280">
        <v>0</v>
      </c>
      <c r="AU36" s="281"/>
      <c r="AZ36" s="281"/>
      <c r="BG36" s="282">
        <f t="shared" si="11"/>
        <v>0</v>
      </c>
      <c r="BH36" s="282">
        <f t="shared" si="12"/>
        <v>0</v>
      </c>
      <c r="BI36" s="283">
        <f t="shared" si="13"/>
        <v>0</v>
      </c>
      <c r="BL36" s="1">
        <v>521978</v>
      </c>
      <c r="BM36" s="1">
        <v>177062</v>
      </c>
      <c r="BN36" s="1" t="s">
        <v>1599</v>
      </c>
      <c r="BO36" s="1" t="s">
        <v>1399</v>
      </c>
    </row>
    <row r="37" spans="1:76" ht="15" customHeight="1" x14ac:dyDescent="0.25">
      <c r="A37" s="275" t="s">
        <v>189</v>
      </c>
      <c r="B37" s="276" t="s">
        <v>44</v>
      </c>
      <c r="D37" s="277">
        <v>44144</v>
      </c>
      <c r="E37" s="277">
        <v>45239</v>
      </c>
      <c r="F37" s="277">
        <v>44440</v>
      </c>
      <c r="G37" s="277">
        <v>44742</v>
      </c>
      <c r="H37" s="275" t="s">
        <v>22</v>
      </c>
      <c r="I37" s="275" t="s">
        <v>1473</v>
      </c>
      <c r="K37" s="275" t="s">
        <v>190</v>
      </c>
      <c r="L37" s="275" t="s">
        <v>191</v>
      </c>
      <c r="M37" s="275" t="s">
        <v>192</v>
      </c>
      <c r="P37" s="1">
        <v>1</v>
      </c>
      <c r="V37" s="1">
        <f t="shared" si="0"/>
        <v>1</v>
      </c>
      <c r="W37" s="1">
        <v>1</v>
      </c>
      <c r="X37" s="1">
        <v>1</v>
      </c>
      <c r="AE37" s="1">
        <f t="shared" si="1"/>
        <v>2</v>
      </c>
      <c r="AF37" s="1">
        <f t="shared" si="2"/>
        <v>1</v>
      </c>
      <c r="AG37" s="1">
        <f t="shared" si="3"/>
        <v>0</v>
      </c>
      <c r="AH37" s="1">
        <f t="shared" si="4"/>
        <v>0</v>
      </c>
      <c r="AI37" s="1">
        <f t="shared" si="5"/>
        <v>0</v>
      </c>
      <c r="AJ37" s="1">
        <f t="shared" si="6"/>
        <v>0</v>
      </c>
      <c r="AK37" s="1">
        <f t="shared" si="7"/>
        <v>0</v>
      </c>
      <c r="AL37" s="1">
        <f t="shared" si="8"/>
        <v>0</v>
      </c>
      <c r="AM37" s="1">
        <f t="shared" si="9"/>
        <v>0</v>
      </c>
      <c r="AN37" s="278">
        <f t="shared" si="14"/>
        <v>1</v>
      </c>
      <c r="AP37" s="280">
        <v>1</v>
      </c>
      <c r="AU37" s="281"/>
      <c r="AZ37" s="281"/>
      <c r="BG37" s="282">
        <f t="shared" si="11"/>
        <v>0</v>
      </c>
      <c r="BH37" s="282">
        <f t="shared" si="12"/>
        <v>0</v>
      </c>
      <c r="BI37" s="283">
        <f t="shared" si="13"/>
        <v>0</v>
      </c>
      <c r="BL37" s="1">
        <v>520903</v>
      </c>
      <c r="BM37" s="1">
        <v>175430</v>
      </c>
      <c r="BN37" s="1" t="s">
        <v>1599</v>
      </c>
      <c r="BO37" s="1" t="s">
        <v>1384</v>
      </c>
      <c r="BP37" s="284" t="s">
        <v>1384</v>
      </c>
      <c r="BW37" s="284" t="s">
        <v>27</v>
      </c>
    </row>
    <row r="38" spans="1:76" ht="15" customHeight="1" x14ac:dyDescent="0.25">
      <c r="A38" s="275" t="s">
        <v>243</v>
      </c>
      <c r="B38" s="276" t="s">
        <v>49</v>
      </c>
      <c r="C38" s="1" t="s">
        <v>1262</v>
      </c>
      <c r="D38" s="277">
        <v>44223</v>
      </c>
      <c r="E38" s="277">
        <v>45318</v>
      </c>
      <c r="F38" s="277">
        <v>44440</v>
      </c>
      <c r="G38" s="277">
        <v>44832</v>
      </c>
      <c r="H38" s="269" t="s">
        <v>22</v>
      </c>
      <c r="I38" s="275" t="s">
        <v>1473</v>
      </c>
      <c r="K38" s="275" t="s">
        <v>244</v>
      </c>
      <c r="L38" s="275" t="s">
        <v>245</v>
      </c>
      <c r="M38" s="275" t="s">
        <v>246</v>
      </c>
      <c r="V38" s="1">
        <f t="shared" si="0"/>
        <v>0</v>
      </c>
      <c r="W38" s="1">
        <v>1</v>
      </c>
      <c r="X38" s="1">
        <v>2</v>
      </c>
      <c r="AE38" s="1">
        <f t="shared" si="1"/>
        <v>3</v>
      </c>
      <c r="AF38" s="1">
        <f t="shared" si="2"/>
        <v>1</v>
      </c>
      <c r="AG38" s="1">
        <f t="shared" si="3"/>
        <v>2</v>
      </c>
      <c r="AH38" s="1">
        <f t="shared" si="4"/>
        <v>0</v>
      </c>
      <c r="AI38" s="1">
        <f t="shared" si="5"/>
        <v>0</v>
      </c>
      <c r="AJ38" s="1">
        <f t="shared" si="6"/>
        <v>0</v>
      </c>
      <c r="AK38" s="1">
        <f t="shared" si="7"/>
        <v>0</v>
      </c>
      <c r="AL38" s="1">
        <f t="shared" si="8"/>
        <v>0</v>
      </c>
      <c r="AM38" s="1">
        <f t="shared" si="9"/>
        <v>0</v>
      </c>
      <c r="AN38" s="278">
        <f t="shared" si="14"/>
        <v>3</v>
      </c>
      <c r="AP38" s="280">
        <v>3</v>
      </c>
      <c r="AU38" s="281"/>
      <c r="AZ38" s="281"/>
      <c r="BG38" s="282">
        <f t="shared" si="11"/>
        <v>0</v>
      </c>
      <c r="BH38" s="282">
        <f t="shared" si="12"/>
        <v>0</v>
      </c>
      <c r="BI38" s="283">
        <f t="shared" si="13"/>
        <v>0</v>
      </c>
      <c r="BL38" s="1">
        <v>515781</v>
      </c>
      <c r="BM38" s="1">
        <v>171435</v>
      </c>
      <c r="BN38" s="1" t="s">
        <v>1600</v>
      </c>
      <c r="BO38" s="1" t="s">
        <v>1387</v>
      </c>
      <c r="BW38" s="284" t="s">
        <v>27</v>
      </c>
    </row>
    <row r="39" spans="1:76" ht="15" customHeight="1" x14ac:dyDescent="0.25">
      <c r="A39" s="275" t="s">
        <v>339</v>
      </c>
      <c r="B39" s="276" t="s">
        <v>21</v>
      </c>
      <c r="D39" s="277">
        <v>44257</v>
      </c>
      <c r="E39" s="277">
        <v>45353</v>
      </c>
      <c r="F39" s="277">
        <v>44440</v>
      </c>
      <c r="G39" s="277">
        <v>44841</v>
      </c>
      <c r="H39" s="275" t="s">
        <v>22</v>
      </c>
      <c r="I39" s="275" t="s">
        <v>1473</v>
      </c>
      <c r="K39" s="275" t="s">
        <v>340</v>
      </c>
      <c r="L39" s="275" t="s">
        <v>341</v>
      </c>
      <c r="M39" s="275" t="s">
        <v>342</v>
      </c>
      <c r="P39" s="1">
        <v>1</v>
      </c>
      <c r="V39" s="1">
        <f t="shared" si="0"/>
        <v>1</v>
      </c>
      <c r="Z39" s="1">
        <v>1</v>
      </c>
      <c r="AE39" s="1">
        <f t="shared" si="1"/>
        <v>1</v>
      </c>
      <c r="AF39" s="1">
        <f t="shared" si="2"/>
        <v>0</v>
      </c>
      <c r="AG39" s="1">
        <f t="shared" si="3"/>
        <v>-1</v>
      </c>
      <c r="AH39" s="1">
        <f t="shared" si="4"/>
        <v>0</v>
      </c>
      <c r="AI39" s="1">
        <f t="shared" si="5"/>
        <v>1</v>
      </c>
      <c r="AJ39" s="1">
        <f t="shared" si="6"/>
        <v>0</v>
      </c>
      <c r="AK39" s="1">
        <f t="shared" si="7"/>
        <v>0</v>
      </c>
      <c r="AL39" s="1">
        <f t="shared" si="8"/>
        <v>0</v>
      </c>
      <c r="AM39" s="1">
        <f t="shared" si="9"/>
        <v>0</v>
      </c>
      <c r="AN39" s="278">
        <f t="shared" si="14"/>
        <v>0</v>
      </c>
      <c r="AP39" s="280">
        <v>0</v>
      </c>
      <c r="AU39" s="281"/>
      <c r="AZ39" s="281"/>
      <c r="BG39" s="282">
        <f t="shared" si="11"/>
        <v>0</v>
      </c>
      <c r="BH39" s="282">
        <f t="shared" si="12"/>
        <v>0</v>
      </c>
      <c r="BI39" s="283">
        <f t="shared" si="13"/>
        <v>0</v>
      </c>
      <c r="BL39" s="1">
        <v>516412</v>
      </c>
      <c r="BM39" s="1">
        <v>171302</v>
      </c>
      <c r="BN39" s="1" t="s">
        <v>1600</v>
      </c>
      <c r="BO39" s="1" t="s">
        <v>1387</v>
      </c>
      <c r="BW39" s="284" t="s">
        <v>27</v>
      </c>
    </row>
    <row r="40" spans="1:76" ht="15" customHeight="1" x14ac:dyDescent="0.25">
      <c r="A40" s="275" t="s">
        <v>287</v>
      </c>
      <c r="B40" s="276" t="s">
        <v>21</v>
      </c>
      <c r="D40" s="277">
        <v>44186</v>
      </c>
      <c r="E40" s="277">
        <v>45281</v>
      </c>
      <c r="F40" s="277">
        <v>44470</v>
      </c>
      <c r="G40" s="277">
        <v>44762</v>
      </c>
      <c r="H40" s="275" t="s">
        <v>22</v>
      </c>
      <c r="I40" s="275" t="s">
        <v>1473</v>
      </c>
      <c r="K40" s="275" t="s">
        <v>288</v>
      </c>
      <c r="L40" s="275" t="s">
        <v>289</v>
      </c>
      <c r="M40" s="275" t="s">
        <v>290</v>
      </c>
      <c r="Q40" s="1">
        <v>1</v>
      </c>
      <c r="V40" s="1">
        <f t="shared" si="0"/>
        <v>1</v>
      </c>
      <c r="Z40" s="1">
        <v>1</v>
      </c>
      <c r="AE40" s="1">
        <f t="shared" si="1"/>
        <v>1</v>
      </c>
      <c r="AF40" s="1">
        <f t="shared" si="2"/>
        <v>0</v>
      </c>
      <c r="AG40" s="1">
        <f t="shared" si="3"/>
        <v>0</v>
      </c>
      <c r="AH40" s="1">
        <f t="shared" si="4"/>
        <v>-1</v>
      </c>
      <c r="AI40" s="1">
        <f t="shared" si="5"/>
        <v>1</v>
      </c>
      <c r="AJ40" s="1">
        <f t="shared" si="6"/>
        <v>0</v>
      </c>
      <c r="AK40" s="1">
        <f t="shared" si="7"/>
        <v>0</v>
      </c>
      <c r="AL40" s="1">
        <f t="shared" si="8"/>
        <v>0</v>
      </c>
      <c r="AM40" s="1">
        <f t="shared" si="9"/>
        <v>0</v>
      </c>
      <c r="AN40" s="278">
        <f t="shared" si="14"/>
        <v>0</v>
      </c>
      <c r="AP40" s="280">
        <v>0</v>
      </c>
      <c r="AU40" s="281"/>
      <c r="AZ40" s="281"/>
      <c r="BG40" s="282">
        <f t="shared" si="11"/>
        <v>0</v>
      </c>
      <c r="BH40" s="282">
        <f t="shared" si="12"/>
        <v>0</v>
      </c>
      <c r="BI40" s="283">
        <f t="shared" si="13"/>
        <v>0</v>
      </c>
      <c r="BL40" s="1">
        <v>522113</v>
      </c>
      <c r="BM40" s="1">
        <v>177588</v>
      </c>
      <c r="BN40" s="1" t="s">
        <v>1599</v>
      </c>
      <c r="BO40" s="1" t="s">
        <v>1399</v>
      </c>
    </row>
    <row r="41" spans="1:76" ht="15" customHeight="1" x14ac:dyDescent="0.25">
      <c r="A41" s="275" t="s">
        <v>275</v>
      </c>
      <c r="B41" s="276" t="s">
        <v>49</v>
      </c>
      <c r="D41" s="277">
        <v>44410</v>
      </c>
      <c r="E41" s="277">
        <v>45506</v>
      </c>
      <c r="F41" s="277">
        <v>44470</v>
      </c>
      <c r="G41" s="277">
        <v>44652</v>
      </c>
      <c r="H41" s="269" t="s">
        <v>22</v>
      </c>
      <c r="I41" s="275" t="s">
        <v>1473</v>
      </c>
      <c r="K41" s="275" t="s">
        <v>276</v>
      </c>
      <c r="L41" s="275" t="s">
        <v>277</v>
      </c>
      <c r="M41" s="275" t="s">
        <v>278</v>
      </c>
      <c r="R41" s="1">
        <v>1</v>
      </c>
      <c r="V41" s="1">
        <f t="shared" si="0"/>
        <v>1</v>
      </c>
      <c r="AE41" s="1">
        <f t="shared" si="1"/>
        <v>0</v>
      </c>
      <c r="AF41" s="1">
        <f t="shared" si="2"/>
        <v>0</v>
      </c>
      <c r="AG41" s="1">
        <f t="shared" si="3"/>
        <v>0</v>
      </c>
      <c r="AH41" s="1">
        <f t="shared" si="4"/>
        <v>0</v>
      </c>
      <c r="AI41" s="1">
        <f t="shared" si="5"/>
        <v>-1</v>
      </c>
      <c r="AJ41" s="1">
        <f t="shared" si="6"/>
        <v>0</v>
      </c>
      <c r="AK41" s="1">
        <f t="shared" si="7"/>
        <v>0</v>
      </c>
      <c r="AL41" s="1">
        <f t="shared" si="8"/>
        <v>0</v>
      </c>
      <c r="AM41" s="1">
        <f t="shared" si="9"/>
        <v>0</v>
      </c>
      <c r="AN41" s="278">
        <f t="shared" si="14"/>
        <v>-1</v>
      </c>
      <c r="AP41" s="280">
        <v>-1</v>
      </c>
      <c r="AU41" s="281"/>
      <c r="AZ41" s="281"/>
      <c r="BG41" s="282">
        <f t="shared" si="11"/>
        <v>0</v>
      </c>
      <c r="BH41" s="282">
        <f t="shared" si="12"/>
        <v>0</v>
      </c>
      <c r="BI41" s="283">
        <f t="shared" si="13"/>
        <v>0</v>
      </c>
      <c r="BL41" s="1">
        <v>513502</v>
      </c>
      <c r="BM41" s="1">
        <v>173048</v>
      </c>
      <c r="BN41" s="1" t="s">
        <v>1391</v>
      </c>
      <c r="BO41" s="1" t="s">
        <v>1402</v>
      </c>
    </row>
    <row r="42" spans="1:76" ht="15" customHeight="1" x14ac:dyDescent="0.25">
      <c r="A42" s="275" t="s">
        <v>228</v>
      </c>
      <c r="B42" s="276" t="s">
        <v>224</v>
      </c>
      <c r="D42" s="277">
        <v>44284</v>
      </c>
      <c r="E42" s="277">
        <v>45380</v>
      </c>
      <c r="F42" s="277">
        <v>44470</v>
      </c>
      <c r="G42" s="277">
        <v>44771</v>
      </c>
      <c r="H42" s="269" t="s">
        <v>22</v>
      </c>
      <c r="I42" s="275" t="s">
        <v>1473</v>
      </c>
      <c r="K42" s="275" t="s">
        <v>229</v>
      </c>
      <c r="L42" s="275" t="s">
        <v>230</v>
      </c>
      <c r="M42" s="275" t="s">
        <v>219</v>
      </c>
      <c r="V42" s="1">
        <f t="shared" si="0"/>
        <v>0</v>
      </c>
      <c r="W42" s="1">
        <v>1</v>
      </c>
      <c r="AE42" s="1">
        <f t="shared" si="1"/>
        <v>1</v>
      </c>
      <c r="AF42" s="1">
        <f t="shared" si="2"/>
        <v>1</v>
      </c>
      <c r="AG42" s="1">
        <f t="shared" si="3"/>
        <v>0</v>
      </c>
      <c r="AH42" s="1">
        <f t="shared" si="4"/>
        <v>0</v>
      </c>
      <c r="AI42" s="1">
        <f t="shared" si="5"/>
        <v>0</v>
      </c>
      <c r="AJ42" s="1">
        <f t="shared" si="6"/>
        <v>0</v>
      </c>
      <c r="AK42" s="1">
        <f t="shared" si="7"/>
        <v>0</v>
      </c>
      <c r="AL42" s="1">
        <f t="shared" si="8"/>
        <v>0</v>
      </c>
      <c r="AM42" s="1">
        <f t="shared" si="9"/>
        <v>0</v>
      </c>
      <c r="AN42" s="278">
        <f t="shared" si="14"/>
        <v>1</v>
      </c>
      <c r="AP42" s="280">
        <v>1</v>
      </c>
      <c r="AU42" s="281"/>
      <c r="AZ42" s="281"/>
      <c r="BG42" s="282">
        <f t="shared" si="11"/>
        <v>0</v>
      </c>
      <c r="BH42" s="282">
        <f t="shared" si="12"/>
        <v>0</v>
      </c>
      <c r="BI42" s="283">
        <f t="shared" si="13"/>
        <v>0</v>
      </c>
      <c r="BL42" s="1">
        <v>519103</v>
      </c>
      <c r="BM42" s="1">
        <v>176286</v>
      </c>
      <c r="BN42" s="1" t="s">
        <v>1385</v>
      </c>
      <c r="BO42" s="1" t="s">
        <v>1403</v>
      </c>
      <c r="BR42" s="284" t="s">
        <v>1697</v>
      </c>
      <c r="BS42" s="284" t="s">
        <v>27</v>
      </c>
      <c r="BW42" s="284" t="s">
        <v>27</v>
      </c>
    </row>
    <row r="43" spans="1:76" ht="15" customHeight="1" x14ac:dyDescent="0.25">
      <c r="A43" s="275" t="s">
        <v>124</v>
      </c>
      <c r="B43" s="276" t="s">
        <v>21</v>
      </c>
      <c r="D43" s="277">
        <v>44137</v>
      </c>
      <c r="E43" s="277">
        <v>45232</v>
      </c>
      <c r="F43" s="277">
        <v>44473</v>
      </c>
      <c r="G43" s="277">
        <v>44817</v>
      </c>
      <c r="H43" s="269" t="s">
        <v>22</v>
      </c>
      <c r="I43" s="275" t="s">
        <v>1473</v>
      </c>
      <c r="K43" s="275" t="s">
        <v>125</v>
      </c>
      <c r="L43" s="275" t="s">
        <v>126</v>
      </c>
      <c r="M43" s="275" t="s">
        <v>127</v>
      </c>
      <c r="V43" s="1">
        <f t="shared" si="0"/>
        <v>0</v>
      </c>
      <c r="X43" s="1">
        <v>1</v>
      </c>
      <c r="AE43" s="1">
        <f t="shared" si="1"/>
        <v>1</v>
      </c>
      <c r="AF43" s="1">
        <f t="shared" si="2"/>
        <v>0</v>
      </c>
      <c r="AG43" s="1">
        <f t="shared" si="3"/>
        <v>1</v>
      </c>
      <c r="AH43" s="1">
        <f t="shared" si="4"/>
        <v>0</v>
      </c>
      <c r="AI43" s="1">
        <f t="shared" si="5"/>
        <v>0</v>
      </c>
      <c r="AJ43" s="1">
        <f t="shared" si="6"/>
        <v>0</v>
      </c>
      <c r="AK43" s="1">
        <f t="shared" si="7"/>
        <v>0</v>
      </c>
      <c r="AL43" s="1">
        <f t="shared" si="8"/>
        <v>0</v>
      </c>
      <c r="AM43" s="1">
        <f t="shared" si="9"/>
        <v>0</v>
      </c>
      <c r="AN43" s="278">
        <f t="shared" si="14"/>
        <v>1</v>
      </c>
      <c r="AP43" s="280">
        <v>1</v>
      </c>
      <c r="AU43" s="281"/>
      <c r="AZ43" s="281"/>
      <c r="BG43" s="282">
        <f t="shared" si="11"/>
        <v>0</v>
      </c>
      <c r="BH43" s="282">
        <f t="shared" si="12"/>
        <v>0</v>
      </c>
      <c r="BI43" s="283">
        <f t="shared" si="13"/>
        <v>0</v>
      </c>
      <c r="BL43" s="1">
        <v>513119</v>
      </c>
      <c r="BM43" s="1">
        <v>172196</v>
      </c>
      <c r="BN43" s="1" t="s">
        <v>1389</v>
      </c>
      <c r="BO43" s="1" t="s">
        <v>1408</v>
      </c>
      <c r="BX43" s="1" t="s">
        <v>27</v>
      </c>
    </row>
    <row r="44" spans="1:76" ht="15" customHeight="1" x14ac:dyDescent="0.25">
      <c r="A44" s="275" t="s">
        <v>397</v>
      </c>
      <c r="B44" s="276" t="s">
        <v>44</v>
      </c>
      <c r="D44" s="277">
        <v>44036</v>
      </c>
      <c r="E44" s="277">
        <v>45131</v>
      </c>
      <c r="F44" s="277">
        <v>44501</v>
      </c>
      <c r="G44" s="277">
        <v>45016</v>
      </c>
      <c r="H44" s="275" t="s">
        <v>22</v>
      </c>
      <c r="I44" s="275" t="s">
        <v>1473</v>
      </c>
      <c r="K44" s="275" t="s">
        <v>398</v>
      </c>
      <c r="L44" s="275" t="s">
        <v>399</v>
      </c>
      <c r="M44" s="275" t="s">
        <v>323</v>
      </c>
      <c r="V44" s="1">
        <f t="shared" si="0"/>
        <v>0</v>
      </c>
      <c r="X44" s="1">
        <v>1</v>
      </c>
      <c r="AE44" s="1">
        <f t="shared" si="1"/>
        <v>1</v>
      </c>
      <c r="AF44" s="1">
        <f t="shared" si="2"/>
        <v>0</v>
      </c>
      <c r="AG44" s="1">
        <f t="shared" si="3"/>
        <v>1</v>
      </c>
      <c r="AH44" s="1">
        <f t="shared" si="4"/>
        <v>0</v>
      </c>
      <c r="AI44" s="1">
        <f t="shared" si="5"/>
        <v>0</v>
      </c>
      <c r="AJ44" s="1">
        <f t="shared" si="6"/>
        <v>0</v>
      </c>
      <c r="AK44" s="1">
        <f t="shared" si="7"/>
        <v>0</v>
      </c>
      <c r="AL44" s="1">
        <f t="shared" si="8"/>
        <v>0</v>
      </c>
      <c r="AM44" s="1">
        <f t="shared" si="9"/>
        <v>0</v>
      </c>
      <c r="AN44" s="278">
        <f t="shared" si="14"/>
        <v>1</v>
      </c>
      <c r="AP44" s="280">
        <v>1</v>
      </c>
      <c r="AU44" s="281"/>
      <c r="AZ44" s="281"/>
      <c r="BG44" s="282">
        <f t="shared" si="11"/>
        <v>0</v>
      </c>
      <c r="BH44" s="282">
        <f t="shared" si="12"/>
        <v>0</v>
      </c>
      <c r="BI44" s="283">
        <f t="shared" si="13"/>
        <v>0</v>
      </c>
      <c r="BL44" s="1">
        <v>521330</v>
      </c>
      <c r="BM44" s="1">
        <v>175807</v>
      </c>
      <c r="BN44" s="1" t="s">
        <v>1599</v>
      </c>
      <c r="BO44" s="1" t="s">
        <v>1562</v>
      </c>
      <c r="BR44" s="284" t="s">
        <v>1698</v>
      </c>
      <c r="BS44" s="284" t="s">
        <v>27</v>
      </c>
      <c r="BU44" s="284" t="s">
        <v>1690</v>
      </c>
      <c r="BV44" s="284" t="s">
        <v>27</v>
      </c>
      <c r="BW44" s="284" t="s">
        <v>27</v>
      </c>
    </row>
    <row r="45" spans="1:76" ht="15" customHeight="1" x14ac:dyDescent="0.25">
      <c r="A45" s="275" t="s">
        <v>147</v>
      </c>
      <c r="B45" s="276" t="s">
        <v>49</v>
      </c>
      <c r="C45" s="1" t="s">
        <v>1262</v>
      </c>
      <c r="D45" s="277">
        <v>44062</v>
      </c>
      <c r="E45" s="277">
        <v>45157</v>
      </c>
      <c r="F45" s="277">
        <v>44501</v>
      </c>
      <c r="G45" s="277">
        <v>44873</v>
      </c>
      <c r="H45" s="275" t="s">
        <v>22</v>
      </c>
      <c r="I45" s="275" t="s">
        <v>1473</v>
      </c>
      <c r="K45" s="275" t="s">
        <v>148</v>
      </c>
      <c r="L45" s="275" t="s">
        <v>149</v>
      </c>
      <c r="M45" s="275" t="s">
        <v>150</v>
      </c>
      <c r="V45" s="1">
        <f t="shared" si="0"/>
        <v>0</v>
      </c>
      <c r="W45" s="1">
        <v>1</v>
      </c>
      <c r="AE45" s="1">
        <f t="shared" si="1"/>
        <v>1</v>
      </c>
      <c r="AF45" s="1">
        <f t="shared" si="2"/>
        <v>1</v>
      </c>
      <c r="AG45" s="1">
        <f t="shared" si="3"/>
        <v>0</v>
      </c>
      <c r="AH45" s="1">
        <f t="shared" si="4"/>
        <v>0</v>
      </c>
      <c r="AI45" s="1">
        <f t="shared" si="5"/>
        <v>0</v>
      </c>
      <c r="AJ45" s="1">
        <f t="shared" si="6"/>
        <v>0</v>
      </c>
      <c r="AK45" s="1">
        <f t="shared" si="7"/>
        <v>0</v>
      </c>
      <c r="AL45" s="1">
        <f t="shared" si="8"/>
        <v>0</v>
      </c>
      <c r="AM45" s="1">
        <f t="shared" si="9"/>
        <v>0</v>
      </c>
      <c r="AN45" s="278">
        <f t="shared" si="14"/>
        <v>1</v>
      </c>
      <c r="AP45" s="280">
        <v>1</v>
      </c>
      <c r="AU45" s="281"/>
      <c r="AZ45" s="281"/>
      <c r="BG45" s="282">
        <f t="shared" si="11"/>
        <v>0</v>
      </c>
      <c r="BH45" s="282">
        <f t="shared" si="12"/>
        <v>0</v>
      </c>
      <c r="BI45" s="283">
        <f t="shared" si="13"/>
        <v>0</v>
      </c>
      <c r="BL45" s="1">
        <v>515402</v>
      </c>
      <c r="BM45" s="1">
        <v>171660</v>
      </c>
      <c r="BN45" s="1" t="s">
        <v>1600</v>
      </c>
      <c r="BO45" s="1" t="s">
        <v>1563</v>
      </c>
      <c r="BW45" s="284" t="s">
        <v>27</v>
      </c>
    </row>
    <row r="46" spans="1:76" ht="15" customHeight="1" x14ac:dyDescent="0.25">
      <c r="A46" s="275" t="s">
        <v>20</v>
      </c>
      <c r="B46" s="276" t="s">
        <v>21</v>
      </c>
      <c r="D46" s="277">
        <v>44063</v>
      </c>
      <c r="E46" s="277">
        <v>45158</v>
      </c>
      <c r="F46" s="277">
        <v>44537</v>
      </c>
      <c r="G46" s="277">
        <v>44938</v>
      </c>
      <c r="H46" s="269" t="s">
        <v>22</v>
      </c>
      <c r="I46" s="275" t="s">
        <v>23</v>
      </c>
      <c r="K46" s="275" t="s">
        <v>24</v>
      </c>
      <c r="L46" s="268" t="s">
        <v>25</v>
      </c>
      <c r="M46" s="275" t="s">
        <v>26</v>
      </c>
      <c r="V46" s="1">
        <f t="shared" si="0"/>
        <v>0</v>
      </c>
      <c r="X46" s="1">
        <v>5</v>
      </c>
      <c r="Y46" s="1">
        <v>4</v>
      </c>
      <c r="AE46" s="1">
        <f t="shared" si="1"/>
        <v>9</v>
      </c>
      <c r="AF46" s="1">
        <f t="shared" si="2"/>
        <v>0</v>
      </c>
      <c r="AG46" s="1">
        <f t="shared" si="3"/>
        <v>5</v>
      </c>
      <c r="AH46" s="1">
        <f t="shared" si="4"/>
        <v>4</v>
      </c>
      <c r="AI46" s="1">
        <f t="shared" si="5"/>
        <v>0</v>
      </c>
      <c r="AJ46" s="1">
        <f t="shared" si="6"/>
        <v>0</v>
      </c>
      <c r="AK46" s="1">
        <f t="shared" si="7"/>
        <v>0</v>
      </c>
      <c r="AL46" s="1">
        <f t="shared" si="8"/>
        <v>0</v>
      </c>
      <c r="AM46" s="1">
        <f t="shared" si="9"/>
        <v>0</v>
      </c>
      <c r="AN46" s="278">
        <f t="shared" si="14"/>
        <v>9</v>
      </c>
      <c r="AP46" s="280">
        <v>9</v>
      </c>
      <c r="AU46" s="281"/>
      <c r="AZ46" s="281"/>
      <c r="BG46" s="282">
        <f t="shared" si="11"/>
        <v>0</v>
      </c>
      <c r="BH46" s="282">
        <f t="shared" si="12"/>
        <v>0</v>
      </c>
      <c r="BI46" s="283">
        <f t="shared" si="13"/>
        <v>0</v>
      </c>
      <c r="BL46" s="1">
        <v>512878</v>
      </c>
      <c r="BM46" s="1">
        <v>174040</v>
      </c>
      <c r="BN46" s="1" t="s">
        <v>1391</v>
      </c>
      <c r="BO46" s="1" t="s">
        <v>1402</v>
      </c>
    </row>
    <row r="47" spans="1:76" ht="15" customHeight="1" x14ac:dyDescent="0.25">
      <c r="A47" s="275" t="s">
        <v>347</v>
      </c>
      <c r="B47" s="276" t="s">
        <v>49</v>
      </c>
      <c r="D47" s="277">
        <v>44391</v>
      </c>
      <c r="E47" s="277">
        <v>45487</v>
      </c>
      <c r="F47" s="277">
        <v>44543</v>
      </c>
      <c r="G47" s="277">
        <v>45016</v>
      </c>
      <c r="H47" s="275" t="s">
        <v>22</v>
      </c>
      <c r="I47" s="275" t="s">
        <v>1473</v>
      </c>
      <c r="K47" s="275" t="s">
        <v>348</v>
      </c>
      <c r="L47" s="275" t="s">
        <v>349</v>
      </c>
      <c r="M47" s="275" t="s">
        <v>350</v>
      </c>
      <c r="V47" s="1">
        <f t="shared" si="0"/>
        <v>0</v>
      </c>
      <c r="W47" s="1">
        <v>5</v>
      </c>
      <c r="X47" s="1">
        <v>1</v>
      </c>
      <c r="AE47" s="1">
        <f t="shared" si="1"/>
        <v>6</v>
      </c>
      <c r="AF47" s="1">
        <f t="shared" si="2"/>
        <v>5</v>
      </c>
      <c r="AG47" s="1">
        <f t="shared" si="3"/>
        <v>1</v>
      </c>
      <c r="AH47" s="1">
        <f t="shared" si="4"/>
        <v>0</v>
      </c>
      <c r="AI47" s="1">
        <f t="shared" si="5"/>
        <v>0</v>
      </c>
      <c r="AJ47" s="1">
        <f t="shared" si="6"/>
        <v>0</v>
      </c>
      <c r="AK47" s="1">
        <f t="shared" si="7"/>
        <v>0</v>
      </c>
      <c r="AL47" s="1">
        <f t="shared" si="8"/>
        <v>0</v>
      </c>
      <c r="AM47" s="1">
        <f t="shared" si="9"/>
        <v>0</v>
      </c>
      <c r="AN47" s="278">
        <f t="shared" si="14"/>
        <v>6</v>
      </c>
      <c r="AP47" s="280">
        <v>6</v>
      </c>
      <c r="AU47" s="281"/>
      <c r="AZ47" s="281"/>
      <c r="BG47" s="282">
        <f t="shared" si="11"/>
        <v>0</v>
      </c>
      <c r="BH47" s="282">
        <f t="shared" si="12"/>
        <v>0</v>
      </c>
      <c r="BI47" s="283">
        <f t="shared" si="13"/>
        <v>0</v>
      </c>
      <c r="BL47" s="1">
        <v>517806</v>
      </c>
      <c r="BM47" s="1">
        <v>174802</v>
      </c>
      <c r="BN47" s="1" t="s">
        <v>1385</v>
      </c>
      <c r="BO47" s="1" t="s">
        <v>1405</v>
      </c>
      <c r="BP47" s="284" t="s">
        <v>1385</v>
      </c>
      <c r="BU47" s="284" t="s">
        <v>1699</v>
      </c>
      <c r="BV47" s="284" t="s">
        <v>27</v>
      </c>
      <c r="BW47" s="284" t="s">
        <v>27</v>
      </c>
    </row>
    <row r="48" spans="1:76" ht="15" customHeight="1" x14ac:dyDescent="0.25">
      <c r="A48" s="275" t="s">
        <v>205</v>
      </c>
      <c r="B48" s="276" t="s">
        <v>21</v>
      </c>
      <c r="D48" s="277">
        <v>44348</v>
      </c>
      <c r="E48" s="277">
        <v>45444</v>
      </c>
      <c r="F48" s="277">
        <v>44585</v>
      </c>
      <c r="G48" s="277">
        <v>44986</v>
      </c>
      <c r="H48" s="275" t="s">
        <v>22</v>
      </c>
      <c r="I48" s="275" t="s">
        <v>1473</v>
      </c>
      <c r="K48" s="275" t="s">
        <v>206</v>
      </c>
      <c r="L48" s="275" t="s">
        <v>207</v>
      </c>
      <c r="M48" s="275" t="s">
        <v>208</v>
      </c>
      <c r="V48" s="1">
        <f t="shared" si="0"/>
        <v>0</v>
      </c>
      <c r="Y48" s="1">
        <v>1</v>
      </c>
      <c r="AE48" s="1">
        <f t="shared" si="1"/>
        <v>1</v>
      </c>
      <c r="AF48" s="1">
        <f t="shared" si="2"/>
        <v>0</v>
      </c>
      <c r="AG48" s="1">
        <f t="shared" si="3"/>
        <v>0</v>
      </c>
      <c r="AH48" s="1">
        <f t="shared" si="4"/>
        <v>1</v>
      </c>
      <c r="AI48" s="1">
        <f t="shared" si="5"/>
        <v>0</v>
      </c>
      <c r="AJ48" s="1">
        <f t="shared" si="6"/>
        <v>0</v>
      </c>
      <c r="AK48" s="1">
        <f t="shared" si="7"/>
        <v>0</v>
      </c>
      <c r="AL48" s="1">
        <f t="shared" si="8"/>
        <v>0</v>
      </c>
      <c r="AM48" s="1">
        <f t="shared" si="9"/>
        <v>0</v>
      </c>
      <c r="AN48" s="278">
        <f t="shared" si="14"/>
        <v>1</v>
      </c>
      <c r="AP48" s="280">
        <v>1</v>
      </c>
      <c r="AU48" s="281"/>
      <c r="AZ48" s="281"/>
      <c r="BG48" s="282">
        <f t="shared" si="11"/>
        <v>0</v>
      </c>
      <c r="BH48" s="282">
        <f t="shared" si="12"/>
        <v>0</v>
      </c>
      <c r="BI48" s="283">
        <f t="shared" si="13"/>
        <v>0</v>
      </c>
      <c r="BL48" s="1">
        <v>514133</v>
      </c>
      <c r="BM48" s="1">
        <v>170165</v>
      </c>
      <c r="BN48" s="1" t="s">
        <v>1600</v>
      </c>
      <c r="BO48" s="1" t="s">
        <v>1400</v>
      </c>
    </row>
    <row r="49" spans="1:76" ht="15" customHeight="1" x14ac:dyDescent="0.25">
      <c r="A49" s="275" t="s">
        <v>213</v>
      </c>
      <c r="B49" s="276" t="s">
        <v>49</v>
      </c>
      <c r="C49" s="1" t="s">
        <v>1262</v>
      </c>
      <c r="D49" s="277">
        <v>44420</v>
      </c>
      <c r="E49" s="277">
        <v>45516</v>
      </c>
      <c r="F49" s="277">
        <v>44593</v>
      </c>
      <c r="G49" s="277">
        <v>44735</v>
      </c>
      <c r="H49" s="269" t="s">
        <v>22</v>
      </c>
      <c r="I49" s="275" t="s">
        <v>1473</v>
      </c>
      <c r="K49" s="275" t="s">
        <v>214</v>
      </c>
      <c r="L49" s="275" t="s">
        <v>215</v>
      </c>
      <c r="M49" s="275" t="s">
        <v>216</v>
      </c>
      <c r="V49" s="1">
        <f t="shared" si="0"/>
        <v>0</v>
      </c>
      <c r="X49" s="1">
        <v>1</v>
      </c>
      <c r="AE49" s="1">
        <f t="shared" si="1"/>
        <v>1</v>
      </c>
      <c r="AF49" s="1">
        <f t="shared" si="2"/>
        <v>0</v>
      </c>
      <c r="AG49" s="1">
        <f t="shared" si="3"/>
        <v>1</v>
      </c>
      <c r="AH49" s="1">
        <f t="shared" si="4"/>
        <v>0</v>
      </c>
      <c r="AI49" s="1">
        <f t="shared" si="5"/>
        <v>0</v>
      </c>
      <c r="AJ49" s="1">
        <f t="shared" si="6"/>
        <v>0</v>
      </c>
      <c r="AK49" s="1">
        <f t="shared" si="7"/>
        <v>0</v>
      </c>
      <c r="AL49" s="1">
        <f t="shared" si="8"/>
        <v>0</v>
      </c>
      <c r="AM49" s="1">
        <f t="shared" si="9"/>
        <v>0</v>
      </c>
      <c r="AN49" s="278">
        <f t="shared" si="14"/>
        <v>1</v>
      </c>
      <c r="AP49" s="280">
        <v>1</v>
      </c>
      <c r="AU49" s="281"/>
      <c r="AZ49" s="281"/>
      <c r="BG49" s="282">
        <f t="shared" si="11"/>
        <v>0</v>
      </c>
      <c r="BH49" s="282">
        <f t="shared" si="12"/>
        <v>0</v>
      </c>
      <c r="BI49" s="283">
        <f t="shared" si="13"/>
        <v>0</v>
      </c>
      <c r="BL49" s="1">
        <v>513441</v>
      </c>
      <c r="BM49" s="1">
        <v>169949</v>
      </c>
      <c r="BN49" s="1" t="s">
        <v>1600</v>
      </c>
      <c r="BO49" s="1" t="s">
        <v>1400</v>
      </c>
      <c r="BR49" s="284" t="s">
        <v>1700</v>
      </c>
      <c r="BS49" s="284" t="s">
        <v>27</v>
      </c>
      <c r="BW49" s="284" t="s">
        <v>27</v>
      </c>
    </row>
    <row r="50" spans="1:76" ht="15" customHeight="1" x14ac:dyDescent="0.25">
      <c r="A50" s="275" t="s">
        <v>355</v>
      </c>
      <c r="B50" s="276" t="s">
        <v>49</v>
      </c>
      <c r="C50" s="1" t="s">
        <v>1262</v>
      </c>
      <c r="D50" s="277">
        <v>44433</v>
      </c>
      <c r="E50" s="277">
        <v>45529</v>
      </c>
      <c r="F50" s="277">
        <v>44593</v>
      </c>
      <c r="G50" s="277">
        <v>44774</v>
      </c>
      <c r="H50" s="275" t="s">
        <v>22</v>
      </c>
      <c r="I50" s="275" t="s">
        <v>1473</v>
      </c>
      <c r="K50" s="275" t="s">
        <v>356</v>
      </c>
      <c r="L50" s="275" t="s">
        <v>357</v>
      </c>
      <c r="M50" s="275" t="s">
        <v>358</v>
      </c>
      <c r="V50" s="1">
        <f t="shared" si="0"/>
        <v>0</v>
      </c>
      <c r="W50" s="1">
        <v>2</v>
      </c>
      <c r="AE50" s="1">
        <f t="shared" si="1"/>
        <v>2</v>
      </c>
      <c r="AF50" s="1">
        <f t="shared" si="2"/>
        <v>2</v>
      </c>
      <c r="AG50" s="1">
        <f t="shared" si="3"/>
        <v>0</v>
      </c>
      <c r="AH50" s="1">
        <f t="shared" si="4"/>
        <v>0</v>
      </c>
      <c r="AI50" s="1">
        <f t="shared" si="5"/>
        <v>0</v>
      </c>
      <c r="AJ50" s="1">
        <f t="shared" si="6"/>
        <v>0</v>
      </c>
      <c r="AK50" s="1">
        <f t="shared" si="7"/>
        <v>0</v>
      </c>
      <c r="AL50" s="1">
        <f t="shared" si="8"/>
        <v>0</v>
      </c>
      <c r="AM50" s="1">
        <f t="shared" si="9"/>
        <v>0</v>
      </c>
      <c r="AN50" s="278">
        <f t="shared" si="14"/>
        <v>2</v>
      </c>
      <c r="AP50" s="280">
        <v>2</v>
      </c>
      <c r="AU50" s="281"/>
      <c r="AZ50" s="281"/>
      <c r="BG50" s="282">
        <f t="shared" si="11"/>
        <v>0</v>
      </c>
      <c r="BH50" s="282">
        <f t="shared" si="12"/>
        <v>0</v>
      </c>
      <c r="BI50" s="283">
        <f t="shared" si="13"/>
        <v>0</v>
      </c>
      <c r="BL50" s="1">
        <v>520540</v>
      </c>
      <c r="BM50" s="1">
        <v>175748</v>
      </c>
      <c r="BN50" s="1" t="s">
        <v>1599</v>
      </c>
      <c r="BO50" s="1" t="s">
        <v>1384</v>
      </c>
      <c r="BP50" s="284" t="s">
        <v>1384</v>
      </c>
      <c r="BW50" s="284" t="s">
        <v>27</v>
      </c>
    </row>
    <row r="51" spans="1:76" ht="15" customHeight="1" x14ac:dyDescent="0.25">
      <c r="A51" s="275" t="s">
        <v>271</v>
      </c>
      <c r="B51" s="276" t="s">
        <v>49</v>
      </c>
      <c r="C51" s="1" t="s">
        <v>1262</v>
      </c>
      <c r="D51" s="277">
        <v>44342</v>
      </c>
      <c r="E51" s="277">
        <v>45438</v>
      </c>
      <c r="F51" s="277">
        <v>44621</v>
      </c>
      <c r="G51" s="277">
        <v>44656</v>
      </c>
      <c r="H51" s="269" t="s">
        <v>22</v>
      </c>
      <c r="I51" s="275" t="s">
        <v>1473</v>
      </c>
      <c r="K51" s="275" t="s">
        <v>272</v>
      </c>
      <c r="L51" s="275" t="s">
        <v>273</v>
      </c>
      <c r="M51" s="275" t="s">
        <v>274</v>
      </c>
      <c r="V51" s="1">
        <f t="shared" si="0"/>
        <v>0</v>
      </c>
      <c r="X51" s="1">
        <v>1</v>
      </c>
      <c r="AE51" s="1">
        <f t="shared" si="1"/>
        <v>1</v>
      </c>
      <c r="AF51" s="1">
        <f t="shared" si="2"/>
        <v>0</v>
      </c>
      <c r="AG51" s="1">
        <f t="shared" si="3"/>
        <v>1</v>
      </c>
      <c r="AH51" s="1">
        <f t="shared" si="4"/>
        <v>0</v>
      </c>
      <c r="AI51" s="1">
        <f t="shared" si="5"/>
        <v>0</v>
      </c>
      <c r="AJ51" s="1">
        <f t="shared" si="6"/>
        <v>0</v>
      </c>
      <c r="AK51" s="1">
        <f t="shared" si="7"/>
        <v>0</v>
      </c>
      <c r="AL51" s="1">
        <f t="shared" si="8"/>
        <v>0</v>
      </c>
      <c r="AM51" s="1">
        <f t="shared" si="9"/>
        <v>0</v>
      </c>
      <c r="AN51" s="278">
        <f t="shared" si="14"/>
        <v>1</v>
      </c>
      <c r="AP51" s="280">
        <v>1</v>
      </c>
      <c r="AU51" s="281"/>
      <c r="AZ51" s="281"/>
      <c r="BG51" s="282">
        <f t="shared" si="11"/>
        <v>0</v>
      </c>
      <c r="BH51" s="282">
        <f t="shared" si="12"/>
        <v>0</v>
      </c>
      <c r="BI51" s="283">
        <f t="shared" si="13"/>
        <v>0</v>
      </c>
      <c r="BL51" s="1">
        <v>520455</v>
      </c>
      <c r="BM51" s="1">
        <v>175362</v>
      </c>
      <c r="BN51" s="1" t="s">
        <v>1599</v>
      </c>
      <c r="BO51" s="1" t="s">
        <v>1384</v>
      </c>
      <c r="BP51" s="284" t="s">
        <v>1384</v>
      </c>
      <c r="BW51" s="284" t="s">
        <v>27</v>
      </c>
    </row>
    <row r="52" spans="1:76" ht="15" customHeight="1" x14ac:dyDescent="0.25">
      <c r="A52" s="275" t="s">
        <v>291</v>
      </c>
      <c r="B52" s="276" t="s">
        <v>49</v>
      </c>
      <c r="D52" s="277">
        <v>44509</v>
      </c>
      <c r="E52" s="277">
        <v>45605</v>
      </c>
      <c r="F52" s="277">
        <v>44621</v>
      </c>
      <c r="G52" s="277">
        <v>44917</v>
      </c>
      <c r="H52" s="269" t="s">
        <v>22</v>
      </c>
      <c r="I52" s="275" t="s">
        <v>1473</v>
      </c>
      <c r="K52" s="275" t="s">
        <v>292</v>
      </c>
      <c r="L52" s="275" t="s">
        <v>293</v>
      </c>
      <c r="M52" s="275" t="s">
        <v>294</v>
      </c>
      <c r="V52" s="1">
        <f t="shared" si="0"/>
        <v>0</v>
      </c>
      <c r="W52" s="1">
        <v>7</v>
      </c>
      <c r="X52" s="1">
        <v>1</v>
      </c>
      <c r="AE52" s="1">
        <f t="shared" si="1"/>
        <v>8</v>
      </c>
      <c r="AF52" s="1">
        <f t="shared" si="2"/>
        <v>7</v>
      </c>
      <c r="AG52" s="1">
        <f t="shared" si="3"/>
        <v>1</v>
      </c>
      <c r="AH52" s="1">
        <f t="shared" si="4"/>
        <v>0</v>
      </c>
      <c r="AI52" s="1">
        <f t="shared" si="5"/>
        <v>0</v>
      </c>
      <c r="AJ52" s="1">
        <f t="shared" si="6"/>
        <v>0</v>
      </c>
      <c r="AK52" s="1">
        <f t="shared" si="7"/>
        <v>0</v>
      </c>
      <c r="AL52" s="1">
        <f t="shared" si="8"/>
        <v>0</v>
      </c>
      <c r="AM52" s="1">
        <f t="shared" si="9"/>
        <v>0</v>
      </c>
      <c r="AN52" s="278">
        <f t="shared" si="14"/>
        <v>8</v>
      </c>
      <c r="AP52" s="280">
        <v>8</v>
      </c>
      <c r="AU52" s="281"/>
      <c r="AZ52" s="281"/>
      <c r="BG52" s="282">
        <f t="shared" si="11"/>
        <v>0</v>
      </c>
      <c r="BH52" s="282">
        <f t="shared" si="12"/>
        <v>0</v>
      </c>
      <c r="BI52" s="283">
        <f t="shared" si="13"/>
        <v>0</v>
      </c>
      <c r="BL52" s="1">
        <v>517861</v>
      </c>
      <c r="BM52" s="1">
        <v>174904</v>
      </c>
      <c r="BN52" s="1" t="s">
        <v>1385</v>
      </c>
      <c r="BO52" s="1" t="s">
        <v>1405</v>
      </c>
      <c r="BP52" s="284" t="s">
        <v>1385</v>
      </c>
      <c r="BU52" s="284" t="s">
        <v>1699</v>
      </c>
      <c r="BV52" s="284" t="s">
        <v>27</v>
      </c>
      <c r="BW52" s="284" t="s">
        <v>27</v>
      </c>
    </row>
    <row r="53" spans="1:76" ht="15" customHeight="1" x14ac:dyDescent="0.25">
      <c r="A53" s="275" t="s">
        <v>225</v>
      </c>
      <c r="B53" s="276" t="s">
        <v>144</v>
      </c>
      <c r="D53" s="277">
        <v>44482</v>
      </c>
      <c r="E53" s="277">
        <v>45578</v>
      </c>
      <c r="F53" s="277">
        <v>44621</v>
      </c>
      <c r="G53" s="277">
        <v>45016</v>
      </c>
      <c r="H53" s="269" t="s">
        <v>22</v>
      </c>
      <c r="I53" s="275" t="s">
        <v>1473</v>
      </c>
      <c r="K53" s="275" t="s">
        <v>1653</v>
      </c>
      <c r="L53" s="275" t="s">
        <v>226</v>
      </c>
      <c r="M53" s="275" t="s">
        <v>227</v>
      </c>
      <c r="P53" s="1">
        <v>1</v>
      </c>
      <c r="Q53" s="1">
        <v>1</v>
      </c>
      <c r="V53" s="1">
        <f t="shared" si="0"/>
        <v>2</v>
      </c>
      <c r="AB53" s="1">
        <v>1</v>
      </c>
      <c r="AE53" s="1">
        <f t="shared" si="1"/>
        <v>1</v>
      </c>
      <c r="AF53" s="1">
        <f t="shared" si="2"/>
        <v>0</v>
      </c>
      <c r="AG53" s="1">
        <f t="shared" si="3"/>
        <v>-1</v>
      </c>
      <c r="AH53" s="1">
        <f t="shared" si="4"/>
        <v>-1</v>
      </c>
      <c r="AI53" s="1">
        <f t="shared" si="5"/>
        <v>0</v>
      </c>
      <c r="AJ53" s="1">
        <f t="shared" si="6"/>
        <v>0</v>
      </c>
      <c r="AK53" s="1">
        <f t="shared" si="7"/>
        <v>1</v>
      </c>
      <c r="AL53" s="1">
        <f t="shared" si="8"/>
        <v>0</v>
      </c>
      <c r="AM53" s="1">
        <f t="shared" si="9"/>
        <v>0</v>
      </c>
      <c r="AN53" s="278">
        <f t="shared" si="14"/>
        <v>-1</v>
      </c>
      <c r="AP53" s="280">
        <v>-1</v>
      </c>
      <c r="AU53" s="281"/>
      <c r="AZ53" s="281"/>
      <c r="BG53" s="282">
        <f t="shared" si="11"/>
        <v>0</v>
      </c>
      <c r="BH53" s="282">
        <f t="shared" si="12"/>
        <v>0</v>
      </c>
      <c r="BI53" s="283">
        <f t="shared" si="13"/>
        <v>0</v>
      </c>
      <c r="BL53" s="1">
        <v>518740</v>
      </c>
      <c r="BM53" s="1">
        <v>174094</v>
      </c>
      <c r="BN53" s="1" t="s">
        <v>1385</v>
      </c>
      <c r="BO53" s="1" t="s">
        <v>1405</v>
      </c>
      <c r="BU53" s="284" t="s">
        <v>1686</v>
      </c>
      <c r="BV53" s="284" t="s">
        <v>27</v>
      </c>
    </row>
    <row r="54" spans="1:76" ht="15" customHeight="1" x14ac:dyDescent="0.25">
      <c r="A54" s="275" t="s">
        <v>155</v>
      </c>
      <c r="B54" s="276" t="s">
        <v>49</v>
      </c>
      <c r="C54" s="1" t="s">
        <v>1262</v>
      </c>
      <c r="D54" s="277">
        <v>44581</v>
      </c>
      <c r="E54" s="277">
        <v>45682</v>
      </c>
      <c r="F54" s="277">
        <v>44621</v>
      </c>
      <c r="G54" s="277">
        <v>44909</v>
      </c>
      <c r="H54" s="269" t="s">
        <v>22</v>
      </c>
      <c r="I54" s="275" t="s">
        <v>1473</v>
      </c>
      <c r="K54" s="275" t="s">
        <v>156</v>
      </c>
      <c r="L54" s="275" t="s">
        <v>157</v>
      </c>
      <c r="M54" s="275" t="s">
        <v>158</v>
      </c>
      <c r="V54" s="1">
        <f t="shared" si="0"/>
        <v>0</v>
      </c>
      <c r="W54" s="1">
        <v>3</v>
      </c>
      <c r="X54" s="1">
        <v>1</v>
      </c>
      <c r="AE54" s="1">
        <f t="shared" si="1"/>
        <v>4</v>
      </c>
      <c r="AF54" s="1">
        <f t="shared" si="2"/>
        <v>3</v>
      </c>
      <c r="AG54" s="1">
        <f t="shared" si="3"/>
        <v>1</v>
      </c>
      <c r="AH54" s="1">
        <f t="shared" si="4"/>
        <v>0</v>
      </c>
      <c r="AI54" s="1">
        <f t="shared" si="5"/>
        <v>0</v>
      </c>
      <c r="AJ54" s="1">
        <f t="shared" si="6"/>
        <v>0</v>
      </c>
      <c r="AK54" s="1">
        <f t="shared" si="7"/>
        <v>0</v>
      </c>
      <c r="AL54" s="1">
        <f t="shared" si="8"/>
        <v>0</v>
      </c>
      <c r="AM54" s="1">
        <f t="shared" si="9"/>
        <v>0</v>
      </c>
      <c r="AN54" s="278">
        <f t="shared" si="14"/>
        <v>4</v>
      </c>
      <c r="AP54" s="280">
        <v>4</v>
      </c>
      <c r="AU54" s="281"/>
      <c r="AZ54" s="281"/>
      <c r="BG54" s="282">
        <f t="shared" si="11"/>
        <v>0</v>
      </c>
      <c r="BH54" s="282">
        <f t="shared" si="12"/>
        <v>0</v>
      </c>
      <c r="BI54" s="283">
        <f t="shared" si="13"/>
        <v>0</v>
      </c>
      <c r="BL54" s="1">
        <v>516015</v>
      </c>
      <c r="BM54" s="1">
        <v>173773</v>
      </c>
      <c r="BN54" s="1" t="s">
        <v>1389</v>
      </c>
      <c r="BO54" s="1" t="s">
        <v>1561</v>
      </c>
      <c r="BW54" s="284" t="s">
        <v>27</v>
      </c>
    </row>
    <row r="55" spans="1:76" ht="15" customHeight="1" x14ac:dyDescent="0.25">
      <c r="A55" s="275" t="s">
        <v>217</v>
      </c>
      <c r="B55" s="276" t="s">
        <v>49</v>
      </c>
      <c r="C55" s="1" t="s">
        <v>1262</v>
      </c>
      <c r="D55" s="277">
        <v>43592</v>
      </c>
      <c r="E55" s="277">
        <v>44688</v>
      </c>
      <c r="F55" s="277">
        <v>44650</v>
      </c>
      <c r="G55" s="277">
        <v>44893</v>
      </c>
      <c r="H55" s="269" t="s">
        <v>22</v>
      </c>
      <c r="I55" s="275" t="s">
        <v>1473</v>
      </c>
      <c r="K55" s="275" t="s">
        <v>1251</v>
      </c>
      <c r="L55" s="275" t="s">
        <v>218</v>
      </c>
      <c r="M55" s="275" t="s">
        <v>219</v>
      </c>
      <c r="V55" s="1">
        <f t="shared" si="0"/>
        <v>0</v>
      </c>
      <c r="X55" s="1">
        <v>1</v>
      </c>
      <c r="AE55" s="1">
        <f t="shared" si="1"/>
        <v>1</v>
      </c>
      <c r="AF55" s="1">
        <f t="shared" si="2"/>
        <v>0</v>
      </c>
      <c r="AG55" s="1">
        <f t="shared" si="3"/>
        <v>1</v>
      </c>
      <c r="AH55" s="1">
        <f t="shared" si="4"/>
        <v>0</v>
      </c>
      <c r="AI55" s="1">
        <f t="shared" si="5"/>
        <v>0</v>
      </c>
      <c r="AJ55" s="1">
        <f t="shared" si="6"/>
        <v>0</v>
      </c>
      <c r="AK55" s="1">
        <f t="shared" si="7"/>
        <v>0</v>
      </c>
      <c r="AL55" s="1">
        <f t="shared" si="8"/>
        <v>0</v>
      </c>
      <c r="AM55" s="1">
        <f t="shared" si="9"/>
        <v>0</v>
      </c>
      <c r="AN55" s="278">
        <f t="shared" si="14"/>
        <v>1</v>
      </c>
      <c r="AP55" s="280">
        <v>1</v>
      </c>
      <c r="AU55" s="281"/>
      <c r="AZ55" s="281"/>
      <c r="BG55" s="282">
        <f t="shared" si="11"/>
        <v>0</v>
      </c>
      <c r="BH55" s="282">
        <f t="shared" si="12"/>
        <v>0</v>
      </c>
      <c r="BI55" s="283">
        <f t="shared" si="13"/>
        <v>0</v>
      </c>
      <c r="BL55" s="1">
        <v>519091</v>
      </c>
      <c r="BM55" s="1">
        <v>176195</v>
      </c>
      <c r="BN55" s="1" t="s">
        <v>1385</v>
      </c>
      <c r="BO55" s="1" t="s">
        <v>1403</v>
      </c>
      <c r="BW55" s="284" t="s">
        <v>27</v>
      </c>
    </row>
    <row r="56" spans="1:76" ht="15" customHeight="1" x14ac:dyDescent="0.25">
      <c r="A56" s="275" t="s">
        <v>410</v>
      </c>
      <c r="B56" s="276" t="s">
        <v>49</v>
      </c>
      <c r="C56" s="1" t="s">
        <v>1262</v>
      </c>
      <c r="D56" s="277">
        <v>44370</v>
      </c>
      <c r="E56" s="277">
        <v>45466</v>
      </c>
      <c r="F56" s="277">
        <v>44651</v>
      </c>
      <c r="G56" s="277">
        <v>44918</v>
      </c>
      <c r="H56" s="269" t="s">
        <v>22</v>
      </c>
      <c r="I56" s="275" t="s">
        <v>1473</v>
      </c>
      <c r="K56" s="275" t="s">
        <v>411</v>
      </c>
      <c r="L56" s="275" t="s">
        <v>412</v>
      </c>
      <c r="M56" s="275" t="s">
        <v>413</v>
      </c>
      <c r="V56" s="1">
        <f t="shared" si="0"/>
        <v>0</v>
      </c>
      <c r="W56" s="1">
        <v>1</v>
      </c>
      <c r="X56" s="1">
        <v>2</v>
      </c>
      <c r="AE56" s="1">
        <f t="shared" si="1"/>
        <v>3</v>
      </c>
      <c r="AF56" s="1">
        <f t="shared" si="2"/>
        <v>1</v>
      </c>
      <c r="AG56" s="1">
        <f t="shared" si="3"/>
        <v>2</v>
      </c>
      <c r="AH56" s="1">
        <f t="shared" si="4"/>
        <v>0</v>
      </c>
      <c r="AI56" s="1">
        <f t="shared" si="5"/>
        <v>0</v>
      </c>
      <c r="AJ56" s="1">
        <f t="shared" si="6"/>
        <v>0</v>
      </c>
      <c r="AK56" s="1">
        <f t="shared" si="7"/>
        <v>0</v>
      </c>
      <c r="AL56" s="1">
        <f t="shared" si="8"/>
        <v>0</v>
      </c>
      <c r="AM56" s="1">
        <f t="shared" si="9"/>
        <v>0</v>
      </c>
      <c r="AN56" s="278">
        <f t="shared" si="14"/>
        <v>3</v>
      </c>
      <c r="AP56" s="280">
        <v>3</v>
      </c>
      <c r="AU56" s="281"/>
      <c r="AZ56" s="281"/>
      <c r="BG56" s="282">
        <f t="shared" si="11"/>
        <v>0</v>
      </c>
      <c r="BH56" s="282">
        <f t="shared" si="12"/>
        <v>0</v>
      </c>
      <c r="BI56" s="283">
        <f t="shared" si="13"/>
        <v>0</v>
      </c>
      <c r="BL56" s="1">
        <v>514225</v>
      </c>
      <c r="BM56" s="1">
        <v>170812</v>
      </c>
      <c r="BN56" s="1" t="s">
        <v>1600</v>
      </c>
      <c r="BO56" s="1" t="s">
        <v>1563</v>
      </c>
      <c r="BR56" s="284" t="s">
        <v>1701</v>
      </c>
      <c r="BS56" s="284" t="s">
        <v>27</v>
      </c>
      <c r="BU56" s="284" t="s">
        <v>1702</v>
      </c>
      <c r="BV56" s="284" t="s">
        <v>27</v>
      </c>
    </row>
    <row r="57" spans="1:76" ht="15" customHeight="1" x14ac:dyDescent="0.25">
      <c r="A57" s="275" t="s">
        <v>247</v>
      </c>
      <c r="B57" s="276" t="s">
        <v>49</v>
      </c>
      <c r="C57" s="1" t="s">
        <v>1262</v>
      </c>
      <c r="D57" s="277">
        <v>44641</v>
      </c>
      <c r="E57" s="277">
        <v>45737</v>
      </c>
      <c r="F57" s="277">
        <v>44651</v>
      </c>
      <c r="G57" s="277">
        <v>44813</v>
      </c>
      <c r="H57" s="269" t="s">
        <v>22</v>
      </c>
      <c r="I57" s="275" t="s">
        <v>1473</v>
      </c>
      <c r="K57" s="275" t="s">
        <v>248</v>
      </c>
      <c r="L57" s="275" t="s">
        <v>249</v>
      </c>
      <c r="M57" s="275" t="s">
        <v>212</v>
      </c>
      <c r="V57" s="1">
        <f t="shared" si="0"/>
        <v>0</v>
      </c>
      <c r="W57" s="1">
        <v>5</v>
      </c>
      <c r="AE57" s="1">
        <f t="shared" si="1"/>
        <v>5</v>
      </c>
      <c r="AF57" s="1">
        <f t="shared" si="2"/>
        <v>5</v>
      </c>
      <c r="AG57" s="1">
        <f t="shared" si="3"/>
        <v>0</v>
      </c>
      <c r="AH57" s="1">
        <f t="shared" si="4"/>
        <v>0</v>
      </c>
      <c r="AI57" s="1">
        <f t="shared" si="5"/>
        <v>0</v>
      </c>
      <c r="AJ57" s="1">
        <f t="shared" si="6"/>
        <v>0</v>
      </c>
      <c r="AK57" s="1">
        <f t="shared" si="7"/>
        <v>0</v>
      </c>
      <c r="AL57" s="1">
        <f t="shared" si="8"/>
        <v>0</v>
      </c>
      <c r="AM57" s="1">
        <f t="shared" si="9"/>
        <v>0</v>
      </c>
      <c r="AN57" s="278">
        <f t="shared" si="14"/>
        <v>5</v>
      </c>
      <c r="AP57" s="280">
        <v>5</v>
      </c>
      <c r="AU57" s="281"/>
      <c r="AZ57" s="281"/>
      <c r="BG57" s="282">
        <f t="shared" si="11"/>
        <v>0</v>
      </c>
      <c r="BH57" s="282">
        <f t="shared" si="12"/>
        <v>0</v>
      </c>
      <c r="BI57" s="283">
        <f t="shared" si="13"/>
        <v>0</v>
      </c>
      <c r="BL57" s="1">
        <v>513957</v>
      </c>
      <c r="BM57" s="1">
        <v>169583</v>
      </c>
      <c r="BN57" s="1" t="s">
        <v>1600</v>
      </c>
      <c r="BO57" s="1" t="s">
        <v>1400</v>
      </c>
      <c r="BU57" s="284" t="s">
        <v>1693</v>
      </c>
      <c r="BV57" s="284" t="s">
        <v>27</v>
      </c>
      <c r="BW57" s="284" t="s">
        <v>27</v>
      </c>
    </row>
    <row r="58" spans="1:76" ht="15" customHeight="1" x14ac:dyDescent="0.25">
      <c r="A58" s="275" t="s">
        <v>209</v>
      </c>
      <c r="B58" s="276" t="s">
        <v>49</v>
      </c>
      <c r="C58" s="1" t="s">
        <v>1262</v>
      </c>
      <c r="D58" s="277">
        <v>44229</v>
      </c>
      <c r="E58" s="277">
        <v>45324</v>
      </c>
      <c r="F58" s="277">
        <v>44659</v>
      </c>
      <c r="G58" s="277">
        <v>44986</v>
      </c>
      <c r="H58" s="275" t="s">
        <v>22</v>
      </c>
      <c r="I58" s="275" t="s">
        <v>1473</v>
      </c>
      <c r="K58" s="275" t="s">
        <v>210</v>
      </c>
      <c r="L58" s="275" t="s">
        <v>211</v>
      </c>
      <c r="M58" s="275" t="s">
        <v>212</v>
      </c>
      <c r="V58" s="1">
        <f t="shared" si="0"/>
        <v>0</v>
      </c>
      <c r="W58" s="1">
        <v>2</v>
      </c>
      <c r="AE58" s="1">
        <f t="shared" si="1"/>
        <v>2</v>
      </c>
      <c r="AF58" s="1">
        <f t="shared" si="2"/>
        <v>2</v>
      </c>
      <c r="AG58" s="1">
        <f t="shared" si="3"/>
        <v>0</v>
      </c>
      <c r="AH58" s="1">
        <f t="shared" si="4"/>
        <v>0</v>
      </c>
      <c r="AI58" s="1">
        <f t="shared" si="5"/>
        <v>0</v>
      </c>
      <c r="AJ58" s="1">
        <f t="shared" si="6"/>
        <v>0</v>
      </c>
      <c r="AK58" s="1">
        <f t="shared" si="7"/>
        <v>0</v>
      </c>
      <c r="AL58" s="1">
        <f t="shared" si="8"/>
        <v>0</v>
      </c>
      <c r="AM58" s="1">
        <f t="shared" si="9"/>
        <v>0</v>
      </c>
      <c r="AN58" s="278">
        <f t="shared" si="14"/>
        <v>2</v>
      </c>
      <c r="AP58" s="280">
        <v>2</v>
      </c>
      <c r="AU58" s="281"/>
      <c r="AZ58" s="281"/>
      <c r="BG58" s="282">
        <f t="shared" si="11"/>
        <v>0</v>
      </c>
      <c r="BH58" s="282">
        <f t="shared" si="12"/>
        <v>0</v>
      </c>
      <c r="BI58" s="283">
        <f t="shared" si="13"/>
        <v>0</v>
      </c>
      <c r="BL58" s="1">
        <v>513964</v>
      </c>
      <c r="BM58" s="1">
        <v>169580</v>
      </c>
      <c r="BN58" s="1" t="s">
        <v>1600</v>
      </c>
      <c r="BO58" s="1" t="s">
        <v>1400</v>
      </c>
      <c r="BU58" s="284" t="s">
        <v>1693</v>
      </c>
      <c r="BV58" s="284" t="s">
        <v>27</v>
      </c>
      <c r="BW58" s="284" t="s">
        <v>27</v>
      </c>
    </row>
    <row r="59" spans="1:76" ht="15" customHeight="1" x14ac:dyDescent="0.25">
      <c r="A59" s="275" t="s">
        <v>324</v>
      </c>
      <c r="B59" s="276" t="s">
        <v>144</v>
      </c>
      <c r="D59" s="277">
        <v>44708</v>
      </c>
      <c r="E59" s="277">
        <v>45804</v>
      </c>
      <c r="F59" s="277">
        <v>44708</v>
      </c>
      <c r="G59" s="277">
        <v>44708</v>
      </c>
      <c r="H59" s="269" t="s">
        <v>22</v>
      </c>
      <c r="I59" s="275" t="s">
        <v>1473</v>
      </c>
      <c r="K59" s="275" t="s">
        <v>325</v>
      </c>
      <c r="L59" s="275" t="s">
        <v>326</v>
      </c>
      <c r="M59" s="275" t="s">
        <v>327</v>
      </c>
      <c r="R59" s="1">
        <v>1</v>
      </c>
      <c r="V59" s="1">
        <f t="shared" si="0"/>
        <v>1</v>
      </c>
      <c r="W59" s="1">
        <v>3</v>
      </c>
      <c r="AE59" s="1">
        <f t="shared" si="1"/>
        <v>3</v>
      </c>
      <c r="AF59" s="1">
        <f t="shared" si="2"/>
        <v>3</v>
      </c>
      <c r="AG59" s="1">
        <f t="shared" si="3"/>
        <v>0</v>
      </c>
      <c r="AH59" s="1">
        <f t="shared" si="4"/>
        <v>0</v>
      </c>
      <c r="AI59" s="1">
        <f t="shared" si="5"/>
        <v>-1</v>
      </c>
      <c r="AJ59" s="1">
        <f t="shared" si="6"/>
        <v>0</v>
      </c>
      <c r="AK59" s="1">
        <f t="shared" si="7"/>
        <v>0</v>
      </c>
      <c r="AL59" s="1">
        <f t="shared" si="8"/>
        <v>0</v>
      </c>
      <c r="AM59" s="1">
        <f t="shared" si="9"/>
        <v>0</v>
      </c>
      <c r="AN59" s="278">
        <f t="shared" si="14"/>
        <v>2</v>
      </c>
      <c r="AP59" s="280">
        <v>2</v>
      </c>
      <c r="AU59" s="281"/>
      <c r="AZ59" s="281"/>
      <c r="BG59" s="282">
        <f t="shared" si="11"/>
        <v>0</v>
      </c>
      <c r="BH59" s="282">
        <f t="shared" si="12"/>
        <v>0</v>
      </c>
      <c r="BI59" s="283">
        <f t="shared" si="13"/>
        <v>0</v>
      </c>
      <c r="BL59" s="1">
        <v>516399</v>
      </c>
      <c r="BM59" s="1">
        <v>174745</v>
      </c>
      <c r="BN59" s="1" t="s">
        <v>1389</v>
      </c>
      <c r="BO59" s="1" t="s">
        <v>1561</v>
      </c>
      <c r="BW59" s="284" t="s">
        <v>27</v>
      </c>
    </row>
    <row r="60" spans="1:76" ht="15" customHeight="1" x14ac:dyDescent="0.25">
      <c r="A60" s="275" t="s">
        <v>377</v>
      </c>
      <c r="B60" s="276" t="s">
        <v>49</v>
      </c>
      <c r="D60" s="277">
        <v>44463</v>
      </c>
      <c r="E60" s="277">
        <v>45559</v>
      </c>
      <c r="F60" s="277">
        <v>44713</v>
      </c>
      <c r="G60" s="277">
        <v>44834</v>
      </c>
      <c r="H60" s="275" t="s">
        <v>22</v>
      </c>
      <c r="I60" s="275" t="s">
        <v>1473</v>
      </c>
      <c r="K60" s="275" t="s">
        <v>378</v>
      </c>
      <c r="L60" s="275" t="s">
        <v>379</v>
      </c>
      <c r="M60" s="275" t="s">
        <v>380</v>
      </c>
      <c r="V60" s="1">
        <f t="shared" si="0"/>
        <v>0</v>
      </c>
      <c r="Y60" s="1">
        <v>1</v>
      </c>
      <c r="AE60" s="1">
        <f t="shared" si="1"/>
        <v>1</v>
      </c>
      <c r="AF60" s="1">
        <f t="shared" si="2"/>
        <v>0</v>
      </c>
      <c r="AG60" s="1">
        <f t="shared" si="3"/>
        <v>0</v>
      </c>
      <c r="AH60" s="1">
        <f t="shared" si="4"/>
        <v>1</v>
      </c>
      <c r="AI60" s="1">
        <f t="shared" si="5"/>
        <v>0</v>
      </c>
      <c r="AJ60" s="1">
        <f t="shared" si="6"/>
        <v>0</v>
      </c>
      <c r="AK60" s="1">
        <f t="shared" si="7"/>
        <v>0</v>
      </c>
      <c r="AL60" s="1">
        <f t="shared" si="8"/>
        <v>0</v>
      </c>
      <c r="AM60" s="1">
        <f t="shared" si="9"/>
        <v>0</v>
      </c>
      <c r="AN60" s="278">
        <f t="shared" si="14"/>
        <v>1</v>
      </c>
      <c r="AP60" s="280">
        <v>1</v>
      </c>
      <c r="AU60" s="281"/>
      <c r="AZ60" s="281"/>
      <c r="BG60" s="282">
        <f t="shared" si="11"/>
        <v>0</v>
      </c>
      <c r="BH60" s="282">
        <f t="shared" si="12"/>
        <v>0</v>
      </c>
      <c r="BI60" s="283">
        <f t="shared" si="13"/>
        <v>0</v>
      </c>
      <c r="BL60" s="1">
        <v>515782</v>
      </c>
      <c r="BM60" s="1">
        <v>168844</v>
      </c>
      <c r="BN60" s="1" t="s">
        <v>1600</v>
      </c>
      <c r="BO60" s="1" t="s">
        <v>1400</v>
      </c>
      <c r="BT60" s="284" t="s">
        <v>1703</v>
      </c>
      <c r="BU60" s="284" t="s">
        <v>1704</v>
      </c>
      <c r="BV60" s="284" t="s">
        <v>27</v>
      </c>
      <c r="BW60" s="284" t="s">
        <v>27</v>
      </c>
    </row>
    <row r="61" spans="1:76" ht="15" customHeight="1" x14ac:dyDescent="0.25">
      <c r="A61" s="275" t="s">
        <v>263</v>
      </c>
      <c r="B61" s="276" t="s">
        <v>144</v>
      </c>
      <c r="D61" s="277">
        <v>44741</v>
      </c>
      <c r="E61" s="277">
        <v>45837</v>
      </c>
      <c r="F61" s="277">
        <v>44741</v>
      </c>
      <c r="G61" s="277">
        <v>44925</v>
      </c>
      <c r="H61" s="275" t="s">
        <v>22</v>
      </c>
      <c r="I61" s="275" t="s">
        <v>1473</v>
      </c>
      <c r="K61" s="275" t="s">
        <v>264</v>
      </c>
      <c r="L61" s="275" t="s">
        <v>265</v>
      </c>
      <c r="M61" s="275" t="s">
        <v>266</v>
      </c>
      <c r="P61" s="1">
        <v>2</v>
      </c>
      <c r="V61" s="1">
        <f t="shared" si="0"/>
        <v>2</v>
      </c>
      <c r="Z61" s="1">
        <v>1</v>
      </c>
      <c r="AE61" s="1">
        <f t="shared" si="1"/>
        <v>1</v>
      </c>
      <c r="AF61" s="1">
        <f t="shared" si="2"/>
        <v>0</v>
      </c>
      <c r="AG61" s="1">
        <f t="shared" si="3"/>
        <v>-2</v>
      </c>
      <c r="AH61" s="1">
        <f t="shared" si="4"/>
        <v>0</v>
      </c>
      <c r="AI61" s="1">
        <f t="shared" si="5"/>
        <v>1</v>
      </c>
      <c r="AJ61" s="1">
        <f t="shared" si="6"/>
        <v>0</v>
      </c>
      <c r="AK61" s="1">
        <f t="shared" si="7"/>
        <v>0</v>
      </c>
      <c r="AL61" s="1">
        <f t="shared" si="8"/>
        <v>0</v>
      </c>
      <c r="AM61" s="1">
        <f t="shared" si="9"/>
        <v>0</v>
      </c>
      <c r="AN61" s="278">
        <f t="shared" si="14"/>
        <v>-1</v>
      </c>
      <c r="AP61" s="280">
        <v>-1</v>
      </c>
      <c r="AU61" s="281"/>
      <c r="AZ61" s="281"/>
      <c r="BG61" s="282">
        <f t="shared" si="11"/>
        <v>0</v>
      </c>
      <c r="BH61" s="282">
        <f t="shared" si="12"/>
        <v>0</v>
      </c>
      <c r="BI61" s="283">
        <f t="shared" si="13"/>
        <v>0</v>
      </c>
      <c r="BL61" s="1">
        <v>518347</v>
      </c>
      <c r="BM61" s="1">
        <v>175061</v>
      </c>
      <c r="BN61" s="1" t="s">
        <v>1385</v>
      </c>
      <c r="BO61" s="1" t="s">
        <v>1405</v>
      </c>
      <c r="BU61" s="284" t="s">
        <v>1705</v>
      </c>
      <c r="BV61" s="284" t="s">
        <v>27</v>
      </c>
      <c r="BW61" s="284" t="s">
        <v>27</v>
      </c>
      <c r="BX61" s="1" t="s">
        <v>27</v>
      </c>
    </row>
    <row r="62" spans="1:76" ht="15" customHeight="1" x14ac:dyDescent="0.25">
      <c r="A62" s="275" t="s">
        <v>128</v>
      </c>
      <c r="B62" s="276" t="s">
        <v>21</v>
      </c>
      <c r="D62" s="277">
        <v>44078</v>
      </c>
      <c r="E62" s="277">
        <v>45173</v>
      </c>
      <c r="F62" s="277">
        <v>44743</v>
      </c>
      <c r="G62" s="277">
        <v>45016</v>
      </c>
      <c r="H62" s="269" t="s">
        <v>22</v>
      </c>
      <c r="I62" s="275" t="s">
        <v>1473</v>
      </c>
      <c r="K62" s="275" t="s">
        <v>129</v>
      </c>
      <c r="L62" s="275" t="s">
        <v>130</v>
      </c>
      <c r="M62" s="275" t="s">
        <v>131</v>
      </c>
      <c r="Q62" s="1">
        <v>1</v>
      </c>
      <c r="V62" s="1">
        <f t="shared" si="0"/>
        <v>1</v>
      </c>
      <c r="X62" s="1">
        <v>2</v>
      </c>
      <c r="AE62" s="1">
        <f t="shared" si="1"/>
        <v>2</v>
      </c>
      <c r="AF62" s="1">
        <f t="shared" si="2"/>
        <v>0</v>
      </c>
      <c r="AG62" s="1">
        <f t="shared" si="3"/>
        <v>2</v>
      </c>
      <c r="AH62" s="1">
        <f t="shared" si="4"/>
        <v>-1</v>
      </c>
      <c r="AI62" s="1">
        <f t="shared" si="5"/>
        <v>0</v>
      </c>
      <c r="AJ62" s="1">
        <f t="shared" si="6"/>
        <v>0</v>
      </c>
      <c r="AK62" s="1">
        <f t="shared" si="7"/>
        <v>0</v>
      </c>
      <c r="AL62" s="1">
        <f t="shared" si="8"/>
        <v>0</v>
      </c>
      <c r="AM62" s="1">
        <f t="shared" si="9"/>
        <v>0</v>
      </c>
      <c r="AN62" s="278">
        <f t="shared" si="14"/>
        <v>1</v>
      </c>
      <c r="AP62" s="280">
        <v>1</v>
      </c>
      <c r="AU62" s="281"/>
      <c r="AZ62" s="281"/>
      <c r="BG62" s="282">
        <f t="shared" si="11"/>
        <v>0</v>
      </c>
      <c r="BH62" s="282">
        <f t="shared" si="12"/>
        <v>0</v>
      </c>
      <c r="BI62" s="283">
        <f t="shared" si="13"/>
        <v>0</v>
      </c>
      <c r="BL62" s="1">
        <v>512568</v>
      </c>
      <c r="BM62" s="1">
        <v>173521</v>
      </c>
      <c r="BN62" s="1" t="s">
        <v>1391</v>
      </c>
      <c r="BO62" s="1" t="s">
        <v>1402</v>
      </c>
    </row>
    <row r="63" spans="1:76" ht="15" customHeight="1" x14ac:dyDescent="0.25">
      <c r="A63" s="275" t="s">
        <v>299</v>
      </c>
      <c r="B63" s="276" t="s">
        <v>144</v>
      </c>
      <c r="D63" s="277">
        <v>44754</v>
      </c>
      <c r="E63" s="277">
        <v>44754</v>
      </c>
      <c r="F63" s="277">
        <v>44754</v>
      </c>
      <c r="G63" s="277">
        <v>44754</v>
      </c>
      <c r="H63" s="269" t="s">
        <v>22</v>
      </c>
      <c r="I63" s="275" t="s">
        <v>1473</v>
      </c>
      <c r="K63" s="275" t="s">
        <v>300</v>
      </c>
      <c r="L63" s="275" t="s">
        <v>301</v>
      </c>
      <c r="M63" s="275" t="s">
        <v>302</v>
      </c>
      <c r="T63" s="1">
        <v>1</v>
      </c>
      <c r="V63" s="1">
        <f t="shared" si="0"/>
        <v>1</v>
      </c>
      <c r="X63" s="1">
        <v>1</v>
      </c>
      <c r="Z63" s="1">
        <v>1</v>
      </c>
      <c r="AE63" s="1">
        <f t="shared" si="1"/>
        <v>2</v>
      </c>
      <c r="AF63" s="1">
        <f t="shared" si="2"/>
        <v>0</v>
      </c>
      <c r="AG63" s="1">
        <f t="shared" si="3"/>
        <v>1</v>
      </c>
      <c r="AH63" s="1">
        <f t="shared" si="4"/>
        <v>0</v>
      </c>
      <c r="AI63" s="1">
        <f t="shared" si="5"/>
        <v>1</v>
      </c>
      <c r="AJ63" s="1">
        <f t="shared" si="6"/>
        <v>0</v>
      </c>
      <c r="AK63" s="1">
        <f t="shared" si="7"/>
        <v>-1</v>
      </c>
      <c r="AL63" s="1">
        <f t="shared" si="8"/>
        <v>0</v>
      </c>
      <c r="AM63" s="1">
        <f t="shared" si="9"/>
        <v>0</v>
      </c>
      <c r="AN63" s="278">
        <f t="shared" si="14"/>
        <v>1</v>
      </c>
      <c r="AP63" s="280">
        <v>1</v>
      </c>
      <c r="AU63" s="281"/>
      <c r="AZ63" s="281"/>
      <c r="BG63" s="282">
        <f t="shared" si="11"/>
        <v>0</v>
      </c>
      <c r="BH63" s="282">
        <f t="shared" si="12"/>
        <v>0</v>
      </c>
      <c r="BI63" s="283">
        <f t="shared" si="13"/>
        <v>0</v>
      </c>
      <c r="BL63" s="1">
        <v>513608</v>
      </c>
      <c r="BM63" s="1">
        <v>173951</v>
      </c>
      <c r="BN63" s="1" t="s">
        <v>1391</v>
      </c>
      <c r="BO63" s="1" t="s">
        <v>1391</v>
      </c>
      <c r="BW63" s="284" t="s">
        <v>27</v>
      </c>
    </row>
    <row r="64" spans="1:76" ht="15" customHeight="1" x14ac:dyDescent="0.25">
      <c r="A64" s="275" t="s">
        <v>169</v>
      </c>
      <c r="B64" s="276" t="s">
        <v>49</v>
      </c>
      <c r="D64" s="277">
        <v>44777</v>
      </c>
      <c r="E64" s="277">
        <v>45873</v>
      </c>
      <c r="F64" s="277">
        <v>44777</v>
      </c>
      <c r="G64" s="277">
        <v>44777</v>
      </c>
      <c r="H64" s="275" t="s">
        <v>22</v>
      </c>
      <c r="I64" s="275" t="s">
        <v>1473</v>
      </c>
      <c r="K64" s="275" t="s">
        <v>1652</v>
      </c>
      <c r="L64" s="275" t="s">
        <v>171</v>
      </c>
      <c r="M64" s="275" t="s">
        <v>172</v>
      </c>
      <c r="T64" s="1">
        <v>1</v>
      </c>
      <c r="V64" s="1">
        <f t="shared" si="0"/>
        <v>1</v>
      </c>
      <c r="AE64" s="1">
        <f t="shared" si="1"/>
        <v>0</v>
      </c>
      <c r="AF64" s="1">
        <f t="shared" si="2"/>
        <v>0</v>
      </c>
      <c r="AG64" s="1">
        <f t="shared" si="3"/>
        <v>0</v>
      </c>
      <c r="AH64" s="1">
        <f t="shared" si="4"/>
        <v>0</v>
      </c>
      <c r="AI64" s="1">
        <f t="shared" si="5"/>
        <v>0</v>
      </c>
      <c r="AJ64" s="1">
        <f t="shared" si="6"/>
        <v>0</v>
      </c>
      <c r="AK64" s="1">
        <f t="shared" si="7"/>
        <v>-1</v>
      </c>
      <c r="AL64" s="1">
        <f t="shared" si="8"/>
        <v>0</v>
      </c>
      <c r="AM64" s="1">
        <f t="shared" si="9"/>
        <v>0</v>
      </c>
      <c r="AN64" s="278">
        <f t="shared" si="14"/>
        <v>-1</v>
      </c>
      <c r="AP64" s="280">
        <v>-1</v>
      </c>
      <c r="AU64" s="281"/>
      <c r="AZ64" s="281"/>
      <c r="BG64" s="282">
        <f t="shared" si="11"/>
        <v>0</v>
      </c>
      <c r="BH64" s="282">
        <f t="shared" si="12"/>
        <v>0</v>
      </c>
      <c r="BI64" s="283">
        <f t="shared" si="13"/>
        <v>0</v>
      </c>
      <c r="BL64" s="1">
        <v>513695</v>
      </c>
      <c r="BM64" s="1">
        <v>173838</v>
      </c>
      <c r="BN64" s="1" t="s">
        <v>1391</v>
      </c>
      <c r="BO64" s="1" t="s">
        <v>1391</v>
      </c>
      <c r="BW64" s="284" t="s">
        <v>27</v>
      </c>
    </row>
    <row r="65" spans="1:75" ht="15" customHeight="1" x14ac:dyDescent="0.25">
      <c r="A65" s="275" t="s">
        <v>267</v>
      </c>
      <c r="B65" s="276" t="s">
        <v>49</v>
      </c>
      <c r="D65" s="277">
        <v>44785</v>
      </c>
      <c r="E65" s="277">
        <v>45881</v>
      </c>
      <c r="F65" s="277">
        <v>44785</v>
      </c>
      <c r="G65" s="277">
        <v>44785</v>
      </c>
      <c r="H65" s="269" t="s">
        <v>22</v>
      </c>
      <c r="I65" s="275" t="s">
        <v>1473</v>
      </c>
      <c r="K65" s="275" t="s">
        <v>268</v>
      </c>
      <c r="L65" s="275" t="s">
        <v>269</v>
      </c>
      <c r="M65" s="275" t="s">
        <v>270</v>
      </c>
      <c r="V65" s="1">
        <f t="shared" si="0"/>
        <v>0</v>
      </c>
      <c r="W65" s="1">
        <v>1</v>
      </c>
      <c r="AE65" s="1">
        <f t="shared" si="1"/>
        <v>1</v>
      </c>
      <c r="AF65" s="1">
        <f t="shared" si="2"/>
        <v>1</v>
      </c>
      <c r="AG65" s="1">
        <f t="shared" si="3"/>
        <v>0</v>
      </c>
      <c r="AH65" s="1">
        <f t="shared" si="4"/>
        <v>0</v>
      </c>
      <c r="AI65" s="1">
        <f t="shared" si="5"/>
        <v>0</v>
      </c>
      <c r="AJ65" s="1">
        <f t="shared" si="6"/>
        <v>0</v>
      </c>
      <c r="AK65" s="1">
        <f t="shared" si="7"/>
        <v>0</v>
      </c>
      <c r="AL65" s="1">
        <f t="shared" si="8"/>
        <v>0</v>
      </c>
      <c r="AM65" s="1">
        <f t="shared" si="9"/>
        <v>0</v>
      </c>
      <c r="AN65" s="278">
        <f t="shared" si="14"/>
        <v>1</v>
      </c>
      <c r="AP65" s="280">
        <v>1</v>
      </c>
      <c r="AU65" s="281"/>
      <c r="AZ65" s="281"/>
      <c r="BG65" s="282">
        <f t="shared" si="11"/>
        <v>0</v>
      </c>
      <c r="BH65" s="282">
        <f t="shared" si="12"/>
        <v>0</v>
      </c>
      <c r="BI65" s="283">
        <f t="shared" si="13"/>
        <v>0</v>
      </c>
      <c r="BL65" s="1">
        <v>519098</v>
      </c>
      <c r="BM65" s="1">
        <v>176672</v>
      </c>
      <c r="BN65" s="1" t="s">
        <v>1385</v>
      </c>
      <c r="BO65" s="1" t="s">
        <v>1403</v>
      </c>
      <c r="BU65" s="284" t="s">
        <v>1695</v>
      </c>
      <c r="BV65" s="284" t="s">
        <v>27</v>
      </c>
      <c r="BW65" s="284" t="s">
        <v>27</v>
      </c>
    </row>
    <row r="66" spans="1:75" ht="15" customHeight="1" x14ac:dyDescent="0.25">
      <c r="A66" s="275" t="s">
        <v>239</v>
      </c>
      <c r="B66" s="276" t="s">
        <v>144</v>
      </c>
      <c r="D66" s="277">
        <v>44552</v>
      </c>
      <c r="E66" s="277">
        <v>45648</v>
      </c>
      <c r="F66" s="277">
        <v>44790</v>
      </c>
      <c r="G66" s="277">
        <v>45016</v>
      </c>
      <c r="H66" s="269" t="s">
        <v>22</v>
      </c>
      <c r="I66" s="275" t="s">
        <v>1473</v>
      </c>
      <c r="K66" s="275" t="s">
        <v>240</v>
      </c>
      <c r="L66" s="275" t="s">
        <v>241</v>
      </c>
      <c r="M66" s="275" t="s">
        <v>242</v>
      </c>
      <c r="O66" s="1">
        <v>2</v>
      </c>
      <c r="T66" s="1">
        <v>1</v>
      </c>
      <c r="V66" s="1">
        <f t="shared" ref="V66:V129" si="15">SUM(O66:U66)</f>
        <v>3</v>
      </c>
      <c r="AB66" s="1">
        <v>1</v>
      </c>
      <c r="AE66" s="1">
        <f t="shared" ref="AE66:AE129" si="16">SUM(W66:AD66)</f>
        <v>1</v>
      </c>
      <c r="AF66" s="1">
        <f t="shared" ref="AF66:AF129" si="17">W66-O66</f>
        <v>-2</v>
      </c>
      <c r="AG66" s="1">
        <f t="shared" ref="AG66:AG129" si="18">X66-P66</f>
        <v>0</v>
      </c>
      <c r="AH66" s="1">
        <f t="shared" ref="AH66:AH129" si="19">Y66-Q66</f>
        <v>0</v>
      </c>
      <c r="AI66" s="1">
        <f t="shared" ref="AI66:AI129" si="20">Z66-R66</f>
        <v>0</v>
      </c>
      <c r="AJ66" s="1">
        <f t="shared" ref="AJ66:AJ129" si="21">AA66-S66</f>
        <v>0</v>
      </c>
      <c r="AK66" s="1">
        <f t="shared" ref="AK66:AK129" si="22">AB66-T66</f>
        <v>0</v>
      </c>
      <c r="AL66" s="1">
        <f t="shared" ref="AL66:AL129" si="23">AC66-U66</f>
        <v>0</v>
      </c>
      <c r="AM66" s="1">
        <f t="shared" ref="AM66:AM129" si="24">AD66</f>
        <v>0</v>
      </c>
      <c r="AN66" s="278">
        <f t="shared" ref="AN66:AN97" si="25">AE66-V66</f>
        <v>-2</v>
      </c>
      <c r="AP66" s="280">
        <v>-2</v>
      </c>
      <c r="AU66" s="281"/>
      <c r="AZ66" s="281"/>
      <c r="BG66" s="282">
        <f t="shared" ref="BG66:BG129" si="26">SUBTOTAL(9,AQ66:AU66)</f>
        <v>0</v>
      </c>
      <c r="BH66" s="282">
        <f t="shared" ref="BH66:BH129" si="27">SUBTOTAL(9,AQ66:AZ66)</f>
        <v>0</v>
      </c>
      <c r="BI66" s="283">
        <f t="shared" ref="BI66:BI129" si="28">SUM(AQ66:BF66)</f>
        <v>0</v>
      </c>
      <c r="BL66" s="1">
        <v>522706</v>
      </c>
      <c r="BM66" s="1">
        <v>177845</v>
      </c>
      <c r="BN66" s="1" t="s">
        <v>1599</v>
      </c>
      <c r="BO66" s="1" t="s">
        <v>1399</v>
      </c>
      <c r="BU66" s="284" t="s">
        <v>1687</v>
      </c>
      <c r="BV66" s="284" t="s">
        <v>27</v>
      </c>
      <c r="BW66" s="284" t="s">
        <v>27</v>
      </c>
    </row>
    <row r="67" spans="1:75" ht="15" customHeight="1" x14ac:dyDescent="0.25">
      <c r="A67" s="275" t="s">
        <v>160</v>
      </c>
      <c r="B67" s="276" t="s">
        <v>49</v>
      </c>
      <c r="C67" s="1" t="s">
        <v>1262</v>
      </c>
      <c r="D67" s="277">
        <v>44795</v>
      </c>
      <c r="E67" s="277">
        <v>45769</v>
      </c>
      <c r="F67" s="277">
        <v>44795</v>
      </c>
      <c r="G67" s="277">
        <v>44872</v>
      </c>
      <c r="H67" s="269" t="s">
        <v>22</v>
      </c>
      <c r="I67" s="275" t="s">
        <v>1473</v>
      </c>
      <c r="K67" s="275" t="s">
        <v>161</v>
      </c>
      <c r="L67" s="275" t="s">
        <v>162</v>
      </c>
      <c r="M67" s="275" t="s">
        <v>163</v>
      </c>
      <c r="V67" s="1">
        <f t="shared" si="15"/>
        <v>0</v>
      </c>
      <c r="W67" s="1">
        <v>1</v>
      </c>
      <c r="AE67" s="1">
        <f t="shared" si="16"/>
        <v>1</v>
      </c>
      <c r="AF67" s="1">
        <f t="shared" si="17"/>
        <v>1</v>
      </c>
      <c r="AG67" s="1">
        <f t="shared" si="18"/>
        <v>0</v>
      </c>
      <c r="AH67" s="1">
        <f t="shared" si="19"/>
        <v>0</v>
      </c>
      <c r="AI67" s="1">
        <f t="shared" si="20"/>
        <v>0</v>
      </c>
      <c r="AJ67" s="1">
        <f t="shared" si="21"/>
        <v>0</v>
      </c>
      <c r="AK67" s="1">
        <f t="shared" si="22"/>
        <v>0</v>
      </c>
      <c r="AL67" s="1">
        <f t="shared" si="23"/>
        <v>0</v>
      </c>
      <c r="AM67" s="1">
        <f t="shared" si="24"/>
        <v>0</v>
      </c>
      <c r="AN67" s="278">
        <f t="shared" si="25"/>
        <v>1</v>
      </c>
      <c r="AP67" s="280">
        <v>1</v>
      </c>
      <c r="AU67" s="281"/>
      <c r="AZ67" s="281"/>
      <c r="BG67" s="282">
        <f t="shared" si="26"/>
        <v>0</v>
      </c>
      <c r="BH67" s="282">
        <f t="shared" si="27"/>
        <v>0</v>
      </c>
      <c r="BI67" s="283">
        <f t="shared" si="28"/>
        <v>0</v>
      </c>
      <c r="BL67" s="1">
        <v>513416</v>
      </c>
      <c r="BM67" s="1">
        <v>169771</v>
      </c>
      <c r="BN67" s="1" t="s">
        <v>1600</v>
      </c>
      <c r="BO67" s="1" t="s">
        <v>1400</v>
      </c>
      <c r="BR67" s="284" t="s">
        <v>1706</v>
      </c>
      <c r="BS67" s="284" t="s">
        <v>27</v>
      </c>
      <c r="BU67" s="284" t="s">
        <v>1693</v>
      </c>
      <c r="BV67" s="284" t="s">
        <v>27</v>
      </c>
      <c r="BW67" s="284" t="s">
        <v>27</v>
      </c>
    </row>
    <row r="68" spans="1:75" ht="15" customHeight="1" x14ac:dyDescent="0.25">
      <c r="A68" s="275" t="s">
        <v>314</v>
      </c>
      <c r="B68" s="276" t="s">
        <v>21</v>
      </c>
      <c r="D68" s="277">
        <v>44354</v>
      </c>
      <c r="E68" s="277">
        <v>45450</v>
      </c>
      <c r="F68" s="277">
        <v>44805</v>
      </c>
      <c r="G68" s="277">
        <v>45016</v>
      </c>
      <c r="H68" s="275" t="s">
        <v>22</v>
      </c>
      <c r="I68" s="275" t="s">
        <v>1473</v>
      </c>
      <c r="K68" s="275" t="s">
        <v>315</v>
      </c>
      <c r="L68" s="275" t="s">
        <v>313</v>
      </c>
      <c r="M68" s="275" t="s">
        <v>123</v>
      </c>
      <c r="V68" s="1">
        <f t="shared" si="15"/>
        <v>0</v>
      </c>
      <c r="W68" s="1">
        <v>1</v>
      </c>
      <c r="AE68" s="1">
        <f t="shared" si="16"/>
        <v>1</v>
      </c>
      <c r="AF68" s="1">
        <f t="shared" si="17"/>
        <v>1</v>
      </c>
      <c r="AG68" s="1">
        <f t="shared" si="18"/>
        <v>0</v>
      </c>
      <c r="AH68" s="1">
        <f t="shared" si="19"/>
        <v>0</v>
      </c>
      <c r="AI68" s="1">
        <f t="shared" si="20"/>
        <v>0</v>
      </c>
      <c r="AJ68" s="1">
        <f t="shared" si="21"/>
        <v>0</v>
      </c>
      <c r="AK68" s="1">
        <f t="shared" si="22"/>
        <v>0</v>
      </c>
      <c r="AL68" s="1">
        <f t="shared" si="23"/>
        <v>0</v>
      </c>
      <c r="AM68" s="1">
        <f t="shared" si="24"/>
        <v>0</v>
      </c>
      <c r="AN68" s="278">
        <f t="shared" si="25"/>
        <v>1</v>
      </c>
      <c r="AP68" s="280">
        <v>1</v>
      </c>
      <c r="AU68" s="281"/>
      <c r="AZ68" s="281"/>
      <c r="BG68" s="282">
        <f t="shared" si="26"/>
        <v>0</v>
      </c>
      <c r="BH68" s="282">
        <f t="shared" si="27"/>
        <v>0</v>
      </c>
      <c r="BI68" s="283">
        <f t="shared" si="28"/>
        <v>0</v>
      </c>
      <c r="BL68" s="1">
        <v>519026</v>
      </c>
      <c r="BM68" s="1">
        <v>175926</v>
      </c>
      <c r="BN68" s="1" t="s">
        <v>1385</v>
      </c>
      <c r="BO68" s="1" t="s">
        <v>1403</v>
      </c>
      <c r="BW68" s="284" t="s">
        <v>27</v>
      </c>
    </row>
    <row r="69" spans="1:75" ht="15" customHeight="1" x14ac:dyDescent="0.25">
      <c r="A69" s="275" t="s">
        <v>201</v>
      </c>
      <c r="B69" s="276" t="s">
        <v>49</v>
      </c>
      <c r="D69" s="277">
        <v>43991</v>
      </c>
      <c r="E69" s="277">
        <v>45527</v>
      </c>
      <c r="F69" s="277">
        <v>44819</v>
      </c>
      <c r="G69" s="277">
        <v>45016</v>
      </c>
      <c r="H69" s="275" t="s">
        <v>22</v>
      </c>
      <c r="I69" s="275" t="s">
        <v>1473</v>
      </c>
      <c r="K69" s="275" t="s">
        <v>202</v>
      </c>
      <c r="L69" s="275" t="s">
        <v>203</v>
      </c>
      <c r="M69" s="275" t="s">
        <v>204</v>
      </c>
      <c r="V69" s="1">
        <f t="shared" si="15"/>
        <v>0</v>
      </c>
      <c r="X69" s="1">
        <v>1</v>
      </c>
      <c r="AE69" s="1">
        <f t="shared" si="16"/>
        <v>1</v>
      </c>
      <c r="AF69" s="1">
        <f t="shared" si="17"/>
        <v>0</v>
      </c>
      <c r="AG69" s="1">
        <f t="shared" si="18"/>
        <v>1</v>
      </c>
      <c r="AH69" s="1">
        <f t="shared" si="19"/>
        <v>0</v>
      </c>
      <c r="AI69" s="1">
        <f t="shared" si="20"/>
        <v>0</v>
      </c>
      <c r="AJ69" s="1">
        <f t="shared" si="21"/>
        <v>0</v>
      </c>
      <c r="AK69" s="1">
        <f t="shared" si="22"/>
        <v>0</v>
      </c>
      <c r="AL69" s="1">
        <f t="shared" si="23"/>
        <v>0</v>
      </c>
      <c r="AM69" s="1">
        <f t="shared" si="24"/>
        <v>0</v>
      </c>
      <c r="AN69" s="278">
        <f t="shared" si="25"/>
        <v>1</v>
      </c>
      <c r="AP69" s="280">
        <v>1</v>
      </c>
      <c r="AU69" s="281"/>
      <c r="AZ69" s="281"/>
      <c r="BG69" s="282">
        <f t="shared" si="26"/>
        <v>0</v>
      </c>
      <c r="BH69" s="282">
        <f t="shared" si="27"/>
        <v>0</v>
      </c>
      <c r="BI69" s="283">
        <f t="shared" si="28"/>
        <v>0</v>
      </c>
      <c r="BL69" s="1">
        <v>513948</v>
      </c>
      <c r="BM69" s="1">
        <v>169533</v>
      </c>
      <c r="BN69" s="1" t="s">
        <v>1600</v>
      </c>
      <c r="BO69" s="1" t="s">
        <v>1400</v>
      </c>
      <c r="BR69" s="284" t="s">
        <v>1694</v>
      </c>
      <c r="BS69" s="284" t="s">
        <v>27</v>
      </c>
      <c r="BU69" s="284" t="s">
        <v>1693</v>
      </c>
      <c r="BV69" s="284" t="s">
        <v>27</v>
      </c>
      <c r="BW69" s="284" t="s">
        <v>27</v>
      </c>
    </row>
    <row r="70" spans="1:75" ht="15" customHeight="1" x14ac:dyDescent="0.25">
      <c r="A70" s="275" t="s">
        <v>177</v>
      </c>
      <c r="B70" s="276" t="s">
        <v>144</v>
      </c>
      <c r="D70" s="277">
        <v>44593</v>
      </c>
      <c r="E70" s="277">
        <v>45927</v>
      </c>
      <c r="F70" s="277">
        <v>44822</v>
      </c>
      <c r="G70" s="277">
        <v>44835</v>
      </c>
      <c r="H70" s="269" t="s">
        <v>22</v>
      </c>
      <c r="I70" s="275" t="s">
        <v>1473</v>
      </c>
      <c r="K70" s="275" t="s">
        <v>178</v>
      </c>
      <c r="L70" s="275" t="s">
        <v>179</v>
      </c>
      <c r="M70" s="275" t="s">
        <v>180</v>
      </c>
      <c r="O70" s="1">
        <v>3</v>
      </c>
      <c r="V70" s="1">
        <f t="shared" si="15"/>
        <v>3</v>
      </c>
      <c r="Z70" s="1">
        <v>1</v>
      </c>
      <c r="AE70" s="1">
        <f t="shared" si="16"/>
        <v>1</v>
      </c>
      <c r="AF70" s="1">
        <f t="shared" si="17"/>
        <v>-3</v>
      </c>
      <c r="AG70" s="1">
        <f t="shared" si="18"/>
        <v>0</v>
      </c>
      <c r="AH70" s="1">
        <f t="shared" si="19"/>
        <v>0</v>
      </c>
      <c r="AI70" s="1">
        <f t="shared" si="20"/>
        <v>1</v>
      </c>
      <c r="AJ70" s="1">
        <f t="shared" si="21"/>
        <v>0</v>
      </c>
      <c r="AK70" s="1">
        <f t="shared" si="22"/>
        <v>0</v>
      </c>
      <c r="AL70" s="1">
        <f t="shared" si="23"/>
        <v>0</v>
      </c>
      <c r="AM70" s="1">
        <f t="shared" si="24"/>
        <v>0</v>
      </c>
      <c r="AN70" s="278">
        <f t="shared" si="25"/>
        <v>-2</v>
      </c>
      <c r="AP70" s="280">
        <v>-2</v>
      </c>
      <c r="AU70" s="281"/>
      <c r="AZ70" s="281"/>
      <c r="BG70" s="282">
        <f t="shared" si="26"/>
        <v>0</v>
      </c>
      <c r="BH70" s="282">
        <f t="shared" si="27"/>
        <v>0</v>
      </c>
      <c r="BI70" s="283">
        <f t="shared" si="28"/>
        <v>0</v>
      </c>
      <c r="BL70" s="1">
        <v>516473</v>
      </c>
      <c r="BM70" s="1">
        <v>171389</v>
      </c>
      <c r="BN70" s="1" t="s">
        <v>1600</v>
      </c>
      <c r="BO70" s="1" t="s">
        <v>1387</v>
      </c>
      <c r="BW70" s="284" t="s">
        <v>27</v>
      </c>
    </row>
    <row r="71" spans="1:75" ht="15" customHeight="1" x14ac:dyDescent="0.25">
      <c r="A71" s="275" t="s">
        <v>165</v>
      </c>
      <c r="B71" s="276" t="s">
        <v>49</v>
      </c>
      <c r="C71" s="1" t="s">
        <v>1262</v>
      </c>
      <c r="D71" s="277">
        <v>44571</v>
      </c>
      <c r="E71" s="277">
        <v>45667</v>
      </c>
      <c r="F71" s="277">
        <v>44824</v>
      </c>
      <c r="G71" s="277">
        <v>44999</v>
      </c>
      <c r="H71" s="269" t="s">
        <v>22</v>
      </c>
      <c r="I71" s="275" t="s">
        <v>1473</v>
      </c>
      <c r="K71" s="275" t="s">
        <v>166</v>
      </c>
      <c r="L71" s="275" t="s">
        <v>167</v>
      </c>
      <c r="M71" s="275" t="s">
        <v>168</v>
      </c>
      <c r="V71" s="1">
        <f t="shared" si="15"/>
        <v>0</v>
      </c>
      <c r="W71" s="1">
        <v>1</v>
      </c>
      <c r="AE71" s="1">
        <f t="shared" si="16"/>
        <v>1</v>
      </c>
      <c r="AF71" s="1">
        <f t="shared" si="17"/>
        <v>1</v>
      </c>
      <c r="AG71" s="1">
        <f t="shared" si="18"/>
        <v>0</v>
      </c>
      <c r="AH71" s="1">
        <f t="shared" si="19"/>
        <v>0</v>
      </c>
      <c r="AI71" s="1">
        <f t="shared" si="20"/>
        <v>0</v>
      </c>
      <c r="AJ71" s="1">
        <f t="shared" si="21"/>
        <v>0</v>
      </c>
      <c r="AK71" s="1">
        <f t="shared" si="22"/>
        <v>0</v>
      </c>
      <c r="AL71" s="1">
        <f t="shared" si="23"/>
        <v>0</v>
      </c>
      <c r="AM71" s="1">
        <f t="shared" si="24"/>
        <v>0</v>
      </c>
      <c r="AN71" s="278">
        <f t="shared" si="25"/>
        <v>1</v>
      </c>
      <c r="AP71" s="280">
        <v>1</v>
      </c>
      <c r="AU71" s="281"/>
      <c r="AZ71" s="281"/>
      <c r="BG71" s="282">
        <f t="shared" si="26"/>
        <v>0</v>
      </c>
      <c r="BH71" s="282">
        <f t="shared" si="27"/>
        <v>0</v>
      </c>
      <c r="BI71" s="283">
        <f t="shared" si="28"/>
        <v>0</v>
      </c>
      <c r="BL71" s="1">
        <v>518039</v>
      </c>
      <c r="BM71" s="1">
        <v>174890</v>
      </c>
      <c r="BN71" s="1" t="s">
        <v>1385</v>
      </c>
      <c r="BO71" s="1" t="s">
        <v>1405</v>
      </c>
      <c r="BP71" s="284" t="s">
        <v>1385</v>
      </c>
      <c r="BU71" s="284" t="s">
        <v>1699</v>
      </c>
      <c r="BV71" s="284" t="s">
        <v>27</v>
      </c>
      <c r="BW71" s="284" t="s">
        <v>27</v>
      </c>
    </row>
    <row r="72" spans="1:75" ht="15" customHeight="1" x14ac:dyDescent="0.25">
      <c r="A72" s="275" t="s">
        <v>173</v>
      </c>
      <c r="B72" s="276" t="s">
        <v>144</v>
      </c>
      <c r="D72" s="277">
        <v>44816</v>
      </c>
      <c r="E72" s="277">
        <v>45912</v>
      </c>
      <c r="F72" s="277">
        <v>44834</v>
      </c>
      <c r="G72" s="277">
        <v>45016</v>
      </c>
      <c r="H72" s="275" t="s">
        <v>22</v>
      </c>
      <c r="I72" s="275" t="s">
        <v>1473</v>
      </c>
      <c r="K72" s="275" t="s">
        <v>174</v>
      </c>
      <c r="L72" s="275" t="s">
        <v>175</v>
      </c>
      <c r="M72" s="275" t="s">
        <v>176</v>
      </c>
      <c r="P72" s="1">
        <v>1</v>
      </c>
      <c r="Q72" s="1">
        <v>1</v>
      </c>
      <c r="V72" s="1">
        <f t="shared" si="15"/>
        <v>2</v>
      </c>
      <c r="Z72" s="1">
        <v>1</v>
      </c>
      <c r="AE72" s="1">
        <f t="shared" si="16"/>
        <v>1</v>
      </c>
      <c r="AF72" s="1">
        <f t="shared" si="17"/>
        <v>0</v>
      </c>
      <c r="AG72" s="1">
        <f t="shared" si="18"/>
        <v>-1</v>
      </c>
      <c r="AH72" s="1">
        <f t="shared" si="19"/>
        <v>-1</v>
      </c>
      <c r="AI72" s="1">
        <f t="shared" si="20"/>
        <v>1</v>
      </c>
      <c r="AJ72" s="1">
        <f t="shared" si="21"/>
        <v>0</v>
      </c>
      <c r="AK72" s="1">
        <f t="shared" si="22"/>
        <v>0</v>
      </c>
      <c r="AL72" s="1">
        <f t="shared" si="23"/>
        <v>0</v>
      </c>
      <c r="AM72" s="1">
        <f t="shared" si="24"/>
        <v>0</v>
      </c>
      <c r="AN72" s="278">
        <f t="shared" si="25"/>
        <v>-1</v>
      </c>
      <c r="AP72" s="280">
        <v>-1</v>
      </c>
      <c r="AU72" s="281"/>
      <c r="AZ72" s="281"/>
      <c r="BG72" s="282">
        <f t="shared" si="26"/>
        <v>0</v>
      </c>
      <c r="BH72" s="282">
        <f t="shared" si="27"/>
        <v>0</v>
      </c>
      <c r="BI72" s="283">
        <f t="shared" si="28"/>
        <v>0</v>
      </c>
      <c r="BL72" s="1">
        <v>516882</v>
      </c>
      <c r="BM72" s="1">
        <v>170581</v>
      </c>
      <c r="BN72" s="1" t="s">
        <v>1600</v>
      </c>
      <c r="BO72" s="1" t="s">
        <v>1559</v>
      </c>
      <c r="BW72" s="284" t="s">
        <v>27</v>
      </c>
    </row>
    <row r="73" spans="1:75" ht="15" customHeight="1" x14ac:dyDescent="0.25">
      <c r="A73" s="275" t="s">
        <v>185</v>
      </c>
      <c r="B73" s="276" t="s">
        <v>49</v>
      </c>
      <c r="D73" s="277">
        <v>44179</v>
      </c>
      <c r="E73" s="277">
        <v>45274</v>
      </c>
      <c r="F73" s="277">
        <v>44866</v>
      </c>
      <c r="G73" s="277">
        <v>45016</v>
      </c>
      <c r="H73" s="275" t="s">
        <v>22</v>
      </c>
      <c r="I73" s="275" t="s">
        <v>1473</v>
      </c>
      <c r="K73" s="275" t="s">
        <v>186</v>
      </c>
      <c r="L73" s="275" t="s">
        <v>187</v>
      </c>
      <c r="M73" s="275" t="s">
        <v>188</v>
      </c>
      <c r="V73" s="1">
        <f t="shared" si="15"/>
        <v>0</v>
      </c>
      <c r="X73" s="1">
        <v>1</v>
      </c>
      <c r="AE73" s="1">
        <f t="shared" si="16"/>
        <v>1</v>
      </c>
      <c r="AF73" s="1">
        <f t="shared" si="17"/>
        <v>0</v>
      </c>
      <c r="AG73" s="1">
        <f t="shared" si="18"/>
        <v>1</v>
      </c>
      <c r="AH73" s="1">
        <f t="shared" si="19"/>
        <v>0</v>
      </c>
      <c r="AI73" s="1">
        <f t="shared" si="20"/>
        <v>0</v>
      </c>
      <c r="AJ73" s="1">
        <f t="shared" si="21"/>
        <v>0</v>
      </c>
      <c r="AK73" s="1">
        <f t="shared" si="22"/>
        <v>0</v>
      </c>
      <c r="AL73" s="1">
        <f t="shared" si="23"/>
        <v>0</v>
      </c>
      <c r="AM73" s="1">
        <f t="shared" si="24"/>
        <v>0</v>
      </c>
      <c r="AN73" s="278">
        <f t="shared" si="25"/>
        <v>1</v>
      </c>
      <c r="AP73" s="280">
        <v>1</v>
      </c>
      <c r="AU73" s="281"/>
      <c r="AZ73" s="281"/>
      <c r="BG73" s="282">
        <f t="shared" si="26"/>
        <v>0</v>
      </c>
      <c r="BH73" s="282">
        <f t="shared" si="27"/>
        <v>0</v>
      </c>
      <c r="BI73" s="283">
        <f t="shared" si="28"/>
        <v>0</v>
      </c>
      <c r="BL73" s="1">
        <v>515502</v>
      </c>
      <c r="BM73" s="1">
        <v>173093</v>
      </c>
      <c r="BN73" s="1" t="s">
        <v>1389</v>
      </c>
      <c r="BO73" s="1" t="s">
        <v>1406</v>
      </c>
      <c r="BR73" s="284" t="s">
        <v>1707</v>
      </c>
      <c r="BS73" s="284" t="s">
        <v>27</v>
      </c>
      <c r="BU73" s="284" t="s">
        <v>1708</v>
      </c>
      <c r="BV73" s="284" t="s">
        <v>27</v>
      </c>
      <c r="BW73" s="284" t="s">
        <v>27</v>
      </c>
    </row>
    <row r="74" spans="1:75" ht="15" customHeight="1" x14ac:dyDescent="0.25">
      <c r="A74" s="275" t="s">
        <v>414</v>
      </c>
      <c r="B74" s="276" t="s">
        <v>49</v>
      </c>
      <c r="C74" s="1" t="s">
        <v>1262</v>
      </c>
      <c r="D74" s="277">
        <v>44746</v>
      </c>
      <c r="E74" s="277">
        <v>45842</v>
      </c>
      <c r="F74" s="277">
        <v>44866</v>
      </c>
      <c r="G74" s="277">
        <v>45016</v>
      </c>
      <c r="H74" s="275" t="s">
        <v>22</v>
      </c>
      <c r="I74" s="275" t="s">
        <v>1473</v>
      </c>
      <c r="K74" s="275" t="s">
        <v>415</v>
      </c>
      <c r="L74" s="275" t="s">
        <v>416</v>
      </c>
      <c r="M74" s="275" t="s">
        <v>164</v>
      </c>
      <c r="V74" s="1">
        <f t="shared" si="15"/>
        <v>0</v>
      </c>
      <c r="W74" s="1">
        <v>1</v>
      </c>
      <c r="AE74" s="1">
        <f t="shared" si="16"/>
        <v>1</v>
      </c>
      <c r="AF74" s="1">
        <f t="shared" si="17"/>
        <v>1</v>
      </c>
      <c r="AG74" s="1">
        <f t="shared" si="18"/>
        <v>0</v>
      </c>
      <c r="AH74" s="1">
        <f t="shared" si="19"/>
        <v>0</v>
      </c>
      <c r="AI74" s="1">
        <f t="shared" si="20"/>
        <v>0</v>
      </c>
      <c r="AJ74" s="1">
        <f t="shared" si="21"/>
        <v>0</v>
      </c>
      <c r="AK74" s="1">
        <f t="shared" si="22"/>
        <v>0</v>
      </c>
      <c r="AL74" s="1">
        <f t="shared" si="23"/>
        <v>0</v>
      </c>
      <c r="AM74" s="1">
        <f t="shared" si="24"/>
        <v>0</v>
      </c>
      <c r="AN74" s="278">
        <f t="shared" si="25"/>
        <v>1</v>
      </c>
      <c r="AP74" s="280">
        <v>1</v>
      </c>
      <c r="AU74" s="281"/>
      <c r="AZ74" s="281"/>
      <c r="BG74" s="282">
        <f t="shared" si="26"/>
        <v>0</v>
      </c>
      <c r="BH74" s="282">
        <f t="shared" si="27"/>
        <v>0</v>
      </c>
      <c r="BI74" s="283">
        <f t="shared" si="28"/>
        <v>0</v>
      </c>
      <c r="BL74" s="1">
        <v>516818</v>
      </c>
      <c r="BM74" s="1">
        <v>174159</v>
      </c>
      <c r="BN74" s="1" t="s">
        <v>1389</v>
      </c>
      <c r="BO74" s="1" t="s">
        <v>1561</v>
      </c>
      <c r="BR74" s="284" t="s">
        <v>1709</v>
      </c>
      <c r="BS74" s="284" t="s">
        <v>27</v>
      </c>
      <c r="BW74" s="284" t="s">
        <v>27</v>
      </c>
    </row>
    <row r="75" spans="1:75" ht="15" customHeight="1" x14ac:dyDescent="0.25">
      <c r="A75" s="275" t="s">
        <v>136</v>
      </c>
      <c r="B75" s="276" t="s">
        <v>49</v>
      </c>
      <c r="C75" s="1" t="s">
        <v>1262</v>
      </c>
      <c r="D75" s="277">
        <v>44872</v>
      </c>
      <c r="E75" s="277">
        <v>45845</v>
      </c>
      <c r="F75" s="277">
        <v>44872</v>
      </c>
      <c r="G75" s="277">
        <v>44872</v>
      </c>
      <c r="H75" s="275" t="s">
        <v>22</v>
      </c>
      <c r="I75" s="275" t="s">
        <v>1473</v>
      </c>
      <c r="K75" s="275" t="s">
        <v>137</v>
      </c>
      <c r="L75" s="275" t="s">
        <v>138</v>
      </c>
      <c r="M75" s="275" t="s">
        <v>139</v>
      </c>
      <c r="V75" s="1">
        <f t="shared" si="15"/>
        <v>0</v>
      </c>
      <c r="Z75" s="1">
        <v>1</v>
      </c>
      <c r="AE75" s="1">
        <f t="shared" si="16"/>
        <v>1</v>
      </c>
      <c r="AF75" s="1">
        <f t="shared" si="17"/>
        <v>0</v>
      </c>
      <c r="AG75" s="1">
        <f t="shared" si="18"/>
        <v>0</v>
      </c>
      <c r="AH75" s="1">
        <f t="shared" si="19"/>
        <v>0</v>
      </c>
      <c r="AI75" s="1">
        <f t="shared" si="20"/>
        <v>1</v>
      </c>
      <c r="AJ75" s="1">
        <f t="shared" si="21"/>
        <v>0</v>
      </c>
      <c r="AK75" s="1">
        <f t="shared" si="22"/>
        <v>0</v>
      </c>
      <c r="AL75" s="1">
        <f t="shared" si="23"/>
        <v>0</v>
      </c>
      <c r="AM75" s="1">
        <f t="shared" si="24"/>
        <v>0</v>
      </c>
      <c r="AN75" s="278">
        <f t="shared" si="25"/>
        <v>1</v>
      </c>
      <c r="AP75" s="280">
        <v>1</v>
      </c>
      <c r="AU75" s="281"/>
      <c r="AZ75" s="281"/>
      <c r="BG75" s="282">
        <f t="shared" si="26"/>
        <v>0</v>
      </c>
      <c r="BH75" s="282">
        <f t="shared" si="27"/>
        <v>0</v>
      </c>
      <c r="BI75" s="283">
        <f t="shared" si="28"/>
        <v>0</v>
      </c>
      <c r="BL75" s="1">
        <v>514191</v>
      </c>
      <c r="BM75" s="1">
        <v>170553</v>
      </c>
      <c r="BN75" s="1" t="s">
        <v>1600</v>
      </c>
      <c r="BO75" s="1" t="s">
        <v>1563</v>
      </c>
      <c r="BU75" s="284" t="s">
        <v>1702</v>
      </c>
      <c r="BV75" s="284" t="s">
        <v>27</v>
      </c>
    </row>
    <row r="76" spans="1:75" ht="15" customHeight="1" x14ac:dyDescent="0.25">
      <c r="A76" s="275" t="s">
        <v>351</v>
      </c>
      <c r="B76" s="276" t="s">
        <v>144</v>
      </c>
      <c r="D76" s="277">
        <v>44879</v>
      </c>
      <c r="E76" s="277">
        <v>45975</v>
      </c>
      <c r="F76" s="277">
        <v>44879</v>
      </c>
      <c r="G76" s="277">
        <v>44879</v>
      </c>
      <c r="H76" s="269" t="s">
        <v>22</v>
      </c>
      <c r="I76" s="275" t="s">
        <v>1473</v>
      </c>
      <c r="K76" s="275" t="s">
        <v>352</v>
      </c>
      <c r="L76" s="275" t="s">
        <v>353</v>
      </c>
      <c r="M76" s="275" t="s">
        <v>354</v>
      </c>
      <c r="P76" s="1">
        <v>2</v>
      </c>
      <c r="V76" s="1">
        <f t="shared" si="15"/>
        <v>2</v>
      </c>
      <c r="Z76" s="1">
        <v>1</v>
      </c>
      <c r="AE76" s="1">
        <f t="shared" si="16"/>
        <v>1</v>
      </c>
      <c r="AF76" s="1">
        <f t="shared" si="17"/>
        <v>0</v>
      </c>
      <c r="AG76" s="1">
        <f t="shared" si="18"/>
        <v>-2</v>
      </c>
      <c r="AH76" s="1">
        <f t="shared" si="19"/>
        <v>0</v>
      </c>
      <c r="AI76" s="1">
        <f t="shared" si="20"/>
        <v>1</v>
      </c>
      <c r="AJ76" s="1">
        <f t="shared" si="21"/>
        <v>0</v>
      </c>
      <c r="AK76" s="1">
        <f t="shared" si="22"/>
        <v>0</v>
      </c>
      <c r="AL76" s="1">
        <f t="shared" si="23"/>
        <v>0</v>
      </c>
      <c r="AM76" s="1">
        <f t="shared" si="24"/>
        <v>0</v>
      </c>
      <c r="AN76" s="278">
        <f t="shared" si="25"/>
        <v>-1</v>
      </c>
      <c r="AP76" s="280">
        <v>-1</v>
      </c>
      <c r="AU76" s="281"/>
      <c r="AZ76" s="281"/>
      <c r="BG76" s="282">
        <f t="shared" si="26"/>
        <v>0</v>
      </c>
      <c r="BH76" s="282">
        <f t="shared" si="27"/>
        <v>0</v>
      </c>
      <c r="BI76" s="283">
        <f t="shared" si="28"/>
        <v>0</v>
      </c>
      <c r="BL76" s="1">
        <v>515797</v>
      </c>
      <c r="BM76" s="1">
        <v>171286</v>
      </c>
      <c r="BN76" s="1" t="s">
        <v>1600</v>
      </c>
      <c r="BO76" s="1" t="s">
        <v>1387</v>
      </c>
      <c r="BW76" s="284" t="s">
        <v>27</v>
      </c>
    </row>
    <row r="77" spans="1:75" ht="15" customHeight="1" x14ac:dyDescent="0.25">
      <c r="A77" s="275" t="s">
        <v>365</v>
      </c>
      <c r="B77" s="276" t="s">
        <v>144</v>
      </c>
      <c r="D77" s="277">
        <v>44931</v>
      </c>
      <c r="E77" s="277">
        <v>46027</v>
      </c>
      <c r="F77" s="277">
        <v>44931</v>
      </c>
      <c r="G77" s="277">
        <v>44931</v>
      </c>
      <c r="H77" s="269" t="s">
        <v>22</v>
      </c>
      <c r="I77" s="275" t="s">
        <v>1473</v>
      </c>
      <c r="K77" s="275" t="s">
        <v>366</v>
      </c>
      <c r="L77" s="275" t="s">
        <v>367</v>
      </c>
      <c r="M77" s="275" t="s">
        <v>368</v>
      </c>
      <c r="V77" s="1">
        <f t="shared" si="15"/>
        <v>0</v>
      </c>
      <c r="X77" s="1">
        <v>1</v>
      </c>
      <c r="AE77" s="1">
        <f t="shared" si="16"/>
        <v>1</v>
      </c>
      <c r="AF77" s="1">
        <f t="shared" si="17"/>
        <v>0</v>
      </c>
      <c r="AG77" s="1">
        <f t="shared" si="18"/>
        <v>1</v>
      </c>
      <c r="AH77" s="1">
        <f t="shared" si="19"/>
        <v>0</v>
      </c>
      <c r="AI77" s="1">
        <f t="shared" si="20"/>
        <v>0</v>
      </c>
      <c r="AJ77" s="1">
        <f t="shared" si="21"/>
        <v>0</v>
      </c>
      <c r="AK77" s="1">
        <f t="shared" si="22"/>
        <v>0</v>
      </c>
      <c r="AL77" s="1">
        <f t="shared" si="23"/>
        <v>0</v>
      </c>
      <c r="AM77" s="1">
        <f t="shared" si="24"/>
        <v>0</v>
      </c>
      <c r="AN77" s="278">
        <f t="shared" si="25"/>
        <v>1</v>
      </c>
      <c r="AP77" s="280">
        <v>1</v>
      </c>
      <c r="AU77" s="281"/>
      <c r="AZ77" s="281"/>
      <c r="BG77" s="282">
        <f t="shared" si="26"/>
        <v>0</v>
      </c>
      <c r="BH77" s="282">
        <f t="shared" si="27"/>
        <v>0</v>
      </c>
      <c r="BI77" s="283">
        <f t="shared" si="28"/>
        <v>0</v>
      </c>
      <c r="BL77" s="1">
        <v>522238</v>
      </c>
      <c r="BM77" s="1">
        <v>177717</v>
      </c>
      <c r="BN77" s="1" t="s">
        <v>1599</v>
      </c>
      <c r="BO77" s="1" t="s">
        <v>1399</v>
      </c>
    </row>
    <row r="78" spans="1:75" ht="15" customHeight="1" x14ac:dyDescent="0.25">
      <c r="A78" s="275" t="s">
        <v>283</v>
      </c>
      <c r="B78" s="276" t="s">
        <v>49</v>
      </c>
      <c r="D78" s="277">
        <v>44966</v>
      </c>
      <c r="E78" s="277">
        <v>44966</v>
      </c>
      <c r="F78" s="277">
        <v>44966</v>
      </c>
      <c r="G78" s="277">
        <v>44966</v>
      </c>
      <c r="H78" s="269" t="s">
        <v>22</v>
      </c>
      <c r="I78" s="275" t="s">
        <v>1473</v>
      </c>
      <c r="K78" s="275" t="s">
        <v>284</v>
      </c>
      <c r="L78" s="275" t="s">
        <v>285</v>
      </c>
      <c r="M78" s="275" t="s">
        <v>286</v>
      </c>
      <c r="R78" s="1">
        <v>1</v>
      </c>
      <c r="V78" s="1">
        <f t="shared" si="15"/>
        <v>1</v>
      </c>
      <c r="AB78" s="1">
        <v>1</v>
      </c>
      <c r="AE78" s="1">
        <f t="shared" si="16"/>
        <v>1</v>
      </c>
      <c r="AF78" s="1">
        <f t="shared" si="17"/>
        <v>0</v>
      </c>
      <c r="AG78" s="1">
        <f t="shared" si="18"/>
        <v>0</v>
      </c>
      <c r="AH78" s="1">
        <f t="shared" si="19"/>
        <v>0</v>
      </c>
      <c r="AI78" s="1">
        <f t="shared" si="20"/>
        <v>-1</v>
      </c>
      <c r="AJ78" s="1">
        <f t="shared" si="21"/>
        <v>0</v>
      </c>
      <c r="AK78" s="1">
        <f t="shared" si="22"/>
        <v>1</v>
      </c>
      <c r="AL78" s="1">
        <f t="shared" si="23"/>
        <v>0</v>
      </c>
      <c r="AM78" s="1">
        <f t="shared" si="24"/>
        <v>0</v>
      </c>
      <c r="AN78" s="278">
        <f t="shared" si="25"/>
        <v>0</v>
      </c>
      <c r="AP78" s="280">
        <v>0</v>
      </c>
      <c r="AU78" s="281"/>
      <c r="AZ78" s="281"/>
      <c r="BG78" s="282">
        <f t="shared" si="26"/>
        <v>0</v>
      </c>
      <c r="BH78" s="282">
        <f t="shared" si="27"/>
        <v>0</v>
      </c>
      <c r="BI78" s="283">
        <f t="shared" si="28"/>
        <v>0</v>
      </c>
      <c r="BL78" s="1">
        <v>514098</v>
      </c>
      <c r="BM78" s="1">
        <v>174152</v>
      </c>
      <c r="BN78" s="1" t="s">
        <v>1391</v>
      </c>
      <c r="BO78" s="1" t="s">
        <v>1391</v>
      </c>
      <c r="BW78" s="284" t="s">
        <v>27</v>
      </c>
    </row>
    <row r="79" spans="1:75" ht="15" customHeight="1" x14ac:dyDescent="0.25">
      <c r="A79" s="275" t="s">
        <v>295</v>
      </c>
      <c r="B79" s="276" t="s">
        <v>144</v>
      </c>
      <c r="D79" s="277">
        <v>44991</v>
      </c>
      <c r="E79" s="277">
        <v>44991</v>
      </c>
      <c r="F79" s="277">
        <v>44991</v>
      </c>
      <c r="G79" s="277">
        <v>44991</v>
      </c>
      <c r="H79" s="269" t="s">
        <v>22</v>
      </c>
      <c r="I79" s="275" t="s">
        <v>1473</v>
      </c>
      <c r="K79" s="275" t="s">
        <v>296</v>
      </c>
      <c r="L79" s="275" t="s">
        <v>297</v>
      </c>
      <c r="M79" s="275" t="s">
        <v>298</v>
      </c>
      <c r="V79" s="1">
        <f t="shared" si="15"/>
        <v>0</v>
      </c>
      <c r="X79" s="1">
        <v>1</v>
      </c>
      <c r="AE79" s="1">
        <f t="shared" si="16"/>
        <v>1</v>
      </c>
      <c r="AF79" s="1">
        <f t="shared" si="17"/>
        <v>0</v>
      </c>
      <c r="AG79" s="1">
        <f t="shared" si="18"/>
        <v>1</v>
      </c>
      <c r="AH79" s="1">
        <f t="shared" si="19"/>
        <v>0</v>
      </c>
      <c r="AI79" s="1">
        <f t="shared" si="20"/>
        <v>0</v>
      </c>
      <c r="AJ79" s="1">
        <f t="shared" si="21"/>
        <v>0</v>
      </c>
      <c r="AK79" s="1">
        <f t="shared" si="22"/>
        <v>0</v>
      </c>
      <c r="AL79" s="1">
        <f t="shared" si="23"/>
        <v>0</v>
      </c>
      <c r="AM79" s="1">
        <f t="shared" si="24"/>
        <v>0</v>
      </c>
      <c r="AN79" s="278">
        <f t="shared" si="25"/>
        <v>1</v>
      </c>
      <c r="AP79" s="280">
        <v>1</v>
      </c>
      <c r="AU79" s="281"/>
      <c r="AZ79" s="281"/>
      <c r="BG79" s="282">
        <f t="shared" si="26"/>
        <v>0</v>
      </c>
      <c r="BH79" s="282">
        <f t="shared" si="27"/>
        <v>0</v>
      </c>
      <c r="BI79" s="283">
        <f t="shared" si="28"/>
        <v>0</v>
      </c>
      <c r="BL79" s="1">
        <v>522218</v>
      </c>
      <c r="BM79" s="1">
        <v>177354</v>
      </c>
      <c r="BN79" s="1" t="s">
        <v>1599</v>
      </c>
      <c r="BO79" s="1" t="s">
        <v>1399</v>
      </c>
    </row>
    <row r="80" spans="1:75" ht="15" customHeight="1" x14ac:dyDescent="0.25">
      <c r="A80" s="275" t="s">
        <v>455</v>
      </c>
      <c r="B80" s="276" t="s">
        <v>49</v>
      </c>
      <c r="D80" s="277">
        <v>44992</v>
      </c>
      <c r="E80" s="277">
        <v>46088</v>
      </c>
      <c r="F80" s="277">
        <v>44992</v>
      </c>
      <c r="G80" s="277">
        <v>44992</v>
      </c>
      <c r="H80" s="275" t="s">
        <v>22</v>
      </c>
      <c r="I80" s="275" t="s">
        <v>1473</v>
      </c>
      <c r="K80" s="275" t="s">
        <v>456</v>
      </c>
      <c r="L80" s="275" t="s">
        <v>457</v>
      </c>
      <c r="M80" s="275" t="s">
        <v>458</v>
      </c>
      <c r="O80" s="1">
        <v>2</v>
      </c>
      <c r="V80" s="1">
        <f t="shared" si="15"/>
        <v>2</v>
      </c>
      <c r="Y80" s="1">
        <v>1</v>
      </c>
      <c r="AE80" s="1">
        <f t="shared" si="16"/>
        <v>1</v>
      </c>
      <c r="AF80" s="1">
        <f t="shared" si="17"/>
        <v>-2</v>
      </c>
      <c r="AG80" s="1">
        <f t="shared" si="18"/>
        <v>0</v>
      </c>
      <c r="AH80" s="1">
        <f t="shared" si="19"/>
        <v>1</v>
      </c>
      <c r="AI80" s="1">
        <f t="shared" si="20"/>
        <v>0</v>
      </c>
      <c r="AJ80" s="1">
        <f t="shared" si="21"/>
        <v>0</v>
      </c>
      <c r="AK80" s="1">
        <f t="shared" si="22"/>
        <v>0</v>
      </c>
      <c r="AL80" s="1">
        <f t="shared" si="23"/>
        <v>0</v>
      </c>
      <c r="AM80" s="1">
        <f t="shared" si="24"/>
        <v>0</v>
      </c>
      <c r="AN80" s="278">
        <f t="shared" si="25"/>
        <v>-1</v>
      </c>
      <c r="AP80" s="280">
        <v>-1</v>
      </c>
      <c r="AU80" s="281"/>
      <c r="AZ80" s="281"/>
      <c r="BG80" s="282">
        <f t="shared" si="26"/>
        <v>0</v>
      </c>
      <c r="BH80" s="282">
        <f t="shared" si="27"/>
        <v>0</v>
      </c>
      <c r="BI80" s="283">
        <f t="shared" si="28"/>
        <v>0</v>
      </c>
      <c r="BL80" s="1">
        <v>517317</v>
      </c>
      <c r="BM80" s="1">
        <v>169900</v>
      </c>
      <c r="BN80" s="1" t="s">
        <v>1600</v>
      </c>
      <c r="BO80" s="1" t="s">
        <v>1559</v>
      </c>
      <c r="BR80" s="284" t="s">
        <v>1710</v>
      </c>
      <c r="BS80" s="284" t="s">
        <v>27</v>
      </c>
      <c r="BW80" s="284" t="s">
        <v>27</v>
      </c>
    </row>
    <row r="81" spans="1:75" ht="15" customHeight="1" x14ac:dyDescent="0.25">
      <c r="A81" s="275" t="s">
        <v>373</v>
      </c>
      <c r="B81" s="276" t="s">
        <v>144</v>
      </c>
      <c r="D81" s="277">
        <v>45014</v>
      </c>
      <c r="E81" s="277">
        <v>45014</v>
      </c>
      <c r="F81" s="277">
        <v>45014</v>
      </c>
      <c r="G81" s="277">
        <v>45014</v>
      </c>
      <c r="H81" s="269" t="s">
        <v>22</v>
      </c>
      <c r="I81" s="275" t="s">
        <v>1473</v>
      </c>
      <c r="K81" s="275" t="s">
        <v>374</v>
      </c>
      <c r="L81" s="275" t="s">
        <v>375</v>
      </c>
      <c r="M81" s="275" t="s">
        <v>376</v>
      </c>
      <c r="O81" s="1">
        <v>2</v>
      </c>
      <c r="V81" s="1">
        <f t="shared" si="15"/>
        <v>2</v>
      </c>
      <c r="X81" s="1">
        <v>1</v>
      </c>
      <c r="AE81" s="1">
        <f t="shared" si="16"/>
        <v>1</v>
      </c>
      <c r="AF81" s="1">
        <f t="shared" si="17"/>
        <v>-2</v>
      </c>
      <c r="AG81" s="1">
        <f t="shared" si="18"/>
        <v>1</v>
      </c>
      <c r="AH81" s="1">
        <f t="shared" si="19"/>
        <v>0</v>
      </c>
      <c r="AI81" s="1">
        <f t="shared" si="20"/>
        <v>0</v>
      </c>
      <c r="AJ81" s="1">
        <f t="shared" si="21"/>
        <v>0</v>
      </c>
      <c r="AK81" s="1">
        <f t="shared" si="22"/>
        <v>0</v>
      </c>
      <c r="AL81" s="1">
        <f t="shared" si="23"/>
        <v>0</v>
      </c>
      <c r="AM81" s="1">
        <f t="shared" si="24"/>
        <v>0</v>
      </c>
      <c r="AN81" s="278">
        <f t="shared" si="25"/>
        <v>-1</v>
      </c>
      <c r="AP81" s="280">
        <v>-1</v>
      </c>
      <c r="AU81" s="281"/>
      <c r="AZ81" s="281"/>
      <c r="BG81" s="282">
        <f t="shared" si="26"/>
        <v>0</v>
      </c>
      <c r="BH81" s="282">
        <f t="shared" si="27"/>
        <v>0</v>
      </c>
      <c r="BI81" s="283">
        <f t="shared" si="28"/>
        <v>0</v>
      </c>
      <c r="BL81" s="1">
        <v>517679</v>
      </c>
      <c r="BM81" s="1">
        <v>174711</v>
      </c>
      <c r="BN81" s="1" t="s">
        <v>1385</v>
      </c>
      <c r="BO81" s="1" t="s">
        <v>1405</v>
      </c>
      <c r="BP81" s="284" t="s">
        <v>1385</v>
      </c>
      <c r="BQ81" s="284" t="s">
        <v>1386</v>
      </c>
      <c r="BU81" s="284" t="s">
        <v>1711</v>
      </c>
      <c r="BV81" s="284" t="s">
        <v>27</v>
      </c>
      <c r="BW81" s="284" t="s">
        <v>27</v>
      </c>
    </row>
    <row r="82" spans="1:75" ht="15" customHeight="1" x14ac:dyDescent="0.25">
      <c r="A82" s="275" t="s">
        <v>320</v>
      </c>
      <c r="B82" s="276" t="s">
        <v>144</v>
      </c>
      <c r="D82" s="277">
        <v>45015</v>
      </c>
      <c r="E82" s="277">
        <v>45015</v>
      </c>
      <c r="F82" s="277">
        <v>45015</v>
      </c>
      <c r="G82" s="277">
        <v>45015</v>
      </c>
      <c r="H82" s="269" t="s">
        <v>22</v>
      </c>
      <c r="I82" s="275" t="s">
        <v>1473</v>
      </c>
      <c r="K82" s="275" t="s">
        <v>321</v>
      </c>
      <c r="L82" s="275" t="s">
        <v>322</v>
      </c>
      <c r="M82" s="275" t="s">
        <v>323</v>
      </c>
      <c r="Q82" s="1">
        <v>1</v>
      </c>
      <c r="V82" s="1">
        <f t="shared" si="15"/>
        <v>1</v>
      </c>
      <c r="W82" s="1">
        <v>2</v>
      </c>
      <c r="AE82" s="1">
        <f t="shared" si="16"/>
        <v>2</v>
      </c>
      <c r="AF82" s="1">
        <f t="shared" si="17"/>
        <v>2</v>
      </c>
      <c r="AG82" s="1">
        <f t="shared" si="18"/>
        <v>0</v>
      </c>
      <c r="AH82" s="1">
        <f t="shared" si="19"/>
        <v>-1</v>
      </c>
      <c r="AI82" s="1">
        <f t="shared" si="20"/>
        <v>0</v>
      </c>
      <c r="AJ82" s="1">
        <f t="shared" si="21"/>
        <v>0</v>
      </c>
      <c r="AK82" s="1">
        <f t="shared" si="22"/>
        <v>0</v>
      </c>
      <c r="AL82" s="1">
        <f t="shared" si="23"/>
        <v>0</v>
      </c>
      <c r="AM82" s="1">
        <f t="shared" si="24"/>
        <v>0</v>
      </c>
      <c r="AN82" s="278">
        <f t="shared" si="25"/>
        <v>1</v>
      </c>
      <c r="AP82" s="280">
        <v>1</v>
      </c>
      <c r="AU82" s="281"/>
      <c r="AZ82" s="281"/>
      <c r="BG82" s="282">
        <f t="shared" si="26"/>
        <v>0</v>
      </c>
      <c r="BH82" s="282">
        <f t="shared" si="27"/>
        <v>0</v>
      </c>
      <c r="BI82" s="283">
        <f t="shared" si="28"/>
        <v>0</v>
      </c>
      <c r="BL82" s="1">
        <v>521325</v>
      </c>
      <c r="BM82" s="1">
        <v>175815</v>
      </c>
      <c r="BN82" s="1" t="s">
        <v>1599</v>
      </c>
      <c r="BO82" s="1" t="s">
        <v>1562</v>
      </c>
      <c r="BR82" s="284" t="s">
        <v>1698</v>
      </c>
      <c r="BS82" s="284" t="s">
        <v>27</v>
      </c>
      <c r="BU82" s="284" t="s">
        <v>1690</v>
      </c>
      <c r="BV82" s="284" t="s">
        <v>27</v>
      </c>
      <c r="BW82" s="284" t="s">
        <v>27</v>
      </c>
    </row>
    <row r="83" spans="1:75" ht="15" customHeight="1" x14ac:dyDescent="0.25">
      <c r="A83" s="275" t="s">
        <v>649</v>
      </c>
      <c r="B83" s="276" t="s">
        <v>49</v>
      </c>
      <c r="D83" s="277">
        <v>38194</v>
      </c>
      <c r="E83" s="277">
        <v>40017</v>
      </c>
      <c r="F83" s="277">
        <v>39995</v>
      </c>
      <c r="H83" s="275" t="s">
        <v>32</v>
      </c>
      <c r="I83" s="275" t="s">
        <v>1473</v>
      </c>
      <c r="J83" s="286"/>
      <c r="K83" s="275" t="s">
        <v>650</v>
      </c>
      <c r="L83" s="275" t="s">
        <v>651</v>
      </c>
      <c r="V83" s="1">
        <f t="shared" si="15"/>
        <v>0</v>
      </c>
      <c r="W83" s="1">
        <v>1</v>
      </c>
      <c r="AE83" s="1">
        <f t="shared" si="16"/>
        <v>1</v>
      </c>
      <c r="AF83" s="1">
        <f t="shared" si="17"/>
        <v>1</v>
      </c>
      <c r="AG83" s="1">
        <f t="shared" si="18"/>
        <v>0</v>
      </c>
      <c r="AH83" s="1">
        <f t="shared" si="19"/>
        <v>0</v>
      </c>
      <c r="AI83" s="1">
        <f t="shared" si="20"/>
        <v>0</v>
      </c>
      <c r="AJ83" s="1">
        <f t="shared" si="21"/>
        <v>0</v>
      </c>
      <c r="AK83" s="1">
        <f t="shared" si="22"/>
        <v>0</v>
      </c>
      <c r="AL83" s="1">
        <f t="shared" si="23"/>
        <v>0</v>
      </c>
      <c r="AM83" s="1">
        <f t="shared" si="24"/>
        <v>0</v>
      </c>
      <c r="AN83" s="278">
        <f t="shared" si="25"/>
        <v>1</v>
      </c>
      <c r="AP83" s="280"/>
      <c r="AQ83" s="1">
        <v>0.5</v>
      </c>
      <c r="AR83" s="1">
        <v>0.5</v>
      </c>
      <c r="AU83" s="281"/>
      <c r="AZ83" s="281"/>
      <c r="BG83" s="282">
        <f t="shared" si="26"/>
        <v>1</v>
      </c>
      <c r="BH83" s="282">
        <f t="shared" si="27"/>
        <v>1</v>
      </c>
      <c r="BI83" s="283">
        <f t="shared" si="28"/>
        <v>1</v>
      </c>
      <c r="BL83" s="1">
        <v>517419</v>
      </c>
      <c r="BM83" s="1">
        <v>169715</v>
      </c>
      <c r="BN83" s="1" t="s">
        <v>1600</v>
      </c>
      <c r="BO83" s="1" t="s">
        <v>1559</v>
      </c>
      <c r="BR83" s="284" t="s">
        <v>1710</v>
      </c>
      <c r="BS83" s="284" t="s">
        <v>27</v>
      </c>
      <c r="BU83" s="284" t="s">
        <v>1691</v>
      </c>
      <c r="BV83" s="284" t="s">
        <v>27</v>
      </c>
      <c r="BW83" s="284" t="s">
        <v>27</v>
      </c>
    </row>
    <row r="84" spans="1:75" ht="15" customHeight="1" x14ac:dyDescent="0.25">
      <c r="A84" s="275" t="s">
        <v>630</v>
      </c>
      <c r="B84" s="276" t="s">
        <v>21</v>
      </c>
      <c r="D84" s="277">
        <v>39477</v>
      </c>
      <c r="E84" s="277">
        <v>40573</v>
      </c>
      <c r="F84" s="277">
        <v>40568</v>
      </c>
      <c r="H84" s="275" t="s">
        <v>32</v>
      </c>
      <c r="I84" s="275" t="s">
        <v>1473</v>
      </c>
      <c r="J84" s="286"/>
      <c r="K84" s="275" t="s">
        <v>631</v>
      </c>
      <c r="L84" s="275" t="s">
        <v>632</v>
      </c>
      <c r="Q84" s="1">
        <v>1</v>
      </c>
      <c r="V84" s="1">
        <f t="shared" si="15"/>
        <v>1</v>
      </c>
      <c r="W84" s="1">
        <v>1</v>
      </c>
      <c r="Z84" s="1">
        <v>1</v>
      </c>
      <c r="AE84" s="1">
        <f t="shared" si="16"/>
        <v>2</v>
      </c>
      <c r="AF84" s="1">
        <f t="shared" si="17"/>
        <v>1</v>
      </c>
      <c r="AG84" s="1">
        <f t="shared" si="18"/>
        <v>0</v>
      </c>
      <c r="AH84" s="1">
        <f t="shared" si="19"/>
        <v>-1</v>
      </c>
      <c r="AI84" s="1">
        <f t="shared" si="20"/>
        <v>1</v>
      </c>
      <c r="AJ84" s="1">
        <f t="shared" si="21"/>
        <v>0</v>
      </c>
      <c r="AK84" s="1">
        <f t="shared" si="22"/>
        <v>0</v>
      </c>
      <c r="AL84" s="1">
        <f t="shared" si="23"/>
        <v>0</v>
      </c>
      <c r="AM84" s="1">
        <f t="shared" si="24"/>
        <v>0</v>
      </c>
      <c r="AN84" s="278">
        <f t="shared" si="25"/>
        <v>1</v>
      </c>
      <c r="AP84" s="280"/>
      <c r="AQ84" s="1">
        <v>0.5</v>
      </c>
      <c r="AR84" s="1">
        <v>0.5</v>
      </c>
      <c r="AU84" s="281"/>
      <c r="AZ84" s="281"/>
      <c r="BG84" s="282">
        <f t="shared" si="26"/>
        <v>1</v>
      </c>
      <c r="BH84" s="282">
        <f t="shared" si="27"/>
        <v>1</v>
      </c>
      <c r="BI84" s="283">
        <f t="shared" si="28"/>
        <v>1</v>
      </c>
      <c r="BL84" s="1">
        <v>513713</v>
      </c>
      <c r="BM84" s="1">
        <v>169858</v>
      </c>
      <c r="BN84" s="1" t="s">
        <v>1600</v>
      </c>
      <c r="BO84" s="1" t="s">
        <v>1400</v>
      </c>
      <c r="BW84" s="284" t="s">
        <v>27</v>
      </c>
    </row>
    <row r="85" spans="1:75" ht="15" customHeight="1" x14ac:dyDescent="0.25">
      <c r="A85" s="275" t="s">
        <v>672</v>
      </c>
      <c r="B85" s="276" t="s">
        <v>21</v>
      </c>
      <c r="D85" s="277">
        <v>40609</v>
      </c>
      <c r="E85" s="277">
        <v>41705</v>
      </c>
      <c r="F85" s="277">
        <v>40609</v>
      </c>
      <c r="H85" s="275" t="s">
        <v>32</v>
      </c>
      <c r="I85" s="275" t="s">
        <v>1473</v>
      </c>
      <c r="J85" s="286"/>
      <c r="K85" s="275" t="s">
        <v>673</v>
      </c>
      <c r="L85" s="275" t="s">
        <v>674</v>
      </c>
      <c r="V85" s="1">
        <f t="shared" si="15"/>
        <v>0</v>
      </c>
      <c r="W85" s="1">
        <v>4</v>
      </c>
      <c r="X85" s="1">
        <v>7</v>
      </c>
      <c r="AE85" s="1">
        <f t="shared" si="16"/>
        <v>11</v>
      </c>
      <c r="AF85" s="1">
        <f t="shared" si="17"/>
        <v>4</v>
      </c>
      <c r="AG85" s="1">
        <f t="shared" si="18"/>
        <v>7</v>
      </c>
      <c r="AH85" s="1">
        <f t="shared" si="19"/>
        <v>0</v>
      </c>
      <c r="AI85" s="1">
        <f t="shared" si="20"/>
        <v>0</v>
      </c>
      <c r="AJ85" s="1">
        <f t="shared" si="21"/>
        <v>0</v>
      </c>
      <c r="AK85" s="1">
        <f t="shared" si="22"/>
        <v>0</v>
      </c>
      <c r="AL85" s="1">
        <f t="shared" si="23"/>
        <v>0</v>
      </c>
      <c r="AM85" s="1">
        <f t="shared" si="24"/>
        <v>0</v>
      </c>
      <c r="AN85" s="278">
        <f t="shared" si="25"/>
        <v>11</v>
      </c>
      <c r="AP85" s="280"/>
      <c r="AQ85" s="1">
        <v>5.5</v>
      </c>
      <c r="AR85" s="1">
        <v>5.5</v>
      </c>
      <c r="AU85" s="281"/>
      <c r="AZ85" s="281"/>
      <c r="BG85" s="282">
        <f t="shared" si="26"/>
        <v>11</v>
      </c>
      <c r="BH85" s="282">
        <f t="shared" si="27"/>
        <v>11</v>
      </c>
      <c r="BI85" s="283">
        <f t="shared" si="28"/>
        <v>11</v>
      </c>
      <c r="BL85" s="1">
        <v>517650</v>
      </c>
      <c r="BM85" s="1">
        <v>169624</v>
      </c>
      <c r="BN85" s="1" t="s">
        <v>1600</v>
      </c>
      <c r="BO85" s="1" t="s">
        <v>1559</v>
      </c>
      <c r="BQ85" s="284" t="s">
        <v>1386</v>
      </c>
      <c r="BR85" s="284" t="s">
        <v>1710</v>
      </c>
      <c r="BS85" s="284" t="s">
        <v>27</v>
      </c>
      <c r="BU85" s="284" t="s">
        <v>1691</v>
      </c>
      <c r="BV85" s="284" t="s">
        <v>27</v>
      </c>
      <c r="BW85" s="284" t="s">
        <v>27</v>
      </c>
    </row>
    <row r="86" spans="1:75" ht="15" customHeight="1" x14ac:dyDescent="0.25">
      <c r="A86" s="275" t="s">
        <v>493</v>
      </c>
      <c r="B86" s="276" t="s">
        <v>224</v>
      </c>
      <c r="D86" s="277">
        <v>42479</v>
      </c>
      <c r="E86" s="277">
        <v>43574</v>
      </c>
      <c r="F86" s="277">
        <v>42552</v>
      </c>
      <c r="H86" s="275" t="s">
        <v>32</v>
      </c>
      <c r="I86" s="275" t="s">
        <v>1473</v>
      </c>
      <c r="J86" s="286"/>
      <c r="K86" s="275" t="s">
        <v>494</v>
      </c>
      <c r="L86" s="275" t="s">
        <v>495</v>
      </c>
      <c r="R86" s="1">
        <v>1</v>
      </c>
      <c r="V86" s="1">
        <f t="shared" si="15"/>
        <v>1</v>
      </c>
      <c r="Z86" s="1">
        <v>2</v>
      </c>
      <c r="AE86" s="1">
        <f t="shared" si="16"/>
        <v>2</v>
      </c>
      <c r="AF86" s="1">
        <f t="shared" si="17"/>
        <v>0</v>
      </c>
      <c r="AG86" s="1">
        <f t="shared" si="18"/>
        <v>0</v>
      </c>
      <c r="AH86" s="1">
        <f t="shared" si="19"/>
        <v>0</v>
      </c>
      <c r="AI86" s="1">
        <f t="shared" si="20"/>
        <v>1</v>
      </c>
      <c r="AJ86" s="1">
        <f t="shared" si="21"/>
        <v>0</v>
      </c>
      <c r="AK86" s="1">
        <f t="shared" si="22"/>
        <v>0</v>
      </c>
      <c r="AL86" s="1">
        <f t="shared" si="23"/>
        <v>0</v>
      </c>
      <c r="AM86" s="1">
        <f t="shared" si="24"/>
        <v>0</v>
      </c>
      <c r="AN86" s="278">
        <f t="shared" si="25"/>
        <v>1</v>
      </c>
      <c r="AP86" s="280"/>
      <c r="AQ86" s="1">
        <v>0.5</v>
      </c>
      <c r="AR86" s="1">
        <v>0.5</v>
      </c>
      <c r="AU86" s="281"/>
      <c r="AZ86" s="281"/>
      <c r="BG86" s="282">
        <f t="shared" si="26"/>
        <v>1</v>
      </c>
      <c r="BH86" s="282">
        <f t="shared" si="27"/>
        <v>1</v>
      </c>
      <c r="BI86" s="283">
        <f t="shared" si="28"/>
        <v>1</v>
      </c>
      <c r="BL86" s="1">
        <v>520343</v>
      </c>
      <c r="BM86" s="1">
        <v>175141</v>
      </c>
      <c r="BN86" s="1" t="s">
        <v>1599</v>
      </c>
      <c r="BO86" s="1" t="s">
        <v>1384</v>
      </c>
      <c r="BW86" s="284" t="s">
        <v>27</v>
      </c>
    </row>
    <row r="87" spans="1:75" ht="15" customHeight="1" x14ac:dyDescent="0.25">
      <c r="A87" s="275" t="s">
        <v>691</v>
      </c>
      <c r="B87" s="276" t="s">
        <v>49</v>
      </c>
      <c r="D87" s="277">
        <v>41520</v>
      </c>
      <c r="E87" s="277">
        <v>42616</v>
      </c>
      <c r="F87" s="277">
        <v>42601</v>
      </c>
      <c r="H87" s="275" t="s">
        <v>32</v>
      </c>
      <c r="I87" s="275" t="s">
        <v>1473</v>
      </c>
      <c r="J87" s="286"/>
      <c r="K87" s="275" t="s">
        <v>692</v>
      </c>
      <c r="L87" s="275" t="s">
        <v>693</v>
      </c>
      <c r="R87" s="1">
        <v>2</v>
      </c>
      <c r="V87" s="1">
        <f t="shared" si="15"/>
        <v>2</v>
      </c>
      <c r="Z87" s="1">
        <v>1</v>
      </c>
      <c r="AE87" s="1">
        <f t="shared" si="16"/>
        <v>1</v>
      </c>
      <c r="AF87" s="1">
        <f t="shared" si="17"/>
        <v>0</v>
      </c>
      <c r="AG87" s="1">
        <f t="shared" si="18"/>
        <v>0</v>
      </c>
      <c r="AH87" s="1">
        <f t="shared" si="19"/>
        <v>0</v>
      </c>
      <c r="AI87" s="1">
        <f t="shared" si="20"/>
        <v>-1</v>
      </c>
      <c r="AJ87" s="1">
        <f t="shared" si="21"/>
        <v>0</v>
      </c>
      <c r="AK87" s="1">
        <f t="shared" si="22"/>
        <v>0</v>
      </c>
      <c r="AL87" s="1">
        <f t="shared" si="23"/>
        <v>0</v>
      </c>
      <c r="AM87" s="1">
        <f t="shared" si="24"/>
        <v>0</v>
      </c>
      <c r="AN87" s="278">
        <f t="shared" si="25"/>
        <v>-1</v>
      </c>
      <c r="AP87" s="280"/>
      <c r="AQ87" s="1">
        <v>-0.5</v>
      </c>
      <c r="AR87" s="1">
        <v>-0.5</v>
      </c>
      <c r="AU87" s="281"/>
      <c r="AZ87" s="281"/>
      <c r="BG87" s="282">
        <f t="shared" si="26"/>
        <v>-1</v>
      </c>
      <c r="BH87" s="282">
        <f t="shared" si="27"/>
        <v>-1</v>
      </c>
      <c r="BI87" s="283">
        <f t="shared" si="28"/>
        <v>-1</v>
      </c>
      <c r="BL87" s="1">
        <v>518397</v>
      </c>
      <c r="BM87" s="1">
        <v>173968</v>
      </c>
      <c r="BN87" s="1" t="s">
        <v>1601</v>
      </c>
      <c r="BO87" s="1" t="s">
        <v>1560</v>
      </c>
      <c r="BQ87" s="284" t="s">
        <v>1386</v>
      </c>
      <c r="BU87" s="284" t="s">
        <v>1686</v>
      </c>
      <c r="BV87" s="284" t="s">
        <v>27</v>
      </c>
      <c r="BW87" s="284" t="s">
        <v>27</v>
      </c>
    </row>
    <row r="88" spans="1:75" ht="15" customHeight="1" x14ac:dyDescent="0.25">
      <c r="A88" s="275" t="s">
        <v>687</v>
      </c>
      <c r="B88" s="276" t="s">
        <v>49</v>
      </c>
      <c r="D88" s="277">
        <v>41871</v>
      </c>
      <c r="E88" s="277">
        <v>43066</v>
      </c>
      <c r="F88" s="277">
        <v>42916</v>
      </c>
      <c r="H88" s="275" t="s">
        <v>32</v>
      </c>
      <c r="I88" s="275" t="s">
        <v>1473</v>
      </c>
      <c r="J88" s="286"/>
      <c r="K88" s="275" t="s">
        <v>688</v>
      </c>
      <c r="L88" s="275" t="s">
        <v>689</v>
      </c>
      <c r="M88" s="275" t="s">
        <v>690</v>
      </c>
      <c r="V88" s="1">
        <f t="shared" si="15"/>
        <v>0</v>
      </c>
      <c r="W88" s="1">
        <v>1</v>
      </c>
      <c r="X88" s="1">
        <v>5</v>
      </c>
      <c r="AE88" s="1">
        <f t="shared" si="16"/>
        <v>6</v>
      </c>
      <c r="AF88" s="1">
        <f t="shared" si="17"/>
        <v>1</v>
      </c>
      <c r="AG88" s="1">
        <f t="shared" si="18"/>
        <v>5</v>
      </c>
      <c r="AH88" s="1">
        <f t="shared" si="19"/>
        <v>0</v>
      </c>
      <c r="AI88" s="1">
        <f t="shared" si="20"/>
        <v>0</v>
      </c>
      <c r="AJ88" s="1">
        <f t="shared" si="21"/>
        <v>0</v>
      </c>
      <c r="AK88" s="1">
        <f t="shared" si="22"/>
        <v>0</v>
      </c>
      <c r="AL88" s="1">
        <f t="shared" si="23"/>
        <v>0</v>
      </c>
      <c r="AM88" s="1">
        <f t="shared" si="24"/>
        <v>0</v>
      </c>
      <c r="AN88" s="278">
        <f t="shared" si="25"/>
        <v>6</v>
      </c>
      <c r="AP88" s="280"/>
      <c r="AQ88" s="1">
        <v>3</v>
      </c>
      <c r="AR88" s="1">
        <v>3</v>
      </c>
      <c r="AU88" s="281"/>
      <c r="AZ88" s="281"/>
      <c r="BG88" s="282">
        <f t="shared" si="26"/>
        <v>6</v>
      </c>
      <c r="BH88" s="282">
        <f t="shared" si="27"/>
        <v>6</v>
      </c>
      <c r="BI88" s="283">
        <f t="shared" si="28"/>
        <v>6</v>
      </c>
      <c r="BL88" s="1">
        <v>515206</v>
      </c>
      <c r="BM88" s="1">
        <v>173341</v>
      </c>
      <c r="BN88" s="1" t="s">
        <v>1389</v>
      </c>
      <c r="BO88" s="1" t="s">
        <v>1406</v>
      </c>
      <c r="BW88" s="284" t="s">
        <v>27</v>
      </c>
    </row>
    <row r="89" spans="1:75" ht="15" customHeight="1" x14ac:dyDescent="0.25">
      <c r="A89" s="275" t="s">
        <v>595</v>
      </c>
      <c r="B89" s="276" t="s">
        <v>144</v>
      </c>
      <c r="D89" s="277">
        <v>42051</v>
      </c>
      <c r="E89" s="277">
        <v>43147</v>
      </c>
      <c r="F89" s="277">
        <v>43147</v>
      </c>
      <c r="H89" s="275" t="s">
        <v>32</v>
      </c>
      <c r="I89" s="275" t="s">
        <v>1473</v>
      </c>
      <c r="J89" s="286"/>
      <c r="K89" s="275" t="s">
        <v>596</v>
      </c>
      <c r="L89" s="275" t="s">
        <v>597</v>
      </c>
      <c r="M89" s="275" t="s">
        <v>598</v>
      </c>
      <c r="O89" s="1">
        <v>1</v>
      </c>
      <c r="Q89" s="1">
        <v>1</v>
      </c>
      <c r="V89" s="1">
        <f t="shared" si="15"/>
        <v>2</v>
      </c>
      <c r="Z89" s="1">
        <v>1</v>
      </c>
      <c r="AE89" s="1">
        <f t="shared" si="16"/>
        <v>1</v>
      </c>
      <c r="AF89" s="1">
        <f t="shared" si="17"/>
        <v>-1</v>
      </c>
      <c r="AG89" s="1">
        <f t="shared" si="18"/>
        <v>0</v>
      </c>
      <c r="AH89" s="1">
        <f t="shared" si="19"/>
        <v>-1</v>
      </c>
      <c r="AI89" s="1">
        <f t="shared" si="20"/>
        <v>1</v>
      </c>
      <c r="AJ89" s="1">
        <f t="shared" si="21"/>
        <v>0</v>
      </c>
      <c r="AK89" s="1">
        <f t="shared" si="22"/>
        <v>0</v>
      </c>
      <c r="AL89" s="1">
        <f t="shared" si="23"/>
        <v>0</v>
      </c>
      <c r="AM89" s="1">
        <f t="shared" si="24"/>
        <v>0</v>
      </c>
      <c r="AN89" s="278">
        <f t="shared" si="25"/>
        <v>-1</v>
      </c>
      <c r="AP89" s="280"/>
      <c r="AQ89" s="1">
        <v>-0.5</v>
      </c>
      <c r="AR89" s="1">
        <v>-0.5</v>
      </c>
      <c r="AU89" s="281"/>
      <c r="AZ89" s="281"/>
      <c r="BG89" s="282">
        <f t="shared" si="26"/>
        <v>-1</v>
      </c>
      <c r="BH89" s="282">
        <f t="shared" si="27"/>
        <v>-1</v>
      </c>
      <c r="BI89" s="283">
        <f t="shared" si="28"/>
        <v>-1</v>
      </c>
      <c r="BL89" s="1">
        <v>518090</v>
      </c>
      <c r="BM89" s="1">
        <v>174701</v>
      </c>
      <c r="BN89" s="1" t="s">
        <v>1385</v>
      </c>
      <c r="BO89" s="1" t="s">
        <v>1405</v>
      </c>
      <c r="BU89" s="284" t="s">
        <v>1686</v>
      </c>
      <c r="BV89" s="284" t="s">
        <v>27</v>
      </c>
      <c r="BW89" s="284" t="s">
        <v>27</v>
      </c>
    </row>
    <row r="90" spans="1:75" ht="15" customHeight="1" x14ac:dyDescent="0.25">
      <c r="A90" s="275" t="s">
        <v>633</v>
      </c>
      <c r="B90" s="276" t="s">
        <v>21</v>
      </c>
      <c r="D90" s="277">
        <v>43069</v>
      </c>
      <c r="E90" s="277">
        <v>44165</v>
      </c>
      <c r="F90" s="277">
        <v>43344</v>
      </c>
      <c r="H90" s="275" t="s">
        <v>32</v>
      </c>
      <c r="I90" s="275" t="s">
        <v>1473</v>
      </c>
      <c r="J90" s="286"/>
      <c r="K90" s="275" t="s">
        <v>634</v>
      </c>
      <c r="L90" s="275" t="s">
        <v>635</v>
      </c>
      <c r="M90" s="275" t="s">
        <v>83</v>
      </c>
      <c r="V90" s="1">
        <f t="shared" si="15"/>
        <v>0</v>
      </c>
      <c r="X90" s="1">
        <v>1</v>
      </c>
      <c r="AE90" s="1">
        <f t="shared" si="16"/>
        <v>1</v>
      </c>
      <c r="AF90" s="1">
        <f t="shared" si="17"/>
        <v>0</v>
      </c>
      <c r="AG90" s="1">
        <f t="shared" si="18"/>
        <v>1</v>
      </c>
      <c r="AH90" s="1">
        <f t="shared" si="19"/>
        <v>0</v>
      </c>
      <c r="AI90" s="1">
        <f t="shared" si="20"/>
        <v>0</v>
      </c>
      <c r="AJ90" s="1">
        <f t="shared" si="21"/>
        <v>0</v>
      </c>
      <c r="AK90" s="1">
        <f t="shared" si="22"/>
        <v>0</v>
      </c>
      <c r="AL90" s="1">
        <f t="shared" si="23"/>
        <v>0</v>
      </c>
      <c r="AM90" s="1">
        <f t="shared" si="24"/>
        <v>0</v>
      </c>
      <c r="AN90" s="278">
        <f t="shared" si="25"/>
        <v>1</v>
      </c>
      <c r="AP90" s="280"/>
      <c r="AQ90" s="1">
        <v>0.5</v>
      </c>
      <c r="AR90" s="1">
        <v>0.5</v>
      </c>
      <c r="AU90" s="281"/>
      <c r="AZ90" s="281"/>
      <c r="BG90" s="282">
        <f t="shared" si="26"/>
        <v>1</v>
      </c>
      <c r="BH90" s="282">
        <f t="shared" si="27"/>
        <v>1</v>
      </c>
      <c r="BI90" s="283">
        <f t="shared" si="28"/>
        <v>1</v>
      </c>
      <c r="BL90" s="1">
        <v>516115</v>
      </c>
      <c r="BM90" s="1">
        <v>173199</v>
      </c>
      <c r="BN90" s="1" t="s">
        <v>1389</v>
      </c>
      <c r="BO90" s="1" t="s">
        <v>1407</v>
      </c>
      <c r="BP90" s="284" t="s">
        <v>1389</v>
      </c>
      <c r="BW90" s="284" t="s">
        <v>27</v>
      </c>
    </row>
    <row r="91" spans="1:75" ht="15" customHeight="1" x14ac:dyDescent="0.25">
      <c r="A91" s="275" t="s">
        <v>534</v>
      </c>
      <c r="B91" s="276" t="s">
        <v>49</v>
      </c>
      <c r="D91" s="277">
        <v>42565</v>
      </c>
      <c r="E91" s="277">
        <v>43660</v>
      </c>
      <c r="F91" s="277">
        <v>43656</v>
      </c>
      <c r="H91" s="275" t="s">
        <v>32</v>
      </c>
      <c r="I91" s="275" t="s">
        <v>1473</v>
      </c>
      <c r="J91" s="286"/>
      <c r="K91" s="275" t="s">
        <v>535</v>
      </c>
      <c r="L91" s="275" t="s">
        <v>536</v>
      </c>
      <c r="V91" s="1">
        <f t="shared" si="15"/>
        <v>0</v>
      </c>
      <c r="W91" s="1">
        <v>9</v>
      </c>
      <c r="AE91" s="1">
        <f t="shared" si="16"/>
        <v>9</v>
      </c>
      <c r="AF91" s="1">
        <f t="shared" si="17"/>
        <v>9</v>
      </c>
      <c r="AG91" s="1">
        <f t="shared" si="18"/>
        <v>0</v>
      </c>
      <c r="AH91" s="1">
        <f t="shared" si="19"/>
        <v>0</v>
      </c>
      <c r="AI91" s="1">
        <f t="shared" si="20"/>
        <v>0</v>
      </c>
      <c r="AJ91" s="1">
        <f t="shared" si="21"/>
        <v>0</v>
      </c>
      <c r="AK91" s="1">
        <f t="shared" si="22"/>
        <v>0</v>
      </c>
      <c r="AL91" s="1">
        <f t="shared" si="23"/>
        <v>0</v>
      </c>
      <c r="AM91" s="1">
        <f t="shared" si="24"/>
        <v>0</v>
      </c>
      <c r="AN91" s="278">
        <f t="shared" si="25"/>
        <v>9</v>
      </c>
      <c r="AP91" s="280"/>
      <c r="AQ91" s="1">
        <v>4.5</v>
      </c>
      <c r="AR91" s="1">
        <v>4.5</v>
      </c>
      <c r="AU91" s="281"/>
      <c r="AZ91" s="281"/>
      <c r="BG91" s="282">
        <f t="shared" si="26"/>
        <v>9</v>
      </c>
      <c r="BH91" s="282">
        <f t="shared" si="27"/>
        <v>9</v>
      </c>
      <c r="BI91" s="283">
        <f t="shared" si="28"/>
        <v>9</v>
      </c>
      <c r="BL91" s="1">
        <v>517924</v>
      </c>
      <c r="BM91" s="1">
        <v>174891</v>
      </c>
      <c r="BN91" s="1" t="s">
        <v>1385</v>
      </c>
      <c r="BO91" s="1" t="s">
        <v>1405</v>
      </c>
      <c r="BP91" s="284" t="s">
        <v>1385</v>
      </c>
      <c r="BU91" s="284" t="s">
        <v>1699</v>
      </c>
      <c r="BV91" s="284" t="s">
        <v>27</v>
      </c>
      <c r="BW91" s="284" t="s">
        <v>27</v>
      </c>
    </row>
    <row r="92" spans="1:75" ht="15" customHeight="1" x14ac:dyDescent="0.25">
      <c r="A92" s="275" t="s">
        <v>54</v>
      </c>
      <c r="B92" s="276" t="s">
        <v>21</v>
      </c>
      <c r="D92" s="277">
        <v>43384</v>
      </c>
      <c r="E92" s="277">
        <v>44480</v>
      </c>
      <c r="F92" s="277">
        <v>43752</v>
      </c>
      <c r="H92" s="275" t="s">
        <v>32</v>
      </c>
      <c r="I92" s="269" t="s">
        <v>50</v>
      </c>
      <c r="J92" s="286"/>
      <c r="K92" s="275" t="s">
        <v>56</v>
      </c>
      <c r="L92" s="275" t="s">
        <v>57</v>
      </c>
      <c r="M92" s="275" t="s">
        <v>58</v>
      </c>
      <c r="V92" s="1">
        <f t="shared" si="15"/>
        <v>0</v>
      </c>
      <c r="W92" s="1">
        <v>19</v>
      </c>
      <c r="AE92" s="1">
        <f t="shared" si="16"/>
        <v>19</v>
      </c>
      <c r="AF92" s="1">
        <f t="shared" si="17"/>
        <v>19</v>
      </c>
      <c r="AG92" s="1">
        <f t="shared" si="18"/>
        <v>0</v>
      </c>
      <c r="AH92" s="1">
        <f t="shared" si="19"/>
        <v>0</v>
      </c>
      <c r="AI92" s="1">
        <f t="shared" si="20"/>
        <v>0</v>
      </c>
      <c r="AJ92" s="1">
        <f t="shared" si="21"/>
        <v>0</v>
      </c>
      <c r="AK92" s="1">
        <f t="shared" si="22"/>
        <v>0</v>
      </c>
      <c r="AL92" s="1">
        <f t="shared" si="23"/>
        <v>0</v>
      </c>
      <c r="AM92" s="1">
        <f t="shared" si="24"/>
        <v>0</v>
      </c>
      <c r="AN92" s="278">
        <f t="shared" si="25"/>
        <v>19</v>
      </c>
      <c r="AO92" s="279" t="s">
        <v>27</v>
      </c>
      <c r="AP92" s="280"/>
      <c r="AQ92" s="1">
        <v>19</v>
      </c>
      <c r="AU92" s="281"/>
      <c r="AZ92" s="281"/>
      <c r="BG92" s="282">
        <f t="shared" si="26"/>
        <v>19</v>
      </c>
      <c r="BH92" s="282">
        <f t="shared" si="27"/>
        <v>19</v>
      </c>
      <c r="BI92" s="283">
        <f t="shared" si="28"/>
        <v>19</v>
      </c>
      <c r="BJ92" s="1" t="s">
        <v>27</v>
      </c>
      <c r="BK92" s="1" t="s">
        <v>27</v>
      </c>
      <c r="BL92" s="1">
        <v>513257</v>
      </c>
      <c r="BM92" s="1">
        <v>174057</v>
      </c>
      <c r="BN92" s="1" t="s">
        <v>1391</v>
      </c>
      <c r="BO92" s="1" t="s">
        <v>1391</v>
      </c>
      <c r="BW92" s="284" t="s">
        <v>27</v>
      </c>
    </row>
    <row r="93" spans="1:75" ht="15" customHeight="1" x14ac:dyDescent="0.25">
      <c r="A93" s="275" t="s">
        <v>54</v>
      </c>
      <c r="B93" s="276" t="s">
        <v>21</v>
      </c>
      <c r="D93" s="277">
        <v>43384</v>
      </c>
      <c r="E93" s="277">
        <v>44480</v>
      </c>
      <c r="F93" s="277">
        <v>43752</v>
      </c>
      <c r="H93" s="275" t="s">
        <v>32</v>
      </c>
      <c r="I93" s="269" t="s">
        <v>42</v>
      </c>
      <c r="J93" s="286"/>
      <c r="K93" s="275" t="s">
        <v>56</v>
      </c>
      <c r="L93" s="275" t="s">
        <v>57</v>
      </c>
      <c r="M93" s="275" t="s">
        <v>58</v>
      </c>
      <c r="V93" s="1">
        <f t="shared" si="15"/>
        <v>0</v>
      </c>
      <c r="W93" s="1">
        <v>5</v>
      </c>
      <c r="AE93" s="1">
        <f t="shared" si="16"/>
        <v>5</v>
      </c>
      <c r="AF93" s="1">
        <f t="shared" si="17"/>
        <v>5</v>
      </c>
      <c r="AG93" s="1">
        <f t="shared" si="18"/>
        <v>0</v>
      </c>
      <c r="AH93" s="1">
        <f t="shared" si="19"/>
        <v>0</v>
      </c>
      <c r="AI93" s="1">
        <f t="shared" si="20"/>
        <v>0</v>
      </c>
      <c r="AJ93" s="1">
        <f t="shared" si="21"/>
        <v>0</v>
      </c>
      <c r="AK93" s="1">
        <f t="shared" si="22"/>
        <v>0</v>
      </c>
      <c r="AL93" s="1">
        <f t="shared" si="23"/>
        <v>0</v>
      </c>
      <c r="AM93" s="1">
        <f t="shared" si="24"/>
        <v>0</v>
      </c>
      <c r="AN93" s="278">
        <f t="shared" si="25"/>
        <v>5</v>
      </c>
      <c r="AO93" s="279" t="s">
        <v>27</v>
      </c>
      <c r="AP93" s="280"/>
      <c r="AQ93" s="1">
        <v>5</v>
      </c>
      <c r="AU93" s="281"/>
      <c r="AZ93" s="281"/>
      <c r="BG93" s="282">
        <f t="shared" si="26"/>
        <v>5</v>
      </c>
      <c r="BH93" s="282">
        <f t="shared" si="27"/>
        <v>5</v>
      </c>
      <c r="BI93" s="283">
        <f t="shared" si="28"/>
        <v>5</v>
      </c>
      <c r="BJ93" s="1" t="s">
        <v>27</v>
      </c>
      <c r="BK93" s="1" t="s">
        <v>27</v>
      </c>
      <c r="BL93" s="1">
        <v>513257</v>
      </c>
      <c r="BM93" s="1">
        <v>174057</v>
      </c>
      <c r="BN93" s="1" t="s">
        <v>1391</v>
      </c>
      <c r="BO93" s="1" t="s">
        <v>1391</v>
      </c>
      <c r="BW93" s="284" t="s">
        <v>27</v>
      </c>
    </row>
    <row r="94" spans="1:75" ht="15" customHeight="1" x14ac:dyDescent="0.25">
      <c r="A94" s="275" t="s">
        <v>54</v>
      </c>
      <c r="B94" s="276" t="s">
        <v>21</v>
      </c>
      <c r="D94" s="277">
        <v>43384</v>
      </c>
      <c r="E94" s="277">
        <v>44480</v>
      </c>
      <c r="F94" s="277">
        <v>43752</v>
      </c>
      <c r="H94" s="275" t="s">
        <v>32</v>
      </c>
      <c r="I94" s="269" t="s">
        <v>55</v>
      </c>
      <c r="J94" s="286"/>
      <c r="K94" s="275" t="s">
        <v>56</v>
      </c>
      <c r="L94" s="275" t="s">
        <v>57</v>
      </c>
      <c r="M94" s="275" t="s">
        <v>58</v>
      </c>
      <c r="O94" s="1">
        <v>29</v>
      </c>
      <c r="P94" s="1">
        <v>1</v>
      </c>
      <c r="V94" s="1">
        <f t="shared" si="15"/>
        <v>30</v>
      </c>
      <c r="AE94" s="1">
        <f t="shared" si="16"/>
        <v>0</v>
      </c>
      <c r="AF94" s="1">
        <f t="shared" si="17"/>
        <v>-29</v>
      </c>
      <c r="AG94" s="1">
        <f t="shared" si="18"/>
        <v>-1</v>
      </c>
      <c r="AH94" s="1">
        <f t="shared" si="19"/>
        <v>0</v>
      </c>
      <c r="AI94" s="1">
        <f t="shared" si="20"/>
        <v>0</v>
      </c>
      <c r="AJ94" s="1">
        <f t="shared" si="21"/>
        <v>0</v>
      </c>
      <c r="AK94" s="1">
        <f t="shared" si="22"/>
        <v>0</v>
      </c>
      <c r="AL94" s="1">
        <f t="shared" si="23"/>
        <v>0</v>
      </c>
      <c r="AM94" s="1">
        <f t="shared" si="24"/>
        <v>0</v>
      </c>
      <c r="AN94" s="278">
        <f t="shared" si="25"/>
        <v>-30</v>
      </c>
      <c r="AO94" s="279" t="s">
        <v>27</v>
      </c>
      <c r="AP94" s="280"/>
      <c r="AQ94" s="1">
        <v>-30</v>
      </c>
      <c r="AU94" s="281"/>
      <c r="AZ94" s="281"/>
      <c r="BG94" s="282">
        <f t="shared" si="26"/>
        <v>-30</v>
      </c>
      <c r="BH94" s="282">
        <f t="shared" si="27"/>
        <v>-30</v>
      </c>
      <c r="BI94" s="283">
        <f t="shared" si="28"/>
        <v>-30</v>
      </c>
      <c r="BJ94" s="1" t="s">
        <v>27</v>
      </c>
      <c r="BK94" s="1" t="s">
        <v>27</v>
      </c>
      <c r="BL94" s="1">
        <v>513257</v>
      </c>
      <c r="BM94" s="1">
        <v>174057</v>
      </c>
      <c r="BN94" s="1" t="s">
        <v>1391</v>
      </c>
      <c r="BO94" s="1" t="s">
        <v>1391</v>
      </c>
      <c r="BW94" s="284" t="s">
        <v>27</v>
      </c>
    </row>
    <row r="95" spans="1:75" ht="15" customHeight="1" x14ac:dyDescent="0.25">
      <c r="A95" s="275" t="s">
        <v>555</v>
      </c>
      <c r="B95" s="276" t="s">
        <v>144</v>
      </c>
      <c r="D95" s="277">
        <v>43439</v>
      </c>
      <c r="E95" s="277">
        <v>44535</v>
      </c>
      <c r="F95" s="277">
        <v>43780</v>
      </c>
      <c r="H95" s="275" t="s">
        <v>32</v>
      </c>
      <c r="I95" s="275" t="s">
        <v>1473</v>
      </c>
      <c r="J95" s="286"/>
      <c r="K95" s="275" t="s">
        <v>556</v>
      </c>
      <c r="L95" s="275" t="s">
        <v>557</v>
      </c>
      <c r="M95" s="275" t="s">
        <v>558</v>
      </c>
      <c r="R95" s="1">
        <v>1</v>
      </c>
      <c r="V95" s="1">
        <f t="shared" si="15"/>
        <v>1</v>
      </c>
      <c r="W95" s="1">
        <v>1</v>
      </c>
      <c r="Y95" s="1">
        <v>1</v>
      </c>
      <c r="AE95" s="1">
        <f t="shared" si="16"/>
        <v>2</v>
      </c>
      <c r="AF95" s="1">
        <f t="shared" si="17"/>
        <v>1</v>
      </c>
      <c r="AG95" s="1">
        <f t="shared" si="18"/>
        <v>0</v>
      </c>
      <c r="AH95" s="1">
        <f t="shared" si="19"/>
        <v>1</v>
      </c>
      <c r="AI95" s="1">
        <f t="shared" si="20"/>
        <v>-1</v>
      </c>
      <c r="AJ95" s="1">
        <f t="shared" si="21"/>
        <v>0</v>
      </c>
      <c r="AK95" s="1">
        <f t="shared" si="22"/>
        <v>0</v>
      </c>
      <c r="AL95" s="1">
        <f t="shared" si="23"/>
        <v>0</v>
      </c>
      <c r="AM95" s="1">
        <f t="shared" si="24"/>
        <v>0</v>
      </c>
      <c r="AN95" s="278">
        <f t="shared" si="25"/>
        <v>1</v>
      </c>
      <c r="AP95" s="280"/>
      <c r="AQ95" s="1">
        <v>0.5</v>
      </c>
      <c r="AR95" s="1">
        <v>0.5</v>
      </c>
      <c r="AU95" s="281"/>
      <c r="AZ95" s="281"/>
      <c r="BG95" s="282">
        <f t="shared" si="26"/>
        <v>1</v>
      </c>
      <c r="BH95" s="282">
        <f t="shared" si="27"/>
        <v>1</v>
      </c>
      <c r="BI95" s="283">
        <f t="shared" si="28"/>
        <v>1</v>
      </c>
      <c r="BL95" s="1">
        <v>520283</v>
      </c>
      <c r="BM95" s="1">
        <v>175305</v>
      </c>
      <c r="BN95" s="1" t="s">
        <v>1599</v>
      </c>
      <c r="BO95" s="1" t="s">
        <v>1384</v>
      </c>
      <c r="BP95" s="284" t="s">
        <v>1384</v>
      </c>
      <c r="BW95" s="284" t="s">
        <v>27</v>
      </c>
    </row>
    <row r="96" spans="1:75" ht="15" customHeight="1" x14ac:dyDescent="0.25">
      <c r="A96" s="275" t="s">
        <v>611</v>
      </c>
      <c r="B96" s="276" t="s">
        <v>49</v>
      </c>
      <c r="D96" s="277">
        <v>43550</v>
      </c>
      <c r="E96" s="277">
        <v>44646</v>
      </c>
      <c r="F96" s="277">
        <v>43843</v>
      </c>
      <c r="H96" s="275" t="s">
        <v>32</v>
      </c>
      <c r="I96" s="275" t="s">
        <v>1473</v>
      </c>
      <c r="J96" s="286"/>
      <c r="K96" s="275" t="s">
        <v>612</v>
      </c>
      <c r="L96" s="275" t="s">
        <v>613</v>
      </c>
      <c r="M96" s="275" t="s">
        <v>614</v>
      </c>
      <c r="V96" s="1">
        <f t="shared" si="15"/>
        <v>0</v>
      </c>
      <c r="AA96" s="1">
        <v>2</v>
      </c>
      <c r="AE96" s="1">
        <f t="shared" si="16"/>
        <v>2</v>
      </c>
      <c r="AF96" s="1">
        <f t="shared" si="17"/>
        <v>0</v>
      </c>
      <c r="AG96" s="1">
        <f t="shared" si="18"/>
        <v>0</v>
      </c>
      <c r="AH96" s="1">
        <f t="shared" si="19"/>
        <v>0</v>
      </c>
      <c r="AI96" s="1">
        <f t="shared" si="20"/>
        <v>0</v>
      </c>
      <c r="AJ96" s="1">
        <f t="shared" si="21"/>
        <v>2</v>
      </c>
      <c r="AK96" s="1">
        <f t="shared" si="22"/>
        <v>0</v>
      </c>
      <c r="AL96" s="1">
        <f t="shared" si="23"/>
        <v>0</v>
      </c>
      <c r="AM96" s="1">
        <f t="shared" si="24"/>
        <v>0</v>
      </c>
      <c r="AN96" s="278">
        <f t="shared" si="25"/>
        <v>2</v>
      </c>
      <c r="AP96" s="280"/>
      <c r="AQ96" s="1">
        <v>1</v>
      </c>
      <c r="AR96" s="1">
        <v>1</v>
      </c>
      <c r="AU96" s="281"/>
      <c r="AZ96" s="281"/>
      <c r="BG96" s="282">
        <f t="shared" si="26"/>
        <v>2</v>
      </c>
      <c r="BH96" s="282">
        <f t="shared" si="27"/>
        <v>2</v>
      </c>
      <c r="BI96" s="283">
        <f t="shared" si="28"/>
        <v>2</v>
      </c>
      <c r="BL96" s="1">
        <v>513264</v>
      </c>
      <c r="BM96" s="1">
        <v>169738</v>
      </c>
      <c r="BN96" s="1" t="s">
        <v>1600</v>
      </c>
      <c r="BO96" s="1" t="s">
        <v>1400</v>
      </c>
      <c r="BW96" s="284" t="s">
        <v>27</v>
      </c>
    </row>
    <row r="97" spans="1:75" ht="15" customHeight="1" x14ac:dyDescent="0.25">
      <c r="A97" s="275" t="s">
        <v>451</v>
      </c>
      <c r="B97" s="276" t="s">
        <v>49</v>
      </c>
      <c r="C97" s="1" t="s">
        <v>1262</v>
      </c>
      <c r="D97" s="277">
        <v>43738</v>
      </c>
      <c r="E97" s="277">
        <v>44834</v>
      </c>
      <c r="F97" s="277">
        <v>43878</v>
      </c>
      <c r="H97" s="275" t="s">
        <v>32</v>
      </c>
      <c r="I97" s="275" t="s">
        <v>1473</v>
      </c>
      <c r="J97" s="286"/>
      <c r="K97" s="275" t="s">
        <v>452</v>
      </c>
      <c r="L97" s="275" t="s">
        <v>453</v>
      </c>
      <c r="M97" s="275" t="s">
        <v>454</v>
      </c>
      <c r="V97" s="1">
        <f t="shared" si="15"/>
        <v>0</v>
      </c>
      <c r="X97" s="1">
        <v>4</v>
      </c>
      <c r="AE97" s="1">
        <f t="shared" si="16"/>
        <v>4</v>
      </c>
      <c r="AF97" s="1">
        <f t="shared" si="17"/>
        <v>0</v>
      </c>
      <c r="AG97" s="1">
        <f t="shared" si="18"/>
        <v>4</v>
      </c>
      <c r="AH97" s="1">
        <f t="shared" si="19"/>
        <v>0</v>
      </c>
      <c r="AI97" s="1">
        <f t="shared" si="20"/>
        <v>0</v>
      </c>
      <c r="AJ97" s="1">
        <f t="shared" si="21"/>
        <v>0</v>
      </c>
      <c r="AK97" s="1">
        <f t="shared" si="22"/>
        <v>0</v>
      </c>
      <c r="AL97" s="1">
        <f t="shared" si="23"/>
        <v>0</v>
      </c>
      <c r="AM97" s="1">
        <f t="shared" si="24"/>
        <v>0</v>
      </c>
      <c r="AN97" s="278">
        <f t="shared" si="25"/>
        <v>4</v>
      </c>
      <c r="AP97" s="280"/>
      <c r="AQ97" s="1">
        <v>2</v>
      </c>
      <c r="AR97" s="1">
        <v>2</v>
      </c>
      <c r="AU97" s="281"/>
      <c r="AZ97" s="281"/>
      <c r="BG97" s="282">
        <f t="shared" si="26"/>
        <v>4</v>
      </c>
      <c r="BH97" s="282">
        <f t="shared" si="27"/>
        <v>4</v>
      </c>
      <c r="BI97" s="283">
        <f t="shared" si="28"/>
        <v>4</v>
      </c>
      <c r="BL97" s="1">
        <v>516843</v>
      </c>
      <c r="BM97" s="1">
        <v>174266</v>
      </c>
      <c r="BN97" s="1" t="s">
        <v>1389</v>
      </c>
      <c r="BO97" s="1" t="s">
        <v>1561</v>
      </c>
      <c r="BR97" s="284" t="s">
        <v>1709</v>
      </c>
      <c r="BS97" s="284" t="s">
        <v>27</v>
      </c>
      <c r="BU97" s="284" t="s">
        <v>1712</v>
      </c>
      <c r="BV97" s="284" t="s">
        <v>27</v>
      </c>
      <c r="BW97" s="284" t="s">
        <v>27</v>
      </c>
    </row>
    <row r="98" spans="1:75" ht="15" customHeight="1" x14ac:dyDescent="0.25">
      <c r="A98" s="275" t="s">
        <v>528</v>
      </c>
      <c r="B98" s="276" t="s">
        <v>21</v>
      </c>
      <c r="D98" s="277">
        <v>42789</v>
      </c>
      <c r="E98" s="277">
        <v>43884</v>
      </c>
      <c r="F98" s="277">
        <v>43880</v>
      </c>
      <c r="H98" s="275" t="s">
        <v>32</v>
      </c>
      <c r="I98" s="275" t="s">
        <v>1473</v>
      </c>
      <c r="J98" s="286"/>
      <c r="K98" s="275" t="s">
        <v>529</v>
      </c>
      <c r="L98" s="275" t="s">
        <v>530</v>
      </c>
      <c r="V98" s="1">
        <f t="shared" si="15"/>
        <v>0</v>
      </c>
      <c r="W98" s="1">
        <v>4</v>
      </c>
      <c r="X98" s="1">
        <v>2</v>
      </c>
      <c r="AE98" s="1">
        <f t="shared" si="16"/>
        <v>6</v>
      </c>
      <c r="AF98" s="1">
        <f t="shared" si="17"/>
        <v>4</v>
      </c>
      <c r="AG98" s="1">
        <f t="shared" si="18"/>
        <v>2</v>
      </c>
      <c r="AH98" s="1">
        <f t="shared" si="19"/>
        <v>0</v>
      </c>
      <c r="AI98" s="1">
        <f t="shared" si="20"/>
        <v>0</v>
      </c>
      <c r="AJ98" s="1">
        <f t="shared" si="21"/>
        <v>0</v>
      </c>
      <c r="AK98" s="1">
        <f t="shared" si="22"/>
        <v>0</v>
      </c>
      <c r="AL98" s="1">
        <f t="shared" si="23"/>
        <v>0</v>
      </c>
      <c r="AM98" s="1">
        <f t="shared" si="24"/>
        <v>0</v>
      </c>
      <c r="AN98" s="278">
        <f t="shared" ref="AN98:AN120" si="29">AE98-V98</f>
        <v>6</v>
      </c>
      <c r="AP98" s="280"/>
      <c r="AQ98" s="1">
        <v>3</v>
      </c>
      <c r="AR98" s="1">
        <v>3</v>
      </c>
      <c r="AU98" s="281"/>
      <c r="AZ98" s="281"/>
      <c r="BG98" s="282">
        <f t="shared" si="26"/>
        <v>6</v>
      </c>
      <c r="BH98" s="282">
        <f t="shared" si="27"/>
        <v>6</v>
      </c>
      <c r="BI98" s="283">
        <f t="shared" si="28"/>
        <v>6</v>
      </c>
      <c r="BL98" s="1">
        <v>519126</v>
      </c>
      <c r="BM98" s="1">
        <v>176420</v>
      </c>
      <c r="BN98" s="1" t="s">
        <v>1385</v>
      </c>
      <c r="BO98" s="1" t="s">
        <v>1403</v>
      </c>
      <c r="BR98" s="284" t="s">
        <v>1713</v>
      </c>
      <c r="BS98" s="284" t="s">
        <v>27</v>
      </c>
      <c r="BU98" s="284" t="s">
        <v>1695</v>
      </c>
      <c r="BV98" s="284" t="s">
        <v>27</v>
      </c>
      <c r="BW98" s="284" t="s">
        <v>27</v>
      </c>
    </row>
    <row r="99" spans="1:75" ht="15" customHeight="1" x14ac:dyDescent="0.25">
      <c r="A99" s="275" t="s">
        <v>723</v>
      </c>
      <c r="B99" s="276" t="s">
        <v>21</v>
      </c>
      <c r="D99" s="277">
        <v>42801</v>
      </c>
      <c r="E99" s="277">
        <v>43897</v>
      </c>
      <c r="F99" s="277">
        <v>43891</v>
      </c>
      <c r="H99" s="275" t="s">
        <v>32</v>
      </c>
      <c r="I99" s="275" t="s">
        <v>1473</v>
      </c>
      <c r="J99" s="286"/>
      <c r="K99" s="275" t="s">
        <v>724</v>
      </c>
      <c r="L99" s="275" t="s">
        <v>725</v>
      </c>
      <c r="V99" s="1">
        <f t="shared" si="15"/>
        <v>0</v>
      </c>
      <c r="Y99" s="1">
        <v>1</v>
      </c>
      <c r="AE99" s="1">
        <f t="shared" si="16"/>
        <v>1</v>
      </c>
      <c r="AF99" s="1">
        <f t="shared" si="17"/>
        <v>0</v>
      </c>
      <c r="AG99" s="1">
        <f t="shared" si="18"/>
        <v>0</v>
      </c>
      <c r="AH99" s="1">
        <f t="shared" si="19"/>
        <v>1</v>
      </c>
      <c r="AI99" s="1">
        <f t="shared" si="20"/>
        <v>0</v>
      </c>
      <c r="AJ99" s="1">
        <f t="shared" si="21"/>
        <v>0</v>
      </c>
      <c r="AK99" s="1">
        <f t="shared" si="22"/>
        <v>0</v>
      </c>
      <c r="AL99" s="1">
        <f t="shared" si="23"/>
        <v>0</v>
      </c>
      <c r="AM99" s="1">
        <f t="shared" si="24"/>
        <v>0</v>
      </c>
      <c r="AN99" s="278">
        <f t="shared" si="29"/>
        <v>1</v>
      </c>
      <c r="AP99" s="280"/>
      <c r="AQ99" s="1">
        <v>0.5</v>
      </c>
      <c r="AR99" s="1">
        <v>0.5</v>
      </c>
      <c r="AU99" s="281"/>
      <c r="AZ99" s="281"/>
      <c r="BG99" s="282">
        <f t="shared" si="26"/>
        <v>1</v>
      </c>
      <c r="BH99" s="282">
        <f t="shared" si="27"/>
        <v>1</v>
      </c>
      <c r="BI99" s="283">
        <f t="shared" si="28"/>
        <v>1</v>
      </c>
      <c r="BL99" s="1">
        <v>513432</v>
      </c>
      <c r="BM99" s="1">
        <v>173849</v>
      </c>
      <c r="BN99" s="1" t="s">
        <v>1391</v>
      </c>
      <c r="BO99" s="1" t="s">
        <v>1391</v>
      </c>
      <c r="BW99" s="284" t="s">
        <v>27</v>
      </c>
    </row>
    <row r="100" spans="1:75" ht="15" customHeight="1" x14ac:dyDescent="0.25">
      <c r="A100" s="275" t="s">
        <v>43</v>
      </c>
      <c r="B100" s="276" t="s">
        <v>44</v>
      </c>
      <c r="D100" s="277">
        <v>43811</v>
      </c>
      <c r="E100" s="277">
        <v>44907</v>
      </c>
      <c r="F100" s="277">
        <v>43920</v>
      </c>
      <c r="H100" s="275" t="s">
        <v>32</v>
      </c>
      <c r="I100" s="275" t="s">
        <v>23</v>
      </c>
      <c r="J100" s="286"/>
      <c r="K100" s="275" t="s">
        <v>45</v>
      </c>
      <c r="L100" s="275" t="s">
        <v>46</v>
      </c>
      <c r="M100" s="275" t="s">
        <v>47</v>
      </c>
      <c r="N100" s="275"/>
      <c r="O100" s="1">
        <v>0</v>
      </c>
      <c r="V100" s="1">
        <f t="shared" si="15"/>
        <v>0</v>
      </c>
      <c r="W100" s="1">
        <v>3</v>
      </c>
      <c r="X100" s="1">
        <v>3</v>
      </c>
      <c r="AE100" s="1">
        <f t="shared" si="16"/>
        <v>6</v>
      </c>
      <c r="AF100" s="1">
        <f t="shared" si="17"/>
        <v>3</v>
      </c>
      <c r="AG100" s="1">
        <f t="shared" si="18"/>
        <v>3</v>
      </c>
      <c r="AH100" s="1">
        <f t="shared" si="19"/>
        <v>0</v>
      </c>
      <c r="AI100" s="1">
        <f t="shared" si="20"/>
        <v>0</v>
      </c>
      <c r="AJ100" s="1">
        <f t="shared" si="21"/>
        <v>0</v>
      </c>
      <c r="AK100" s="1">
        <f t="shared" si="22"/>
        <v>0</v>
      </c>
      <c r="AL100" s="1">
        <f t="shared" si="23"/>
        <v>0</v>
      </c>
      <c r="AM100" s="1">
        <f t="shared" si="24"/>
        <v>0</v>
      </c>
      <c r="AN100" s="278">
        <f t="shared" si="29"/>
        <v>6</v>
      </c>
      <c r="AO100" s="279" t="s">
        <v>27</v>
      </c>
      <c r="AP100" s="280"/>
      <c r="AQ100" s="1">
        <v>3</v>
      </c>
      <c r="AR100" s="1">
        <v>3</v>
      </c>
      <c r="AU100" s="281"/>
      <c r="AZ100" s="281"/>
      <c r="BG100" s="282">
        <f t="shared" si="26"/>
        <v>6</v>
      </c>
      <c r="BH100" s="282">
        <f t="shared" si="27"/>
        <v>6</v>
      </c>
      <c r="BI100" s="283">
        <f t="shared" si="28"/>
        <v>6</v>
      </c>
      <c r="BL100" s="1">
        <v>517598</v>
      </c>
      <c r="BM100" s="1">
        <v>169722</v>
      </c>
      <c r="BN100" s="1" t="s">
        <v>1600</v>
      </c>
      <c r="BO100" s="1" t="s">
        <v>1559</v>
      </c>
      <c r="BU100" s="284" t="s">
        <v>1691</v>
      </c>
      <c r="BV100" s="284" t="s">
        <v>27</v>
      </c>
      <c r="BW100" s="284" t="s">
        <v>27</v>
      </c>
    </row>
    <row r="101" spans="1:75" ht="15" customHeight="1" x14ac:dyDescent="0.25">
      <c r="A101" s="275" t="s">
        <v>43</v>
      </c>
      <c r="B101" s="276" t="s">
        <v>44</v>
      </c>
      <c r="D101" s="277">
        <v>43811</v>
      </c>
      <c r="E101" s="277">
        <v>44907</v>
      </c>
      <c r="F101" s="277">
        <v>43920</v>
      </c>
      <c r="H101" s="275" t="s">
        <v>32</v>
      </c>
      <c r="I101" s="275" t="s">
        <v>1473</v>
      </c>
      <c r="J101" s="286"/>
      <c r="K101" s="275" t="s">
        <v>45</v>
      </c>
      <c r="L101" s="275" t="s">
        <v>46</v>
      </c>
      <c r="M101" s="275" t="s">
        <v>47</v>
      </c>
      <c r="N101" s="275"/>
      <c r="O101" s="1">
        <v>7</v>
      </c>
      <c r="V101" s="1">
        <f t="shared" si="15"/>
        <v>7</v>
      </c>
      <c r="W101" s="1">
        <v>2</v>
      </c>
      <c r="X101" s="1">
        <v>4</v>
      </c>
      <c r="AE101" s="1">
        <f t="shared" si="16"/>
        <v>6</v>
      </c>
      <c r="AF101" s="1">
        <f t="shared" si="17"/>
        <v>-5</v>
      </c>
      <c r="AG101" s="1">
        <f t="shared" si="18"/>
        <v>4</v>
      </c>
      <c r="AH101" s="1">
        <f t="shared" si="19"/>
        <v>0</v>
      </c>
      <c r="AI101" s="1">
        <f t="shared" si="20"/>
        <v>0</v>
      </c>
      <c r="AJ101" s="1">
        <f t="shared" si="21"/>
        <v>0</v>
      </c>
      <c r="AK101" s="1">
        <f t="shared" si="22"/>
        <v>0</v>
      </c>
      <c r="AL101" s="1">
        <f t="shared" si="23"/>
        <v>0</v>
      </c>
      <c r="AM101" s="1">
        <f t="shared" si="24"/>
        <v>0</v>
      </c>
      <c r="AN101" s="278">
        <f t="shared" si="29"/>
        <v>-1</v>
      </c>
      <c r="AO101" s="279" t="s">
        <v>27</v>
      </c>
      <c r="AP101" s="280"/>
      <c r="AQ101" s="1">
        <v>-0.5</v>
      </c>
      <c r="AR101" s="1">
        <v>-0.5</v>
      </c>
      <c r="AU101" s="281"/>
      <c r="AZ101" s="281"/>
      <c r="BG101" s="282">
        <f t="shared" si="26"/>
        <v>-1</v>
      </c>
      <c r="BH101" s="282">
        <f t="shared" si="27"/>
        <v>-1</v>
      </c>
      <c r="BI101" s="283">
        <f t="shared" si="28"/>
        <v>-1</v>
      </c>
      <c r="BL101" s="1">
        <v>517598</v>
      </c>
      <c r="BM101" s="1">
        <v>169722</v>
      </c>
      <c r="BN101" s="1" t="s">
        <v>1600</v>
      </c>
      <c r="BO101" s="1" t="s">
        <v>1559</v>
      </c>
      <c r="BU101" s="284" t="s">
        <v>1691</v>
      </c>
      <c r="BV101" s="284" t="s">
        <v>27</v>
      </c>
      <c r="BW101" s="284" t="s">
        <v>27</v>
      </c>
    </row>
    <row r="102" spans="1:75" ht="15" customHeight="1" x14ac:dyDescent="0.25">
      <c r="A102" s="275" t="s">
        <v>43</v>
      </c>
      <c r="B102" s="276" t="s">
        <v>44</v>
      </c>
      <c r="D102" s="277">
        <v>43811</v>
      </c>
      <c r="E102" s="277">
        <v>44907</v>
      </c>
      <c r="F102" s="277">
        <v>43920</v>
      </c>
      <c r="H102" s="275" t="s">
        <v>32</v>
      </c>
      <c r="I102" s="275" t="s">
        <v>1473</v>
      </c>
      <c r="J102" s="286"/>
      <c r="K102" s="275" t="s">
        <v>45</v>
      </c>
      <c r="L102" s="275" t="s">
        <v>46</v>
      </c>
      <c r="M102" s="275" t="s">
        <v>47</v>
      </c>
      <c r="N102" s="275" t="s">
        <v>446</v>
      </c>
      <c r="O102" s="1">
        <v>0</v>
      </c>
      <c r="V102" s="1">
        <f t="shared" si="15"/>
        <v>0</v>
      </c>
      <c r="AE102" s="1">
        <f t="shared" si="16"/>
        <v>0</v>
      </c>
      <c r="AF102" s="1">
        <f t="shared" si="17"/>
        <v>0</v>
      </c>
      <c r="AG102" s="1">
        <f t="shared" si="18"/>
        <v>0</v>
      </c>
      <c r="AH102" s="1">
        <f t="shared" si="19"/>
        <v>0</v>
      </c>
      <c r="AI102" s="1">
        <f t="shared" si="20"/>
        <v>0</v>
      </c>
      <c r="AJ102" s="1">
        <f t="shared" si="21"/>
        <v>0</v>
      </c>
      <c r="AK102" s="1">
        <f t="shared" si="22"/>
        <v>0</v>
      </c>
      <c r="AL102" s="1">
        <f t="shared" si="23"/>
        <v>0</v>
      </c>
      <c r="AM102" s="1">
        <f t="shared" si="24"/>
        <v>0</v>
      </c>
      <c r="AN102" s="278">
        <f t="shared" si="29"/>
        <v>0</v>
      </c>
      <c r="AO102" s="279" t="s">
        <v>27</v>
      </c>
      <c r="AP102" s="280"/>
      <c r="AR102" s="1">
        <v>0</v>
      </c>
      <c r="AU102" s="281"/>
      <c r="AZ102" s="281"/>
      <c r="BG102" s="282">
        <f t="shared" si="26"/>
        <v>0</v>
      </c>
      <c r="BH102" s="282">
        <f t="shared" si="27"/>
        <v>0</v>
      </c>
      <c r="BI102" s="283">
        <f t="shared" si="28"/>
        <v>0</v>
      </c>
      <c r="BL102" s="1">
        <v>517598</v>
      </c>
      <c r="BM102" s="1">
        <v>169722</v>
      </c>
      <c r="BN102" s="1" t="s">
        <v>1600</v>
      </c>
      <c r="BO102" s="1" t="s">
        <v>1559</v>
      </c>
      <c r="BU102" s="284" t="s">
        <v>1691</v>
      </c>
      <c r="BV102" s="284" t="s">
        <v>27</v>
      </c>
      <c r="BW102" s="284" t="s">
        <v>27</v>
      </c>
    </row>
    <row r="103" spans="1:75" ht="15" customHeight="1" x14ac:dyDescent="0.25">
      <c r="A103" s="275" t="s">
        <v>769</v>
      </c>
      <c r="B103" s="276" t="s">
        <v>21</v>
      </c>
      <c r="D103" s="277">
        <v>43656</v>
      </c>
      <c r="E103" s="277">
        <v>44752</v>
      </c>
      <c r="F103" s="277">
        <v>43972</v>
      </c>
      <c r="H103" s="275" t="s">
        <v>32</v>
      </c>
      <c r="I103" s="275" t="s">
        <v>1473</v>
      </c>
      <c r="J103" s="286"/>
      <c r="K103" s="275" t="s">
        <v>770</v>
      </c>
      <c r="L103" s="275" t="s">
        <v>771</v>
      </c>
      <c r="M103" s="275" t="s">
        <v>772</v>
      </c>
      <c r="O103" s="1">
        <v>8</v>
      </c>
      <c r="P103" s="1">
        <v>2</v>
      </c>
      <c r="Q103" s="1">
        <v>4</v>
      </c>
      <c r="R103" s="1">
        <v>2</v>
      </c>
      <c r="V103" s="1">
        <f t="shared" si="15"/>
        <v>16</v>
      </c>
      <c r="W103" s="1">
        <v>7</v>
      </c>
      <c r="X103" s="1">
        <v>5</v>
      </c>
      <c r="Y103" s="1">
        <v>6</v>
      </c>
      <c r="AE103" s="1">
        <f t="shared" si="16"/>
        <v>18</v>
      </c>
      <c r="AF103" s="1">
        <f t="shared" si="17"/>
        <v>-1</v>
      </c>
      <c r="AG103" s="1">
        <f t="shared" si="18"/>
        <v>3</v>
      </c>
      <c r="AH103" s="1">
        <f t="shared" si="19"/>
        <v>2</v>
      </c>
      <c r="AI103" s="1">
        <f t="shared" si="20"/>
        <v>-2</v>
      </c>
      <c r="AJ103" s="1">
        <f t="shared" si="21"/>
        <v>0</v>
      </c>
      <c r="AK103" s="1">
        <f t="shared" si="22"/>
        <v>0</v>
      </c>
      <c r="AL103" s="1">
        <f t="shared" si="23"/>
        <v>0</v>
      </c>
      <c r="AM103" s="1">
        <f t="shared" si="24"/>
        <v>0</v>
      </c>
      <c r="AN103" s="278">
        <f t="shared" si="29"/>
        <v>2</v>
      </c>
      <c r="AP103" s="280"/>
      <c r="AQ103" s="1">
        <v>1</v>
      </c>
      <c r="AR103" s="1">
        <v>1</v>
      </c>
      <c r="AU103" s="281"/>
      <c r="AZ103" s="281"/>
      <c r="BG103" s="282">
        <f t="shared" si="26"/>
        <v>2</v>
      </c>
      <c r="BH103" s="282">
        <f t="shared" si="27"/>
        <v>2</v>
      </c>
      <c r="BI103" s="283">
        <f t="shared" si="28"/>
        <v>2</v>
      </c>
      <c r="BL103" s="1">
        <v>522473</v>
      </c>
      <c r="BM103" s="1">
        <v>178000</v>
      </c>
      <c r="BN103" s="1" t="s">
        <v>1599</v>
      </c>
      <c r="BO103" s="1" t="s">
        <v>1399</v>
      </c>
      <c r="BQ103" s="284" t="s">
        <v>1386</v>
      </c>
      <c r="BW103" s="284" t="s">
        <v>27</v>
      </c>
    </row>
    <row r="104" spans="1:75" ht="15" customHeight="1" x14ac:dyDescent="0.25">
      <c r="A104" s="275" t="s">
        <v>430</v>
      </c>
      <c r="B104" s="276" t="s">
        <v>49</v>
      </c>
      <c r="D104" s="277">
        <v>43455</v>
      </c>
      <c r="E104" s="277">
        <v>44551</v>
      </c>
      <c r="F104" s="277">
        <v>44075</v>
      </c>
      <c r="H104" s="275" t="s">
        <v>32</v>
      </c>
      <c r="I104" s="275" t="s">
        <v>1473</v>
      </c>
      <c r="J104" s="286"/>
      <c r="K104" s="275" t="s">
        <v>431</v>
      </c>
      <c r="L104" s="275" t="s">
        <v>432</v>
      </c>
      <c r="M104" s="275" t="s">
        <v>433</v>
      </c>
      <c r="O104" s="1">
        <v>1</v>
      </c>
      <c r="V104" s="1">
        <f t="shared" si="15"/>
        <v>1</v>
      </c>
      <c r="W104" s="1">
        <v>2</v>
      </c>
      <c r="AE104" s="1">
        <f t="shared" si="16"/>
        <v>2</v>
      </c>
      <c r="AF104" s="1">
        <f t="shared" si="17"/>
        <v>1</v>
      </c>
      <c r="AG104" s="1">
        <f t="shared" si="18"/>
        <v>0</v>
      </c>
      <c r="AH104" s="1">
        <f t="shared" si="19"/>
        <v>0</v>
      </c>
      <c r="AI104" s="1">
        <f t="shared" si="20"/>
        <v>0</v>
      </c>
      <c r="AJ104" s="1">
        <f t="shared" si="21"/>
        <v>0</v>
      </c>
      <c r="AK104" s="1">
        <f t="shared" si="22"/>
        <v>0</v>
      </c>
      <c r="AL104" s="1">
        <f t="shared" si="23"/>
        <v>0</v>
      </c>
      <c r="AM104" s="1">
        <f t="shared" si="24"/>
        <v>0</v>
      </c>
      <c r="AN104" s="278">
        <f t="shared" si="29"/>
        <v>1</v>
      </c>
      <c r="AP104" s="280"/>
      <c r="AQ104" s="1">
        <v>0.5</v>
      </c>
      <c r="AR104" s="1">
        <v>0.5</v>
      </c>
      <c r="AU104" s="281"/>
      <c r="AZ104" s="281"/>
      <c r="BG104" s="282">
        <f t="shared" si="26"/>
        <v>1</v>
      </c>
      <c r="BH104" s="282">
        <f t="shared" si="27"/>
        <v>1</v>
      </c>
      <c r="BI104" s="283">
        <f t="shared" si="28"/>
        <v>1</v>
      </c>
      <c r="BL104" s="1">
        <v>518862</v>
      </c>
      <c r="BM104" s="1">
        <v>175562</v>
      </c>
      <c r="BN104" s="1" t="s">
        <v>1385</v>
      </c>
      <c r="BO104" s="1" t="s">
        <v>1404</v>
      </c>
      <c r="BW104" s="284" t="s">
        <v>27</v>
      </c>
    </row>
    <row r="105" spans="1:75" ht="15" customHeight="1" x14ac:dyDescent="0.25">
      <c r="A105" s="275" t="s">
        <v>719</v>
      </c>
      <c r="B105" s="276" t="s">
        <v>21</v>
      </c>
      <c r="D105" s="277">
        <v>44020</v>
      </c>
      <c r="E105" s="277">
        <v>45115</v>
      </c>
      <c r="F105" s="277">
        <v>44082</v>
      </c>
      <c r="H105" s="275" t="s">
        <v>32</v>
      </c>
      <c r="I105" s="275" t="s">
        <v>1473</v>
      </c>
      <c r="J105" s="286"/>
      <c r="K105" s="275" t="s">
        <v>720</v>
      </c>
      <c r="L105" s="275" t="s">
        <v>721</v>
      </c>
      <c r="M105" s="275" t="s">
        <v>722</v>
      </c>
      <c r="V105" s="1">
        <f t="shared" si="15"/>
        <v>0</v>
      </c>
      <c r="X105" s="1">
        <v>1</v>
      </c>
      <c r="AE105" s="1">
        <f t="shared" si="16"/>
        <v>1</v>
      </c>
      <c r="AF105" s="1">
        <f t="shared" si="17"/>
        <v>0</v>
      </c>
      <c r="AG105" s="1">
        <f t="shared" si="18"/>
        <v>1</v>
      </c>
      <c r="AH105" s="1">
        <f t="shared" si="19"/>
        <v>0</v>
      </c>
      <c r="AI105" s="1">
        <f t="shared" si="20"/>
        <v>0</v>
      </c>
      <c r="AJ105" s="1">
        <f t="shared" si="21"/>
        <v>0</v>
      </c>
      <c r="AK105" s="1">
        <f t="shared" si="22"/>
        <v>0</v>
      </c>
      <c r="AL105" s="1">
        <f t="shared" si="23"/>
        <v>0</v>
      </c>
      <c r="AM105" s="1">
        <f t="shared" si="24"/>
        <v>0</v>
      </c>
      <c r="AN105" s="278">
        <f t="shared" si="29"/>
        <v>1</v>
      </c>
      <c r="AP105" s="280"/>
      <c r="AQ105" s="1">
        <v>0.5</v>
      </c>
      <c r="AR105" s="1">
        <v>0.5</v>
      </c>
      <c r="AU105" s="281"/>
      <c r="AZ105" s="281"/>
      <c r="BG105" s="282">
        <f t="shared" si="26"/>
        <v>1</v>
      </c>
      <c r="BH105" s="282">
        <f t="shared" si="27"/>
        <v>1</v>
      </c>
      <c r="BI105" s="283">
        <f t="shared" si="28"/>
        <v>1</v>
      </c>
      <c r="BL105" s="1">
        <v>521729</v>
      </c>
      <c r="BM105" s="1">
        <v>176011</v>
      </c>
      <c r="BN105" s="1" t="s">
        <v>1599</v>
      </c>
      <c r="BO105" s="1" t="s">
        <v>1562</v>
      </c>
      <c r="BU105" s="284" t="s">
        <v>1714</v>
      </c>
      <c r="BV105" s="284" t="s">
        <v>27</v>
      </c>
      <c r="BW105" s="284" t="s">
        <v>27</v>
      </c>
    </row>
    <row r="106" spans="1:75" ht="15" customHeight="1" x14ac:dyDescent="0.25">
      <c r="A106" s="275" t="s">
        <v>645</v>
      </c>
      <c r="B106" s="276" t="s">
        <v>44</v>
      </c>
      <c r="D106" s="277">
        <v>43910</v>
      </c>
      <c r="E106" s="277">
        <v>45005</v>
      </c>
      <c r="F106" s="277">
        <v>44105</v>
      </c>
      <c r="H106" s="275" t="s">
        <v>32</v>
      </c>
      <c r="I106" s="275" t="s">
        <v>1473</v>
      </c>
      <c r="J106" s="286"/>
      <c r="K106" s="275" t="s">
        <v>646</v>
      </c>
      <c r="L106" s="275" t="s">
        <v>647</v>
      </c>
      <c r="M106" s="275" t="s">
        <v>648</v>
      </c>
      <c r="Q106" s="1">
        <v>1</v>
      </c>
      <c r="V106" s="1">
        <f t="shared" si="15"/>
        <v>1</v>
      </c>
      <c r="X106" s="1">
        <v>2</v>
      </c>
      <c r="AE106" s="1">
        <f t="shared" si="16"/>
        <v>2</v>
      </c>
      <c r="AF106" s="1">
        <f t="shared" si="17"/>
        <v>0</v>
      </c>
      <c r="AG106" s="1">
        <f t="shared" si="18"/>
        <v>2</v>
      </c>
      <c r="AH106" s="1">
        <f t="shared" si="19"/>
        <v>-1</v>
      </c>
      <c r="AI106" s="1">
        <f t="shared" si="20"/>
        <v>0</v>
      </c>
      <c r="AJ106" s="1">
        <f t="shared" si="21"/>
        <v>0</v>
      </c>
      <c r="AK106" s="1">
        <f t="shared" si="22"/>
        <v>0</v>
      </c>
      <c r="AL106" s="1">
        <f t="shared" si="23"/>
        <v>0</v>
      </c>
      <c r="AM106" s="1">
        <f t="shared" si="24"/>
        <v>0</v>
      </c>
      <c r="AN106" s="278">
        <f t="shared" si="29"/>
        <v>1</v>
      </c>
      <c r="AP106" s="280"/>
      <c r="AQ106" s="1">
        <v>0.5</v>
      </c>
      <c r="AR106" s="1">
        <v>0.5</v>
      </c>
      <c r="AU106" s="281"/>
      <c r="AZ106" s="281"/>
      <c r="BG106" s="282">
        <f t="shared" si="26"/>
        <v>1</v>
      </c>
      <c r="BH106" s="282">
        <f t="shared" si="27"/>
        <v>1</v>
      </c>
      <c r="BI106" s="283">
        <f t="shared" si="28"/>
        <v>1</v>
      </c>
      <c r="BL106" s="1">
        <v>517949</v>
      </c>
      <c r="BM106" s="1">
        <v>174506</v>
      </c>
      <c r="BN106" s="1" t="s">
        <v>1385</v>
      </c>
      <c r="BO106" s="1" t="s">
        <v>1405</v>
      </c>
      <c r="BP106" s="284" t="s">
        <v>1385</v>
      </c>
      <c r="BU106" s="284" t="s">
        <v>1686</v>
      </c>
      <c r="BV106" s="284" t="s">
        <v>27</v>
      </c>
      <c r="BW106" s="284" t="s">
        <v>27</v>
      </c>
    </row>
    <row r="107" spans="1:75" ht="15" customHeight="1" x14ac:dyDescent="0.25">
      <c r="A107" s="275" t="s">
        <v>773</v>
      </c>
      <c r="B107" s="276" t="s">
        <v>21</v>
      </c>
      <c r="D107" s="277">
        <v>43594</v>
      </c>
      <c r="E107" s="277">
        <v>44690</v>
      </c>
      <c r="F107" s="277">
        <v>44155</v>
      </c>
      <c r="H107" s="275" t="s">
        <v>32</v>
      </c>
      <c r="I107" s="275" t="s">
        <v>1473</v>
      </c>
      <c r="J107" s="286"/>
      <c r="K107" s="275" t="s">
        <v>774</v>
      </c>
      <c r="L107" s="275" t="s">
        <v>775</v>
      </c>
      <c r="M107" s="275" t="s">
        <v>776</v>
      </c>
      <c r="O107" s="1">
        <v>1</v>
      </c>
      <c r="V107" s="1">
        <f t="shared" si="15"/>
        <v>1</v>
      </c>
      <c r="W107" s="1">
        <v>1</v>
      </c>
      <c r="AE107" s="1">
        <f t="shared" si="16"/>
        <v>1</v>
      </c>
      <c r="AF107" s="1">
        <f t="shared" si="17"/>
        <v>0</v>
      </c>
      <c r="AG107" s="1">
        <f t="shared" si="18"/>
        <v>0</v>
      </c>
      <c r="AH107" s="1">
        <f t="shared" si="19"/>
        <v>0</v>
      </c>
      <c r="AI107" s="1">
        <f t="shared" si="20"/>
        <v>0</v>
      </c>
      <c r="AJ107" s="1">
        <f t="shared" si="21"/>
        <v>0</v>
      </c>
      <c r="AK107" s="1">
        <f t="shared" si="22"/>
        <v>0</v>
      </c>
      <c r="AL107" s="1">
        <f t="shared" si="23"/>
        <v>0</v>
      </c>
      <c r="AM107" s="1">
        <f t="shared" si="24"/>
        <v>0</v>
      </c>
      <c r="AN107" s="278">
        <f t="shared" si="29"/>
        <v>0</v>
      </c>
      <c r="AP107" s="280"/>
      <c r="AQ107" s="1">
        <v>0</v>
      </c>
      <c r="AR107" s="1">
        <v>0</v>
      </c>
      <c r="AU107" s="281"/>
      <c r="AZ107" s="281"/>
      <c r="BG107" s="282">
        <f t="shared" si="26"/>
        <v>0</v>
      </c>
      <c r="BH107" s="282">
        <f t="shared" si="27"/>
        <v>0</v>
      </c>
      <c r="BI107" s="283">
        <f t="shared" si="28"/>
        <v>0</v>
      </c>
      <c r="BL107" s="1">
        <v>516414</v>
      </c>
      <c r="BM107" s="1">
        <v>173065</v>
      </c>
      <c r="BN107" s="1" t="s">
        <v>1389</v>
      </c>
      <c r="BO107" s="1" t="s">
        <v>1407</v>
      </c>
      <c r="BQ107" s="284" t="s">
        <v>1386</v>
      </c>
      <c r="BU107" s="284" t="s">
        <v>1689</v>
      </c>
      <c r="BV107" s="284" t="s">
        <v>27</v>
      </c>
      <c r="BW107" s="284" t="s">
        <v>27</v>
      </c>
    </row>
    <row r="108" spans="1:75" ht="15" customHeight="1" x14ac:dyDescent="0.25">
      <c r="A108" s="275" t="s">
        <v>683</v>
      </c>
      <c r="B108" s="276" t="s">
        <v>21</v>
      </c>
      <c r="D108" s="277">
        <v>43182</v>
      </c>
      <c r="E108" s="277">
        <v>44278</v>
      </c>
      <c r="F108" s="277">
        <v>44200</v>
      </c>
      <c r="H108" s="275" t="s">
        <v>32</v>
      </c>
      <c r="I108" s="275" t="s">
        <v>1473</v>
      </c>
      <c r="J108" s="286"/>
      <c r="K108" s="275" t="s">
        <v>684</v>
      </c>
      <c r="L108" s="275" t="s">
        <v>685</v>
      </c>
      <c r="M108" s="275" t="s">
        <v>686</v>
      </c>
      <c r="V108" s="1">
        <f t="shared" si="15"/>
        <v>0</v>
      </c>
      <c r="X108" s="1">
        <v>4</v>
      </c>
      <c r="AE108" s="1">
        <f t="shared" si="16"/>
        <v>4</v>
      </c>
      <c r="AF108" s="1">
        <f t="shared" si="17"/>
        <v>0</v>
      </c>
      <c r="AG108" s="1">
        <f t="shared" si="18"/>
        <v>4</v>
      </c>
      <c r="AH108" s="1">
        <f t="shared" si="19"/>
        <v>0</v>
      </c>
      <c r="AI108" s="1">
        <f t="shared" si="20"/>
        <v>0</v>
      </c>
      <c r="AJ108" s="1">
        <f t="shared" si="21"/>
        <v>0</v>
      </c>
      <c r="AK108" s="1">
        <f t="shared" si="22"/>
        <v>0</v>
      </c>
      <c r="AL108" s="1">
        <f t="shared" si="23"/>
        <v>0</v>
      </c>
      <c r="AM108" s="1">
        <f t="shared" si="24"/>
        <v>0</v>
      </c>
      <c r="AN108" s="278">
        <f t="shared" si="29"/>
        <v>4</v>
      </c>
      <c r="AP108" s="280"/>
      <c r="AQ108" s="1">
        <v>2</v>
      </c>
      <c r="AR108" s="1">
        <v>2</v>
      </c>
      <c r="AU108" s="281"/>
      <c r="AZ108" s="281"/>
      <c r="BG108" s="282">
        <f t="shared" si="26"/>
        <v>4</v>
      </c>
      <c r="BH108" s="282">
        <f t="shared" si="27"/>
        <v>4</v>
      </c>
      <c r="BI108" s="283">
        <f t="shared" si="28"/>
        <v>4</v>
      </c>
      <c r="BL108" s="1">
        <v>514687</v>
      </c>
      <c r="BM108" s="1">
        <v>171290</v>
      </c>
      <c r="BN108" s="1" t="s">
        <v>1600</v>
      </c>
      <c r="BO108" s="1" t="s">
        <v>1563</v>
      </c>
      <c r="BW108" s="284" t="s">
        <v>27</v>
      </c>
    </row>
    <row r="109" spans="1:75" ht="15" customHeight="1" x14ac:dyDescent="0.25">
      <c r="A109" s="275" t="s">
        <v>709</v>
      </c>
      <c r="B109" s="276" t="s">
        <v>21</v>
      </c>
      <c r="D109" s="277">
        <v>43108</v>
      </c>
      <c r="E109" s="277">
        <v>44204</v>
      </c>
      <c r="F109" s="277">
        <v>44203</v>
      </c>
      <c r="H109" s="275" t="s">
        <v>32</v>
      </c>
      <c r="I109" s="275" t="s">
        <v>1473</v>
      </c>
      <c r="J109" s="286"/>
      <c r="K109" s="275" t="s">
        <v>710</v>
      </c>
      <c r="L109" s="275" t="s">
        <v>711</v>
      </c>
      <c r="M109" s="275" t="s">
        <v>30</v>
      </c>
      <c r="V109" s="1">
        <f t="shared" si="15"/>
        <v>0</v>
      </c>
      <c r="Z109" s="1">
        <v>1</v>
      </c>
      <c r="AE109" s="1">
        <f t="shared" si="16"/>
        <v>1</v>
      </c>
      <c r="AF109" s="1">
        <f t="shared" si="17"/>
        <v>0</v>
      </c>
      <c r="AG109" s="1">
        <f t="shared" si="18"/>
        <v>0</v>
      </c>
      <c r="AH109" s="1">
        <f t="shared" si="19"/>
        <v>0</v>
      </c>
      <c r="AI109" s="1">
        <f t="shared" si="20"/>
        <v>1</v>
      </c>
      <c r="AJ109" s="1">
        <f t="shared" si="21"/>
        <v>0</v>
      </c>
      <c r="AK109" s="1">
        <f t="shared" si="22"/>
        <v>0</v>
      </c>
      <c r="AL109" s="1">
        <f t="shared" si="23"/>
        <v>0</v>
      </c>
      <c r="AM109" s="1">
        <f t="shared" si="24"/>
        <v>0</v>
      </c>
      <c r="AN109" s="278">
        <f t="shared" si="29"/>
        <v>1</v>
      </c>
      <c r="AP109" s="280"/>
      <c r="AQ109" s="1">
        <v>0.5</v>
      </c>
      <c r="AR109" s="1">
        <v>0.5</v>
      </c>
      <c r="AU109" s="281"/>
      <c r="AZ109" s="281"/>
      <c r="BG109" s="282">
        <f t="shared" si="26"/>
        <v>1</v>
      </c>
      <c r="BH109" s="282">
        <f t="shared" si="27"/>
        <v>1</v>
      </c>
      <c r="BI109" s="283">
        <f t="shared" si="28"/>
        <v>1</v>
      </c>
      <c r="BL109" s="1">
        <v>516399</v>
      </c>
      <c r="BM109" s="1">
        <v>171470</v>
      </c>
      <c r="BN109" s="1" t="s">
        <v>1600</v>
      </c>
      <c r="BO109" s="1" t="s">
        <v>1387</v>
      </c>
      <c r="BW109" s="284" t="s">
        <v>27</v>
      </c>
    </row>
    <row r="110" spans="1:75" ht="15" customHeight="1" x14ac:dyDescent="0.25">
      <c r="A110" s="275" t="s">
        <v>679</v>
      </c>
      <c r="B110" s="276" t="s">
        <v>224</v>
      </c>
      <c r="D110" s="277">
        <v>43125</v>
      </c>
      <c r="E110" s="277">
        <v>44221</v>
      </c>
      <c r="F110" s="277">
        <v>44216</v>
      </c>
      <c r="H110" s="275" t="s">
        <v>32</v>
      </c>
      <c r="I110" s="275" t="s">
        <v>1473</v>
      </c>
      <c r="J110" s="286"/>
      <c r="K110" s="275" t="s">
        <v>680</v>
      </c>
      <c r="L110" s="275" t="s">
        <v>681</v>
      </c>
      <c r="M110" s="275" t="s">
        <v>682</v>
      </c>
      <c r="V110" s="1">
        <f t="shared" si="15"/>
        <v>0</v>
      </c>
      <c r="W110" s="1">
        <v>1</v>
      </c>
      <c r="X110" s="1">
        <v>2</v>
      </c>
      <c r="AE110" s="1">
        <f t="shared" si="16"/>
        <v>3</v>
      </c>
      <c r="AF110" s="1">
        <f t="shared" si="17"/>
        <v>1</v>
      </c>
      <c r="AG110" s="1">
        <f t="shared" si="18"/>
        <v>2</v>
      </c>
      <c r="AH110" s="1">
        <f t="shared" si="19"/>
        <v>0</v>
      </c>
      <c r="AI110" s="1">
        <f t="shared" si="20"/>
        <v>0</v>
      </c>
      <c r="AJ110" s="1">
        <f t="shared" si="21"/>
        <v>0</v>
      </c>
      <c r="AK110" s="1">
        <f t="shared" si="22"/>
        <v>0</v>
      </c>
      <c r="AL110" s="1">
        <f t="shared" si="23"/>
        <v>0</v>
      </c>
      <c r="AM110" s="1">
        <f t="shared" si="24"/>
        <v>0</v>
      </c>
      <c r="AN110" s="278">
        <f t="shared" si="29"/>
        <v>3</v>
      </c>
      <c r="AP110" s="280"/>
      <c r="AQ110" s="1">
        <v>1.5</v>
      </c>
      <c r="AR110" s="1">
        <v>1.5</v>
      </c>
      <c r="AU110" s="281"/>
      <c r="AZ110" s="281"/>
      <c r="BG110" s="282">
        <f t="shared" si="26"/>
        <v>3</v>
      </c>
      <c r="BH110" s="282">
        <f t="shared" si="27"/>
        <v>3</v>
      </c>
      <c r="BI110" s="283">
        <f t="shared" si="28"/>
        <v>3</v>
      </c>
      <c r="BL110" s="1">
        <v>518831</v>
      </c>
      <c r="BM110" s="1">
        <v>175436</v>
      </c>
      <c r="BN110" s="1" t="s">
        <v>1385</v>
      </c>
      <c r="BO110" s="1" t="s">
        <v>1404</v>
      </c>
      <c r="BW110" s="284" t="s">
        <v>27</v>
      </c>
    </row>
    <row r="111" spans="1:75" ht="15" customHeight="1" x14ac:dyDescent="0.25">
      <c r="A111" s="275" t="s">
        <v>619</v>
      </c>
      <c r="B111" s="276" t="s">
        <v>21</v>
      </c>
      <c r="D111" s="277">
        <v>44032</v>
      </c>
      <c r="E111" s="277">
        <v>45127</v>
      </c>
      <c r="F111" s="277">
        <v>44228</v>
      </c>
      <c r="H111" s="275" t="s">
        <v>32</v>
      </c>
      <c r="I111" s="275" t="s">
        <v>1473</v>
      </c>
      <c r="J111" s="286"/>
      <c r="K111" s="275" t="s">
        <v>620</v>
      </c>
      <c r="L111" s="275" t="s">
        <v>621</v>
      </c>
      <c r="M111" s="275" t="s">
        <v>622</v>
      </c>
      <c r="T111" s="1">
        <v>1</v>
      </c>
      <c r="V111" s="1">
        <f t="shared" si="15"/>
        <v>1</v>
      </c>
      <c r="AA111" s="1">
        <v>1</v>
      </c>
      <c r="AE111" s="1">
        <f t="shared" si="16"/>
        <v>1</v>
      </c>
      <c r="AF111" s="1">
        <f t="shared" si="17"/>
        <v>0</v>
      </c>
      <c r="AG111" s="1">
        <f t="shared" si="18"/>
        <v>0</v>
      </c>
      <c r="AH111" s="1">
        <f t="shared" si="19"/>
        <v>0</v>
      </c>
      <c r="AI111" s="1">
        <f t="shared" si="20"/>
        <v>0</v>
      </c>
      <c r="AJ111" s="1">
        <f t="shared" si="21"/>
        <v>1</v>
      </c>
      <c r="AK111" s="1">
        <f t="shared" si="22"/>
        <v>-1</v>
      </c>
      <c r="AL111" s="1">
        <f t="shared" si="23"/>
        <v>0</v>
      </c>
      <c r="AM111" s="1">
        <f t="shared" si="24"/>
        <v>0</v>
      </c>
      <c r="AN111" s="278">
        <f t="shared" si="29"/>
        <v>0</v>
      </c>
      <c r="AP111" s="280"/>
      <c r="AQ111" s="1">
        <v>0</v>
      </c>
      <c r="AU111" s="281"/>
      <c r="AZ111" s="281"/>
      <c r="BG111" s="282">
        <f t="shared" si="26"/>
        <v>0</v>
      </c>
      <c r="BH111" s="282">
        <f t="shared" si="27"/>
        <v>0</v>
      </c>
      <c r="BI111" s="283">
        <f t="shared" si="28"/>
        <v>0</v>
      </c>
      <c r="BL111" s="1">
        <v>521978</v>
      </c>
      <c r="BM111" s="1">
        <v>176841</v>
      </c>
      <c r="BN111" s="1" t="s">
        <v>1599</v>
      </c>
      <c r="BO111" s="1" t="s">
        <v>1399</v>
      </c>
    </row>
    <row r="112" spans="1:75" ht="15" customHeight="1" x14ac:dyDescent="0.25">
      <c r="A112" s="275" t="s">
        <v>48</v>
      </c>
      <c r="B112" s="276" t="s">
        <v>49</v>
      </c>
      <c r="D112" s="277">
        <v>43661</v>
      </c>
      <c r="E112" s="277">
        <v>44757</v>
      </c>
      <c r="F112" s="277">
        <v>44249</v>
      </c>
      <c r="H112" s="275" t="s">
        <v>32</v>
      </c>
      <c r="I112" s="275" t="s">
        <v>50</v>
      </c>
      <c r="J112" s="286"/>
      <c r="K112" s="275" t="s">
        <v>51</v>
      </c>
      <c r="L112" s="275" t="s">
        <v>52</v>
      </c>
      <c r="M112" s="275" t="s">
        <v>53</v>
      </c>
      <c r="N112" s="1" t="s">
        <v>760</v>
      </c>
      <c r="V112" s="1">
        <f t="shared" si="15"/>
        <v>0</v>
      </c>
      <c r="W112" s="1">
        <v>7</v>
      </c>
      <c r="X112" s="1">
        <v>3</v>
      </c>
      <c r="Y112" s="1">
        <v>1</v>
      </c>
      <c r="AE112" s="1">
        <f t="shared" si="16"/>
        <v>11</v>
      </c>
      <c r="AF112" s="1">
        <f t="shared" si="17"/>
        <v>7</v>
      </c>
      <c r="AG112" s="1">
        <f t="shared" si="18"/>
        <v>3</v>
      </c>
      <c r="AH112" s="1">
        <f t="shared" si="19"/>
        <v>1</v>
      </c>
      <c r="AI112" s="1">
        <f t="shared" si="20"/>
        <v>0</v>
      </c>
      <c r="AJ112" s="1">
        <f t="shared" si="21"/>
        <v>0</v>
      </c>
      <c r="AK112" s="1">
        <f t="shared" si="22"/>
        <v>0</v>
      </c>
      <c r="AL112" s="1">
        <f t="shared" si="23"/>
        <v>0</v>
      </c>
      <c r="AM112" s="1">
        <f t="shared" si="24"/>
        <v>0</v>
      </c>
      <c r="AN112" s="278">
        <f t="shared" si="29"/>
        <v>11</v>
      </c>
      <c r="AO112" s="279" t="s">
        <v>27</v>
      </c>
      <c r="AP112" s="280"/>
      <c r="AR112" s="1">
        <v>11</v>
      </c>
      <c r="AU112" s="281"/>
      <c r="AZ112" s="281"/>
      <c r="BG112" s="282">
        <f t="shared" si="26"/>
        <v>11</v>
      </c>
      <c r="BH112" s="282">
        <f t="shared" si="27"/>
        <v>11</v>
      </c>
      <c r="BI112" s="283">
        <f t="shared" si="28"/>
        <v>11</v>
      </c>
      <c r="BL112" s="1">
        <v>518144</v>
      </c>
      <c r="BM112" s="1">
        <v>175553</v>
      </c>
      <c r="BN112" s="1" t="s">
        <v>1385</v>
      </c>
      <c r="BO112" s="1" t="s">
        <v>1404</v>
      </c>
      <c r="BU112" s="284" t="s">
        <v>1715</v>
      </c>
      <c r="BV112" s="284" t="s">
        <v>27</v>
      </c>
      <c r="BW112" s="284" t="s">
        <v>27</v>
      </c>
    </row>
    <row r="113" spans="1:76" ht="15" customHeight="1" x14ac:dyDescent="0.25">
      <c r="A113" s="275" t="s">
        <v>48</v>
      </c>
      <c r="B113" s="276" t="s">
        <v>49</v>
      </c>
      <c r="D113" s="277">
        <v>43661</v>
      </c>
      <c r="E113" s="277">
        <v>44757</v>
      </c>
      <c r="F113" s="277">
        <v>44249</v>
      </c>
      <c r="H113" s="275" t="s">
        <v>32</v>
      </c>
      <c r="I113" s="275" t="s">
        <v>36</v>
      </c>
      <c r="J113" s="286"/>
      <c r="K113" s="275" t="s">
        <v>51</v>
      </c>
      <c r="L113" s="275" t="s">
        <v>52</v>
      </c>
      <c r="M113" s="275" t="s">
        <v>53</v>
      </c>
      <c r="N113" s="1" t="s">
        <v>760</v>
      </c>
      <c r="V113" s="1">
        <f t="shared" si="15"/>
        <v>0</v>
      </c>
      <c r="W113" s="1">
        <v>4</v>
      </c>
      <c r="AE113" s="1">
        <f t="shared" si="16"/>
        <v>4</v>
      </c>
      <c r="AF113" s="1">
        <f t="shared" si="17"/>
        <v>4</v>
      </c>
      <c r="AG113" s="1">
        <f t="shared" si="18"/>
        <v>0</v>
      </c>
      <c r="AH113" s="1">
        <f t="shared" si="19"/>
        <v>0</v>
      </c>
      <c r="AI113" s="1">
        <f t="shared" si="20"/>
        <v>0</v>
      </c>
      <c r="AJ113" s="1">
        <f t="shared" si="21"/>
        <v>0</v>
      </c>
      <c r="AK113" s="1">
        <f t="shared" si="22"/>
        <v>0</v>
      </c>
      <c r="AL113" s="1">
        <f t="shared" si="23"/>
        <v>0</v>
      </c>
      <c r="AM113" s="1">
        <f t="shared" si="24"/>
        <v>0</v>
      </c>
      <c r="AN113" s="278">
        <f t="shared" si="29"/>
        <v>4</v>
      </c>
      <c r="AO113" s="279" t="s">
        <v>27</v>
      </c>
      <c r="AP113" s="280"/>
      <c r="AR113" s="1">
        <v>4</v>
      </c>
      <c r="AU113" s="281"/>
      <c r="AZ113" s="281"/>
      <c r="BG113" s="282">
        <f t="shared" si="26"/>
        <v>4</v>
      </c>
      <c r="BH113" s="282">
        <f t="shared" si="27"/>
        <v>4</v>
      </c>
      <c r="BI113" s="283">
        <f t="shared" si="28"/>
        <v>4</v>
      </c>
      <c r="BL113" s="1">
        <v>518144</v>
      </c>
      <c r="BM113" s="1">
        <v>175553</v>
      </c>
      <c r="BN113" s="1" t="s">
        <v>1385</v>
      </c>
      <c r="BO113" s="1" t="s">
        <v>1404</v>
      </c>
      <c r="BU113" s="284" t="s">
        <v>1715</v>
      </c>
      <c r="BV113" s="284" t="s">
        <v>27</v>
      </c>
      <c r="BW113" s="284" t="s">
        <v>27</v>
      </c>
      <c r="BX113" s="1" t="s">
        <v>27</v>
      </c>
    </row>
    <row r="114" spans="1:76" ht="15" customHeight="1" x14ac:dyDescent="0.25">
      <c r="A114" s="275" t="s">
        <v>48</v>
      </c>
      <c r="B114" s="276" t="s">
        <v>49</v>
      </c>
      <c r="D114" s="277">
        <v>43661</v>
      </c>
      <c r="E114" s="277">
        <v>44757</v>
      </c>
      <c r="F114" s="277">
        <v>44249</v>
      </c>
      <c r="H114" s="275" t="s">
        <v>32</v>
      </c>
      <c r="I114" s="275" t="s">
        <v>1473</v>
      </c>
      <c r="J114" s="286"/>
      <c r="K114" s="275" t="s">
        <v>51</v>
      </c>
      <c r="L114" s="275" t="s">
        <v>52</v>
      </c>
      <c r="M114" s="275" t="s">
        <v>53</v>
      </c>
      <c r="V114" s="1">
        <f t="shared" si="15"/>
        <v>0</v>
      </c>
      <c r="W114" s="1">
        <v>22</v>
      </c>
      <c r="X114" s="1">
        <v>30</v>
      </c>
      <c r="Y114" s="1">
        <v>2</v>
      </c>
      <c r="Z114" s="1">
        <v>2</v>
      </c>
      <c r="AE114" s="1">
        <f t="shared" si="16"/>
        <v>56</v>
      </c>
      <c r="AF114" s="1">
        <f t="shared" si="17"/>
        <v>22</v>
      </c>
      <c r="AG114" s="1">
        <f t="shared" si="18"/>
        <v>30</v>
      </c>
      <c r="AH114" s="1">
        <f t="shared" si="19"/>
        <v>2</v>
      </c>
      <c r="AI114" s="1">
        <f t="shared" si="20"/>
        <v>2</v>
      </c>
      <c r="AJ114" s="1">
        <f t="shared" si="21"/>
        <v>0</v>
      </c>
      <c r="AK114" s="1">
        <f t="shared" si="22"/>
        <v>0</v>
      </c>
      <c r="AL114" s="1">
        <f t="shared" si="23"/>
        <v>0</v>
      </c>
      <c r="AM114" s="1">
        <f t="shared" si="24"/>
        <v>0</v>
      </c>
      <c r="AN114" s="278">
        <f t="shared" si="29"/>
        <v>56</v>
      </c>
      <c r="AO114" s="279" t="s">
        <v>27</v>
      </c>
      <c r="AP114" s="280"/>
      <c r="AR114" s="1">
        <v>56</v>
      </c>
      <c r="AU114" s="281"/>
      <c r="AZ114" s="281"/>
      <c r="BG114" s="282">
        <f t="shared" si="26"/>
        <v>56</v>
      </c>
      <c r="BH114" s="282">
        <f t="shared" si="27"/>
        <v>56</v>
      </c>
      <c r="BI114" s="283">
        <f t="shared" si="28"/>
        <v>56</v>
      </c>
      <c r="BL114" s="1">
        <v>518144</v>
      </c>
      <c r="BM114" s="1">
        <v>175553</v>
      </c>
      <c r="BN114" s="1" t="s">
        <v>1385</v>
      </c>
      <c r="BO114" s="1" t="s">
        <v>1404</v>
      </c>
      <c r="BU114" s="284" t="s">
        <v>1715</v>
      </c>
      <c r="BV114" s="284" t="s">
        <v>27</v>
      </c>
      <c r="BW114" s="284" t="s">
        <v>27</v>
      </c>
      <c r="BX114" s="1" t="s">
        <v>27</v>
      </c>
    </row>
    <row r="115" spans="1:76" ht="15" customHeight="1" x14ac:dyDescent="0.25">
      <c r="A115" s="275" t="s">
        <v>607</v>
      </c>
      <c r="B115" s="276" t="s">
        <v>144</v>
      </c>
      <c r="D115" s="277">
        <v>44242</v>
      </c>
      <c r="E115" s="277">
        <v>45337</v>
      </c>
      <c r="F115" s="277">
        <v>44256</v>
      </c>
      <c r="H115" s="275" t="s">
        <v>32</v>
      </c>
      <c r="I115" s="275" t="s">
        <v>1473</v>
      </c>
      <c r="J115" s="286"/>
      <c r="K115" s="275" t="s">
        <v>608</v>
      </c>
      <c r="L115" s="275" t="s">
        <v>609</v>
      </c>
      <c r="M115" s="275" t="s">
        <v>610</v>
      </c>
      <c r="T115" s="1">
        <v>1</v>
      </c>
      <c r="V115" s="1">
        <f t="shared" si="15"/>
        <v>1</v>
      </c>
      <c r="X115" s="1">
        <v>1</v>
      </c>
      <c r="Y115" s="1">
        <v>1</v>
      </c>
      <c r="AE115" s="1">
        <f t="shared" si="16"/>
        <v>2</v>
      </c>
      <c r="AF115" s="1">
        <f t="shared" si="17"/>
        <v>0</v>
      </c>
      <c r="AG115" s="1">
        <f t="shared" si="18"/>
        <v>1</v>
      </c>
      <c r="AH115" s="1">
        <f t="shared" si="19"/>
        <v>1</v>
      </c>
      <c r="AI115" s="1">
        <f t="shared" si="20"/>
        <v>0</v>
      </c>
      <c r="AJ115" s="1">
        <f t="shared" si="21"/>
        <v>0</v>
      </c>
      <c r="AK115" s="1">
        <f t="shared" si="22"/>
        <v>-1</v>
      </c>
      <c r="AL115" s="1">
        <f t="shared" si="23"/>
        <v>0</v>
      </c>
      <c r="AM115" s="1">
        <f t="shared" si="24"/>
        <v>0</v>
      </c>
      <c r="AN115" s="278">
        <f t="shared" si="29"/>
        <v>1</v>
      </c>
      <c r="AP115" s="280"/>
      <c r="AQ115" s="1">
        <v>0.5</v>
      </c>
      <c r="AR115" s="1">
        <v>0.5</v>
      </c>
      <c r="AU115" s="281"/>
      <c r="AZ115" s="281"/>
      <c r="BG115" s="282">
        <f t="shared" si="26"/>
        <v>1</v>
      </c>
      <c r="BH115" s="282">
        <f t="shared" si="27"/>
        <v>1</v>
      </c>
      <c r="BI115" s="283">
        <f t="shared" si="28"/>
        <v>1</v>
      </c>
      <c r="BL115" s="1">
        <v>513178</v>
      </c>
      <c r="BM115" s="1">
        <v>170142</v>
      </c>
      <c r="BN115" s="1" t="s">
        <v>1600</v>
      </c>
      <c r="BO115" s="1" t="s">
        <v>1400</v>
      </c>
      <c r="BW115" s="284" t="s">
        <v>27</v>
      </c>
    </row>
    <row r="116" spans="1:76" ht="15" customHeight="1" x14ac:dyDescent="0.25">
      <c r="A116" s="275" t="s">
        <v>749</v>
      </c>
      <c r="B116" s="276" t="s">
        <v>21</v>
      </c>
      <c r="D116" s="277">
        <v>43215</v>
      </c>
      <c r="E116" s="277">
        <v>44311</v>
      </c>
      <c r="F116" s="277">
        <v>44270</v>
      </c>
      <c r="H116" s="275" t="s">
        <v>32</v>
      </c>
      <c r="I116" s="275" t="s">
        <v>1473</v>
      </c>
      <c r="J116" s="286"/>
      <c r="K116" s="275" t="s">
        <v>750</v>
      </c>
      <c r="L116" s="275" t="s">
        <v>751</v>
      </c>
      <c r="M116" s="275" t="s">
        <v>752</v>
      </c>
      <c r="V116" s="1">
        <f t="shared" si="15"/>
        <v>0</v>
      </c>
      <c r="Y116" s="1">
        <v>1</v>
      </c>
      <c r="AE116" s="1">
        <f t="shared" si="16"/>
        <v>1</v>
      </c>
      <c r="AF116" s="1">
        <f t="shared" si="17"/>
        <v>0</v>
      </c>
      <c r="AG116" s="1">
        <f t="shared" si="18"/>
        <v>0</v>
      </c>
      <c r="AH116" s="1">
        <f t="shared" si="19"/>
        <v>1</v>
      </c>
      <c r="AI116" s="1">
        <f t="shared" si="20"/>
        <v>0</v>
      </c>
      <c r="AJ116" s="1">
        <f t="shared" si="21"/>
        <v>0</v>
      </c>
      <c r="AK116" s="1">
        <f t="shared" si="22"/>
        <v>0</v>
      </c>
      <c r="AL116" s="1">
        <f t="shared" si="23"/>
        <v>0</v>
      </c>
      <c r="AM116" s="1">
        <f t="shared" si="24"/>
        <v>0</v>
      </c>
      <c r="AN116" s="278">
        <f t="shared" si="29"/>
        <v>1</v>
      </c>
      <c r="AP116" s="280"/>
      <c r="AQ116" s="1">
        <v>1</v>
      </c>
      <c r="AU116" s="281"/>
      <c r="AZ116" s="281"/>
      <c r="BG116" s="282">
        <f t="shared" si="26"/>
        <v>1</v>
      </c>
      <c r="BH116" s="282">
        <f t="shared" si="27"/>
        <v>1</v>
      </c>
      <c r="BI116" s="283">
        <f t="shared" si="28"/>
        <v>1</v>
      </c>
      <c r="BL116" s="1">
        <v>517808</v>
      </c>
      <c r="BM116" s="1">
        <v>173353</v>
      </c>
      <c r="BN116" s="1" t="s">
        <v>1601</v>
      </c>
      <c r="BO116" s="1" t="s">
        <v>1560</v>
      </c>
      <c r="BQ116" s="284" t="s">
        <v>1386</v>
      </c>
      <c r="BT116" s="284" t="s">
        <v>1716</v>
      </c>
      <c r="BU116" s="284" t="s">
        <v>1717</v>
      </c>
      <c r="BV116" s="284" t="s">
        <v>27</v>
      </c>
    </row>
    <row r="117" spans="1:76" ht="15" customHeight="1" x14ac:dyDescent="0.25">
      <c r="A117" s="275" t="s">
        <v>59</v>
      </c>
      <c r="B117" s="276" t="s">
        <v>21</v>
      </c>
      <c r="D117" s="277">
        <v>43690</v>
      </c>
      <c r="E117" s="277">
        <v>44786</v>
      </c>
      <c r="F117" s="277">
        <v>44286</v>
      </c>
      <c r="G117" s="277">
        <v>45125</v>
      </c>
      <c r="H117" s="275" t="s">
        <v>32</v>
      </c>
      <c r="I117" s="275" t="s">
        <v>23</v>
      </c>
      <c r="J117" s="286"/>
      <c r="K117" s="275" t="s">
        <v>60</v>
      </c>
      <c r="L117" s="275" t="s">
        <v>61</v>
      </c>
      <c r="M117" s="275" t="s">
        <v>30</v>
      </c>
      <c r="V117" s="1">
        <f t="shared" si="15"/>
        <v>0</v>
      </c>
      <c r="Z117" s="1">
        <v>2</v>
      </c>
      <c r="AE117" s="1">
        <f t="shared" si="16"/>
        <v>2</v>
      </c>
      <c r="AF117" s="1">
        <f t="shared" si="17"/>
        <v>0</v>
      </c>
      <c r="AG117" s="1">
        <f t="shared" si="18"/>
        <v>0</v>
      </c>
      <c r="AH117" s="1">
        <f t="shared" si="19"/>
        <v>0</v>
      </c>
      <c r="AI117" s="1">
        <f t="shared" si="20"/>
        <v>2</v>
      </c>
      <c r="AJ117" s="1">
        <f t="shared" si="21"/>
        <v>0</v>
      </c>
      <c r="AK117" s="1">
        <f t="shared" si="22"/>
        <v>0</v>
      </c>
      <c r="AL117" s="1">
        <f t="shared" si="23"/>
        <v>0</v>
      </c>
      <c r="AM117" s="1">
        <f t="shared" si="24"/>
        <v>0</v>
      </c>
      <c r="AN117" s="278">
        <f t="shared" si="29"/>
        <v>2</v>
      </c>
      <c r="AP117" s="280"/>
      <c r="AQ117" s="1">
        <v>2</v>
      </c>
      <c r="AU117" s="281"/>
      <c r="AZ117" s="281"/>
      <c r="BG117" s="282">
        <f t="shared" si="26"/>
        <v>2</v>
      </c>
      <c r="BH117" s="282">
        <f t="shared" si="27"/>
        <v>2</v>
      </c>
      <c r="BI117" s="283">
        <f t="shared" si="28"/>
        <v>2</v>
      </c>
      <c r="BL117" s="1">
        <v>517351</v>
      </c>
      <c r="BM117" s="1">
        <v>170884</v>
      </c>
      <c r="BN117" s="1" t="s">
        <v>1600</v>
      </c>
      <c r="BO117" s="1" t="s">
        <v>1559</v>
      </c>
      <c r="BW117" s="284" t="s">
        <v>27</v>
      </c>
    </row>
    <row r="118" spans="1:76" ht="15" customHeight="1" x14ac:dyDescent="0.25">
      <c r="A118" s="275" t="s">
        <v>793</v>
      </c>
      <c r="B118" s="276" t="s">
        <v>49</v>
      </c>
      <c r="C118" s="1" t="s">
        <v>1262</v>
      </c>
      <c r="D118" s="277">
        <v>43005</v>
      </c>
      <c r="E118" s="277">
        <v>44354</v>
      </c>
      <c r="F118" s="277">
        <v>44286</v>
      </c>
      <c r="H118" s="275" t="s">
        <v>32</v>
      </c>
      <c r="I118" s="275" t="s">
        <v>1473</v>
      </c>
      <c r="J118" s="286"/>
      <c r="K118" s="275" t="s">
        <v>794</v>
      </c>
      <c r="L118" s="275" t="s">
        <v>795</v>
      </c>
      <c r="M118" s="275" t="s">
        <v>792</v>
      </c>
      <c r="V118" s="1">
        <f t="shared" si="15"/>
        <v>0</v>
      </c>
      <c r="W118" s="1">
        <v>1</v>
      </c>
      <c r="AE118" s="1">
        <f t="shared" si="16"/>
        <v>1</v>
      </c>
      <c r="AF118" s="1">
        <f t="shared" si="17"/>
        <v>1</v>
      </c>
      <c r="AG118" s="1">
        <f t="shared" si="18"/>
        <v>0</v>
      </c>
      <c r="AH118" s="1">
        <f t="shared" si="19"/>
        <v>0</v>
      </c>
      <c r="AI118" s="1">
        <f t="shared" si="20"/>
        <v>0</v>
      </c>
      <c r="AJ118" s="1">
        <f t="shared" si="21"/>
        <v>0</v>
      </c>
      <c r="AK118" s="1">
        <f t="shared" si="22"/>
        <v>0</v>
      </c>
      <c r="AL118" s="1">
        <f t="shared" si="23"/>
        <v>0</v>
      </c>
      <c r="AM118" s="1">
        <f t="shared" si="24"/>
        <v>0</v>
      </c>
      <c r="AN118" s="278">
        <f t="shared" si="29"/>
        <v>1</v>
      </c>
      <c r="AP118" s="280"/>
      <c r="AQ118" s="1">
        <v>0.5</v>
      </c>
      <c r="AR118" s="1">
        <v>0.5</v>
      </c>
      <c r="AU118" s="281"/>
      <c r="AZ118" s="281"/>
      <c r="BG118" s="282">
        <f t="shared" si="26"/>
        <v>1</v>
      </c>
      <c r="BH118" s="282">
        <f t="shared" si="27"/>
        <v>1</v>
      </c>
      <c r="BI118" s="283">
        <f t="shared" si="28"/>
        <v>1</v>
      </c>
      <c r="BL118" s="1">
        <v>516215</v>
      </c>
      <c r="BM118" s="1">
        <v>171077</v>
      </c>
      <c r="BN118" s="1" t="s">
        <v>1600</v>
      </c>
      <c r="BO118" s="1" t="s">
        <v>1387</v>
      </c>
      <c r="BP118" s="284" t="s">
        <v>1387</v>
      </c>
      <c r="BW118" s="284" t="s">
        <v>27</v>
      </c>
    </row>
    <row r="119" spans="1:76" ht="15" customHeight="1" x14ac:dyDescent="0.25">
      <c r="A119" s="275" t="s">
        <v>796</v>
      </c>
      <c r="B119" s="276" t="s">
        <v>49</v>
      </c>
      <c r="C119" s="1" t="s">
        <v>1262</v>
      </c>
      <c r="D119" s="277">
        <v>43005</v>
      </c>
      <c r="E119" s="277">
        <v>44354</v>
      </c>
      <c r="F119" s="277">
        <v>44286</v>
      </c>
      <c r="H119" s="275" t="s">
        <v>32</v>
      </c>
      <c r="I119" s="275" t="s">
        <v>1473</v>
      </c>
      <c r="J119" s="286"/>
      <c r="K119" s="275" t="s">
        <v>797</v>
      </c>
      <c r="L119" s="275" t="s">
        <v>798</v>
      </c>
      <c r="M119" s="275" t="s">
        <v>792</v>
      </c>
      <c r="V119" s="1">
        <f t="shared" si="15"/>
        <v>0</v>
      </c>
      <c r="W119" s="1">
        <v>2</v>
      </c>
      <c r="AE119" s="1">
        <f t="shared" si="16"/>
        <v>2</v>
      </c>
      <c r="AF119" s="1">
        <f t="shared" si="17"/>
        <v>2</v>
      </c>
      <c r="AG119" s="1">
        <f t="shared" si="18"/>
        <v>0</v>
      </c>
      <c r="AH119" s="1">
        <f t="shared" si="19"/>
        <v>0</v>
      </c>
      <c r="AI119" s="1">
        <f t="shared" si="20"/>
        <v>0</v>
      </c>
      <c r="AJ119" s="1">
        <f t="shared" si="21"/>
        <v>0</v>
      </c>
      <c r="AK119" s="1">
        <f t="shared" si="22"/>
        <v>0</v>
      </c>
      <c r="AL119" s="1">
        <f t="shared" si="23"/>
        <v>0</v>
      </c>
      <c r="AM119" s="1">
        <f t="shared" si="24"/>
        <v>0</v>
      </c>
      <c r="AN119" s="278">
        <f t="shared" si="29"/>
        <v>2</v>
      </c>
      <c r="AP119" s="280"/>
      <c r="AQ119" s="1">
        <v>1</v>
      </c>
      <c r="AR119" s="1">
        <v>1</v>
      </c>
      <c r="AU119" s="281"/>
      <c r="AZ119" s="281"/>
      <c r="BG119" s="282">
        <f t="shared" si="26"/>
        <v>2</v>
      </c>
      <c r="BH119" s="282">
        <f t="shared" si="27"/>
        <v>2</v>
      </c>
      <c r="BI119" s="283">
        <f t="shared" si="28"/>
        <v>2</v>
      </c>
      <c r="BL119" s="1">
        <v>516224</v>
      </c>
      <c r="BM119" s="1">
        <v>171078</v>
      </c>
      <c r="BN119" s="1" t="s">
        <v>1600</v>
      </c>
      <c r="BO119" s="1" t="s">
        <v>1387</v>
      </c>
      <c r="BP119" s="284" t="s">
        <v>1387</v>
      </c>
      <c r="BW119" s="284" t="s">
        <v>27</v>
      </c>
    </row>
    <row r="120" spans="1:76" ht="15" customHeight="1" x14ac:dyDescent="0.25">
      <c r="A120" s="275" t="s">
        <v>637</v>
      </c>
      <c r="B120" s="276" t="s">
        <v>21</v>
      </c>
      <c r="D120" s="277">
        <v>43992</v>
      </c>
      <c r="E120" s="277">
        <v>45087</v>
      </c>
      <c r="F120" s="277">
        <v>44286</v>
      </c>
      <c r="H120" s="275" t="s">
        <v>32</v>
      </c>
      <c r="I120" s="275" t="s">
        <v>1473</v>
      </c>
      <c r="J120" s="286"/>
      <c r="K120" s="275" t="s">
        <v>638</v>
      </c>
      <c r="L120" s="275" t="s">
        <v>639</v>
      </c>
      <c r="M120" s="275" t="s">
        <v>640</v>
      </c>
      <c r="P120" s="1">
        <v>1</v>
      </c>
      <c r="V120" s="1">
        <f t="shared" si="15"/>
        <v>1</v>
      </c>
      <c r="AA120" s="1">
        <v>2</v>
      </c>
      <c r="AE120" s="1">
        <f t="shared" si="16"/>
        <v>2</v>
      </c>
      <c r="AF120" s="1">
        <f t="shared" si="17"/>
        <v>0</v>
      </c>
      <c r="AG120" s="1">
        <f t="shared" si="18"/>
        <v>-1</v>
      </c>
      <c r="AH120" s="1">
        <f t="shared" si="19"/>
        <v>0</v>
      </c>
      <c r="AI120" s="1">
        <f t="shared" si="20"/>
        <v>0</v>
      </c>
      <c r="AJ120" s="1">
        <f t="shared" si="21"/>
        <v>2</v>
      </c>
      <c r="AK120" s="1">
        <f t="shared" si="22"/>
        <v>0</v>
      </c>
      <c r="AL120" s="1">
        <f t="shared" si="23"/>
        <v>0</v>
      </c>
      <c r="AM120" s="1">
        <f t="shared" si="24"/>
        <v>0</v>
      </c>
      <c r="AN120" s="278">
        <f t="shared" si="29"/>
        <v>1</v>
      </c>
      <c r="AP120" s="280"/>
      <c r="AQ120" s="1">
        <v>1</v>
      </c>
      <c r="AU120" s="281"/>
      <c r="AZ120" s="281"/>
      <c r="BG120" s="282">
        <f t="shared" si="26"/>
        <v>1</v>
      </c>
      <c r="BH120" s="282">
        <f t="shared" si="27"/>
        <v>1</v>
      </c>
      <c r="BI120" s="283">
        <f t="shared" si="28"/>
        <v>1</v>
      </c>
      <c r="BL120" s="1">
        <v>514203</v>
      </c>
      <c r="BM120" s="1">
        <v>169911</v>
      </c>
      <c r="BN120" s="1" t="s">
        <v>1600</v>
      </c>
      <c r="BO120" s="1" t="s">
        <v>1400</v>
      </c>
      <c r="BU120" s="284" t="s">
        <v>1693</v>
      </c>
      <c r="BV120" s="284" t="s">
        <v>27</v>
      </c>
    </row>
    <row r="121" spans="1:76" ht="15" customHeight="1" x14ac:dyDescent="0.25">
      <c r="A121" s="275" t="s">
        <v>757</v>
      </c>
      <c r="B121" s="276" t="s">
        <v>44</v>
      </c>
      <c r="D121" s="277">
        <v>42983</v>
      </c>
      <c r="E121" s="277">
        <v>44079</v>
      </c>
      <c r="F121" s="277">
        <v>44312</v>
      </c>
      <c r="H121" s="275" t="s">
        <v>32</v>
      </c>
      <c r="I121" s="275" t="s">
        <v>1473</v>
      </c>
      <c r="J121" s="286"/>
      <c r="K121" s="275" t="s">
        <v>1603</v>
      </c>
      <c r="L121" s="275" t="s">
        <v>758</v>
      </c>
      <c r="M121" s="275" t="s">
        <v>759</v>
      </c>
      <c r="V121" s="1">
        <f t="shared" si="15"/>
        <v>0</v>
      </c>
      <c r="W121" s="1">
        <v>4</v>
      </c>
      <c r="X121" s="1">
        <v>12</v>
      </c>
      <c r="Y121" s="1">
        <v>10</v>
      </c>
      <c r="Z121" s="1">
        <v>2</v>
      </c>
      <c r="AE121" s="1">
        <f t="shared" si="16"/>
        <v>28</v>
      </c>
      <c r="AF121" s="1">
        <f t="shared" si="17"/>
        <v>4</v>
      </c>
      <c r="AG121" s="1">
        <f t="shared" si="18"/>
        <v>12</v>
      </c>
      <c r="AH121" s="1">
        <f t="shared" si="19"/>
        <v>10</v>
      </c>
      <c r="AI121" s="1">
        <f t="shared" si="20"/>
        <v>2</v>
      </c>
      <c r="AJ121" s="1">
        <f t="shared" si="21"/>
        <v>0</v>
      </c>
      <c r="AK121" s="1">
        <f t="shared" si="22"/>
        <v>0</v>
      </c>
      <c r="AL121" s="1">
        <f t="shared" si="23"/>
        <v>0</v>
      </c>
      <c r="AM121" s="1">
        <f t="shared" si="24"/>
        <v>0</v>
      </c>
      <c r="AO121" s="279" t="s">
        <v>27</v>
      </c>
      <c r="AP121" s="280"/>
      <c r="AU121" s="281"/>
      <c r="AZ121" s="281"/>
      <c r="BG121" s="282">
        <f t="shared" si="26"/>
        <v>0</v>
      </c>
      <c r="BH121" s="282">
        <f t="shared" si="27"/>
        <v>0</v>
      </c>
      <c r="BI121" s="283">
        <f t="shared" si="28"/>
        <v>0</v>
      </c>
      <c r="BL121" s="1">
        <v>513766</v>
      </c>
      <c r="BM121" s="1">
        <v>169736</v>
      </c>
      <c r="BN121" s="1" t="s">
        <v>1600</v>
      </c>
      <c r="BO121" s="1" t="s">
        <v>1400</v>
      </c>
      <c r="BR121" s="284" t="s">
        <v>1718</v>
      </c>
      <c r="BS121" s="284" t="s">
        <v>27</v>
      </c>
      <c r="BU121" s="284" t="s">
        <v>1693</v>
      </c>
      <c r="BV121" s="284" t="s">
        <v>27</v>
      </c>
      <c r="BW121" s="284" t="s">
        <v>27</v>
      </c>
    </row>
    <row r="122" spans="1:76" ht="15" customHeight="1" x14ac:dyDescent="0.25">
      <c r="A122" s="275" t="s">
        <v>652</v>
      </c>
      <c r="B122" s="276" t="s">
        <v>21</v>
      </c>
      <c r="D122" s="277">
        <v>44727</v>
      </c>
      <c r="E122" s="277">
        <v>45823</v>
      </c>
      <c r="F122" s="277">
        <v>44316</v>
      </c>
      <c r="H122" s="275" t="s">
        <v>32</v>
      </c>
      <c r="I122" s="275" t="s">
        <v>1473</v>
      </c>
      <c r="J122" s="286"/>
      <c r="K122" s="275" t="s">
        <v>653</v>
      </c>
      <c r="L122" s="275" t="s">
        <v>654</v>
      </c>
      <c r="M122" s="275" t="s">
        <v>655</v>
      </c>
      <c r="R122" s="1">
        <v>1</v>
      </c>
      <c r="V122" s="1">
        <f t="shared" si="15"/>
        <v>1</v>
      </c>
      <c r="Z122" s="1">
        <v>2</v>
      </c>
      <c r="AE122" s="1">
        <f t="shared" si="16"/>
        <v>2</v>
      </c>
      <c r="AF122" s="1">
        <f t="shared" si="17"/>
        <v>0</v>
      </c>
      <c r="AG122" s="1">
        <f t="shared" si="18"/>
        <v>0</v>
      </c>
      <c r="AH122" s="1">
        <f t="shared" si="19"/>
        <v>0</v>
      </c>
      <c r="AI122" s="1">
        <f t="shared" si="20"/>
        <v>1</v>
      </c>
      <c r="AJ122" s="1">
        <f t="shared" si="21"/>
        <v>0</v>
      </c>
      <c r="AK122" s="1">
        <f t="shared" si="22"/>
        <v>0</v>
      </c>
      <c r="AL122" s="1">
        <f t="shared" si="23"/>
        <v>0</v>
      </c>
      <c r="AM122" s="1">
        <f t="shared" si="24"/>
        <v>0</v>
      </c>
      <c r="AN122" s="278">
        <f t="shared" ref="AN122:AN185" si="30">AE122-V122</f>
        <v>1</v>
      </c>
      <c r="AP122" s="280"/>
      <c r="AQ122" s="1">
        <v>1</v>
      </c>
      <c r="AU122" s="281"/>
      <c r="AZ122" s="281"/>
      <c r="BG122" s="282">
        <f t="shared" si="26"/>
        <v>1</v>
      </c>
      <c r="BH122" s="282">
        <f t="shared" si="27"/>
        <v>1</v>
      </c>
      <c r="BI122" s="283">
        <f t="shared" si="28"/>
        <v>1</v>
      </c>
      <c r="BL122" s="1">
        <v>513837</v>
      </c>
      <c r="BM122" s="1">
        <v>170102</v>
      </c>
      <c r="BN122" s="1" t="s">
        <v>1600</v>
      </c>
      <c r="BO122" s="1" t="s">
        <v>1400</v>
      </c>
      <c r="BW122" s="284" t="s">
        <v>27</v>
      </c>
    </row>
    <row r="123" spans="1:76" ht="15" customHeight="1" x14ac:dyDescent="0.25">
      <c r="A123" s="275" t="s">
        <v>512</v>
      </c>
      <c r="B123" s="276" t="s">
        <v>49</v>
      </c>
      <c r="D123" s="277">
        <v>43689</v>
      </c>
      <c r="E123" s="277">
        <v>44922</v>
      </c>
      <c r="F123" s="277">
        <v>44340</v>
      </c>
      <c r="H123" s="275" t="s">
        <v>32</v>
      </c>
      <c r="I123" s="275" t="s">
        <v>1473</v>
      </c>
      <c r="J123" s="286"/>
      <c r="K123" s="275" t="s">
        <v>513</v>
      </c>
      <c r="L123" s="275" t="s">
        <v>514</v>
      </c>
      <c r="M123" s="275" t="s">
        <v>515</v>
      </c>
      <c r="Q123" s="1">
        <v>1</v>
      </c>
      <c r="V123" s="1">
        <f t="shared" si="15"/>
        <v>1</v>
      </c>
      <c r="W123" s="1">
        <v>1</v>
      </c>
      <c r="Y123" s="1">
        <v>1</v>
      </c>
      <c r="AE123" s="1">
        <f t="shared" si="16"/>
        <v>2</v>
      </c>
      <c r="AF123" s="1">
        <f t="shared" si="17"/>
        <v>1</v>
      </c>
      <c r="AG123" s="1">
        <f t="shared" si="18"/>
        <v>0</v>
      </c>
      <c r="AH123" s="1">
        <f t="shared" si="19"/>
        <v>0</v>
      </c>
      <c r="AI123" s="1">
        <f t="shared" si="20"/>
        <v>0</v>
      </c>
      <c r="AJ123" s="1">
        <f t="shared" si="21"/>
        <v>0</v>
      </c>
      <c r="AK123" s="1">
        <f t="shared" si="22"/>
        <v>0</v>
      </c>
      <c r="AL123" s="1">
        <f t="shared" si="23"/>
        <v>0</v>
      </c>
      <c r="AM123" s="1">
        <f t="shared" si="24"/>
        <v>0</v>
      </c>
      <c r="AN123" s="278">
        <f t="shared" si="30"/>
        <v>1</v>
      </c>
      <c r="AP123" s="280"/>
      <c r="AQ123" s="1">
        <v>0.5</v>
      </c>
      <c r="AR123" s="1">
        <v>0.5</v>
      </c>
      <c r="AU123" s="281"/>
      <c r="AZ123" s="281"/>
      <c r="BG123" s="282">
        <f t="shared" si="26"/>
        <v>1</v>
      </c>
      <c r="BH123" s="282">
        <f t="shared" si="27"/>
        <v>1</v>
      </c>
      <c r="BI123" s="283">
        <f t="shared" si="28"/>
        <v>1</v>
      </c>
      <c r="BL123" s="1">
        <v>514733</v>
      </c>
      <c r="BM123" s="1">
        <v>172125</v>
      </c>
      <c r="BN123" s="1" t="s">
        <v>1389</v>
      </c>
      <c r="BO123" s="1" t="s">
        <v>1408</v>
      </c>
      <c r="BW123" s="284" t="s">
        <v>27</v>
      </c>
    </row>
    <row r="124" spans="1:76" ht="15" customHeight="1" x14ac:dyDescent="0.25">
      <c r="A124" s="275" t="s">
        <v>765</v>
      </c>
      <c r="B124" s="276" t="s">
        <v>49</v>
      </c>
      <c r="D124" s="277">
        <v>43300</v>
      </c>
      <c r="E124" s="277">
        <v>44396</v>
      </c>
      <c r="F124" s="277">
        <v>44382</v>
      </c>
      <c r="H124" s="275" t="s">
        <v>32</v>
      </c>
      <c r="I124" s="275" t="s">
        <v>1473</v>
      </c>
      <c r="J124" s="286"/>
      <c r="K124" s="275" t="s">
        <v>766</v>
      </c>
      <c r="L124" s="275" t="s">
        <v>767</v>
      </c>
      <c r="M124" s="275" t="s">
        <v>768</v>
      </c>
      <c r="V124" s="1">
        <f t="shared" si="15"/>
        <v>0</v>
      </c>
      <c r="X124" s="1">
        <v>2</v>
      </c>
      <c r="AE124" s="1">
        <f t="shared" si="16"/>
        <v>2</v>
      </c>
      <c r="AF124" s="1">
        <f t="shared" si="17"/>
        <v>0</v>
      </c>
      <c r="AG124" s="1">
        <f t="shared" si="18"/>
        <v>2</v>
      </c>
      <c r="AH124" s="1">
        <f t="shared" si="19"/>
        <v>0</v>
      </c>
      <c r="AI124" s="1">
        <f t="shared" si="20"/>
        <v>0</v>
      </c>
      <c r="AJ124" s="1">
        <f t="shared" si="21"/>
        <v>0</v>
      </c>
      <c r="AK124" s="1">
        <f t="shared" si="22"/>
        <v>0</v>
      </c>
      <c r="AL124" s="1">
        <f t="shared" si="23"/>
        <v>0</v>
      </c>
      <c r="AM124" s="1">
        <f t="shared" si="24"/>
        <v>0</v>
      </c>
      <c r="AN124" s="278">
        <f t="shared" si="30"/>
        <v>2</v>
      </c>
      <c r="AP124" s="280"/>
      <c r="AQ124" s="1">
        <v>1</v>
      </c>
      <c r="AR124" s="1">
        <v>1</v>
      </c>
      <c r="AU124" s="281"/>
      <c r="AZ124" s="281"/>
      <c r="BG124" s="282">
        <f t="shared" si="26"/>
        <v>2</v>
      </c>
      <c r="BH124" s="282">
        <f t="shared" si="27"/>
        <v>2</v>
      </c>
      <c r="BI124" s="283">
        <f t="shared" si="28"/>
        <v>2</v>
      </c>
      <c r="BL124" s="1">
        <v>518392</v>
      </c>
      <c r="BM124" s="1">
        <v>175032</v>
      </c>
      <c r="BN124" s="1" t="s">
        <v>1385</v>
      </c>
      <c r="BO124" s="1" t="s">
        <v>1405</v>
      </c>
      <c r="BR124" s="284" t="s">
        <v>1719</v>
      </c>
      <c r="BS124" s="284" t="s">
        <v>27</v>
      </c>
      <c r="BU124" s="284" t="s">
        <v>1705</v>
      </c>
      <c r="BV124" s="284" t="s">
        <v>27</v>
      </c>
      <c r="BW124" s="284" t="s">
        <v>27</v>
      </c>
    </row>
    <row r="125" spans="1:76" ht="15" customHeight="1" x14ac:dyDescent="0.25">
      <c r="A125" s="275" t="s">
        <v>588</v>
      </c>
      <c r="B125" s="276" t="s">
        <v>21</v>
      </c>
      <c r="D125" s="277">
        <v>43754</v>
      </c>
      <c r="E125" s="277">
        <v>44850</v>
      </c>
      <c r="F125" s="277">
        <v>44383</v>
      </c>
      <c r="H125" s="275" t="s">
        <v>32</v>
      </c>
      <c r="I125" s="275" t="s">
        <v>1473</v>
      </c>
      <c r="J125" s="286"/>
      <c r="K125" s="275" t="s">
        <v>589</v>
      </c>
      <c r="L125" s="275" t="s">
        <v>590</v>
      </c>
      <c r="M125" s="275" t="s">
        <v>591</v>
      </c>
      <c r="P125" s="1">
        <v>2</v>
      </c>
      <c r="Q125" s="1">
        <v>1</v>
      </c>
      <c r="V125" s="1">
        <f t="shared" si="15"/>
        <v>3</v>
      </c>
      <c r="Z125" s="1">
        <v>3</v>
      </c>
      <c r="AE125" s="1">
        <f t="shared" si="16"/>
        <v>3</v>
      </c>
      <c r="AF125" s="1">
        <f t="shared" si="17"/>
        <v>0</v>
      </c>
      <c r="AG125" s="1">
        <f t="shared" si="18"/>
        <v>-2</v>
      </c>
      <c r="AH125" s="1">
        <f t="shared" si="19"/>
        <v>-1</v>
      </c>
      <c r="AI125" s="1">
        <f t="shared" si="20"/>
        <v>3</v>
      </c>
      <c r="AJ125" s="1">
        <f t="shared" si="21"/>
        <v>0</v>
      </c>
      <c r="AK125" s="1">
        <f t="shared" si="22"/>
        <v>0</v>
      </c>
      <c r="AL125" s="1">
        <f t="shared" si="23"/>
        <v>0</v>
      </c>
      <c r="AM125" s="1">
        <f t="shared" si="24"/>
        <v>0</v>
      </c>
      <c r="AN125" s="278">
        <f t="shared" si="30"/>
        <v>0</v>
      </c>
      <c r="AP125" s="280"/>
      <c r="AQ125" s="1">
        <v>0</v>
      </c>
      <c r="AU125" s="281"/>
      <c r="AZ125" s="281"/>
      <c r="BG125" s="282">
        <f t="shared" si="26"/>
        <v>0</v>
      </c>
      <c r="BH125" s="282">
        <f t="shared" si="27"/>
        <v>0</v>
      </c>
      <c r="BI125" s="283">
        <f t="shared" si="28"/>
        <v>0</v>
      </c>
      <c r="BL125" s="1">
        <v>518209</v>
      </c>
      <c r="BM125" s="1">
        <v>174625</v>
      </c>
      <c r="BN125" s="1" t="s">
        <v>1385</v>
      </c>
      <c r="BO125" s="1" t="s">
        <v>1405</v>
      </c>
      <c r="BU125" s="284" t="s">
        <v>1692</v>
      </c>
      <c r="BV125" s="284" t="s">
        <v>27</v>
      </c>
      <c r="BW125" s="284" t="s">
        <v>27</v>
      </c>
    </row>
    <row r="126" spans="1:76" ht="15" customHeight="1" x14ac:dyDescent="0.25">
      <c r="A126" s="275" t="s">
        <v>705</v>
      </c>
      <c r="B126" s="276" t="s">
        <v>21</v>
      </c>
      <c r="D126" s="277">
        <v>43307</v>
      </c>
      <c r="E126" s="277">
        <v>44403</v>
      </c>
      <c r="F126" s="277">
        <v>44400</v>
      </c>
      <c r="H126" s="275" t="s">
        <v>32</v>
      </c>
      <c r="I126" s="275" t="s">
        <v>1473</v>
      </c>
      <c r="J126" s="286"/>
      <c r="K126" s="275" t="s">
        <v>706</v>
      </c>
      <c r="L126" s="275" t="s">
        <v>707</v>
      </c>
      <c r="M126" s="275" t="s">
        <v>708</v>
      </c>
      <c r="V126" s="1">
        <f t="shared" si="15"/>
        <v>0</v>
      </c>
      <c r="X126" s="1">
        <v>1</v>
      </c>
      <c r="Y126" s="1">
        <v>1</v>
      </c>
      <c r="AE126" s="1">
        <f t="shared" si="16"/>
        <v>2</v>
      </c>
      <c r="AF126" s="1">
        <f t="shared" si="17"/>
        <v>0</v>
      </c>
      <c r="AG126" s="1">
        <f t="shared" si="18"/>
        <v>1</v>
      </c>
      <c r="AH126" s="1">
        <f t="shared" si="19"/>
        <v>1</v>
      </c>
      <c r="AI126" s="1">
        <f t="shared" si="20"/>
        <v>0</v>
      </c>
      <c r="AJ126" s="1">
        <f t="shared" si="21"/>
        <v>0</v>
      </c>
      <c r="AK126" s="1">
        <f t="shared" si="22"/>
        <v>0</v>
      </c>
      <c r="AL126" s="1">
        <f t="shared" si="23"/>
        <v>0</v>
      </c>
      <c r="AM126" s="1">
        <f t="shared" si="24"/>
        <v>0</v>
      </c>
      <c r="AN126" s="278">
        <f t="shared" si="30"/>
        <v>2</v>
      </c>
      <c r="AP126" s="280"/>
      <c r="AQ126" s="1">
        <v>2</v>
      </c>
      <c r="AU126" s="281"/>
      <c r="AZ126" s="281"/>
      <c r="BG126" s="282">
        <f t="shared" si="26"/>
        <v>2</v>
      </c>
      <c r="BH126" s="282">
        <f t="shared" si="27"/>
        <v>2</v>
      </c>
      <c r="BI126" s="283">
        <f t="shared" si="28"/>
        <v>2</v>
      </c>
      <c r="BL126" s="1">
        <v>514975</v>
      </c>
      <c r="BM126" s="1">
        <v>171285</v>
      </c>
      <c r="BN126" s="1" t="s">
        <v>1600</v>
      </c>
      <c r="BO126" s="1" t="s">
        <v>1563</v>
      </c>
      <c r="BW126" s="284" t="s">
        <v>27</v>
      </c>
    </row>
    <row r="127" spans="1:76" ht="15" customHeight="1" x14ac:dyDescent="0.25">
      <c r="A127" s="275" t="s">
        <v>668</v>
      </c>
      <c r="B127" s="276" t="s">
        <v>21</v>
      </c>
      <c r="D127" s="277">
        <v>44202</v>
      </c>
      <c r="E127" s="277">
        <v>45297</v>
      </c>
      <c r="F127" s="277">
        <v>44424</v>
      </c>
      <c r="H127" s="275" t="s">
        <v>32</v>
      </c>
      <c r="I127" s="275" t="s">
        <v>1473</v>
      </c>
      <c r="J127" s="286"/>
      <c r="K127" s="275" t="s">
        <v>669</v>
      </c>
      <c r="L127" s="275" t="s">
        <v>670</v>
      </c>
      <c r="M127" s="275" t="s">
        <v>671</v>
      </c>
      <c r="V127" s="1">
        <f t="shared" si="15"/>
        <v>0</v>
      </c>
      <c r="AA127" s="1">
        <v>2</v>
      </c>
      <c r="AE127" s="1">
        <f t="shared" si="16"/>
        <v>2</v>
      </c>
      <c r="AF127" s="1">
        <f t="shared" si="17"/>
        <v>0</v>
      </c>
      <c r="AG127" s="1">
        <f t="shared" si="18"/>
        <v>0</v>
      </c>
      <c r="AH127" s="1">
        <f t="shared" si="19"/>
        <v>0</v>
      </c>
      <c r="AI127" s="1">
        <f t="shared" si="20"/>
        <v>0</v>
      </c>
      <c r="AJ127" s="1">
        <f t="shared" si="21"/>
        <v>2</v>
      </c>
      <c r="AK127" s="1">
        <f t="shared" si="22"/>
        <v>0</v>
      </c>
      <c r="AL127" s="1">
        <f t="shared" si="23"/>
        <v>0</v>
      </c>
      <c r="AM127" s="1">
        <f t="shared" si="24"/>
        <v>0</v>
      </c>
      <c r="AN127" s="278">
        <f t="shared" si="30"/>
        <v>2</v>
      </c>
      <c r="AP127" s="280"/>
      <c r="AQ127" s="1">
        <v>2</v>
      </c>
      <c r="AU127" s="281"/>
      <c r="AZ127" s="281"/>
      <c r="BG127" s="282">
        <f t="shared" si="26"/>
        <v>2</v>
      </c>
      <c r="BH127" s="282">
        <f t="shared" si="27"/>
        <v>2</v>
      </c>
      <c r="BI127" s="283">
        <f t="shared" si="28"/>
        <v>2</v>
      </c>
      <c r="BL127" s="1">
        <v>513454</v>
      </c>
      <c r="BM127" s="1">
        <v>170508</v>
      </c>
      <c r="BN127" s="1" t="s">
        <v>1600</v>
      </c>
      <c r="BO127" s="1" t="s">
        <v>1400</v>
      </c>
      <c r="BW127" s="284" t="s">
        <v>27</v>
      </c>
    </row>
    <row r="128" spans="1:76" ht="15" customHeight="1" x14ac:dyDescent="0.25">
      <c r="A128" s="275" t="s">
        <v>730</v>
      </c>
      <c r="B128" s="276" t="s">
        <v>21</v>
      </c>
      <c r="D128" s="277">
        <v>43472</v>
      </c>
      <c r="E128" s="277">
        <v>44568</v>
      </c>
      <c r="F128" s="277">
        <v>44455</v>
      </c>
      <c r="H128" s="275" t="s">
        <v>32</v>
      </c>
      <c r="I128" s="275" t="s">
        <v>1473</v>
      </c>
      <c r="J128" s="286"/>
      <c r="K128" s="275" t="s">
        <v>731</v>
      </c>
      <c r="L128" s="275" t="s">
        <v>732</v>
      </c>
      <c r="M128" s="275" t="s">
        <v>733</v>
      </c>
      <c r="V128" s="1">
        <f t="shared" si="15"/>
        <v>0</v>
      </c>
      <c r="X128" s="1">
        <v>1</v>
      </c>
      <c r="AE128" s="1">
        <f t="shared" si="16"/>
        <v>1</v>
      </c>
      <c r="AF128" s="1">
        <f t="shared" si="17"/>
        <v>0</v>
      </c>
      <c r="AG128" s="1">
        <f t="shared" si="18"/>
        <v>1</v>
      </c>
      <c r="AH128" s="1">
        <f t="shared" si="19"/>
        <v>0</v>
      </c>
      <c r="AI128" s="1">
        <f t="shared" si="20"/>
        <v>0</v>
      </c>
      <c r="AJ128" s="1">
        <f t="shared" si="21"/>
        <v>0</v>
      </c>
      <c r="AK128" s="1">
        <f t="shared" si="22"/>
        <v>0</v>
      </c>
      <c r="AL128" s="1">
        <f t="shared" si="23"/>
        <v>0</v>
      </c>
      <c r="AM128" s="1">
        <f t="shared" si="24"/>
        <v>0</v>
      </c>
      <c r="AN128" s="278">
        <f t="shared" si="30"/>
        <v>1</v>
      </c>
      <c r="AP128" s="280"/>
      <c r="AQ128" s="1">
        <v>1</v>
      </c>
      <c r="AU128" s="281"/>
      <c r="AZ128" s="281"/>
      <c r="BG128" s="282">
        <f t="shared" si="26"/>
        <v>1</v>
      </c>
      <c r="BH128" s="282">
        <f t="shared" si="27"/>
        <v>1</v>
      </c>
      <c r="BI128" s="283">
        <f t="shared" si="28"/>
        <v>1</v>
      </c>
      <c r="BL128" s="1">
        <v>514703</v>
      </c>
      <c r="BM128" s="1">
        <v>172701</v>
      </c>
      <c r="BN128" s="1" t="s">
        <v>1389</v>
      </c>
      <c r="BO128" s="1" t="s">
        <v>1408</v>
      </c>
    </row>
    <row r="129" spans="1:76" ht="15" customHeight="1" x14ac:dyDescent="0.25">
      <c r="A129" s="275" t="s">
        <v>737</v>
      </c>
      <c r="B129" s="276" t="s">
        <v>21</v>
      </c>
      <c r="D129" s="277">
        <v>43376</v>
      </c>
      <c r="E129" s="277">
        <v>44472</v>
      </c>
      <c r="F129" s="277">
        <v>44466</v>
      </c>
      <c r="H129" s="275" t="s">
        <v>32</v>
      </c>
      <c r="I129" s="275" t="s">
        <v>1473</v>
      </c>
      <c r="J129" s="286"/>
      <c r="K129" s="275" t="s">
        <v>738</v>
      </c>
      <c r="L129" s="275" t="s">
        <v>739</v>
      </c>
      <c r="M129" s="275" t="s">
        <v>740</v>
      </c>
      <c r="V129" s="1">
        <f t="shared" si="15"/>
        <v>0</v>
      </c>
      <c r="X129" s="1">
        <v>2</v>
      </c>
      <c r="AE129" s="1">
        <f t="shared" si="16"/>
        <v>2</v>
      </c>
      <c r="AF129" s="1">
        <f t="shared" si="17"/>
        <v>0</v>
      </c>
      <c r="AG129" s="1">
        <f t="shared" si="18"/>
        <v>2</v>
      </c>
      <c r="AH129" s="1">
        <f t="shared" si="19"/>
        <v>0</v>
      </c>
      <c r="AI129" s="1">
        <f t="shared" si="20"/>
        <v>0</v>
      </c>
      <c r="AJ129" s="1">
        <f t="shared" si="21"/>
        <v>0</v>
      </c>
      <c r="AK129" s="1">
        <f t="shared" si="22"/>
        <v>0</v>
      </c>
      <c r="AL129" s="1">
        <f t="shared" si="23"/>
        <v>0</v>
      </c>
      <c r="AM129" s="1">
        <f t="shared" si="24"/>
        <v>0</v>
      </c>
      <c r="AN129" s="278">
        <f t="shared" si="30"/>
        <v>2</v>
      </c>
      <c r="AP129" s="280"/>
      <c r="AQ129" s="1">
        <v>2</v>
      </c>
      <c r="AU129" s="281"/>
      <c r="AZ129" s="281"/>
      <c r="BG129" s="282">
        <f t="shared" si="26"/>
        <v>2</v>
      </c>
      <c r="BH129" s="282">
        <f t="shared" si="27"/>
        <v>2</v>
      </c>
      <c r="BI129" s="283">
        <f t="shared" si="28"/>
        <v>2</v>
      </c>
      <c r="BL129" s="1">
        <v>518028</v>
      </c>
      <c r="BM129" s="1">
        <v>175050</v>
      </c>
      <c r="BN129" s="1" t="s">
        <v>1385</v>
      </c>
      <c r="BO129" s="1" t="s">
        <v>1405</v>
      </c>
      <c r="BP129" s="284" t="s">
        <v>1385</v>
      </c>
      <c r="BU129" s="284" t="s">
        <v>1699</v>
      </c>
      <c r="BV129" s="284" t="s">
        <v>27</v>
      </c>
      <c r="BW129" s="284" t="s">
        <v>27</v>
      </c>
    </row>
    <row r="130" spans="1:76" ht="15" customHeight="1" x14ac:dyDescent="0.25">
      <c r="A130" s="275" t="s">
        <v>786</v>
      </c>
      <c r="B130" s="276" t="s">
        <v>49</v>
      </c>
      <c r="C130" s="1" t="s">
        <v>1262</v>
      </c>
      <c r="D130" s="277">
        <v>43621</v>
      </c>
      <c r="E130" s="277">
        <v>44717</v>
      </c>
      <c r="F130" s="277">
        <v>44470</v>
      </c>
      <c r="H130" s="275" t="s">
        <v>32</v>
      </c>
      <c r="I130" s="275" t="s">
        <v>1473</v>
      </c>
      <c r="J130" s="286"/>
      <c r="K130" s="275" t="s">
        <v>1250</v>
      </c>
      <c r="L130" s="275" t="s">
        <v>787</v>
      </c>
      <c r="M130" s="275" t="s">
        <v>1676</v>
      </c>
      <c r="V130" s="1">
        <f t="shared" ref="V130:V193" si="31">SUM(O130:U130)</f>
        <v>0</v>
      </c>
      <c r="X130" s="1">
        <v>1</v>
      </c>
      <c r="AE130" s="1">
        <f t="shared" ref="AE130:AE193" si="32">SUM(W130:AD130)</f>
        <v>1</v>
      </c>
      <c r="AF130" s="1">
        <f t="shared" ref="AF130:AF193" si="33">W130-O130</f>
        <v>0</v>
      </c>
      <c r="AG130" s="1">
        <f t="shared" ref="AG130:AG193" si="34">X130-P130</f>
        <v>1</v>
      </c>
      <c r="AH130" s="1">
        <f t="shared" ref="AH130:AH193" si="35">Y130-Q130</f>
        <v>0</v>
      </c>
      <c r="AI130" s="1">
        <f t="shared" ref="AI130:AI193" si="36">Z130-R130</f>
        <v>0</v>
      </c>
      <c r="AJ130" s="1">
        <f t="shared" ref="AJ130:AJ193" si="37">AA130-S130</f>
        <v>0</v>
      </c>
      <c r="AK130" s="1">
        <f t="shared" ref="AK130:AK193" si="38">AB130-T130</f>
        <v>0</v>
      </c>
      <c r="AL130" s="1">
        <f t="shared" ref="AL130:AL193" si="39">AC130-U130</f>
        <v>0</v>
      </c>
      <c r="AM130" s="1">
        <f t="shared" ref="AM130:AM193" si="40">AD130</f>
        <v>0</v>
      </c>
      <c r="AN130" s="278">
        <f t="shared" si="30"/>
        <v>1</v>
      </c>
      <c r="AP130" s="280"/>
      <c r="AQ130" s="1">
        <v>0.5</v>
      </c>
      <c r="AR130" s="1">
        <v>0.5</v>
      </c>
      <c r="AU130" s="281"/>
      <c r="AZ130" s="281"/>
      <c r="BG130" s="282">
        <f t="shared" ref="BG130:BG193" si="41">SUBTOTAL(9,AQ130:AU130)</f>
        <v>1</v>
      </c>
      <c r="BH130" s="282">
        <f t="shared" ref="BH130:BH193" si="42">SUBTOTAL(9,AQ130:AZ130)</f>
        <v>1</v>
      </c>
      <c r="BI130" s="283">
        <f t="shared" ref="BI130:BI193" si="43">SUM(AQ130:BF130)</f>
        <v>1</v>
      </c>
      <c r="BL130" s="1">
        <v>520517</v>
      </c>
      <c r="BM130" s="1">
        <v>175507</v>
      </c>
      <c r="BN130" s="1" t="s">
        <v>1599</v>
      </c>
      <c r="BO130" s="1" t="s">
        <v>1384</v>
      </c>
      <c r="BP130" s="284" t="s">
        <v>1384</v>
      </c>
      <c r="BU130" s="284" t="s">
        <v>1720</v>
      </c>
      <c r="BV130" s="284" t="s">
        <v>27</v>
      </c>
      <c r="BW130" s="284" t="s">
        <v>27</v>
      </c>
    </row>
    <row r="131" spans="1:76" ht="15" customHeight="1" x14ac:dyDescent="0.25">
      <c r="A131" s="275" t="s">
        <v>540</v>
      </c>
      <c r="B131" s="276" t="s">
        <v>144</v>
      </c>
      <c r="D131" s="277">
        <v>44106</v>
      </c>
      <c r="E131" s="277">
        <v>45201</v>
      </c>
      <c r="F131" s="277">
        <v>44531</v>
      </c>
      <c r="G131" s="277"/>
      <c r="H131" s="275" t="s">
        <v>32</v>
      </c>
      <c r="I131" s="275" t="s">
        <v>1473</v>
      </c>
      <c r="J131" s="286"/>
      <c r="K131" s="275" t="s">
        <v>541</v>
      </c>
      <c r="L131" s="275" t="s">
        <v>542</v>
      </c>
      <c r="M131" s="275" t="s">
        <v>543</v>
      </c>
      <c r="R131" s="1">
        <v>1</v>
      </c>
      <c r="V131" s="1">
        <f t="shared" si="31"/>
        <v>1</v>
      </c>
      <c r="AE131" s="1">
        <f t="shared" si="32"/>
        <v>0</v>
      </c>
      <c r="AF131" s="1">
        <f t="shared" si="33"/>
        <v>0</v>
      </c>
      <c r="AG131" s="1">
        <f t="shared" si="34"/>
        <v>0</v>
      </c>
      <c r="AH131" s="1">
        <f t="shared" si="35"/>
        <v>0</v>
      </c>
      <c r="AI131" s="1">
        <f t="shared" si="36"/>
        <v>-1</v>
      </c>
      <c r="AJ131" s="1">
        <f t="shared" si="37"/>
        <v>0</v>
      </c>
      <c r="AK131" s="1">
        <f t="shared" si="38"/>
        <v>0</v>
      </c>
      <c r="AL131" s="1">
        <f t="shared" si="39"/>
        <v>0</v>
      </c>
      <c r="AM131" s="1">
        <f t="shared" si="40"/>
        <v>0</v>
      </c>
      <c r="AN131" s="278">
        <f t="shared" si="30"/>
        <v>-1</v>
      </c>
      <c r="AP131" s="280"/>
      <c r="AQ131" s="1">
        <v>-0.5</v>
      </c>
      <c r="AR131" s="1">
        <v>-0.5</v>
      </c>
      <c r="AU131" s="281"/>
      <c r="AZ131" s="281"/>
      <c r="BG131" s="282">
        <f t="shared" si="41"/>
        <v>-1</v>
      </c>
      <c r="BH131" s="282">
        <f t="shared" si="42"/>
        <v>-1</v>
      </c>
      <c r="BI131" s="283">
        <f t="shared" si="43"/>
        <v>-1</v>
      </c>
      <c r="BL131" s="1">
        <v>518472</v>
      </c>
      <c r="BM131" s="1">
        <v>175425</v>
      </c>
      <c r="BN131" s="1" t="s">
        <v>1385</v>
      </c>
      <c r="BO131" s="1" t="s">
        <v>1404</v>
      </c>
      <c r="BW131" s="284" t="s">
        <v>27</v>
      </c>
    </row>
    <row r="132" spans="1:76" ht="15" customHeight="1" x14ac:dyDescent="0.25">
      <c r="A132" s="275" t="s">
        <v>422</v>
      </c>
      <c r="B132" s="276" t="s">
        <v>49</v>
      </c>
      <c r="D132" s="277">
        <v>44243</v>
      </c>
      <c r="E132" s="277">
        <v>45338</v>
      </c>
      <c r="F132" s="277">
        <v>44531</v>
      </c>
      <c r="H132" s="275" t="s">
        <v>32</v>
      </c>
      <c r="I132" s="275" t="s">
        <v>1473</v>
      </c>
      <c r="J132" s="286"/>
      <c r="K132" s="275" t="s">
        <v>423</v>
      </c>
      <c r="L132" s="275" t="s">
        <v>424</v>
      </c>
      <c r="M132" s="275" t="s">
        <v>425</v>
      </c>
      <c r="V132" s="1">
        <f t="shared" si="31"/>
        <v>0</v>
      </c>
      <c r="W132" s="1">
        <v>1</v>
      </c>
      <c r="X132" s="1">
        <v>1</v>
      </c>
      <c r="AE132" s="1">
        <f t="shared" si="32"/>
        <v>2</v>
      </c>
      <c r="AF132" s="1">
        <f t="shared" si="33"/>
        <v>1</v>
      </c>
      <c r="AG132" s="1">
        <f t="shared" si="34"/>
        <v>1</v>
      </c>
      <c r="AH132" s="1">
        <f t="shared" si="35"/>
        <v>0</v>
      </c>
      <c r="AI132" s="1">
        <f t="shared" si="36"/>
        <v>0</v>
      </c>
      <c r="AJ132" s="1">
        <f t="shared" si="37"/>
        <v>0</v>
      </c>
      <c r="AK132" s="1">
        <f t="shared" si="38"/>
        <v>0</v>
      </c>
      <c r="AL132" s="1">
        <f t="shared" si="39"/>
        <v>0</v>
      </c>
      <c r="AM132" s="1">
        <f t="shared" si="40"/>
        <v>0</v>
      </c>
      <c r="AN132" s="278">
        <f t="shared" si="30"/>
        <v>2</v>
      </c>
      <c r="AP132" s="280"/>
      <c r="AQ132" s="1">
        <v>1</v>
      </c>
      <c r="AR132" s="1">
        <v>1</v>
      </c>
      <c r="AU132" s="281"/>
      <c r="AZ132" s="281"/>
      <c r="BG132" s="282">
        <f t="shared" si="41"/>
        <v>2</v>
      </c>
      <c r="BH132" s="282">
        <f t="shared" si="42"/>
        <v>2</v>
      </c>
      <c r="BI132" s="283">
        <f t="shared" si="43"/>
        <v>2</v>
      </c>
      <c r="BL132" s="1">
        <v>516260</v>
      </c>
      <c r="BM132" s="1">
        <v>173296</v>
      </c>
      <c r="BN132" s="1" t="s">
        <v>1389</v>
      </c>
      <c r="BO132" s="1" t="s">
        <v>1407</v>
      </c>
      <c r="BP132" s="284" t="s">
        <v>1389</v>
      </c>
      <c r="BU132" s="284" t="s">
        <v>1689</v>
      </c>
      <c r="BV132" s="284" t="s">
        <v>27</v>
      </c>
      <c r="BW132" s="284" t="s">
        <v>27</v>
      </c>
    </row>
    <row r="133" spans="1:76" ht="15" customHeight="1" x14ac:dyDescent="0.25">
      <c r="A133" s="275" t="s">
        <v>520</v>
      </c>
      <c r="B133" s="276" t="s">
        <v>49</v>
      </c>
      <c r="C133" s="1" t="s">
        <v>1262</v>
      </c>
      <c r="D133" s="277">
        <v>44540</v>
      </c>
      <c r="E133" s="277">
        <v>45636</v>
      </c>
      <c r="F133" s="277">
        <v>44543</v>
      </c>
      <c r="H133" s="275" t="s">
        <v>32</v>
      </c>
      <c r="I133" s="275" t="s">
        <v>1473</v>
      </c>
      <c r="J133" s="286"/>
      <c r="K133" s="275" t="s">
        <v>521</v>
      </c>
      <c r="L133" s="275" t="s">
        <v>522</v>
      </c>
      <c r="M133" s="275" t="s">
        <v>523</v>
      </c>
      <c r="V133" s="1">
        <f t="shared" si="31"/>
        <v>0</v>
      </c>
      <c r="AA133" s="1">
        <v>1</v>
      </c>
      <c r="AE133" s="1">
        <f t="shared" si="32"/>
        <v>1</v>
      </c>
      <c r="AF133" s="1">
        <f t="shared" si="33"/>
        <v>0</v>
      </c>
      <c r="AG133" s="1">
        <f t="shared" si="34"/>
        <v>0</v>
      </c>
      <c r="AH133" s="1">
        <f t="shared" si="35"/>
        <v>0</v>
      </c>
      <c r="AI133" s="1">
        <f t="shared" si="36"/>
        <v>0</v>
      </c>
      <c r="AJ133" s="1">
        <f t="shared" si="37"/>
        <v>1</v>
      </c>
      <c r="AK133" s="1">
        <f t="shared" si="38"/>
        <v>0</v>
      </c>
      <c r="AL133" s="1">
        <f t="shared" si="39"/>
        <v>0</v>
      </c>
      <c r="AM133" s="1">
        <f t="shared" si="40"/>
        <v>0</v>
      </c>
      <c r="AN133" s="278">
        <f t="shared" si="30"/>
        <v>1</v>
      </c>
      <c r="AP133" s="280"/>
      <c r="AQ133" s="1">
        <v>0.5</v>
      </c>
      <c r="AR133" s="1">
        <v>0.5</v>
      </c>
      <c r="AU133" s="281"/>
      <c r="AZ133" s="281"/>
      <c r="BG133" s="282">
        <f t="shared" si="41"/>
        <v>1</v>
      </c>
      <c r="BH133" s="282">
        <f t="shared" si="42"/>
        <v>1</v>
      </c>
      <c r="BI133" s="283">
        <f t="shared" si="43"/>
        <v>1</v>
      </c>
      <c r="BL133" s="1">
        <v>516107</v>
      </c>
      <c r="BM133" s="1">
        <v>174400</v>
      </c>
      <c r="BN133" s="1" t="s">
        <v>1389</v>
      </c>
      <c r="BO133" s="1" t="s">
        <v>1561</v>
      </c>
      <c r="BW133" s="284" t="s">
        <v>27</v>
      </c>
    </row>
    <row r="134" spans="1:76" ht="15" customHeight="1" x14ac:dyDescent="0.25">
      <c r="A134" s="275" t="s">
        <v>627</v>
      </c>
      <c r="B134" s="276" t="s">
        <v>49</v>
      </c>
      <c r="C134" s="1" t="s">
        <v>1262</v>
      </c>
      <c r="D134" s="277">
        <v>44298</v>
      </c>
      <c r="E134" s="277">
        <v>45394</v>
      </c>
      <c r="F134" s="277">
        <v>44578</v>
      </c>
      <c r="H134" s="275" t="s">
        <v>32</v>
      </c>
      <c r="I134" s="275" t="s">
        <v>1473</v>
      </c>
      <c r="J134" s="286"/>
      <c r="K134" s="275" t="s">
        <v>628</v>
      </c>
      <c r="L134" s="275" t="s">
        <v>629</v>
      </c>
      <c r="M134" s="275" t="s">
        <v>413</v>
      </c>
      <c r="V134" s="1">
        <f t="shared" si="31"/>
        <v>0</v>
      </c>
      <c r="W134" s="1">
        <v>4</v>
      </c>
      <c r="X134" s="1">
        <v>8</v>
      </c>
      <c r="AE134" s="1">
        <f t="shared" si="32"/>
        <v>12</v>
      </c>
      <c r="AF134" s="1">
        <f t="shared" si="33"/>
        <v>4</v>
      </c>
      <c r="AG134" s="1">
        <f t="shared" si="34"/>
        <v>8</v>
      </c>
      <c r="AH134" s="1">
        <f t="shared" si="35"/>
        <v>0</v>
      </c>
      <c r="AI134" s="1">
        <f t="shared" si="36"/>
        <v>0</v>
      </c>
      <c r="AJ134" s="1">
        <f t="shared" si="37"/>
        <v>0</v>
      </c>
      <c r="AK134" s="1">
        <f t="shared" si="38"/>
        <v>0</v>
      </c>
      <c r="AL134" s="1">
        <f t="shared" si="39"/>
        <v>0</v>
      </c>
      <c r="AM134" s="1">
        <f t="shared" si="40"/>
        <v>0</v>
      </c>
      <c r="AN134" s="278">
        <f t="shared" si="30"/>
        <v>12</v>
      </c>
      <c r="AP134" s="280"/>
      <c r="AQ134" s="1">
        <v>6</v>
      </c>
      <c r="AR134" s="1">
        <v>6</v>
      </c>
      <c r="AU134" s="281"/>
      <c r="AZ134" s="281"/>
      <c r="BG134" s="282">
        <f t="shared" si="41"/>
        <v>12</v>
      </c>
      <c r="BH134" s="282">
        <f t="shared" si="42"/>
        <v>12</v>
      </c>
      <c r="BI134" s="283">
        <f t="shared" si="43"/>
        <v>12</v>
      </c>
      <c r="BL134" s="1">
        <v>514247</v>
      </c>
      <c r="BM134" s="1">
        <v>170821</v>
      </c>
      <c r="BN134" s="1" t="s">
        <v>1600</v>
      </c>
      <c r="BO134" s="1" t="s">
        <v>1563</v>
      </c>
      <c r="BR134" s="284" t="s">
        <v>1701</v>
      </c>
      <c r="BS134" s="284" t="s">
        <v>27</v>
      </c>
      <c r="BU134" s="284" t="s">
        <v>1702</v>
      </c>
      <c r="BV134" s="284" t="s">
        <v>27</v>
      </c>
    </row>
    <row r="135" spans="1:76" ht="15" customHeight="1" x14ac:dyDescent="0.25">
      <c r="A135" s="275" t="s">
        <v>469</v>
      </c>
      <c r="B135" s="276" t="s">
        <v>21</v>
      </c>
      <c r="D135" s="277">
        <v>44141</v>
      </c>
      <c r="E135" s="277">
        <v>45236</v>
      </c>
      <c r="F135" s="277">
        <v>44587</v>
      </c>
      <c r="H135" s="275" t="s">
        <v>32</v>
      </c>
      <c r="I135" s="275" t="s">
        <v>1473</v>
      </c>
      <c r="J135" s="286"/>
      <c r="K135" s="275" t="s">
        <v>470</v>
      </c>
      <c r="L135" s="275" t="s">
        <v>471</v>
      </c>
      <c r="M135" s="275" t="s">
        <v>472</v>
      </c>
      <c r="S135" s="1">
        <v>1</v>
      </c>
      <c r="V135" s="1">
        <f t="shared" si="31"/>
        <v>1</v>
      </c>
      <c r="AA135" s="1">
        <v>1</v>
      </c>
      <c r="AE135" s="1">
        <f t="shared" si="32"/>
        <v>1</v>
      </c>
      <c r="AF135" s="1">
        <f t="shared" si="33"/>
        <v>0</v>
      </c>
      <c r="AG135" s="1">
        <f t="shared" si="34"/>
        <v>0</v>
      </c>
      <c r="AH135" s="1">
        <f t="shared" si="35"/>
        <v>0</v>
      </c>
      <c r="AI135" s="1">
        <f t="shared" si="36"/>
        <v>0</v>
      </c>
      <c r="AJ135" s="1">
        <f t="shared" si="37"/>
        <v>0</v>
      </c>
      <c r="AK135" s="1">
        <f t="shared" si="38"/>
        <v>0</v>
      </c>
      <c r="AL135" s="1">
        <f t="shared" si="39"/>
        <v>0</v>
      </c>
      <c r="AM135" s="1">
        <f t="shared" si="40"/>
        <v>0</v>
      </c>
      <c r="AN135" s="278">
        <f t="shared" si="30"/>
        <v>0</v>
      </c>
      <c r="AP135" s="280"/>
      <c r="AQ135" s="1">
        <v>0</v>
      </c>
      <c r="AU135" s="281"/>
      <c r="AZ135" s="281"/>
      <c r="BG135" s="282">
        <f t="shared" si="41"/>
        <v>0</v>
      </c>
      <c r="BH135" s="282">
        <f t="shared" si="42"/>
        <v>0</v>
      </c>
      <c r="BI135" s="283">
        <f t="shared" si="43"/>
        <v>0</v>
      </c>
      <c r="BL135" s="1">
        <v>515689</v>
      </c>
      <c r="BM135" s="1">
        <v>172252</v>
      </c>
      <c r="BN135" s="1" t="s">
        <v>1389</v>
      </c>
      <c r="BO135" s="1" t="s">
        <v>1406</v>
      </c>
      <c r="BU135" s="284" t="s">
        <v>1721</v>
      </c>
      <c r="BV135" s="284" t="s">
        <v>27</v>
      </c>
      <c r="BW135" s="284" t="s">
        <v>27</v>
      </c>
    </row>
    <row r="136" spans="1:76" ht="15" customHeight="1" x14ac:dyDescent="0.25">
      <c r="A136" s="275" t="s">
        <v>580</v>
      </c>
      <c r="B136" s="276" t="s">
        <v>224</v>
      </c>
      <c r="D136" s="277">
        <v>44126</v>
      </c>
      <c r="E136" s="277">
        <v>45221</v>
      </c>
      <c r="F136" s="277">
        <v>44593</v>
      </c>
      <c r="H136" s="275" t="s">
        <v>32</v>
      </c>
      <c r="I136" s="275" t="s">
        <v>1473</v>
      </c>
      <c r="J136" s="286"/>
      <c r="K136" s="275" t="s">
        <v>581</v>
      </c>
      <c r="L136" s="275" t="s">
        <v>582</v>
      </c>
      <c r="M136" s="275" t="s">
        <v>583</v>
      </c>
      <c r="Q136" s="1">
        <v>1</v>
      </c>
      <c r="V136" s="1">
        <f t="shared" si="31"/>
        <v>1</v>
      </c>
      <c r="W136" s="1">
        <v>7</v>
      </c>
      <c r="AE136" s="1">
        <f t="shared" si="32"/>
        <v>7</v>
      </c>
      <c r="AF136" s="1">
        <f t="shared" si="33"/>
        <v>7</v>
      </c>
      <c r="AG136" s="1">
        <f t="shared" si="34"/>
        <v>0</v>
      </c>
      <c r="AH136" s="1">
        <f t="shared" si="35"/>
        <v>-1</v>
      </c>
      <c r="AI136" s="1">
        <f t="shared" si="36"/>
        <v>0</v>
      </c>
      <c r="AJ136" s="1">
        <f t="shared" si="37"/>
        <v>0</v>
      </c>
      <c r="AK136" s="1">
        <f t="shared" si="38"/>
        <v>0</v>
      </c>
      <c r="AL136" s="1">
        <f t="shared" si="39"/>
        <v>0</v>
      </c>
      <c r="AM136" s="1">
        <f t="shared" si="40"/>
        <v>0</v>
      </c>
      <c r="AN136" s="278">
        <f t="shared" si="30"/>
        <v>6</v>
      </c>
      <c r="AP136" s="280"/>
      <c r="AQ136" s="1">
        <v>3</v>
      </c>
      <c r="AR136" s="1">
        <v>3</v>
      </c>
      <c r="AU136" s="281"/>
      <c r="AZ136" s="281"/>
      <c r="BG136" s="282">
        <f t="shared" si="41"/>
        <v>6</v>
      </c>
      <c r="BH136" s="282">
        <f t="shared" si="42"/>
        <v>6</v>
      </c>
      <c r="BI136" s="283">
        <f t="shared" si="43"/>
        <v>6</v>
      </c>
      <c r="BL136" s="1">
        <v>519849</v>
      </c>
      <c r="BM136" s="1">
        <v>175357</v>
      </c>
      <c r="BN136" s="1" t="s">
        <v>1385</v>
      </c>
      <c r="BO136" s="1" t="s">
        <v>1404</v>
      </c>
      <c r="BW136" s="284" t="s">
        <v>27</v>
      </c>
    </row>
    <row r="137" spans="1:76" ht="15" customHeight="1" x14ac:dyDescent="0.25">
      <c r="A137" s="275" t="s">
        <v>37</v>
      </c>
      <c r="B137" s="276" t="s">
        <v>21</v>
      </c>
      <c r="D137" s="277">
        <v>44320</v>
      </c>
      <c r="E137" s="277">
        <v>45416</v>
      </c>
      <c r="F137" s="277">
        <v>44593</v>
      </c>
      <c r="G137" s="277">
        <v>45160</v>
      </c>
      <c r="H137" s="275" t="s">
        <v>32</v>
      </c>
      <c r="I137" s="275" t="s">
        <v>38</v>
      </c>
      <c r="J137" s="286"/>
      <c r="K137" s="275" t="s">
        <v>39</v>
      </c>
      <c r="L137" s="275" t="s">
        <v>40</v>
      </c>
      <c r="M137" s="275" t="s">
        <v>41</v>
      </c>
      <c r="V137" s="1">
        <f t="shared" si="31"/>
        <v>0</v>
      </c>
      <c r="W137" s="1">
        <v>6</v>
      </c>
      <c r="AE137" s="1">
        <f t="shared" si="32"/>
        <v>6</v>
      </c>
      <c r="AF137" s="1">
        <f t="shared" si="33"/>
        <v>6</v>
      </c>
      <c r="AG137" s="1">
        <f t="shared" si="34"/>
        <v>0</v>
      </c>
      <c r="AH137" s="1">
        <f t="shared" si="35"/>
        <v>0</v>
      </c>
      <c r="AI137" s="1">
        <f t="shared" si="36"/>
        <v>0</v>
      </c>
      <c r="AJ137" s="1">
        <f t="shared" si="37"/>
        <v>0</v>
      </c>
      <c r="AK137" s="1">
        <f t="shared" si="38"/>
        <v>0</v>
      </c>
      <c r="AL137" s="1">
        <f t="shared" si="39"/>
        <v>0</v>
      </c>
      <c r="AM137" s="1">
        <f t="shared" si="40"/>
        <v>0</v>
      </c>
      <c r="AN137" s="278">
        <f t="shared" si="30"/>
        <v>6</v>
      </c>
      <c r="AP137" s="280"/>
      <c r="AQ137" s="1">
        <v>6</v>
      </c>
      <c r="AU137" s="281"/>
      <c r="AZ137" s="281"/>
      <c r="BG137" s="282">
        <f t="shared" si="41"/>
        <v>6</v>
      </c>
      <c r="BH137" s="282">
        <f t="shared" si="42"/>
        <v>6</v>
      </c>
      <c r="BI137" s="283">
        <f t="shared" si="43"/>
        <v>6</v>
      </c>
      <c r="BL137" s="1">
        <v>515045</v>
      </c>
      <c r="BM137" s="1">
        <v>171153</v>
      </c>
      <c r="BN137" s="1" t="s">
        <v>1600</v>
      </c>
      <c r="BO137" s="1" t="s">
        <v>1563</v>
      </c>
      <c r="BW137" s="284" t="s">
        <v>27</v>
      </c>
    </row>
    <row r="138" spans="1:76" ht="15" customHeight="1" x14ac:dyDescent="0.25">
      <c r="A138" s="275" t="s">
        <v>37</v>
      </c>
      <c r="B138" s="276" t="s">
        <v>21</v>
      </c>
      <c r="D138" s="277">
        <v>44320</v>
      </c>
      <c r="E138" s="277">
        <v>45416</v>
      </c>
      <c r="F138" s="277">
        <v>44593</v>
      </c>
      <c r="G138" s="277">
        <v>45160</v>
      </c>
      <c r="H138" s="275" t="s">
        <v>32</v>
      </c>
      <c r="I138" s="275" t="s">
        <v>42</v>
      </c>
      <c r="J138" s="286"/>
      <c r="K138" s="275" t="s">
        <v>39</v>
      </c>
      <c r="L138" s="275" t="s">
        <v>40</v>
      </c>
      <c r="M138" s="275" t="s">
        <v>41</v>
      </c>
      <c r="V138" s="1">
        <f t="shared" si="31"/>
        <v>0</v>
      </c>
      <c r="W138" s="1">
        <v>5</v>
      </c>
      <c r="X138" s="1">
        <v>3</v>
      </c>
      <c r="AE138" s="1">
        <f t="shared" si="32"/>
        <v>8</v>
      </c>
      <c r="AF138" s="1">
        <f t="shared" si="33"/>
        <v>5</v>
      </c>
      <c r="AG138" s="1">
        <f t="shared" si="34"/>
        <v>3</v>
      </c>
      <c r="AH138" s="1">
        <f t="shared" si="35"/>
        <v>0</v>
      </c>
      <c r="AI138" s="1">
        <f t="shared" si="36"/>
        <v>0</v>
      </c>
      <c r="AJ138" s="1">
        <f t="shared" si="37"/>
        <v>0</v>
      </c>
      <c r="AK138" s="1">
        <f t="shared" si="38"/>
        <v>0</v>
      </c>
      <c r="AL138" s="1">
        <f t="shared" si="39"/>
        <v>0</v>
      </c>
      <c r="AM138" s="1">
        <f t="shared" si="40"/>
        <v>0</v>
      </c>
      <c r="AN138" s="278">
        <f t="shared" si="30"/>
        <v>8</v>
      </c>
      <c r="AP138" s="280"/>
      <c r="AQ138" s="1">
        <v>8</v>
      </c>
      <c r="AU138" s="281"/>
      <c r="AZ138" s="281"/>
      <c r="BG138" s="282">
        <f t="shared" si="41"/>
        <v>8</v>
      </c>
      <c r="BH138" s="282">
        <f t="shared" si="42"/>
        <v>8</v>
      </c>
      <c r="BI138" s="283">
        <f t="shared" si="43"/>
        <v>8</v>
      </c>
      <c r="BL138" s="1">
        <v>515045</v>
      </c>
      <c r="BM138" s="1">
        <v>171153</v>
      </c>
      <c r="BN138" s="1" t="s">
        <v>1600</v>
      </c>
      <c r="BO138" s="1" t="s">
        <v>1563</v>
      </c>
      <c r="BW138" s="284" t="s">
        <v>27</v>
      </c>
    </row>
    <row r="139" spans="1:76" ht="15" customHeight="1" x14ac:dyDescent="0.25">
      <c r="A139" s="275" t="s">
        <v>485</v>
      </c>
      <c r="B139" s="276" t="s">
        <v>21</v>
      </c>
      <c r="D139" s="277">
        <v>44328</v>
      </c>
      <c r="E139" s="277">
        <v>45424</v>
      </c>
      <c r="F139" s="277">
        <v>44593</v>
      </c>
      <c r="H139" s="275" t="s">
        <v>32</v>
      </c>
      <c r="I139" s="275" t="s">
        <v>1473</v>
      </c>
      <c r="J139" s="286"/>
      <c r="K139" s="275" t="s">
        <v>486</v>
      </c>
      <c r="L139" s="275" t="s">
        <v>487</v>
      </c>
      <c r="M139" s="275" t="s">
        <v>488</v>
      </c>
      <c r="P139" s="1">
        <v>1</v>
      </c>
      <c r="V139" s="1">
        <f t="shared" si="31"/>
        <v>1</v>
      </c>
      <c r="AA139" s="1">
        <v>1</v>
      </c>
      <c r="AE139" s="1">
        <f t="shared" si="32"/>
        <v>1</v>
      </c>
      <c r="AF139" s="1">
        <f t="shared" si="33"/>
        <v>0</v>
      </c>
      <c r="AG139" s="1">
        <f t="shared" si="34"/>
        <v>-1</v>
      </c>
      <c r="AH139" s="1">
        <f t="shared" si="35"/>
        <v>0</v>
      </c>
      <c r="AI139" s="1">
        <f t="shared" si="36"/>
        <v>0</v>
      </c>
      <c r="AJ139" s="1">
        <f t="shared" si="37"/>
        <v>1</v>
      </c>
      <c r="AK139" s="1">
        <f t="shared" si="38"/>
        <v>0</v>
      </c>
      <c r="AL139" s="1">
        <f t="shared" si="39"/>
        <v>0</v>
      </c>
      <c r="AM139" s="1">
        <f t="shared" si="40"/>
        <v>0</v>
      </c>
      <c r="AN139" s="278">
        <f t="shared" si="30"/>
        <v>0</v>
      </c>
      <c r="AP139" s="280"/>
      <c r="AQ139" s="1">
        <v>0</v>
      </c>
      <c r="AU139" s="281"/>
      <c r="AZ139" s="281"/>
      <c r="BG139" s="282">
        <f t="shared" si="41"/>
        <v>0</v>
      </c>
      <c r="BH139" s="282">
        <f t="shared" si="42"/>
        <v>0</v>
      </c>
      <c r="BI139" s="283">
        <f t="shared" si="43"/>
        <v>0</v>
      </c>
      <c r="BL139" s="1">
        <v>513278</v>
      </c>
      <c r="BM139" s="1">
        <v>170135</v>
      </c>
      <c r="BN139" s="1" t="s">
        <v>1600</v>
      </c>
      <c r="BO139" s="1" t="s">
        <v>1400</v>
      </c>
      <c r="BW139" s="284" t="s">
        <v>27</v>
      </c>
    </row>
    <row r="140" spans="1:76" ht="15" customHeight="1" x14ac:dyDescent="0.25">
      <c r="A140" s="275" t="s">
        <v>489</v>
      </c>
      <c r="B140" s="276" t="s">
        <v>21</v>
      </c>
      <c r="D140" s="277">
        <v>44524</v>
      </c>
      <c r="E140" s="277">
        <v>45620</v>
      </c>
      <c r="F140" s="277">
        <v>44593</v>
      </c>
      <c r="H140" s="275" t="s">
        <v>32</v>
      </c>
      <c r="I140" s="275" t="s">
        <v>1473</v>
      </c>
      <c r="J140" s="286"/>
      <c r="K140" s="275" t="s">
        <v>490</v>
      </c>
      <c r="L140" s="275" t="s">
        <v>491</v>
      </c>
      <c r="M140" s="275" t="s">
        <v>492</v>
      </c>
      <c r="R140" s="1">
        <v>1</v>
      </c>
      <c r="V140" s="1">
        <f t="shared" si="31"/>
        <v>1</v>
      </c>
      <c r="AA140" s="1">
        <v>1</v>
      </c>
      <c r="AE140" s="1">
        <f t="shared" si="32"/>
        <v>1</v>
      </c>
      <c r="AF140" s="1">
        <f t="shared" si="33"/>
        <v>0</v>
      </c>
      <c r="AG140" s="1">
        <f t="shared" si="34"/>
        <v>0</v>
      </c>
      <c r="AH140" s="1">
        <f t="shared" si="35"/>
        <v>0</v>
      </c>
      <c r="AI140" s="1">
        <f t="shared" si="36"/>
        <v>-1</v>
      </c>
      <c r="AJ140" s="1">
        <f t="shared" si="37"/>
        <v>1</v>
      </c>
      <c r="AK140" s="1">
        <f t="shared" si="38"/>
        <v>0</v>
      </c>
      <c r="AL140" s="1">
        <f t="shared" si="39"/>
        <v>0</v>
      </c>
      <c r="AM140" s="1">
        <f t="shared" si="40"/>
        <v>0</v>
      </c>
      <c r="AN140" s="278">
        <f t="shared" si="30"/>
        <v>0</v>
      </c>
      <c r="AP140" s="280"/>
      <c r="AQ140" s="1">
        <v>0</v>
      </c>
      <c r="AU140" s="281"/>
      <c r="AZ140" s="281"/>
      <c r="BG140" s="282">
        <f t="shared" si="41"/>
        <v>0</v>
      </c>
      <c r="BH140" s="282">
        <f t="shared" si="42"/>
        <v>0</v>
      </c>
      <c r="BI140" s="283">
        <f t="shared" si="43"/>
        <v>0</v>
      </c>
      <c r="BL140" s="1">
        <v>520008</v>
      </c>
      <c r="BM140" s="1">
        <v>174808</v>
      </c>
      <c r="BN140" s="1" t="s">
        <v>1599</v>
      </c>
      <c r="BO140" s="1" t="s">
        <v>1384</v>
      </c>
      <c r="BU140" s="284" t="s">
        <v>1722</v>
      </c>
      <c r="BV140" s="284" t="s">
        <v>27</v>
      </c>
      <c r="BW140" s="284" t="s">
        <v>27</v>
      </c>
    </row>
    <row r="141" spans="1:76" ht="15" customHeight="1" x14ac:dyDescent="0.25">
      <c r="A141" s="275" t="s">
        <v>715</v>
      </c>
      <c r="B141" s="276" t="s">
        <v>21</v>
      </c>
      <c r="D141" s="277">
        <v>43419</v>
      </c>
      <c r="E141" s="277">
        <v>44695</v>
      </c>
      <c r="F141" s="277">
        <v>44621</v>
      </c>
      <c r="H141" s="275" t="s">
        <v>32</v>
      </c>
      <c r="I141" s="275" t="s">
        <v>1473</v>
      </c>
      <c r="J141" s="286"/>
      <c r="K141" s="275" t="s">
        <v>716</v>
      </c>
      <c r="L141" s="275" t="s">
        <v>717</v>
      </c>
      <c r="M141" s="275" t="s">
        <v>718</v>
      </c>
      <c r="V141" s="1">
        <f t="shared" si="31"/>
        <v>0</v>
      </c>
      <c r="W141" s="1">
        <v>1</v>
      </c>
      <c r="AE141" s="1">
        <f t="shared" si="32"/>
        <v>1</v>
      </c>
      <c r="AF141" s="1">
        <f t="shared" si="33"/>
        <v>1</v>
      </c>
      <c r="AG141" s="1">
        <f t="shared" si="34"/>
        <v>0</v>
      </c>
      <c r="AH141" s="1">
        <f t="shared" si="35"/>
        <v>0</v>
      </c>
      <c r="AI141" s="1">
        <f t="shared" si="36"/>
        <v>0</v>
      </c>
      <c r="AJ141" s="1">
        <f t="shared" si="37"/>
        <v>0</v>
      </c>
      <c r="AK141" s="1">
        <f t="shared" si="38"/>
        <v>0</v>
      </c>
      <c r="AL141" s="1">
        <f t="shared" si="39"/>
        <v>0</v>
      </c>
      <c r="AM141" s="1">
        <f t="shared" si="40"/>
        <v>0</v>
      </c>
      <c r="AN141" s="278">
        <f t="shared" si="30"/>
        <v>1</v>
      </c>
      <c r="AP141" s="280"/>
      <c r="AQ141" s="1">
        <v>1</v>
      </c>
      <c r="AU141" s="281"/>
      <c r="AZ141" s="281"/>
      <c r="BG141" s="282">
        <f t="shared" si="41"/>
        <v>1</v>
      </c>
      <c r="BH141" s="282">
        <f t="shared" si="42"/>
        <v>1</v>
      </c>
      <c r="BI141" s="283">
        <f t="shared" si="43"/>
        <v>1</v>
      </c>
      <c r="BL141" s="1">
        <v>516598</v>
      </c>
      <c r="BM141" s="1">
        <v>174330</v>
      </c>
      <c r="BN141" s="1" t="s">
        <v>1389</v>
      </c>
      <c r="BO141" s="1" t="s">
        <v>1561</v>
      </c>
      <c r="BW141" s="284" t="s">
        <v>27</v>
      </c>
    </row>
    <row r="142" spans="1:76" ht="15" customHeight="1" x14ac:dyDescent="0.25">
      <c r="A142" s="275" t="s">
        <v>799</v>
      </c>
      <c r="B142" s="276" t="s">
        <v>49</v>
      </c>
      <c r="D142" s="277">
        <v>44427</v>
      </c>
      <c r="E142" s="277">
        <v>45523</v>
      </c>
      <c r="F142" s="277">
        <v>44621</v>
      </c>
      <c r="H142" s="275" t="s">
        <v>32</v>
      </c>
      <c r="I142" s="275" t="s">
        <v>1473</v>
      </c>
      <c r="J142" s="286"/>
      <c r="K142" s="275" t="s">
        <v>800</v>
      </c>
      <c r="L142" s="275" t="s">
        <v>801</v>
      </c>
      <c r="M142" s="275" t="s">
        <v>802</v>
      </c>
      <c r="V142" s="1">
        <f t="shared" si="31"/>
        <v>0</v>
      </c>
      <c r="W142" s="1">
        <v>2</v>
      </c>
      <c r="X142" s="1">
        <v>4</v>
      </c>
      <c r="AE142" s="1">
        <f t="shared" si="32"/>
        <v>6</v>
      </c>
      <c r="AF142" s="1">
        <f t="shared" si="33"/>
        <v>2</v>
      </c>
      <c r="AG142" s="1">
        <f t="shared" si="34"/>
        <v>4</v>
      </c>
      <c r="AH142" s="1">
        <f t="shared" si="35"/>
        <v>0</v>
      </c>
      <c r="AI142" s="1">
        <f t="shared" si="36"/>
        <v>0</v>
      </c>
      <c r="AJ142" s="1">
        <f t="shared" si="37"/>
        <v>0</v>
      </c>
      <c r="AK142" s="1">
        <f t="shared" si="38"/>
        <v>0</v>
      </c>
      <c r="AL142" s="1">
        <f t="shared" si="39"/>
        <v>0</v>
      </c>
      <c r="AM142" s="1">
        <f t="shared" si="40"/>
        <v>0</v>
      </c>
      <c r="AN142" s="278">
        <f t="shared" si="30"/>
        <v>6</v>
      </c>
      <c r="AP142" s="280"/>
      <c r="AQ142" s="1">
        <v>3</v>
      </c>
      <c r="AR142" s="1">
        <v>3</v>
      </c>
      <c r="AU142" s="281"/>
      <c r="AZ142" s="281"/>
      <c r="BG142" s="282">
        <f t="shared" si="41"/>
        <v>6</v>
      </c>
      <c r="BH142" s="282">
        <f t="shared" si="42"/>
        <v>6</v>
      </c>
      <c r="BI142" s="283">
        <f t="shared" si="43"/>
        <v>6</v>
      </c>
      <c r="BL142" s="1">
        <v>516610</v>
      </c>
      <c r="BM142" s="1">
        <v>175362</v>
      </c>
      <c r="BN142" s="1" t="s">
        <v>1389</v>
      </c>
      <c r="BO142" s="1" t="s">
        <v>1561</v>
      </c>
      <c r="BU142" s="284" t="s">
        <v>1723</v>
      </c>
      <c r="BV142" s="284" t="s">
        <v>27</v>
      </c>
      <c r="BX142" s="1" t="s">
        <v>27</v>
      </c>
    </row>
    <row r="143" spans="1:76" ht="15" customHeight="1" x14ac:dyDescent="0.25">
      <c r="A143" s="275" t="s">
        <v>481</v>
      </c>
      <c r="B143" s="276" t="s">
        <v>21</v>
      </c>
      <c r="D143" s="277">
        <v>43558</v>
      </c>
      <c r="E143" s="277">
        <v>44654</v>
      </c>
      <c r="F143" s="277">
        <v>44636</v>
      </c>
      <c r="H143" s="275" t="s">
        <v>32</v>
      </c>
      <c r="I143" s="275" t="s">
        <v>1473</v>
      </c>
      <c r="J143" s="286"/>
      <c r="K143" s="275" t="s">
        <v>482</v>
      </c>
      <c r="L143" s="275" t="s">
        <v>483</v>
      </c>
      <c r="M143" s="275" t="s">
        <v>484</v>
      </c>
      <c r="O143" s="1">
        <v>3</v>
      </c>
      <c r="V143" s="1">
        <f t="shared" si="31"/>
        <v>3</v>
      </c>
      <c r="W143" s="1">
        <v>1</v>
      </c>
      <c r="X143" s="1">
        <v>7</v>
      </c>
      <c r="AE143" s="1">
        <f t="shared" si="32"/>
        <v>8</v>
      </c>
      <c r="AF143" s="1">
        <f t="shared" si="33"/>
        <v>-2</v>
      </c>
      <c r="AG143" s="1">
        <f t="shared" si="34"/>
        <v>7</v>
      </c>
      <c r="AH143" s="1">
        <f t="shared" si="35"/>
        <v>0</v>
      </c>
      <c r="AI143" s="1">
        <f t="shared" si="36"/>
        <v>0</v>
      </c>
      <c r="AJ143" s="1">
        <f t="shared" si="37"/>
        <v>0</v>
      </c>
      <c r="AK143" s="1">
        <f t="shared" si="38"/>
        <v>0</v>
      </c>
      <c r="AL143" s="1">
        <f t="shared" si="39"/>
        <v>0</v>
      </c>
      <c r="AM143" s="1">
        <f t="shared" si="40"/>
        <v>0</v>
      </c>
      <c r="AN143" s="278">
        <f t="shared" si="30"/>
        <v>5</v>
      </c>
      <c r="AP143" s="280"/>
      <c r="AQ143" s="1">
        <v>5</v>
      </c>
      <c r="AU143" s="281"/>
      <c r="AZ143" s="281"/>
      <c r="BG143" s="282">
        <f t="shared" si="41"/>
        <v>5</v>
      </c>
      <c r="BH143" s="282">
        <f t="shared" si="42"/>
        <v>5</v>
      </c>
      <c r="BI143" s="283">
        <f t="shared" si="43"/>
        <v>5</v>
      </c>
      <c r="BL143" s="1">
        <v>517622</v>
      </c>
      <c r="BM143" s="1">
        <v>169605</v>
      </c>
      <c r="BN143" s="1" t="s">
        <v>1600</v>
      </c>
      <c r="BO143" s="1" t="s">
        <v>1559</v>
      </c>
      <c r="BQ143" s="284" t="s">
        <v>1386</v>
      </c>
      <c r="BR143" s="284" t="s">
        <v>1710</v>
      </c>
      <c r="BS143" s="284" t="s">
        <v>27</v>
      </c>
      <c r="BU143" s="284" t="s">
        <v>1691</v>
      </c>
      <c r="BV143" s="284" t="s">
        <v>27</v>
      </c>
      <c r="BW143" s="284" t="s">
        <v>27</v>
      </c>
    </row>
    <row r="144" spans="1:76" ht="15" customHeight="1" x14ac:dyDescent="0.25">
      <c r="A144" s="275" t="s">
        <v>675</v>
      </c>
      <c r="B144" s="276" t="s">
        <v>21</v>
      </c>
      <c r="D144" s="277">
        <v>44103</v>
      </c>
      <c r="E144" s="277">
        <v>45355</v>
      </c>
      <c r="F144" s="277">
        <v>44651</v>
      </c>
      <c r="H144" s="275" t="s">
        <v>32</v>
      </c>
      <c r="I144" s="275" t="s">
        <v>1473</v>
      </c>
      <c r="J144" s="286"/>
      <c r="K144" s="275" t="s">
        <v>676</v>
      </c>
      <c r="L144" s="275" t="s">
        <v>677</v>
      </c>
      <c r="M144" s="275" t="s">
        <v>678</v>
      </c>
      <c r="R144" s="1">
        <v>1</v>
      </c>
      <c r="V144" s="1">
        <f t="shared" si="31"/>
        <v>1</v>
      </c>
      <c r="W144" s="1">
        <v>1</v>
      </c>
      <c r="X144" s="1">
        <v>7</v>
      </c>
      <c r="Y144" s="1">
        <v>1</v>
      </c>
      <c r="AE144" s="1">
        <f t="shared" si="32"/>
        <v>9</v>
      </c>
      <c r="AF144" s="1">
        <f t="shared" si="33"/>
        <v>1</v>
      </c>
      <c r="AG144" s="1">
        <f t="shared" si="34"/>
        <v>7</v>
      </c>
      <c r="AH144" s="1">
        <f t="shared" si="35"/>
        <v>1</v>
      </c>
      <c r="AI144" s="1">
        <f t="shared" si="36"/>
        <v>-1</v>
      </c>
      <c r="AJ144" s="1">
        <f t="shared" si="37"/>
        <v>0</v>
      </c>
      <c r="AK144" s="1">
        <f t="shared" si="38"/>
        <v>0</v>
      </c>
      <c r="AL144" s="1">
        <f t="shared" si="39"/>
        <v>0</v>
      </c>
      <c r="AM144" s="1">
        <f t="shared" si="40"/>
        <v>0</v>
      </c>
      <c r="AN144" s="278">
        <f t="shared" si="30"/>
        <v>8</v>
      </c>
      <c r="AP144" s="280"/>
      <c r="AQ144" s="1">
        <v>8</v>
      </c>
      <c r="AU144" s="281"/>
      <c r="AZ144" s="281"/>
      <c r="BG144" s="282">
        <f t="shared" si="41"/>
        <v>8</v>
      </c>
      <c r="BH144" s="282">
        <f t="shared" si="42"/>
        <v>8</v>
      </c>
      <c r="BI144" s="283">
        <f t="shared" si="43"/>
        <v>8</v>
      </c>
      <c r="BL144" s="1">
        <v>513824</v>
      </c>
      <c r="BM144" s="1">
        <v>171219</v>
      </c>
      <c r="BN144" s="1" t="s">
        <v>1600</v>
      </c>
      <c r="BO144" s="1" t="s">
        <v>1401</v>
      </c>
      <c r="BX144" s="1" t="s">
        <v>27</v>
      </c>
    </row>
    <row r="145" spans="1:76" ht="15" customHeight="1" x14ac:dyDescent="0.25">
      <c r="A145" s="275" t="s">
        <v>516</v>
      </c>
      <c r="B145" s="276" t="s">
        <v>21</v>
      </c>
      <c r="D145" s="277">
        <v>43990</v>
      </c>
      <c r="E145" s="277">
        <v>45085</v>
      </c>
      <c r="F145" s="277">
        <v>44667</v>
      </c>
      <c r="H145" s="275" t="s">
        <v>32</v>
      </c>
      <c r="I145" s="275" t="s">
        <v>1473</v>
      </c>
      <c r="J145" s="286"/>
      <c r="K145" s="275" t="s">
        <v>517</v>
      </c>
      <c r="L145" s="275" t="s">
        <v>518</v>
      </c>
      <c r="M145" s="275" t="s">
        <v>519</v>
      </c>
      <c r="Q145" s="1">
        <v>1</v>
      </c>
      <c r="V145" s="1">
        <f t="shared" si="31"/>
        <v>1</v>
      </c>
      <c r="Z145" s="1">
        <v>4</v>
      </c>
      <c r="AE145" s="1">
        <f t="shared" si="32"/>
        <v>4</v>
      </c>
      <c r="AF145" s="1">
        <f t="shared" si="33"/>
        <v>0</v>
      </c>
      <c r="AG145" s="1">
        <f t="shared" si="34"/>
        <v>0</v>
      </c>
      <c r="AH145" s="1">
        <f t="shared" si="35"/>
        <v>-1</v>
      </c>
      <c r="AI145" s="1">
        <f t="shared" si="36"/>
        <v>4</v>
      </c>
      <c r="AJ145" s="1">
        <f t="shared" si="37"/>
        <v>0</v>
      </c>
      <c r="AK145" s="1">
        <f t="shared" si="38"/>
        <v>0</v>
      </c>
      <c r="AL145" s="1">
        <f t="shared" si="39"/>
        <v>0</v>
      </c>
      <c r="AM145" s="1">
        <f t="shared" si="40"/>
        <v>0</v>
      </c>
      <c r="AN145" s="278">
        <f t="shared" si="30"/>
        <v>3</v>
      </c>
      <c r="AP145" s="280"/>
      <c r="AQ145" s="1">
        <v>3</v>
      </c>
      <c r="AU145" s="281"/>
      <c r="AZ145" s="281"/>
      <c r="BG145" s="282">
        <f t="shared" si="41"/>
        <v>3</v>
      </c>
      <c r="BH145" s="282">
        <f t="shared" si="42"/>
        <v>3</v>
      </c>
      <c r="BI145" s="283">
        <f t="shared" si="43"/>
        <v>3</v>
      </c>
      <c r="BL145" s="1">
        <v>513614</v>
      </c>
      <c r="BM145" s="1">
        <v>173545</v>
      </c>
      <c r="BN145" s="1" t="s">
        <v>1391</v>
      </c>
      <c r="BO145" s="1" t="s">
        <v>1402</v>
      </c>
      <c r="BW145" s="284" t="s">
        <v>27</v>
      </c>
      <c r="BX145" s="1" t="s">
        <v>27</v>
      </c>
    </row>
    <row r="146" spans="1:76" ht="15" customHeight="1" x14ac:dyDescent="0.25">
      <c r="A146" s="275" t="s">
        <v>500</v>
      </c>
      <c r="B146" s="276" t="s">
        <v>144</v>
      </c>
      <c r="D146" s="277">
        <v>44169</v>
      </c>
      <c r="E146" s="277">
        <v>45264</v>
      </c>
      <c r="F146" s="277">
        <v>44670</v>
      </c>
      <c r="H146" s="275" t="s">
        <v>32</v>
      </c>
      <c r="I146" s="275" t="s">
        <v>1473</v>
      </c>
      <c r="J146" s="286"/>
      <c r="K146" s="275" t="s">
        <v>501</v>
      </c>
      <c r="L146" s="275" t="s">
        <v>502</v>
      </c>
      <c r="M146" s="275" t="s">
        <v>503</v>
      </c>
      <c r="Q146" s="1">
        <v>1</v>
      </c>
      <c r="V146" s="1">
        <f t="shared" si="31"/>
        <v>1</v>
      </c>
      <c r="W146" s="1">
        <v>2</v>
      </c>
      <c r="AE146" s="1">
        <f t="shared" si="32"/>
        <v>2</v>
      </c>
      <c r="AF146" s="1">
        <f t="shared" si="33"/>
        <v>2</v>
      </c>
      <c r="AG146" s="1">
        <f t="shared" si="34"/>
        <v>0</v>
      </c>
      <c r="AH146" s="1">
        <f t="shared" si="35"/>
        <v>-1</v>
      </c>
      <c r="AI146" s="1">
        <f t="shared" si="36"/>
        <v>0</v>
      </c>
      <c r="AJ146" s="1">
        <f t="shared" si="37"/>
        <v>0</v>
      </c>
      <c r="AK146" s="1">
        <f t="shared" si="38"/>
        <v>0</v>
      </c>
      <c r="AL146" s="1">
        <f t="shared" si="39"/>
        <v>0</v>
      </c>
      <c r="AM146" s="1">
        <f t="shared" si="40"/>
        <v>0</v>
      </c>
      <c r="AN146" s="278">
        <f t="shared" si="30"/>
        <v>1</v>
      </c>
      <c r="AP146" s="280"/>
      <c r="AQ146" s="1">
        <v>0.5</v>
      </c>
      <c r="AR146" s="1">
        <v>0.5</v>
      </c>
      <c r="AU146" s="281"/>
      <c r="AZ146" s="281"/>
      <c r="BG146" s="282">
        <f t="shared" si="41"/>
        <v>1</v>
      </c>
      <c r="BH146" s="282">
        <f t="shared" si="42"/>
        <v>1</v>
      </c>
      <c r="BI146" s="283">
        <f t="shared" si="43"/>
        <v>1</v>
      </c>
      <c r="BL146" s="1">
        <v>520166</v>
      </c>
      <c r="BM146" s="1">
        <v>175305</v>
      </c>
      <c r="BN146" s="1" t="s">
        <v>1599</v>
      </c>
      <c r="BO146" s="1" t="s">
        <v>1384</v>
      </c>
      <c r="BP146" s="284" t="s">
        <v>1384</v>
      </c>
      <c r="BW146" s="284" t="s">
        <v>27</v>
      </c>
    </row>
    <row r="147" spans="1:76" ht="15" customHeight="1" x14ac:dyDescent="0.25">
      <c r="A147" s="275" t="s">
        <v>477</v>
      </c>
      <c r="B147" s="276" t="s">
        <v>49</v>
      </c>
      <c r="D147" s="277">
        <v>44134</v>
      </c>
      <c r="E147" s="277">
        <v>45558</v>
      </c>
      <c r="F147" s="277">
        <v>44682</v>
      </c>
      <c r="H147" s="275" t="s">
        <v>32</v>
      </c>
      <c r="I147" s="275" t="s">
        <v>1473</v>
      </c>
      <c r="J147" s="286"/>
      <c r="K147" s="275" t="s">
        <v>478</v>
      </c>
      <c r="L147" s="275" t="s">
        <v>479</v>
      </c>
      <c r="M147" s="275" t="s">
        <v>480</v>
      </c>
      <c r="O147" s="1">
        <v>1</v>
      </c>
      <c r="V147" s="1">
        <f t="shared" si="31"/>
        <v>1</v>
      </c>
      <c r="X147" s="1">
        <v>1</v>
      </c>
      <c r="AE147" s="1">
        <f t="shared" si="32"/>
        <v>1</v>
      </c>
      <c r="AF147" s="1">
        <f t="shared" si="33"/>
        <v>-1</v>
      </c>
      <c r="AG147" s="1">
        <f t="shared" si="34"/>
        <v>1</v>
      </c>
      <c r="AH147" s="1">
        <f t="shared" si="35"/>
        <v>0</v>
      </c>
      <c r="AI147" s="1">
        <f t="shared" si="36"/>
        <v>0</v>
      </c>
      <c r="AJ147" s="1">
        <f t="shared" si="37"/>
        <v>0</v>
      </c>
      <c r="AK147" s="1">
        <f t="shared" si="38"/>
        <v>0</v>
      </c>
      <c r="AL147" s="1">
        <f t="shared" si="39"/>
        <v>0</v>
      </c>
      <c r="AM147" s="1">
        <f t="shared" si="40"/>
        <v>0</v>
      </c>
      <c r="AN147" s="278">
        <f t="shared" si="30"/>
        <v>0</v>
      </c>
      <c r="AP147" s="280"/>
      <c r="AQ147" s="1">
        <v>0</v>
      </c>
      <c r="AU147" s="281"/>
      <c r="AZ147" s="281"/>
      <c r="BG147" s="282">
        <f t="shared" si="41"/>
        <v>0</v>
      </c>
      <c r="BH147" s="282">
        <f t="shared" si="42"/>
        <v>0</v>
      </c>
      <c r="BI147" s="283">
        <f t="shared" si="43"/>
        <v>0</v>
      </c>
      <c r="BL147" s="1">
        <v>513893</v>
      </c>
      <c r="BM147" s="1">
        <v>169502</v>
      </c>
      <c r="BN147" s="1" t="s">
        <v>1600</v>
      </c>
      <c r="BO147" s="1" t="s">
        <v>1400</v>
      </c>
      <c r="BQ147" s="284" t="s">
        <v>1386</v>
      </c>
      <c r="BR147" s="284" t="s">
        <v>1694</v>
      </c>
      <c r="BS147" s="284" t="s">
        <v>27</v>
      </c>
      <c r="BU147" s="284" t="s">
        <v>1693</v>
      </c>
      <c r="BV147" s="284" t="s">
        <v>27</v>
      </c>
      <c r="BW147" s="284" t="s">
        <v>27</v>
      </c>
    </row>
    <row r="148" spans="1:76" ht="15" customHeight="1" x14ac:dyDescent="0.25">
      <c r="A148" s="275" t="s">
        <v>599</v>
      </c>
      <c r="B148" s="276" t="s">
        <v>21</v>
      </c>
      <c r="D148" s="277">
        <v>43609</v>
      </c>
      <c r="E148" s="277">
        <v>44705</v>
      </c>
      <c r="F148" s="277">
        <v>44709</v>
      </c>
      <c r="H148" s="275" t="s">
        <v>32</v>
      </c>
      <c r="I148" s="275" t="s">
        <v>1473</v>
      </c>
      <c r="J148" s="286"/>
      <c r="K148" s="275" t="s">
        <v>600</v>
      </c>
      <c r="L148" s="275" t="s">
        <v>601</v>
      </c>
      <c r="M148" s="275" t="s">
        <v>602</v>
      </c>
      <c r="Q148" s="1">
        <v>1</v>
      </c>
      <c r="V148" s="1">
        <f t="shared" si="31"/>
        <v>1</v>
      </c>
      <c r="Y148" s="1">
        <v>1</v>
      </c>
      <c r="AE148" s="1">
        <f t="shared" si="32"/>
        <v>1</v>
      </c>
      <c r="AF148" s="1">
        <f t="shared" si="33"/>
        <v>0</v>
      </c>
      <c r="AG148" s="1">
        <f t="shared" si="34"/>
        <v>0</v>
      </c>
      <c r="AH148" s="1">
        <f t="shared" si="35"/>
        <v>0</v>
      </c>
      <c r="AI148" s="1">
        <f t="shared" si="36"/>
        <v>0</v>
      </c>
      <c r="AJ148" s="1">
        <f t="shared" si="37"/>
        <v>0</v>
      </c>
      <c r="AK148" s="1">
        <f t="shared" si="38"/>
        <v>0</v>
      </c>
      <c r="AL148" s="1">
        <f t="shared" si="39"/>
        <v>0</v>
      </c>
      <c r="AM148" s="1">
        <f t="shared" si="40"/>
        <v>0</v>
      </c>
      <c r="AN148" s="278">
        <f t="shared" si="30"/>
        <v>0</v>
      </c>
      <c r="AP148" s="280"/>
      <c r="AQ148" s="1">
        <v>0</v>
      </c>
      <c r="AU148" s="281"/>
      <c r="AZ148" s="281"/>
      <c r="BG148" s="282">
        <f t="shared" si="41"/>
        <v>0</v>
      </c>
      <c r="BH148" s="282">
        <f t="shared" si="42"/>
        <v>0</v>
      </c>
      <c r="BI148" s="283">
        <f t="shared" si="43"/>
        <v>0</v>
      </c>
      <c r="BL148" s="1">
        <v>514720</v>
      </c>
      <c r="BM148" s="1">
        <v>172712</v>
      </c>
      <c r="BN148" s="1" t="s">
        <v>1389</v>
      </c>
      <c r="BO148" s="1" t="s">
        <v>1408</v>
      </c>
    </row>
    <row r="149" spans="1:76" ht="15" customHeight="1" x14ac:dyDescent="0.25">
      <c r="A149" s="275" t="s">
        <v>741</v>
      </c>
      <c r="B149" s="276" t="s">
        <v>21</v>
      </c>
      <c r="D149" s="277">
        <v>43433</v>
      </c>
      <c r="E149" s="277">
        <v>44814</v>
      </c>
      <c r="F149" s="277">
        <v>44718</v>
      </c>
      <c r="H149" s="275" t="s">
        <v>32</v>
      </c>
      <c r="I149" s="275" t="s">
        <v>1473</v>
      </c>
      <c r="J149" s="286"/>
      <c r="K149" s="275" t="s">
        <v>742</v>
      </c>
      <c r="L149" s="275" t="s">
        <v>743</v>
      </c>
      <c r="M149" s="275" t="s">
        <v>744</v>
      </c>
      <c r="V149" s="1">
        <f t="shared" si="31"/>
        <v>0</v>
      </c>
      <c r="X149" s="1">
        <v>2</v>
      </c>
      <c r="AE149" s="1">
        <f t="shared" si="32"/>
        <v>2</v>
      </c>
      <c r="AF149" s="1">
        <f t="shared" si="33"/>
        <v>0</v>
      </c>
      <c r="AG149" s="1">
        <f t="shared" si="34"/>
        <v>2</v>
      </c>
      <c r="AH149" s="1">
        <f t="shared" si="35"/>
        <v>0</v>
      </c>
      <c r="AI149" s="1">
        <f t="shared" si="36"/>
        <v>0</v>
      </c>
      <c r="AJ149" s="1">
        <f t="shared" si="37"/>
        <v>0</v>
      </c>
      <c r="AK149" s="1">
        <f t="shared" si="38"/>
        <v>0</v>
      </c>
      <c r="AL149" s="1">
        <f t="shared" si="39"/>
        <v>0</v>
      </c>
      <c r="AM149" s="1">
        <f t="shared" si="40"/>
        <v>0</v>
      </c>
      <c r="AN149" s="278">
        <f t="shared" si="30"/>
        <v>2</v>
      </c>
      <c r="AP149" s="280"/>
      <c r="AQ149" s="1">
        <v>2</v>
      </c>
      <c r="AU149" s="281"/>
      <c r="AZ149" s="281"/>
      <c r="BG149" s="282">
        <f t="shared" si="41"/>
        <v>2</v>
      </c>
      <c r="BH149" s="282">
        <f t="shared" si="42"/>
        <v>2</v>
      </c>
      <c r="BI149" s="283">
        <f t="shared" si="43"/>
        <v>2</v>
      </c>
      <c r="BL149" s="1">
        <v>513221</v>
      </c>
      <c r="BM149" s="1">
        <v>170897</v>
      </c>
      <c r="BN149" s="1" t="s">
        <v>1600</v>
      </c>
      <c r="BO149" s="1" t="s">
        <v>1401</v>
      </c>
    </row>
    <row r="150" spans="1:76" ht="15" customHeight="1" x14ac:dyDescent="0.25">
      <c r="A150" s="275" t="s">
        <v>788</v>
      </c>
      <c r="B150" s="276" t="s">
        <v>49</v>
      </c>
      <c r="C150" s="1" t="s">
        <v>1262</v>
      </c>
      <c r="D150" s="277">
        <v>44952</v>
      </c>
      <c r="E150" s="277">
        <v>45683</v>
      </c>
      <c r="F150" s="277">
        <v>44774</v>
      </c>
      <c r="H150" s="275" t="s">
        <v>32</v>
      </c>
      <c r="I150" s="275" t="s">
        <v>1473</v>
      </c>
      <c r="J150" s="286"/>
      <c r="K150" s="275" t="s">
        <v>789</v>
      </c>
      <c r="L150" s="275" t="s">
        <v>790</v>
      </c>
      <c r="M150" s="275" t="s">
        <v>791</v>
      </c>
      <c r="V150" s="1">
        <f t="shared" si="31"/>
        <v>0</v>
      </c>
      <c r="X150" s="1">
        <v>1</v>
      </c>
      <c r="AE150" s="1">
        <f t="shared" si="32"/>
        <v>1</v>
      </c>
      <c r="AF150" s="1">
        <f t="shared" si="33"/>
        <v>0</v>
      </c>
      <c r="AG150" s="1">
        <f t="shared" si="34"/>
        <v>1</v>
      </c>
      <c r="AH150" s="1">
        <f t="shared" si="35"/>
        <v>0</v>
      </c>
      <c r="AI150" s="1">
        <f t="shared" si="36"/>
        <v>0</v>
      </c>
      <c r="AJ150" s="1">
        <f t="shared" si="37"/>
        <v>0</v>
      </c>
      <c r="AK150" s="1">
        <f t="shared" si="38"/>
        <v>0</v>
      </c>
      <c r="AL150" s="1">
        <f t="shared" si="39"/>
        <v>0</v>
      </c>
      <c r="AM150" s="1">
        <f t="shared" si="40"/>
        <v>0</v>
      </c>
      <c r="AN150" s="278">
        <f t="shared" si="30"/>
        <v>1</v>
      </c>
      <c r="AP150" s="280"/>
      <c r="AQ150" s="1">
        <v>0.5</v>
      </c>
      <c r="AR150" s="1">
        <v>0.5</v>
      </c>
      <c r="AU150" s="281"/>
      <c r="AZ150" s="281"/>
      <c r="BG150" s="282">
        <f t="shared" si="41"/>
        <v>1</v>
      </c>
      <c r="BH150" s="282">
        <f t="shared" si="42"/>
        <v>1</v>
      </c>
      <c r="BI150" s="283">
        <f t="shared" si="43"/>
        <v>1</v>
      </c>
      <c r="BL150" s="1">
        <v>519074</v>
      </c>
      <c r="BM150" s="1">
        <v>176043</v>
      </c>
      <c r="BN150" s="1" t="s">
        <v>1385</v>
      </c>
      <c r="BO150" s="1" t="s">
        <v>1403</v>
      </c>
      <c r="BW150" s="284" t="s">
        <v>27</v>
      </c>
    </row>
    <row r="151" spans="1:76" ht="15" customHeight="1" x14ac:dyDescent="0.25">
      <c r="A151" s="275" t="s">
        <v>547</v>
      </c>
      <c r="B151" s="276" t="s">
        <v>21</v>
      </c>
      <c r="D151" s="277">
        <v>44410</v>
      </c>
      <c r="E151" s="277">
        <v>45506</v>
      </c>
      <c r="F151" s="277">
        <v>44804</v>
      </c>
      <c r="H151" s="275" t="s">
        <v>32</v>
      </c>
      <c r="I151" s="275" t="s">
        <v>1473</v>
      </c>
      <c r="J151" s="286"/>
      <c r="K151" s="275" t="s">
        <v>548</v>
      </c>
      <c r="L151" s="275" t="s">
        <v>549</v>
      </c>
      <c r="M151" s="275" t="s">
        <v>550</v>
      </c>
      <c r="Q151" s="1">
        <v>1</v>
      </c>
      <c r="V151" s="1">
        <f t="shared" si="31"/>
        <v>1</v>
      </c>
      <c r="AA151" s="1">
        <v>1</v>
      </c>
      <c r="AE151" s="1">
        <f t="shared" si="32"/>
        <v>1</v>
      </c>
      <c r="AF151" s="1">
        <f t="shared" si="33"/>
        <v>0</v>
      </c>
      <c r="AG151" s="1">
        <f t="shared" si="34"/>
        <v>0</v>
      </c>
      <c r="AH151" s="1">
        <f t="shared" si="35"/>
        <v>-1</v>
      </c>
      <c r="AI151" s="1">
        <f t="shared" si="36"/>
        <v>0</v>
      </c>
      <c r="AJ151" s="1">
        <f t="shared" si="37"/>
        <v>1</v>
      </c>
      <c r="AK151" s="1">
        <f t="shared" si="38"/>
        <v>0</v>
      </c>
      <c r="AL151" s="1">
        <f t="shared" si="39"/>
        <v>0</v>
      </c>
      <c r="AM151" s="1">
        <f t="shared" si="40"/>
        <v>0</v>
      </c>
      <c r="AN151" s="278">
        <f t="shared" si="30"/>
        <v>0</v>
      </c>
      <c r="AP151" s="280"/>
      <c r="AQ151" s="1">
        <v>0</v>
      </c>
      <c r="AU151" s="281"/>
      <c r="AZ151" s="281"/>
      <c r="BG151" s="282">
        <f t="shared" si="41"/>
        <v>0</v>
      </c>
      <c r="BH151" s="282">
        <f t="shared" si="42"/>
        <v>0</v>
      </c>
      <c r="BI151" s="283">
        <f t="shared" si="43"/>
        <v>0</v>
      </c>
      <c r="BL151" s="1">
        <v>513403</v>
      </c>
      <c r="BM151" s="1">
        <v>174165</v>
      </c>
      <c r="BN151" s="1" t="s">
        <v>1391</v>
      </c>
      <c r="BO151" s="1" t="s">
        <v>1391</v>
      </c>
      <c r="BW151" s="284" t="s">
        <v>27</v>
      </c>
    </row>
    <row r="152" spans="1:76" ht="15" customHeight="1" x14ac:dyDescent="0.25">
      <c r="A152" s="275" t="s">
        <v>442</v>
      </c>
      <c r="B152" s="276" t="s">
        <v>49</v>
      </c>
      <c r="D152" s="277">
        <v>44407</v>
      </c>
      <c r="E152" s="277">
        <v>45503</v>
      </c>
      <c r="F152" s="277">
        <v>44804</v>
      </c>
      <c r="H152" s="275" t="s">
        <v>32</v>
      </c>
      <c r="I152" s="275" t="s">
        <v>1473</v>
      </c>
      <c r="J152" s="286"/>
      <c r="K152" s="275" t="s">
        <v>443</v>
      </c>
      <c r="L152" s="275" t="s">
        <v>444</v>
      </c>
      <c r="M152" s="275" t="s">
        <v>154</v>
      </c>
      <c r="S152" s="1">
        <v>1</v>
      </c>
      <c r="V152" s="1">
        <f t="shared" si="31"/>
        <v>1</v>
      </c>
      <c r="W152" s="1">
        <v>2</v>
      </c>
      <c r="AE152" s="1">
        <f t="shared" si="32"/>
        <v>2</v>
      </c>
      <c r="AF152" s="1">
        <f t="shared" si="33"/>
        <v>2</v>
      </c>
      <c r="AG152" s="1">
        <f t="shared" si="34"/>
        <v>0</v>
      </c>
      <c r="AH152" s="1">
        <f t="shared" si="35"/>
        <v>0</v>
      </c>
      <c r="AI152" s="1">
        <f t="shared" si="36"/>
        <v>0</v>
      </c>
      <c r="AJ152" s="1">
        <f t="shared" si="37"/>
        <v>-1</v>
      </c>
      <c r="AK152" s="1">
        <f t="shared" si="38"/>
        <v>0</v>
      </c>
      <c r="AL152" s="1">
        <f t="shared" si="39"/>
        <v>0</v>
      </c>
      <c r="AM152" s="1">
        <f t="shared" si="40"/>
        <v>0</v>
      </c>
      <c r="AN152" s="278">
        <f t="shared" si="30"/>
        <v>1</v>
      </c>
      <c r="AP152" s="280"/>
      <c r="AQ152" s="1">
        <v>1</v>
      </c>
      <c r="AU152" s="281"/>
      <c r="AZ152" s="281"/>
      <c r="BG152" s="282">
        <f t="shared" si="41"/>
        <v>1</v>
      </c>
      <c r="BH152" s="282">
        <f t="shared" si="42"/>
        <v>1</v>
      </c>
      <c r="BI152" s="283">
        <f t="shared" si="43"/>
        <v>1</v>
      </c>
      <c r="BL152" s="1">
        <v>515822</v>
      </c>
      <c r="BM152" s="1">
        <v>173145</v>
      </c>
      <c r="BN152" s="1" t="s">
        <v>1389</v>
      </c>
      <c r="BO152" s="1" t="s">
        <v>1406</v>
      </c>
      <c r="BP152" s="284" t="s">
        <v>1389</v>
      </c>
      <c r="BW152" s="284" t="s">
        <v>27</v>
      </c>
    </row>
    <row r="153" spans="1:76" ht="15" customHeight="1" x14ac:dyDescent="0.25">
      <c r="A153" s="275" t="s">
        <v>473</v>
      </c>
      <c r="B153" s="276" t="s">
        <v>21</v>
      </c>
      <c r="D153" s="277">
        <v>43698</v>
      </c>
      <c r="E153" s="277">
        <v>44794</v>
      </c>
      <c r="F153" s="277">
        <v>44805</v>
      </c>
      <c r="H153" s="275" t="s">
        <v>32</v>
      </c>
      <c r="I153" s="275" t="s">
        <v>1473</v>
      </c>
      <c r="J153" s="286"/>
      <c r="K153" s="275" t="s">
        <v>474</v>
      </c>
      <c r="L153" s="275" t="s">
        <v>475</v>
      </c>
      <c r="M153" s="275" t="s">
        <v>476</v>
      </c>
      <c r="P153" s="1">
        <v>1</v>
      </c>
      <c r="V153" s="1">
        <f t="shared" si="31"/>
        <v>1</v>
      </c>
      <c r="Z153" s="1">
        <v>1</v>
      </c>
      <c r="AE153" s="1">
        <f t="shared" si="32"/>
        <v>1</v>
      </c>
      <c r="AF153" s="1">
        <f t="shared" si="33"/>
        <v>0</v>
      </c>
      <c r="AG153" s="1">
        <f t="shared" si="34"/>
        <v>-1</v>
      </c>
      <c r="AH153" s="1">
        <f t="shared" si="35"/>
        <v>0</v>
      </c>
      <c r="AI153" s="1">
        <f t="shared" si="36"/>
        <v>1</v>
      </c>
      <c r="AJ153" s="1">
        <f t="shared" si="37"/>
        <v>0</v>
      </c>
      <c r="AK153" s="1">
        <f t="shared" si="38"/>
        <v>0</v>
      </c>
      <c r="AL153" s="1">
        <f t="shared" si="39"/>
        <v>0</v>
      </c>
      <c r="AM153" s="1">
        <f t="shared" si="40"/>
        <v>0</v>
      </c>
      <c r="AN153" s="278">
        <f t="shared" si="30"/>
        <v>0</v>
      </c>
      <c r="AP153" s="280"/>
      <c r="AQ153" s="1">
        <v>0</v>
      </c>
      <c r="AU153" s="281"/>
      <c r="AZ153" s="281"/>
      <c r="BG153" s="282">
        <f t="shared" si="41"/>
        <v>0</v>
      </c>
      <c r="BH153" s="282">
        <f t="shared" si="42"/>
        <v>0</v>
      </c>
      <c r="BI153" s="283">
        <f t="shared" si="43"/>
        <v>0</v>
      </c>
      <c r="BL153" s="1">
        <v>515806</v>
      </c>
      <c r="BM153" s="1">
        <v>172455</v>
      </c>
      <c r="BN153" s="1" t="s">
        <v>1389</v>
      </c>
      <c r="BO153" s="1" t="s">
        <v>1406</v>
      </c>
      <c r="BW153" s="284" t="s">
        <v>27</v>
      </c>
    </row>
    <row r="154" spans="1:76" ht="15" customHeight="1" x14ac:dyDescent="0.25">
      <c r="A154" s="275" t="s">
        <v>780</v>
      </c>
      <c r="B154" s="276" t="s">
        <v>49</v>
      </c>
      <c r="D154" s="277">
        <v>44796</v>
      </c>
      <c r="E154" s="277">
        <v>45892</v>
      </c>
      <c r="F154" s="277">
        <v>44805</v>
      </c>
      <c r="H154" s="275" t="s">
        <v>32</v>
      </c>
      <c r="I154" s="275" t="s">
        <v>1473</v>
      </c>
      <c r="J154" s="286"/>
      <c r="K154" s="275" t="s">
        <v>781</v>
      </c>
      <c r="L154" s="275" t="s">
        <v>782</v>
      </c>
      <c r="M154" s="275" t="s">
        <v>783</v>
      </c>
      <c r="V154" s="1">
        <f t="shared" si="31"/>
        <v>0</v>
      </c>
      <c r="Y154" s="1">
        <v>1</v>
      </c>
      <c r="AE154" s="1">
        <f t="shared" si="32"/>
        <v>1</v>
      </c>
      <c r="AF154" s="1">
        <f t="shared" si="33"/>
        <v>0</v>
      </c>
      <c r="AG154" s="1">
        <f t="shared" si="34"/>
        <v>0</v>
      </c>
      <c r="AH154" s="1">
        <f t="shared" si="35"/>
        <v>1</v>
      </c>
      <c r="AI154" s="1">
        <f t="shared" si="36"/>
        <v>0</v>
      </c>
      <c r="AJ154" s="1">
        <f t="shared" si="37"/>
        <v>0</v>
      </c>
      <c r="AK154" s="1">
        <f t="shared" si="38"/>
        <v>0</v>
      </c>
      <c r="AL154" s="1">
        <f t="shared" si="39"/>
        <v>0</v>
      </c>
      <c r="AM154" s="1">
        <f t="shared" si="40"/>
        <v>0</v>
      </c>
      <c r="AN154" s="278">
        <f t="shared" si="30"/>
        <v>1</v>
      </c>
      <c r="AP154" s="280"/>
      <c r="AQ154" s="1">
        <v>0.5</v>
      </c>
      <c r="AR154" s="1">
        <v>0.5</v>
      </c>
      <c r="AU154" s="281"/>
      <c r="AZ154" s="281"/>
      <c r="BG154" s="282">
        <f t="shared" si="41"/>
        <v>1</v>
      </c>
      <c r="BH154" s="282">
        <f t="shared" si="42"/>
        <v>1</v>
      </c>
      <c r="BI154" s="283">
        <f t="shared" si="43"/>
        <v>1</v>
      </c>
      <c r="BL154" s="1">
        <v>517302</v>
      </c>
      <c r="BM154" s="1">
        <v>172517</v>
      </c>
      <c r="BN154" s="1" t="s">
        <v>1601</v>
      </c>
      <c r="BO154" s="1" t="s">
        <v>1560</v>
      </c>
      <c r="BT154" s="284" t="s">
        <v>1724</v>
      </c>
      <c r="BU154" s="284" t="s">
        <v>1725</v>
      </c>
      <c r="BV154" s="284" t="s">
        <v>27</v>
      </c>
    </row>
    <row r="155" spans="1:76" ht="15" customHeight="1" x14ac:dyDescent="0.25">
      <c r="A155" s="275" t="s">
        <v>567</v>
      </c>
      <c r="B155" s="276" t="s">
        <v>144</v>
      </c>
      <c r="D155" s="277">
        <v>44537</v>
      </c>
      <c r="E155" s="277">
        <v>45633</v>
      </c>
      <c r="F155" s="277">
        <v>44805</v>
      </c>
      <c r="G155" s="277">
        <v>45194</v>
      </c>
      <c r="H155" s="275" t="s">
        <v>32</v>
      </c>
      <c r="I155" s="275" t="s">
        <v>1473</v>
      </c>
      <c r="J155" s="286"/>
      <c r="K155" s="275" t="s">
        <v>568</v>
      </c>
      <c r="L155" s="275" t="s">
        <v>569</v>
      </c>
      <c r="M155" s="275" t="s">
        <v>570</v>
      </c>
      <c r="Q155" s="1">
        <v>1</v>
      </c>
      <c r="V155" s="1">
        <f t="shared" si="31"/>
        <v>1</v>
      </c>
      <c r="X155" s="1">
        <v>2</v>
      </c>
      <c r="AE155" s="1">
        <f t="shared" si="32"/>
        <v>2</v>
      </c>
      <c r="AF155" s="1">
        <f t="shared" si="33"/>
        <v>0</v>
      </c>
      <c r="AG155" s="1">
        <f t="shared" si="34"/>
        <v>2</v>
      </c>
      <c r="AH155" s="1">
        <f t="shared" si="35"/>
        <v>-1</v>
      </c>
      <c r="AI155" s="1">
        <f t="shared" si="36"/>
        <v>0</v>
      </c>
      <c r="AJ155" s="1">
        <f t="shared" si="37"/>
        <v>0</v>
      </c>
      <c r="AK155" s="1">
        <f t="shared" si="38"/>
        <v>0</v>
      </c>
      <c r="AL155" s="1">
        <f t="shared" si="39"/>
        <v>0</v>
      </c>
      <c r="AM155" s="1">
        <f t="shared" si="40"/>
        <v>0</v>
      </c>
      <c r="AN155" s="278">
        <f t="shared" si="30"/>
        <v>1</v>
      </c>
      <c r="AP155" s="280"/>
      <c r="AQ155" s="1">
        <v>1</v>
      </c>
      <c r="AU155" s="281"/>
      <c r="AZ155" s="281"/>
      <c r="BG155" s="282">
        <f t="shared" si="41"/>
        <v>1</v>
      </c>
      <c r="BH155" s="282">
        <f t="shared" si="42"/>
        <v>1</v>
      </c>
      <c r="BI155" s="283">
        <f t="shared" si="43"/>
        <v>1</v>
      </c>
      <c r="BL155" s="1">
        <v>518834</v>
      </c>
      <c r="BM155" s="1">
        <v>175928</v>
      </c>
      <c r="BN155" s="1" t="s">
        <v>1385</v>
      </c>
      <c r="BO155" s="1" t="s">
        <v>1403</v>
      </c>
      <c r="BW155" s="284" t="s">
        <v>27</v>
      </c>
    </row>
    <row r="156" spans="1:76" ht="15" customHeight="1" x14ac:dyDescent="0.25">
      <c r="A156" s="275" t="s">
        <v>463</v>
      </c>
      <c r="B156" s="276" t="s">
        <v>144</v>
      </c>
      <c r="D156" s="277">
        <v>44627</v>
      </c>
      <c r="E156" s="277">
        <v>45723</v>
      </c>
      <c r="F156" s="277">
        <v>44805</v>
      </c>
      <c r="H156" s="275" t="s">
        <v>32</v>
      </c>
      <c r="I156" s="275" t="s">
        <v>1473</v>
      </c>
      <c r="J156" s="286"/>
      <c r="K156" s="275" t="s">
        <v>464</v>
      </c>
      <c r="L156" s="275" t="s">
        <v>465</v>
      </c>
      <c r="M156" s="275" t="s">
        <v>466</v>
      </c>
      <c r="P156" s="1">
        <v>2</v>
      </c>
      <c r="V156" s="1">
        <f t="shared" si="31"/>
        <v>2</v>
      </c>
      <c r="Z156" s="1">
        <v>1</v>
      </c>
      <c r="AE156" s="1">
        <f t="shared" si="32"/>
        <v>1</v>
      </c>
      <c r="AF156" s="1">
        <f t="shared" si="33"/>
        <v>0</v>
      </c>
      <c r="AG156" s="1">
        <f t="shared" si="34"/>
        <v>-2</v>
      </c>
      <c r="AH156" s="1">
        <f t="shared" si="35"/>
        <v>0</v>
      </c>
      <c r="AI156" s="1">
        <f t="shared" si="36"/>
        <v>1</v>
      </c>
      <c r="AJ156" s="1">
        <f t="shared" si="37"/>
        <v>0</v>
      </c>
      <c r="AK156" s="1">
        <f t="shared" si="38"/>
        <v>0</v>
      </c>
      <c r="AL156" s="1">
        <f t="shared" si="39"/>
        <v>0</v>
      </c>
      <c r="AM156" s="1">
        <f t="shared" si="40"/>
        <v>0</v>
      </c>
      <c r="AN156" s="278">
        <f t="shared" si="30"/>
        <v>-1</v>
      </c>
      <c r="AP156" s="280"/>
      <c r="AQ156" s="1">
        <v>-0.5</v>
      </c>
      <c r="AR156" s="1">
        <v>-0.5</v>
      </c>
      <c r="AU156" s="281"/>
      <c r="AZ156" s="281"/>
      <c r="BG156" s="282">
        <f t="shared" si="41"/>
        <v>-1</v>
      </c>
      <c r="BH156" s="282">
        <f t="shared" si="42"/>
        <v>-1</v>
      </c>
      <c r="BI156" s="283">
        <f t="shared" si="43"/>
        <v>-1</v>
      </c>
      <c r="BL156" s="1">
        <v>522359</v>
      </c>
      <c r="BM156" s="1">
        <v>176498</v>
      </c>
      <c r="BN156" s="1" t="s">
        <v>1599</v>
      </c>
      <c r="BO156" s="1" t="s">
        <v>1399</v>
      </c>
      <c r="BU156" s="284" t="s">
        <v>1726</v>
      </c>
      <c r="BV156" s="284" t="s">
        <v>27</v>
      </c>
      <c r="BW156" s="284" t="s">
        <v>27</v>
      </c>
    </row>
    <row r="157" spans="1:76" ht="15" customHeight="1" x14ac:dyDescent="0.25">
      <c r="A157" s="275" t="s">
        <v>551</v>
      </c>
      <c r="B157" s="276" t="s">
        <v>49</v>
      </c>
      <c r="C157" s="1" t="s">
        <v>1262</v>
      </c>
      <c r="D157" s="277">
        <v>44644</v>
      </c>
      <c r="E157" s="277">
        <v>45740</v>
      </c>
      <c r="F157" s="277">
        <v>44805</v>
      </c>
      <c r="G157" s="277">
        <v>45112</v>
      </c>
      <c r="H157" s="275" t="s">
        <v>32</v>
      </c>
      <c r="I157" s="275" t="s">
        <v>1473</v>
      </c>
      <c r="J157" s="286"/>
      <c r="K157" s="275" t="s">
        <v>552</v>
      </c>
      <c r="L157" s="275" t="s">
        <v>553</v>
      </c>
      <c r="M157" s="275" t="s">
        <v>554</v>
      </c>
      <c r="V157" s="1">
        <f t="shared" si="31"/>
        <v>0</v>
      </c>
      <c r="Y157" s="1">
        <v>1</v>
      </c>
      <c r="AA157" s="1">
        <v>1</v>
      </c>
      <c r="AE157" s="1">
        <f t="shared" si="32"/>
        <v>2</v>
      </c>
      <c r="AF157" s="1">
        <f t="shared" si="33"/>
        <v>0</v>
      </c>
      <c r="AG157" s="1">
        <f t="shared" si="34"/>
        <v>0</v>
      </c>
      <c r="AH157" s="1">
        <f t="shared" si="35"/>
        <v>1</v>
      </c>
      <c r="AI157" s="1">
        <f t="shared" si="36"/>
        <v>0</v>
      </c>
      <c r="AJ157" s="1">
        <f t="shared" si="37"/>
        <v>1</v>
      </c>
      <c r="AK157" s="1">
        <f t="shared" si="38"/>
        <v>0</v>
      </c>
      <c r="AL157" s="1">
        <f t="shared" si="39"/>
        <v>0</v>
      </c>
      <c r="AM157" s="1">
        <f t="shared" si="40"/>
        <v>0</v>
      </c>
      <c r="AN157" s="278">
        <f t="shared" si="30"/>
        <v>2</v>
      </c>
      <c r="AP157" s="280"/>
      <c r="AQ157" s="1">
        <v>2</v>
      </c>
      <c r="AU157" s="281"/>
      <c r="AZ157" s="281"/>
      <c r="BG157" s="282">
        <f t="shared" si="41"/>
        <v>2</v>
      </c>
      <c r="BH157" s="282">
        <f t="shared" si="42"/>
        <v>2</v>
      </c>
      <c r="BI157" s="283">
        <f t="shared" si="43"/>
        <v>2</v>
      </c>
      <c r="BL157" s="1">
        <v>516346</v>
      </c>
      <c r="BM157" s="1">
        <v>173774</v>
      </c>
      <c r="BN157" s="1" t="s">
        <v>1389</v>
      </c>
      <c r="BO157" s="1" t="s">
        <v>1407</v>
      </c>
      <c r="BW157" s="284" t="s">
        <v>27</v>
      </c>
    </row>
    <row r="158" spans="1:76" ht="15" customHeight="1" x14ac:dyDescent="0.25">
      <c r="A158" s="275" t="s">
        <v>434</v>
      </c>
      <c r="B158" s="276" t="s">
        <v>21</v>
      </c>
      <c r="D158" s="277">
        <v>44043</v>
      </c>
      <c r="E158" s="277">
        <v>45138</v>
      </c>
      <c r="F158" s="277">
        <v>44809</v>
      </c>
      <c r="H158" s="275" t="s">
        <v>32</v>
      </c>
      <c r="I158" s="275" t="s">
        <v>1473</v>
      </c>
      <c r="J158" s="286"/>
      <c r="K158" s="275" t="s">
        <v>435</v>
      </c>
      <c r="L158" s="275" t="s">
        <v>436</v>
      </c>
      <c r="M158" s="275" t="s">
        <v>437</v>
      </c>
      <c r="Q158" s="1">
        <v>1</v>
      </c>
      <c r="V158" s="1">
        <f t="shared" si="31"/>
        <v>1</v>
      </c>
      <c r="Z158" s="1">
        <v>2</v>
      </c>
      <c r="AE158" s="1">
        <f t="shared" si="32"/>
        <v>2</v>
      </c>
      <c r="AF158" s="1">
        <f t="shared" si="33"/>
        <v>0</v>
      </c>
      <c r="AG158" s="1">
        <f t="shared" si="34"/>
        <v>0</v>
      </c>
      <c r="AH158" s="1">
        <f t="shared" si="35"/>
        <v>-1</v>
      </c>
      <c r="AI158" s="1">
        <f t="shared" si="36"/>
        <v>2</v>
      </c>
      <c r="AJ158" s="1">
        <f t="shared" si="37"/>
        <v>0</v>
      </c>
      <c r="AK158" s="1">
        <f t="shared" si="38"/>
        <v>0</v>
      </c>
      <c r="AL158" s="1">
        <f t="shared" si="39"/>
        <v>0</v>
      </c>
      <c r="AM158" s="1">
        <f t="shared" si="40"/>
        <v>0</v>
      </c>
      <c r="AN158" s="278">
        <f t="shared" si="30"/>
        <v>1</v>
      </c>
      <c r="AP158" s="280"/>
      <c r="AQ158" s="1">
        <v>1</v>
      </c>
      <c r="AU158" s="281"/>
      <c r="AZ158" s="281"/>
      <c r="BG158" s="282">
        <f t="shared" si="41"/>
        <v>1</v>
      </c>
      <c r="BH158" s="282">
        <f t="shared" si="42"/>
        <v>1</v>
      </c>
      <c r="BI158" s="283">
        <f t="shared" si="43"/>
        <v>1</v>
      </c>
      <c r="BL158" s="1">
        <v>513725</v>
      </c>
      <c r="BM158" s="1">
        <v>170629</v>
      </c>
      <c r="BN158" s="1" t="s">
        <v>1600</v>
      </c>
      <c r="BO158" s="1" t="s">
        <v>1401</v>
      </c>
    </row>
    <row r="159" spans="1:76" ht="15" customHeight="1" x14ac:dyDescent="0.25">
      <c r="A159" s="275" t="s">
        <v>563</v>
      </c>
      <c r="B159" s="276" t="s">
        <v>21</v>
      </c>
      <c r="D159" s="277">
        <v>43755</v>
      </c>
      <c r="E159" s="277">
        <v>44851</v>
      </c>
      <c r="F159" s="277">
        <v>44811</v>
      </c>
      <c r="H159" s="275" t="s">
        <v>32</v>
      </c>
      <c r="I159" s="275" t="s">
        <v>1473</v>
      </c>
      <c r="J159" s="286"/>
      <c r="K159" s="275" t="s">
        <v>564</v>
      </c>
      <c r="L159" s="275" t="s">
        <v>565</v>
      </c>
      <c r="M159" s="275" t="s">
        <v>566</v>
      </c>
      <c r="V159" s="1">
        <f t="shared" si="31"/>
        <v>0</v>
      </c>
      <c r="Z159" s="1">
        <v>1</v>
      </c>
      <c r="AE159" s="1">
        <f t="shared" si="32"/>
        <v>1</v>
      </c>
      <c r="AF159" s="1">
        <f t="shared" si="33"/>
        <v>0</v>
      </c>
      <c r="AG159" s="1">
        <f t="shared" si="34"/>
        <v>0</v>
      </c>
      <c r="AH159" s="1">
        <f t="shared" si="35"/>
        <v>0</v>
      </c>
      <c r="AI159" s="1">
        <f t="shared" si="36"/>
        <v>1</v>
      </c>
      <c r="AJ159" s="1">
        <f t="shared" si="37"/>
        <v>0</v>
      </c>
      <c r="AK159" s="1">
        <f t="shared" si="38"/>
        <v>0</v>
      </c>
      <c r="AL159" s="1">
        <f t="shared" si="39"/>
        <v>0</v>
      </c>
      <c r="AM159" s="1">
        <f t="shared" si="40"/>
        <v>0</v>
      </c>
      <c r="AN159" s="278">
        <f t="shared" si="30"/>
        <v>1</v>
      </c>
      <c r="AP159" s="280"/>
      <c r="AQ159" s="1">
        <v>1</v>
      </c>
      <c r="AU159" s="281"/>
      <c r="AZ159" s="281"/>
      <c r="BG159" s="282">
        <f t="shared" si="41"/>
        <v>1</v>
      </c>
      <c r="BH159" s="282">
        <f t="shared" si="42"/>
        <v>1</v>
      </c>
      <c r="BI159" s="283">
        <f t="shared" si="43"/>
        <v>1</v>
      </c>
      <c r="BL159" s="1">
        <v>516550</v>
      </c>
      <c r="BM159" s="1">
        <v>171027</v>
      </c>
      <c r="BN159" s="1" t="s">
        <v>1600</v>
      </c>
      <c r="BO159" s="1" t="s">
        <v>1559</v>
      </c>
      <c r="BW159" s="284" t="s">
        <v>27</v>
      </c>
    </row>
    <row r="160" spans="1:76" ht="15" customHeight="1" x14ac:dyDescent="0.25">
      <c r="A160" s="275" t="s">
        <v>734</v>
      </c>
      <c r="B160" s="276" t="s">
        <v>21</v>
      </c>
      <c r="D160" s="277">
        <v>44323</v>
      </c>
      <c r="E160" s="277">
        <v>45419</v>
      </c>
      <c r="F160" s="277">
        <v>44835</v>
      </c>
      <c r="H160" s="275" t="s">
        <v>32</v>
      </c>
      <c r="I160" s="275" t="s">
        <v>1473</v>
      </c>
      <c r="J160" s="286"/>
      <c r="K160" s="275" t="s">
        <v>735</v>
      </c>
      <c r="L160" s="275" t="s">
        <v>736</v>
      </c>
      <c r="M160" s="275" t="s">
        <v>388</v>
      </c>
      <c r="V160" s="1">
        <f t="shared" si="31"/>
        <v>0</v>
      </c>
      <c r="X160" s="1">
        <v>1</v>
      </c>
      <c r="AE160" s="1">
        <f t="shared" si="32"/>
        <v>1</v>
      </c>
      <c r="AF160" s="1">
        <f t="shared" si="33"/>
        <v>0</v>
      </c>
      <c r="AG160" s="1">
        <f t="shared" si="34"/>
        <v>1</v>
      </c>
      <c r="AH160" s="1">
        <f t="shared" si="35"/>
        <v>0</v>
      </c>
      <c r="AI160" s="1">
        <f t="shared" si="36"/>
        <v>0</v>
      </c>
      <c r="AJ160" s="1">
        <f t="shared" si="37"/>
        <v>0</v>
      </c>
      <c r="AK160" s="1">
        <f t="shared" si="38"/>
        <v>0</v>
      </c>
      <c r="AL160" s="1">
        <f t="shared" si="39"/>
        <v>0</v>
      </c>
      <c r="AM160" s="1">
        <f t="shared" si="40"/>
        <v>0</v>
      </c>
      <c r="AN160" s="278">
        <f t="shared" si="30"/>
        <v>1</v>
      </c>
      <c r="AP160" s="280"/>
      <c r="AQ160" s="1">
        <v>1</v>
      </c>
      <c r="AU160" s="281"/>
      <c r="AZ160" s="281"/>
      <c r="BG160" s="282">
        <f t="shared" si="41"/>
        <v>1</v>
      </c>
      <c r="BH160" s="282">
        <f t="shared" si="42"/>
        <v>1</v>
      </c>
      <c r="BI160" s="283">
        <f t="shared" si="43"/>
        <v>1</v>
      </c>
      <c r="BL160" s="1">
        <v>520935</v>
      </c>
      <c r="BM160" s="1">
        <v>175143</v>
      </c>
      <c r="BN160" s="1" t="s">
        <v>1599</v>
      </c>
      <c r="BO160" s="1" t="s">
        <v>1384</v>
      </c>
      <c r="BW160" s="284" t="s">
        <v>27</v>
      </c>
    </row>
    <row r="161" spans="1:75" ht="15" customHeight="1" x14ac:dyDescent="0.25">
      <c r="A161" s="275" t="s">
        <v>712</v>
      </c>
      <c r="B161" s="276" t="s">
        <v>144</v>
      </c>
      <c r="D161" s="277">
        <v>44785</v>
      </c>
      <c r="E161" s="277">
        <v>45881</v>
      </c>
      <c r="F161" s="277">
        <v>44835</v>
      </c>
      <c r="H161" s="275" t="s">
        <v>32</v>
      </c>
      <c r="I161" s="275" t="s">
        <v>1473</v>
      </c>
      <c r="J161" s="286"/>
      <c r="K161" s="275" t="s">
        <v>713</v>
      </c>
      <c r="L161" s="275" t="s">
        <v>714</v>
      </c>
      <c r="M161" s="275" t="s">
        <v>342</v>
      </c>
      <c r="P161" s="1">
        <v>3</v>
      </c>
      <c r="V161" s="1">
        <f t="shared" si="31"/>
        <v>3</v>
      </c>
      <c r="AB161" s="1">
        <v>1</v>
      </c>
      <c r="AE161" s="1">
        <f t="shared" si="32"/>
        <v>1</v>
      </c>
      <c r="AF161" s="1">
        <f t="shared" si="33"/>
        <v>0</v>
      </c>
      <c r="AG161" s="1">
        <f t="shared" si="34"/>
        <v>-3</v>
      </c>
      <c r="AH161" s="1">
        <f t="shared" si="35"/>
        <v>0</v>
      </c>
      <c r="AI161" s="1">
        <f t="shared" si="36"/>
        <v>0</v>
      </c>
      <c r="AJ161" s="1">
        <f t="shared" si="37"/>
        <v>0</v>
      </c>
      <c r="AK161" s="1">
        <f t="shared" si="38"/>
        <v>1</v>
      </c>
      <c r="AL161" s="1">
        <f t="shared" si="39"/>
        <v>0</v>
      </c>
      <c r="AM161" s="1">
        <f t="shared" si="40"/>
        <v>0</v>
      </c>
      <c r="AN161" s="278">
        <f t="shared" si="30"/>
        <v>-2</v>
      </c>
      <c r="AP161" s="280"/>
      <c r="AQ161" s="1">
        <v>-1</v>
      </c>
      <c r="AR161" s="1">
        <v>-1</v>
      </c>
      <c r="AU161" s="281"/>
      <c r="AZ161" s="281"/>
      <c r="BG161" s="282">
        <f t="shared" si="41"/>
        <v>-2</v>
      </c>
      <c r="BH161" s="282">
        <f t="shared" si="42"/>
        <v>-2</v>
      </c>
      <c r="BI161" s="283">
        <f t="shared" si="43"/>
        <v>-2</v>
      </c>
      <c r="BL161" s="1">
        <v>516423</v>
      </c>
      <c r="BM161" s="1">
        <v>171233</v>
      </c>
      <c r="BN161" s="1" t="s">
        <v>1600</v>
      </c>
      <c r="BO161" s="1" t="s">
        <v>1387</v>
      </c>
      <c r="BU161" s="284" t="s">
        <v>1727</v>
      </c>
      <c r="BV161" s="284" t="s">
        <v>27</v>
      </c>
      <c r="BW161" s="284" t="s">
        <v>27</v>
      </c>
    </row>
    <row r="162" spans="1:75" ht="15" customHeight="1" x14ac:dyDescent="0.25">
      <c r="A162" s="275" t="s">
        <v>559</v>
      </c>
      <c r="B162" s="276" t="s">
        <v>49</v>
      </c>
      <c r="C162" s="1" t="s">
        <v>1262</v>
      </c>
      <c r="D162" s="277">
        <v>44813</v>
      </c>
      <c r="E162" s="277">
        <v>45909</v>
      </c>
      <c r="F162" s="277">
        <v>44837</v>
      </c>
      <c r="H162" s="275" t="s">
        <v>32</v>
      </c>
      <c r="I162" s="275" t="s">
        <v>1473</v>
      </c>
      <c r="J162" s="286"/>
      <c r="K162" s="275" t="s">
        <v>560</v>
      </c>
      <c r="L162" s="275" t="s">
        <v>561</v>
      </c>
      <c r="M162" s="275" t="s">
        <v>562</v>
      </c>
      <c r="V162" s="1">
        <f t="shared" si="31"/>
        <v>0</v>
      </c>
      <c r="X162" s="1">
        <v>1</v>
      </c>
      <c r="AE162" s="1">
        <f t="shared" si="32"/>
        <v>1</v>
      </c>
      <c r="AF162" s="1">
        <f t="shared" si="33"/>
        <v>0</v>
      </c>
      <c r="AG162" s="1">
        <f t="shared" si="34"/>
        <v>1</v>
      </c>
      <c r="AH162" s="1">
        <f t="shared" si="35"/>
        <v>0</v>
      </c>
      <c r="AI162" s="1">
        <f t="shared" si="36"/>
        <v>0</v>
      </c>
      <c r="AJ162" s="1">
        <f t="shared" si="37"/>
        <v>0</v>
      </c>
      <c r="AK162" s="1">
        <f t="shared" si="38"/>
        <v>0</v>
      </c>
      <c r="AL162" s="1">
        <f t="shared" si="39"/>
        <v>0</v>
      </c>
      <c r="AM162" s="1">
        <f t="shared" si="40"/>
        <v>0</v>
      </c>
      <c r="AN162" s="278">
        <f t="shared" si="30"/>
        <v>1</v>
      </c>
      <c r="AP162" s="280"/>
      <c r="AQ162" s="1">
        <v>0.5</v>
      </c>
      <c r="AR162" s="1">
        <v>0.5</v>
      </c>
      <c r="AU162" s="281"/>
      <c r="AZ162" s="281"/>
      <c r="BG162" s="282">
        <f t="shared" si="41"/>
        <v>1</v>
      </c>
      <c r="BH162" s="282">
        <f t="shared" si="42"/>
        <v>1</v>
      </c>
      <c r="BI162" s="283">
        <f t="shared" si="43"/>
        <v>1</v>
      </c>
      <c r="BL162" s="1">
        <v>516880</v>
      </c>
      <c r="BM162" s="1">
        <v>174106</v>
      </c>
      <c r="BN162" s="1" t="s">
        <v>1389</v>
      </c>
      <c r="BO162" s="1" t="s">
        <v>1561</v>
      </c>
      <c r="BR162" s="284" t="s">
        <v>1709</v>
      </c>
      <c r="BS162" s="284" t="s">
        <v>27</v>
      </c>
      <c r="BU162" s="284" t="s">
        <v>1712</v>
      </c>
      <c r="BV162" s="284" t="s">
        <v>27</v>
      </c>
      <c r="BW162" s="284" t="s">
        <v>27</v>
      </c>
    </row>
    <row r="163" spans="1:75" ht="15" customHeight="1" x14ac:dyDescent="0.25">
      <c r="A163" s="275" t="s">
        <v>623</v>
      </c>
      <c r="B163" s="276" t="s">
        <v>21</v>
      </c>
      <c r="D163" s="277">
        <v>44497</v>
      </c>
      <c r="E163" s="277">
        <v>45593</v>
      </c>
      <c r="F163" s="277">
        <v>44855</v>
      </c>
      <c r="H163" s="275" t="s">
        <v>32</v>
      </c>
      <c r="I163" s="275" t="s">
        <v>1473</v>
      </c>
      <c r="J163" s="286"/>
      <c r="K163" s="275" t="s">
        <v>624</v>
      </c>
      <c r="L163" s="275" t="s">
        <v>625</v>
      </c>
      <c r="M163" s="275" t="s">
        <v>626</v>
      </c>
      <c r="Q163" s="1">
        <v>1</v>
      </c>
      <c r="V163" s="1">
        <f t="shared" si="31"/>
        <v>1</v>
      </c>
      <c r="AA163" s="1">
        <v>1</v>
      </c>
      <c r="AE163" s="1">
        <f t="shared" si="32"/>
        <v>1</v>
      </c>
      <c r="AF163" s="1">
        <f t="shared" si="33"/>
        <v>0</v>
      </c>
      <c r="AG163" s="1">
        <f t="shared" si="34"/>
        <v>0</v>
      </c>
      <c r="AH163" s="1">
        <f t="shared" si="35"/>
        <v>-1</v>
      </c>
      <c r="AI163" s="1">
        <f t="shared" si="36"/>
        <v>0</v>
      </c>
      <c r="AJ163" s="1">
        <f t="shared" si="37"/>
        <v>1</v>
      </c>
      <c r="AK163" s="1">
        <f t="shared" si="38"/>
        <v>0</v>
      </c>
      <c r="AL163" s="1">
        <f t="shared" si="39"/>
        <v>0</v>
      </c>
      <c r="AM163" s="1">
        <f t="shared" si="40"/>
        <v>0</v>
      </c>
      <c r="AN163" s="278">
        <f t="shared" si="30"/>
        <v>0</v>
      </c>
      <c r="AP163" s="280"/>
      <c r="AQ163" s="1">
        <v>0</v>
      </c>
      <c r="AU163" s="281"/>
      <c r="AZ163" s="281"/>
      <c r="BG163" s="282">
        <f t="shared" si="41"/>
        <v>0</v>
      </c>
      <c r="BH163" s="282">
        <f t="shared" si="42"/>
        <v>0</v>
      </c>
      <c r="BI163" s="283">
        <f t="shared" si="43"/>
        <v>0</v>
      </c>
      <c r="BL163" s="1">
        <v>513562</v>
      </c>
      <c r="BM163" s="1">
        <v>170238</v>
      </c>
      <c r="BN163" s="1" t="s">
        <v>1600</v>
      </c>
      <c r="BO163" s="1" t="s">
        <v>1400</v>
      </c>
      <c r="BW163" s="284" t="s">
        <v>27</v>
      </c>
    </row>
    <row r="164" spans="1:75" ht="15" customHeight="1" x14ac:dyDescent="0.25">
      <c r="A164" s="275" t="s">
        <v>592</v>
      </c>
      <c r="B164" s="276" t="s">
        <v>49</v>
      </c>
      <c r="C164" s="1" t="s">
        <v>1262</v>
      </c>
      <c r="D164" s="277">
        <v>44795</v>
      </c>
      <c r="E164" s="277">
        <v>45891</v>
      </c>
      <c r="F164" s="277">
        <v>44860</v>
      </c>
      <c r="G164" s="277">
        <v>45112</v>
      </c>
      <c r="H164" s="275" t="s">
        <v>32</v>
      </c>
      <c r="I164" s="275" t="s">
        <v>1473</v>
      </c>
      <c r="J164" s="286"/>
      <c r="K164" s="275" t="s">
        <v>593</v>
      </c>
      <c r="L164" s="275" t="s">
        <v>594</v>
      </c>
      <c r="M164" s="275" t="s">
        <v>95</v>
      </c>
      <c r="V164" s="1">
        <f t="shared" si="31"/>
        <v>0</v>
      </c>
      <c r="W164" s="1">
        <v>1</v>
      </c>
      <c r="X164" s="1">
        <v>1</v>
      </c>
      <c r="AE164" s="1">
        <f t="shared" si="32"/>
        <v>2</v>
      </c>
      <c r="AF164" s="1">
        <f t="shared" si="33"/>
        <v>1</v>
      </c>
      <c r="AG164" s="1">
        <f t="shared" si="34"/>
        <v>1</v>
      </c>
      <c r="AH164" s="1">
        <f t="shared" si="35"/>
        <v>0</v>
      </c>
      <c r="AI164" s="1">
        <f t="shared" si="36"/>
        <v>0</v>
      </c>
      <c r="AJ164" s="1">
        <f t="shared" si="37"/>
        <v>0</v>
      </c>
      <c r="AK164" s="1">
        <f t="shared" si="38"/>
        <v>0</v>
      </c>
      <c r="AL164" s="1">
        <f t="shared" si="39"/>
        <v>0</v>
      </c>
      <c r="AM164" s="1">
        <f t="shared" si="40"/>
        <v>0</v>
      </c>
      <c r="AN164" s="278">
        <f t="shared" si="30"/>
        <v>2</v>
      </c>
      <c r="AP164" s="280"/>
      <c r="AQ164" s="1">
        <v>2</v>
      </c>
      <c r="AU164" s="281"/>
      <c r="AZ164" s="281"/>
      <c r="BG164" s="282">
        <f t="shared" si="41"/>
        <v>2</v>
      </c>
      <c r="BH164" s="282">
        <f t="shared" si="42"/>
        <v>2</v>
      </c>
      <c r="BI164" s="283">
        <f t="shared" si="43"/>
        <v>2</v>
      </c>
      <c r="BL164" s="1">
        <v>516001</v>
      </c>
      <c r="BM164" s="1">
        <v>173141</v>
      </c>
      <c r="BN164" s="1" t="s">
        <v>1389</v>
      </c>
      <c r="BO164" s="1" t="s">
        <v>1407</v>
      </c>
      <c r="BP164" s="284" t="s">
        <v>1389</v>
      </c>
      <c r="BW164" s="284" t="s">
        <v>27</v>
      </c>
    </row>
    <row r="165" spans="1:75" ht="15" customHeight="1" x14ac:dyDescent="0.25">
      <c r="A165" s="275" t="s">
        <v>698</v>
      </c>
      <c r="B165" s="276" t="s">
        <v>21</v>
      </c>
      <c r="D165" s="277">
        <v>44104</v>
      </c>
      <c r="E165" s="277">
        <v>45199</v>
      </c>
      <c r="F165" s="277">
        <v>44865</v>
      </c>
      <c r="H165" s="275" t="s">
        <v>32</v>
      </c>
      <c r="I165" s="275" t="s">
        <v>1473</v>
      </c>
      <c r="J165" s="286"/>
      <c r="K165" s="275" t="s">
        <v>699</v>
      </c>
      <c r="L165" s="275" t="s">
        <v>700</v>
      </c>
      <c r="M165" s="275" t="s">
        <v>417</v>
      </c>
      <c r="V165" s="1">
        <f t="shared" si="31"/>
        <v>0</v>
      </c>
      <c r="Y165" s="1">
        <v>5</v>
      </c>
      <c r="AE165" s="1">
        <f t="shared" si="32"/>
        <v>5</v>
      </c>
      <c r="AF165" s="1">
        <f t="shared" si="33"/>
        <v>0</v>
      </c>
      <c r="AG165" s="1">
        <f t="shared" si="34"/>
        <v>0</v>
      </c>
      <c r="AH165" s="1">
        <f t="shared" si="35"/>
        <v>5</v>
      </c>
      <c r="AI165" s="1">
        <f t="shared" si="36"/>
        <v>0</v>
      </c>
      <c r="AJ165" s="1">
        <f t="shared" si="37"/>
        <v>0</v>
      </c>
      <c r="AK165" s="1">
        <f t="shared" si="38"/>
        <v>0</v>
      </c>
      <c r="AL165" s="1">
        <f t="shared" si="39"/>
        <v>0</v>
      </c>
      <c r="AM165" s="1">
        <f t="shared" si="40"/>
        <v>0</v>
      </c>
      <c r="AN165" s="278">
        <f t="shared" si="30"/>
        <v>5</v>
      </c>
      <c r="AP165" s="280"/>
      <c r="AQ165" s="1">
        <v>5</v>
      </c>
      <c r="AU165" s="281"/>
      <c r="AZ165" s="281"/>
      <c r="BG165" s="282">
        <f t="shared" si="41"/>
        <v>5</v>
      </c>
      <c r="BH165" s="282">
        <f t="shared" si="42"/>
        <v>5</v>
      </c>
      <c r="BI165" s="283">
        <f t="shared" si="43"/>
        <v>5</v>
      </c>
      <c r="BL165" s="1">
        <v>520616</v>
      </c>
      <c r="BM165" s="1">
        <v>175748</v>
      </c>
      <c r="BN165" s="1" t="s">
        <v>1599</v>
      </c>
      <c r="BO165" s="1" t="s">
        <v>1384</v>
      </c>
      <c r="BW165" s="284" t="s">
        <v>27</v>
      </c>
    </row>
    <row r="166" spans="1:75" ht="15" customHeight="1" x14ac:dyDescent="0.25">
      <c r="A166" s="275" t="s">
        <v>745</v>
      </c>
      <c r="B166" s="276" t="s">
        <v>144</v>
      </c>
      <c r="D166" s="277">
        <v>43966</v>
      </c>
      <c r="E166" s="277">
        <v>45061</v>
      </c>
      <c r="F166" s="277">
        <v>44866</v>
      </c>
      <c r="H166" s="275" t="s">
        <v>32</v>
      </c>
      <c r="I166" s="275" t="s">
        <v>1473</v>
      </c>
      <c r="J166" s="286"/>
      <c r="K166" s="275" t="s">
        <v>746</v>
      </c>
      <c r="L166" s="275" t="s">
        <v>747</v>
      </c>
      <c r="M166" s="275" t="s">
        <v>748</v>
      </c>
      <c r="V166" s="1">
        <f t="shared" si="31"/>
        <v>0</v>
      </c>
      <c r="W166" s="1">
        <v>1</v>
      </c>
      <c r="AE166" s="1">
        <f t="shared" si="32"/>
        <v>1</v>
      </c>
      <c r="AF166" s="1">
        <f t="shared" si="33"/>
        <v>1</v>
      </c>
      <c r="AG166" s="1">
        <f t="shared" si="34"/>
        <v>0</v>
      </c>
      <c r="AH166" s="1">
        <f t="shared" si="35"/>
        <v>0</v>
      </c>
      <c r="AI166" s="1">
        <f t="shared" si="36"/>
        <v>0</v>
      </c>
      <c r="AJ166" s="1">
        <f t="shared" si="37"/>
        <v>0</v>
      </c>
      <c r="AK166" s="1">
        <f t="shared" si="38"/>
        <v>0</v>
      </c>
      <c r="AL166" s="1">
        <f t="shared" si="39"/>
        <v>0</v>
      </c>
      <c r="AM166" s="1">
        <f t="shared" si="40"/>
        <v>0</v>
      </c>
      <c r="AN166" s="278">
        <f t="shared" si="30"/>
        <v>1</v>
      </c>
      <c r="AP166" s="280"/>
      <c r="AQ166" s="1">
        <v>0.5</v>
      </c>
      <c r="AR166" s="1">
        <v>0.5</v>
      </c>
      <c r="AU166" s="281"/>
      <c r="AZ166" s="281"/>
      <c r="BG166" s="282">
        <f t="shared" si="41"/>
        <v>1</v>
      </c>
      <c r="BH166" s="282">
        <f t="shared" si="42"/>
        <v>1</v>
      </c>
      <c r="BI166" s="283">
        <f t="shared" si="43"/>
        <v>1</v>
      </c>
      <c r="BL166" s="1">
        <v>515221</v>
      </c>
      <c r="BM166" s="1">
        <v>171318</v>
      </c>
      <c r="BN166" s="1" t="s">
        <v>1600</v>
      </c>
      <c r="BO166" s="1" t="s">
        <v>1563</v>
      </c>
      <c r="BW166" s="284" t="s">
        <v>27</v>
      </c>
    </row>
    <row r="167" spans="1:75" ht="15" customHeight="1" x14ac:dyDescent="0.25">
      <c r="A167" s="275" t="s">
        <v>753</v>
      </c>
      <c r="B167" s="276" t="s">
        <v>21</v>
      </c>
      <c r="D167" s="277">
        <v>44711</v>
      </c>
      <c r="E167" s="277">
        <v>45807</v>
      </c>
      <c r="F167" s="277">
        <v>44866</v>
      </c>
      <c r="H167" s="275" t="s">
        <v>32</v>
      </c>
      <c r="I167" s="275" t="s">
        <v>1473</v>
      </c>
      <c r="J167" s="286"/>
      <c r="K167" s="275" t="s">
        <v>754</v>
      </c>
      <c r="L167" s="275" t="s">
        <v>755</v>
      </c>
      <c r="M167" s="275" t="s">
        <v>756</v>
      </c>
      <c r="V167" s="1">
        <f t="shared" si="31"/>
        <v>0</v>
      </c>
      <c r="W167" s="1">
        <v>5</v>
      </c>
      <c r="X167" s="1">
        <v>9</v>
      </c>
      <c r="Y167" s="1">
        <v>1</v>
      </c>
      <c r="AE167" s="1">
        <f t="shared" si="32"/>
        <v>15</v>
      </c>
      <c r="AF167" s="1">
        <f t="shared" si="33"/>
        <v>5</v>
      </c>
      <c r="AG167" s="1">
        <f t="shared" si="34"/>
        <v>9</v>
      </c>
      <c r="AH167" s="1">
        <f t="shared" si="35"/>
        <v>1</v>
      </c>
      <c r="AI167" s="1">
        <f t="shared" si="36"/>
        <v>0</v>
      </c>
      <c r="AJ167" s="1">
        <f t="shared" si="37"/>
        <v>0</v>
      </c>
      <c r="AK167" s="1">
        <f t="shared" si="38"/>
        <v>0</v>
      </c>
      <c r="AL167" s="1">
        <f t="shared" si="39"/>
        <v>0</v>
      </c>
      <c r="AM167" s="1">
        <f t="shared" si="40"/>
        <v>0</v>
      </c>
      <c r="AN167" s="278">
        <f t="shared" si="30"/>
        <v>15</v>
      </c>
      <c r="AP167" s="280"/>
      <c r="AQ167" s="1">
        <v>7.5</v>
      </c>
      <c r="AR167" s="1">
        <v>7.5</v>
      </c>
      <c r="AU167" s="281"/>
      <c r="AZ167" s="281"/>
      <c r="BG167" s="282">
        <f t="shared" si="41"/>
        <v>15</v>
      </c>
      <c r="BH167" s="282">
        <f t="shared" si="42"/>
        <v>15</v>
      </c>
      <c r="BI167" s="283">
        <f t="shared" si="43"/>
        <v>15</v>
      </c>
      <c r="BL167" s="1">
        <v>512716</v>
      </c>
      <c r="BM167" s="1">
        <v>173569</v>
      </c>
      <c r="BN167" s="1" t="s">
        <v>1391</v>
      </c>
      <c r="BO167" s="1" t="s">
        <v>1402</v>
      </c>
      <c r="BR167" s="284" t="s">
        <v>1728</v>
      </c>
      <c r="BS167" s="284" t="s">
        <v>27</v>
      </c>
    </row>
    <row r="168" spans="1:75" ht="15" customHeight="1" x14ac:dyDescent="0.25">
      <c r="A168" s="275" t="s">
        <v>459</v>
      </c>
      <c r="B168" s="276" t="s">
        <v>224</v>
      </c>
      <c r="D168" s="277">
        <v>44762</v>
      </c>
      <c r="E168" s="277">
        <v>45858</v>
      </c>
      <c r="F168" s="277">
        <v>44866</v>
      </c>
      <c r="G168" s="277">
        <v>45141</v>
      </c>
      <c r="H168" s="275" t="s">
        <v>32</v>
      </c>
      <c r="I168" s="275" t="s">
        <v>1473</v>
      </c>
      <c r="J168" s="286"/>
      <c r="K168" s="275" t="s">
        <v>460</v>
      </c>
      <c r="L168" s="275" t="s">
        <v>461</v>
      </c>
      <c r="M168" s="275" t="s">
        <v>462</v>
      </c>
      <c r="R168" s="1">
        <v>1</v>
      </c>
      <c r="V168" s="1">
        <f t="shared" si="31"/>
        <v>1</v>
      </c>
      <c r="W168" s="1">
        <v>1</v>
      </c>
      <c r="X168" s="1">
        <v>2</v>
      </c>
      <c r="AE168" s="1">
        <f t="shared" si="32"/>
        <v>3</v>
      </c>
      <c r="AF168" s="1">
        <f t="shared" si="33"/>
        <v>1</v>
      </c>
      <c r="AG168" s="1">
        <f t="shared" si="34"/>
        <v>2</v>
      </c>
      <c r="AH168" s="1">
        <f t="shared" si="35"/>
        <v>0</v>
      </c>
      <c r="AI168" s="1">
        <f t="shared" si="36"/>
        <v>-1</v>
      </c>
      <c r="AJ168" s="1">
        <f t="shared" si="37"/>
        <v>0</v>
      </c>
      <c r="AK168" s="1">
        <f t="shared" si="38"/>
        <v>0</v>
      </c>
      <c r="AL168" s="1">
        <f t="shared" si="39"/>
        <v>0</v>
      </c>
      <c r="AM168" s="1">
        <f t="shared" si="40"/>
        <v>0</v>
      </c>
      <c r="AN168" s="278">
        <f t="shared" si="30"/>
        <v>2</v>
      </c>
      <c r="AP168" s="280"/>
      <c r="AQ168" s="1">
        <v>2</v>
      </c>
      <c r="AU168" s="281"/>
      <c r="AZ168" s="281"/>
      <c r="BG168" s="282">
        <f t="shared" si="41"/>
        <v>2</v>
      </c>
      <c r="BH168" s="282">
        <f t="shared" si="42"/>
        <v>2</v>
      </c>
      <c r="BI168" s="283">
        <f t="shared" si="43"/>
        <v>2</v>
      </c>
      <c r="BL168" s="1">
        <v>515969</v>
      </c>
      <c r="BM168" s="1">
        <v>173779</v>
      </c>
      <c r="BN168" s="1" t="s">
        <v>1389</v>
      </c>
      <c r="BO168" s="1" t="s">
        <v>1561</v>
      </c>
      <c r="BW168" s="284" t="s">
        <v>27</v>
      </c>
    </row>
    <row r="169" spans="1:75" ht="15" customHeight="1" x14ac:dyDescent="0.25">
      <c r="A169" s="275" t="s">
        <v>584</v>
      </c>
      <c r="B169" s="276" t="s">
        <v>21</v>
      </c>
      <c r="D169" s="277">
        <v>44679</v>
      </c>
      <c r="E169" s="277">
        <v>45969</v>
      </c>
      <c r="F169" s="277">
        <v>44866</v>
      </c>
      <c r="H169" s="275" t="s">
        <v>32</v>
      </c>
      <c r="I169" s="275" t="s">
        <v>1473</v>
      </c>
      <c r="J169" s="286"/>
      <c r="K169" s="275" t="s">
        <v>585</v>
      </c>
      <c r="L169" s="275" t="s">
        <v>586</v>
      </c>
      <c r="M169" s="275" t="s">
        <v>587</v>
      </c>
      <c r="P169" s="1">
        <v>1</v>
      </c>
      <c r="V169" s="1">
        <f t="shared" si="31"/>
        <v>1</v>
      </c>
      <c r="AA169" s="1">
        <v>1</v>
      </c>
      <c r="AE169" s="1">
        <f t="shared" si="32"/>
        <v>1</v>
      </c>
      <c r="AF169" s="1">
        <f t="shared" si="33"/>
        <v>0</v>
      </c>
      <c r="AG169" s="1">
        <f t="shared" si="34"/>
        <v>-1</v>
      </c>
      <c r="AH169" s="1">
        <f t="shared" si="35"/>
        <v>0</v>
      </c>
      <c r="AI169" s="1">
        <f t="shared" si="36"/>
        <v>0</v>
      </c>
      <c r="AJ169" s="1">
        <f t="shared" si="37"/>
        <v>1</v>
      </c>
      <c r="AK169" s="1">
        <f t="shared" si="38"/>
        <v>0</v>
      </c>
      <c r="AL169" s="1">
        <f t="shared" si="39"/>
        <v>0</v>
      </c>
      <c r="AM169" s="1">
        <f t="shared" si="40"/>
        <v>0</v>
      </c>
      <c r="AN169" s="278">
        <f t="shared" si="30"/>
        <v>0</v>
      </c>
      <c r="AP169" s="280"/>
      <c r="AQ169" s="1">
        <v>0</v>
      </c>
      <c r="AU169" s="281"/>
      <c r="AZ169" s="281"/>
      <c r="BG169" s="282">
        <f t="shared" si="41"/>
        <v>0</v>
      </c>
      <c r="BH169" s="282">
        <f t="shared" si="42"/>
        <v>0</v>
      </c>
      <c r="BI169" s="283">
        <f t="shared" si="43"/>
        <v>0</v>
      </c>
      <c r="BL169" s="1">
        <v>516605</v>
      </c>
      <c r="BM169" s="1">
        <v>171002</v>
      </c>
      <c r="BN169" s="1" t="s">
        <v>1600</v>
      </c>
      <c r="BO169" s="1" t="s">
        <v>1559</v>
      </c>
      <c r="BW169" s="284" t="s">
        <v>27</v>
      </c>
    </row>
    <row r="170" spans="1:75" ht="15" customHeight="1" x14ac:dyDescent="0.25">
      <c r="A170" s="275" t="s">
        <v>615</v>
      </c>
      <c r="B170" s="276" t="s">
        <v>144</v>
      </c>
      <c r="D170" s="277">
        <v>44820</v>
      </c>
      <c r="E170" s="277">
        <v>45916</v>
      </c>
      <c r="F170" s="277">
        <v>44866</v>
      </c>
      <c r="H170" s="275" t="s">
        <v>32</v>
      </c>
      <c r="I170" s="275" t="s">
        <v>1473</v>
      </c>
      <c r="J170" s="286"/>
      <c r="K170" s="275" t="s">
        <v>616</v>
      </c>
      <c r="L170" s="275" t="s">
        <v>617</v>
      </c>
      <c r="M170" s="275" t="s">
        <v>618</v>
      </c>
      <c r="Q170" s="1">
        <v>1</v>
      </c>
      <c r="V170" s="1">
        <f t="shared" si="31"/>
        <v>1</v>
      </c>
      <c r="W170" s="1">
        <v>1</v>
      </c>
      <c r="X170" s="1">
        <v>1</v>
      </c>
      <c r="AE170" s="1">
        <f t="shared" si="32"/>
        <v>2</v>
      </c>
      <c r="AF170" s="1">
        <f t="shared" si="33"/>
        <v>1</v>
      </c>
      <c r="AG170" s="1">
        <f t="shared" si="34"/>
        <v>1</v>
      </c>
      <c r="AH170" s="1">
        <f t="shared" si="35"/>
        <v>-1</v>
      </c>
      <c r="AI170" s="1">
        <f t="shared" si="36"/>
        <v>0</v>
      </c>
      <c r="AJ170" s="1">
        <f t="shared" si="37"/>
        <v>0</v>
      </c>
      <c r="AK170" s="1">
        <f t="shared" si="38"/>
        <v>0</v>
      </c>
      <c r="AL170" s="1">
        <f t="shared" si="39"/>
        <v>0</v>
      </c>
      <c r="AM170" s="1">
        <f t="shared" si="40"/>
        <v>0</v>
      </c>
      <c r="AN170" s="278">
        <f t="shared" si="30"/>
        <v>1</v>
      </c>
      <c r="AP170" s="280"/>
      <c r="AQ170" s="1">
        <v>0.5</v>
      </c>
      <c r="AR170" s="1">
        <v>0.5</v>
      </c>
      <c r="AU170" s="281"/>
      <c r="AZ170" s="281"/>
      <c r="BG170" s="282">
        <f t="shared" si="41"/>
        <v>1</v>
      </c>
      <c r="BH170" s="282">
        <f t="shared" si="42"/>
        <v>1</v>
      </c>
      <c r="BI170" s="283">
        <f t="shared" si="43"/>
        <v>1</v>
      </c>
      <c r="BL170" s="1">
        <v>520450</v>
      </c>
      <c r="BM170" s="1">
        <v>175359</v>
      </c>
      <c r="BN170" s="1" t="s">
        <v>1599</v>
      </c>
      <c r="BO170" s="1" t="s">
        <v>1384</v>
      </c>
      <c r="BP170" s="284" t="s">
        <v>1384</v>
      </c>
      <c r="BW170" s="284" t="s">
        <v>27</v>
      </c>
    </row>
    <row r="171" spans="1:75" ht="15" customHeight="1" x14ac:dyDescent="0.25">
      <c r="A171" s="275" t="s">
        <v>504</v>
      </c>
      <c r="B171" s="276" t="s">
        <v>21</v>
      </c>
      <c r="D171" s="277">
        <v>44701</v>
      </c>
      <c r="E171" s="277">
        <v>45797</v>
      </c>
      <c r="F171" s="277">
        <v>44867</v>
      </c>
      <c r="H171" s="275" t="s">
        <v>32</v>
      </c>
      <c r="I171" s="275" t="s">
        <v>1473</v>
      </c>
      <c r="J171" s="286"/>
      <c r="K171" s="275" t="s">
        <v>505</v>
      </c>
      <c r="L171" s="275" t="s">
        <v>506</v>
      </c>
      <c r="M171" s="275" t="s">
        <v>507</v>
      </c>
      <c r="V171" s="1">
        <f t="shared" si="31"/>
        <v>0</v>
      </c>
      <c r="X171" s="1">
        <v>1</v>
      </c>
      <c r="AE171" s="1">
        <f t="shared" si="32"/>
        <v>1</v>
      </c>
      <c r="AF171" s="1">
        <f t="shared" si="33"/>
        <v>0</v>
      </c>
      <c r="AG171" s="1">
        <f t="shared" si="34"/>
        <v>1</v>
      </c>
      <c r="AH171" s="1">
        <f t="shared" si="35"/>
        <v>0</v>
      </c>
      <c r="AI171" s="1">
        <f t="shared" si="36"/>
        <v>0</v>
      </c>
      <c r="AJ171" s="1">
        <f t="shared" si="37"/>
        <v>0</v>
      </c>
      <c r="AK171" s="1">
        <f t="shared" si="38"/>
        <v>0</v>
      </c>
      <c r="AL171" s="1">
        <f t="shared" si="39"/>
        <v>0</v>
      </c>
      <c r="AM171" s="1">
        <f t="shared" si="40"/>
        <v>0</v>
      </c>
      <c r="AN171" s="278">
        <f t="shared" si="30"/>
        <v>1</v>
      </c>
      <c r="AP171" s="280"/>
      <c r="AR171" s="1">
        <v>1</v>
      </c>
      <c r="AU171" s="281"/>
      <c r="AZ171" s="281"/>
      <c r="BG171" s="282">
        <f t="shared" si="41"/>
        <v>1</v>
      </c>
      <c r="BH171" s="282">
        <f t="shared" si="42"/>
        <v>1</v>
      </c>
      <c r="BI171" s="283">
        <f t="shared" si="43"/>
        <v>1</v>
      </c>
      <c r="BL171" s="1">
        <v>519398</v>
      </c>
      <c r="BM171" s="1">
        <v>175866</v>
      </c>
      <c r="BN171" s="1" t="s">
        <v>1385</v>
      </c>
      <c r="BO171" s="1" t="s">
        <v>1403</v>
      </c>
      <c r="BW171" s="284" t="s">
        <v>27</v>
      </c>
    </row>
    <row r="172" spans="1:75" ht="15" customHeight="1" x14ac:dyDescent="0.25">
      <c r="A172" s="275" t="s">
        <v>438</v>
      </c>
      <c r="B172" s="276" t="s">
        <v>144</v>
      </c>
      <c r="D172" s="277">
        <v>44886</v>
      </c>
      <c r="E172" s="277">
        <v>45464</v>
      </c>
      <c r="F172" s="277">
        <v>44879</v>
      </c>
      <c r="H172" s="275" t="s">
        <v>32</v>
      </c>
      <c r="I172" s="275" t="s">
        <v>1473</v>
      </c>
      <c r="J172" s="286"/>
      <c r="K172" s="275" t="s">
        <v>439</v>
      </c>
      <c r="L172" s="275" t="s">
        <v>440</v>
      </c>
      <c r="M172" s="275" t="s">
        <v>441</v>
      </c>
      <c r="Q172" s="1">
        <v>2</v>
      </c>
      <c r="V172" s="1">
        <f t="shared" si="31"/>
        <v>2</v>
      </c>
      <c r="W172" s="1">
        <v>7</v>
      </c>
      <c r="AE172" s="1">
        <f t="shared" si="32"/>
        <v>7</v>
      </c>
      <c r="AF172" s="1">
        <f t="shared" si="33"/>
        <v>7</v>
      </c>
      <c r="AG172" s="1">
        <f t="shared" si="34"/>
        <v>0</v>
      </c>
      <c r="AH172" s="1">
        <f t="shared" si="35"/>
        <v>-2</v>
      </c>
      <c r="AI172" s="1">
        <f t="shared" si="36"/>
        <v>0</v>
      </c>
      <c r="AJ172" s="1">
        <f t="shared" si="37"/>
        <v>0</v>
      </c>
      <c r="AK172" s="1">
        <f t="shared" si="38"/>
        <v>0</v>
      </c>
      <c r="AL172" s="1">
        <f t="shared" si="39"/>
        <v>0</v>
      </c>
      <c r="AM172" s="1">
        <f t="shared" si="40"/>
        <v>0</v>
      </c>
      <c r="AN172" s="278">
        <f t="shared" si="30"/>
        <v>5</v>
      </c>
      <c r="AP172" s="280"/>
      <c r="AQ172" s="1">
        <v>2.5</v>
      </c>
      <c r="AR172" s="1">
        <v>2.5</v>
      </c>
      <c r="AU172" s="281"/>
      <c r="AZ172" s="281"/>
      <c r="BG172" s="282">
        <f t="shared" si="41"/>
        <v>5</v>
      </c>
      <c r="BH172" s="282">
        <f t="shared" si="42"/>
        <v>5</v>
      </c>
      <c r="BI172" s="283">
        <f t="shared" si="43"/>
        <v>5</v>
      </c>
      <c r="BL172" s="1">
        <v>518353</v>
      </c>
      <c r="BM172" s="1">
        <v>175510</v>
      </c>
      <c r="BN172" s="1" t="s">
        <v>1385</v>
      </c>
      <c r="BO172" s="1" t="s">
        <v>1404</v>
      </c>
      <c r="BR172" s="284" t="s">
        <v>1729</v>
      </c>
      <c r="BS172" s="284" t="s">
        <v>27</v>
      </c>
      <c r="BU172" s="284" t="s">
        <v>1715</v>
      </c>
      <c r="BV172" s="284" t="s">
        <v>27</v>
      </c>
      <c r="BW172" s="284" t="s">
        <v>27</v>
      </c>
    </row>
    <row r="173" spans="1:75" ht="15" customHeight="1" x14ac:dyDescent="0.25">
      <c r="A173" s="275" t="s">
        <v>701</v>
      </c>
      <c r="B173" s="276" t="s">
        <v>21</v>
      </c>
      <c r="D173" s="277">
        <v>43731</v>
      </c>
      <c r="E173" s="277">
        <v>44827</v>
      </c>
      <c r="F173" s="277">
        <v>44917</v>
      </c>
      <c r="H173" s="275" t="s">
        <v>32</v>
      </c>
      <c r="I173" s="275" t="s">
        <v>1473</v>
      </c>
      <c r="J173" s="286"/>
      <c r="K173" s="275" t="s">
        <v>702</v>
      </c>
      <c r="L173" s="275" t="s">
        <v>703</v>
      </c>
      <c r="M173" s="275" t="s">
        <v>704</v>
      </c>
      <c r="V173" s="1">
        <f t="shared" si="31"/>
        <v>0</v>
      </c>
      <c r="Z173" s="1">
        <v>2</v>
      </c>
      <c r="AE173" s="1">
        <f t="shared" si="32"/>
        <v>2</v>
      </c>
      <c r="AF173" s="1">
        <f t="shared" si="33"/>
        <v>0</v>
      </c>
      <c r="AG173" s="1">
        <f t="shared" si="34"/>
        <v>0</v>
      </c>
      <c r="AH173" s="1">
        <f t="shared" si="35"/>
        <v>0</v>
      </c>
      <c r="AI173" s="1">
        <f t="shared" si="36"/>
        <v>2</v>
      </c>
      <c r="AJ173" s="1">
        <f t="shared" si="37"/>
        <v>0</v>
      </c>
      <c r="AK173" s="1">
        <f t="shared" si="38"/>
        <v>0</v>
      </c>
      <c r="AL173" s="1">
        <f t="shared" si="39"/>
        <v>0</v>
      </c>
      <c r="AM173" s="1">
        <f t="shared" si="40"/>
        <v>0</v>
      </c>
      <c r="AN173" s="278">
        <f t="shared" si="30"/>
        <v>2</v>
      </c>
      <c r="AP173" s="280"/>
      <c r="AR173" s="1">
        <v>2</v>
      </c>
      <c r="AU173" s="281"/>
      <c r="AZ173" s="281"/>
      <c r="BG173" s="282">
        <f t="shared" si="41"/>
        <v>2</v>
      </c>
      <c r="BH173" s="282">
        <f t="shared" si="42"/>
        <v>2</v>
      </c>
      <c r="BI173" s="283">
        <f t="shared" si="43"/>
        <v>2</v>
      </c>
      <c r="BL173" s="1">
        <v>515377</v>
      </c>
      <c r="BM173" s="1">
        <v>173631</v>
      </c>
      <c r="BN173" s="1" t="s">
        <v>1389</v>
      </c>
      <c r="BO173" s="1" t="s">
        <v>1561</v>
      </c>
      <c r="BW173" s="284" t="s">
        <v>27</v>
      </c>
    </row>
    <row r="174" spans="1:75" ht="15" customHeight="1" x14ac:dyDescent="0.25">
      <c r="A174" s="275" t="s">
        <v>1636</v>
      </c>
      <c r="B174" s="276" t="s">
        <v>144</v>
      </c>
      <c r="D174" s="277">
        <v>44782</v>
      </c>
      <c r="E174" s="277">
        <v>45878</v>
      </c>
      <c r="F174" s="277">
        <v>44935</v>
      </c>
      <c r="H174" s="275" t="s">
        <v>32</v>
      </c>
      <c r="I174" s="275" t="s">
        <v>1473</v>
      </c>
      <c r="J174" s="286"/>
      <c r="K174" s="275" t="s">
        <v>1635</v>
      </c>
      <c r="L174" s="275" t="s">
        <v>467</v>
      </c>
      <c r="M174" s="275" t="s">
        <v>468</v>
      </c>
      <c r="Q174" s="1">
        <v>1</v>
      </c>
      <c r="S174" s="1">
        <v>1</v>
      </c>
      <c r="V174" s="1">
        <f t="shared" si="31"/>
        <v>2</v>
      </c>
      <c r="AD174" s="1">
        <v>1</v>
      </c>
      <c r="AE174" s="1">
        <f t="shared" si="32"/>
        <v>1</v>
      </c>
      <c r="AF174" s="1">
        <f t="shared" si="33"/>
        <v>0</v>
      </c>
      <c r="AG174" s="1">
        <f t="shared" si="34"/>
        <v>0</v>
      </c>
      <c r="AH174" s="1">
        <f t="shared" si="35"/>
        <v>-1</v>
      </c>
      <c r="AI174" s="1">
        <f t="shared" si="36"/>
        <v>0</v>
      </c>
      <c r="AJ174" s="1">
        <f t="shared" si="37"/>
        <v>-1</v>
      </c>
      <c r="AK174" s="1">
        <f t="shared" si="38"/>
        <v>0</v>
      </c>
      <c r="AL174" s="1">
        <f t="shared" si="39"/>
        <v>0</v>
      </c>
      <c r="AM174" s="1">
        <f t="shared" si="40"/>
        <v>1</v>
      </c>
      <c r="AN174" s="278">
        <f t="shared" si="30"/>
        <v>-1</v>
      </c>
      <c r="AP174" s="280"/>
      <c r="AQ174" s="1">
        <v>-0.5</v>
      </c>
      <c r="AR174" s="1">
        <v>-0.5</v>
      </c>
      <c r="AU174" s="281"/>
      <c r="AZ174" s="281"/>
      <c r="BG174" s="282">
        <f t="shared" si="41"/>
        <v>-1</v>
      </c>
      <c r="BH174" s="282">
        <f t="shared" si="42"/>
        <v>-1</v>
      </c>
      <c r="BI174" s="283">
        <f t="shared" si="43"/>
        <v>-1</v>
      </c>
      <c r="BL174" s="1">
        <v>518640</v>
      </c>
      <c r="BM174" s="1">
        <v>175931</v>
      </c>
      <c r="BN174" s="1" t="s">
        <v>1385</v>
      </c>
      <c r="BO174" s="1" t="s">
        <v>1404</v>
      </c>
      <c r="BU174" s="284" t="s">
        <v>1730</v>
      </c>
      <c r="BV174" s="284" t="s">
        <v>27</v>
      </c>
      <c r="BW174" s="284" t="s">
        <v>27</v>
      </c>
    </row>
    <row r="175" spans="1:75" ht="15" customHeight="1" x14ac:dyDescent="0.25">
      <c r="A175" s="275" t="s">
        <v>803</v>
      </c>
      <c r="B175" s="276" t="s">
        <v>49</v>
      </c>
      <c r="C175" s="1" t="s">
        <v>1262</v>
      </c>
      <c r="D175" s="277">
        <v>44582</v>
      </c>
      <c r="E175" s="277">
        <v>45678</v>
      </c>
      <c r="F175" s="277">
        <v>44936</v>
      </c>
      <c r="H175" s="275" t="s">
        <v>32</v>
      </c>
      <c r="I175" s="275" t="s">
        <v>1473</v>
      </c>
      <c r="J175" s="286"/>
      <c r="K175" s="275" t="s">
        <v>804</v>
      </c>
      <c r="L175" s="275" t="s">
        <v>805</v>
      </c>
      <c r="M175" s="275" t="s">
        <v>806</v>
      </c>
      <c r="V175" s="1">
        <f t="shared" si="31"/>
        <v>0</v>
      </c>
      <c r="W175" s="1">
        <v>1</v>
      </c>
      <c r="AE175" s="1">
        <f t="shared" si="32"/>
        <v>1</v>
      </c>
      <c r="AF175" s="1">
        <f t="shared" si="33"/>
        <v>1</v>
      </c>
      <c r="AG175" s="1">
        <f t="shared" si="34"/>
        <v>0</v>
      </c>
      <c r="AH175" s="1">
        <f t="shared" si="35"/>
        <v>0</v>
      </c>
      <c r="AI175" s="1">
        <f t="shared" si="36"/>
        <v>0</v>
      </c>
      <c r="AJ175" s="1">
        <f t="shared" si="37"/>
        <v>0</v>
      </c>
      <c r="AK175" s="1">
        <f t="shared" si="38"/>
        <v>0</v>
      </c>
      <c r="AL175" s="1">
        <f t="shared" si="39"/>
        <v>0</v>
      </c>
      <c r="AM175" s="1">
        <f t="shared" si="40"/>
        <v>0</v>
      </c>
      <c r="AN175" s="278">
        <f t="shared" si="30"/>
        <v>1</v>
      </c>
      <c r="AP175" s="280"/>
      <c r="AQ175" s="1">
        <v>0.5</v>
      </c>
      <c r="AR175" s="1">
        <v>0.5</v>
      </c>
      <c r="AU175" s="281"/>
      <c r="AZ175" s="281"/>
      <c r="BG175" s="282">
        <f t="shared" si="41"/>
        <v>1</v>
      </c>
      <c r="BH175" s="282">
        <f t="shared" si="42"/>
        <v>1</v>
      </c>
      <c r="BI175" s="283">
        <f t="shared" si="43"/>
        <v>1</v>
      </c>
      <c r="BL175" s="1">
        <v>521328</v>
      </c>
      <c r="BM175" s="1">
        <v>175496</v>
      </c>
      <c r="BN175" s="1" t="s">
        <v>1599</v>
      </c>
      <c r="BO175" s="1" t="s">
        <v>1562</v>
      </c>
      <c r="BW175" s="284" t="s">
        <v>27</v>
      </c>
    </row>
    <row r="176" spans="1:75" ht="15" customHeight="1" x14ac:dyDescent="0.25">
      <c r="A176" s="275" t="s">
        <v>807</v>
      </c>
      <c r="B176" s="276" t="s">
        <v>49</v>
      </c>
      <c r="C176" s="1" t="s">
        <v>1262</v>
      </c>
      <c r="D176" s="277">
        <v>44644</v>
      </c>
      <c r="E176" s="277">
        <v>45740</v>
      </c>
      <c r="F176" s="277">
        <v>44936</v>
      </c>
      <c r="H176" s="275" t="s">
        <v>32</v>
      </c>
      <c r="I176" s="275" t="s">
        <v>1473</v>
      </c>
      <c r="J176" s="286"/>
      <c r="K176" s="275" t="s">
        <v>808</v>
      </c>
      <c r="L176" s="275" t="s">
        <v>809</v>
      </c>
      <c r="M176" s="275" t="s">
        <v>806</v>
      </c>
      <c r="V176" s="1">
        <f t="shared" si="31"/>
        <v>0</v>
      </c>
      <c r="X176" s="1">
        <v>1</v>
      </c>
      <c r="AE176" s="1">
        <f t="shared" si="32"/>
        <v>1</v>
      </c>
      <c r="AF176" s="1">
        <f t="shared" si="33"/>
        <v>0</v>
      </c>
      <c r="AG176" s="1">
        <f t="shared" si="34"/>
        <v>1</v>
      </c>
      <c r="AH176" s="1">
        <f t="shared" si="35"/>
        <v>0</v>
      </c>
      <c r="AI176" s="1">
        <f t="shared" si="36"/>
        <v>0</v>
      </c>
      <c r="AJ176" s="1">
        <f t="shared" si="37"/>
        <v>0</v>
      </c>
      <c r="AK176" s="1">
        <f t="shared" si="38"/>
        <v>0</v>
      </c>
      <c r="AL176" s="1">
        <f t="shared" si="39"/>
        <v>0</v>
      </c>
      <c r="AM176" s="1">
        <f t="shared" si="40"/>
        <v>0</v>
      </c>
      <c r="AN176" s="278">
        <f t="shared" si="30"/>
        <v>1</v>
      </c>
      <c r="AP176" s="280"/>
      <c r="AQ176" s="1">
        <v>0.5</v>
      </c>
      <c r="AR176" s="1">
        <v>0.5</v>
      </c>
      <c r="AU176" s="281"/>
      <c r="AZ176" s="281"/>
      <c r="BG176" s="282">
        <f t="shared" si="41"/>
        <v>1</v>
      </c>
      <c r="BH176" s="282">
        <f t="shared" si="42"/>
        <v>1</v>
      </c>
      <c r="BI176" s="283">
        <f t="shared" si="43"/>
        <v>1</v>
      </c>
      <c r="BL176" s="1">
        <v>521328</v>
      </c>
      <c r="BM176" s="1">
        <v>175496</v>
      </c>
      <c r="BN176" s="1" t="s">
        <v>1599</v>
      </c>
      <c r="BO176" s="1" t="s">
        <v>1562</v>
      </c>
      <c r="BW176" s="284" t="s">
        <v>27</v>
      </c>
    </row>
    <row r="177" spans="1:75" ht="15" customHeight="1" x14ac:dyDescent="0.25">
      <c r="A177" s="275" t="s">
        <v>537</v>
      </c>
      <c r="B177" s="276" t="s">
        <v>49</v>
      </c>
      <c r="C177" s="1" t="s">
        <v>1262</v>
      </c>
      <c r="D177" s="277">
        <v>44792</v>
      </c>
      <c r="E177" s="277">
        <v>45888</v>
      </c>
      <c r="F177" s="277">
        <v>44942</v>
      </c>
      <c r="H177" s="275" t="s">
        <v>32</v>
      </c>
      <c r="I177" s="275" t="s">
        <v>1473</v>
      </c>
      <c r="J177" s="286"/>
      <c r="K177" s="275" t="s">
        <v>538</v>
      </c>
      <c r="L177" s="275" t="s">
        <v>539</v>
      </c>
      <c r="M177" s="275" t="s">
        <v>499</v>
      </c>
      <c r="V177" s="1">
        <f t="shared" si="31"/>
        <v>0</v>
      </c>
      <c r="W177" s="1">
        <v>3</v>
      </c>
      <c r="AE177" s="1">
        <f t="shared" si="32"/>
        <v>3</v>
      </c>
      <c r="AF177" s="1">
        <f t="shared" si="33"/>
        <v>3</v>
      </c>
      <c r="AG177" s="1">
        <f t="shared" si="34"/>
        <v>0</v>
      </c>
      <c r="AH177" s="1">
        <f t="shared" si="35"/>
        <v>0</v>
      </c>
      <c r="AI177" s="1">
        <f t="shared" si="36"/>
        <v>0</v>
      </c>
      <c r="AJ177" s="1">
        <f t="shared" si="37"/>
        <v>0</v>
      </c>
      <c r="AK177" s="1">
        <f t="shared" si="38"/>
        <v>0</v>
      </c>
      <c r="AL177" s="1">
        <f t="shared" si="39"/>
        <v>0</v>
      </c>
      <c r="AM177" s="1">
        <f t="shared" si="40"/>
        <v>0</v>
      </c>
      <c r="AN177" s="278">
        <f t="shared" si="30"/>
        <v>3</v>
      </c>
      <c r="AP177" s="280"/>
      <c r="AQ177" s="1">
        <v>1.5</v>
      </c>
      <c r="AR177" s="1">
        <v>1.5</v>
      </c>
      <c r="AU177" s="281"/>
      <c r="AZ177" s="281"/>
      <c r="BG177" s="282">
        <f t="shared" si="41"/>
        <v>3</v>
      </c>
      <c r="BH177" s="282">
        <f t="shared" si="42"/>
        <v>3</v>
      </c>
      <c r="BI177" s="283">
        <f t="shared" si="43"/>
        <v>3</v>
      </c>
      <c r="BL177" s="1">
        <v>517627</v>
      </c>
      <c r="BM177" s="1">
        <v>174827</v>
      </c>
      <c r="BN177" s="1" t="s">
        <v>1385</v>
      </c>
      <c r="BO177" s="1" t="s">
        <v>1405</v>
      </c>
      <c r="BU177" s="284" t="s">
        <v>1731</v>
      </c>
      <c r="BV177" s="284" t="s">
        <v>27</v>
      </c>
      <c r="BW177" s="284" t="s">
        <v>27</v>
      </c>
    </row>
    <row r="178" spans="1:75" ht="15" customHeight="1" x14ac:dyDescent="0.25">
      <c r="A178" s="275" t="s">
        <v>571</v>
      </c>
      <c r="B178" s="276" t="s">
        <v>49</v>
      </c>
      <c r="C178" s="1" t="s">
        <v>1262</v>
      </c>
      <c r="D178" s="277">
        <v>44796</v>
      </c>
      <c r="E178" s="277">
        <v>45892</v>
      </c>
      <c r="F178" s="277">
        <v>44942</v>
      </c>
      <c r="G178" s="277">
        <v>45099</v>
      </c>
      <c r="H178" s="275" t="s">
        <v>32</v>
      </c>
      <c r="I178" s="275" t="s">
        <v>1473</v>
      </c>
      <c r="J178" s="286"/>
      <c r="K178" s="275" t="s">
        <v>572</v>
      </c>
      <c r="L178" s="275" t="s">
        <v>573</v>
      </c>
      <c r="M178" s="275" t="s">
        <v>499</v>
      </c>
      <c r="V178" s="1">
        <f t="shared" si="31"/>
        <v>0</v>
      </c>
      <c r="W178" s="1">
        <v>1</v>
      </c>
      <c r="AE178" s="1">
        <f t="shared" si="32"/>
        <v>1</v>
      </c>
      <c r="AF178" s="1">
        <f t="shared" si="33"/>
        <v>1</v>
      </c>
      <c r="AG178" s="1">
        <f t="shared" si="34"/>
        <v>0</v>
      </c>
      <c r="AH178" s="1">
        <f t="shared" si="35"/>
        <v>0</v>
      </c>
      <c r="AI178" s="1">
        <f t="shared" si="36"/>
        <v>0</v>
      </c>
      <c r="AJ178" s="1">
        <f t="shared" si="37"/>
        <v>0</v>
      </c>
      <c r="AK178" s="1">
        <f t="shared" si="38"/>
        <v>0</v>
      </c>
      <c r="AL178" s="1">
        <f t="shared" si="39"/>
        <v>0</v>
      </c>
      <c r="AM178" s="1">
        <f t="shared" si="40"/>
        <v>0</v>
      </c>
      <c r="AN178" s="278">
        <f t="shared" si="30"/>
        <v>1</v>
      </c>
      <c r="AP178" s="280"/>
      <c r="AQ178" s="1">
        <v>1</v>
      </c>
      <c r="AU178" s="281"/>
      <c r="AZ178" s="281"/>
      <c r="BG178" s="282">
        <f t="shared" si="41"/>
        <v>1</v>
      </c>
      <c r="BH178" s="282">
        <f t="shared" si="42"/>
        <v>1</v>
      </c>
      <c r="BI178" s="283">
        <f t="shared" si="43"/>
        <v>1</v>
      </c>
      <c r="BL178" s="1">
        <v>517621</v>
      </c>
      <c r="BM178" s="1">
        <v>174819</v>
      </c>
      <c r="BN178" s="1" t="s">
        <v>1385</v>
      </c>
      <c r="BO178" s="1" t="s">
        <v>1405</v>
      </c>
      <c r="BU178" s="284" t="s">
        <v>1731</v>
      </c>
      <c r="BV178" s="284" t="s">
        <v>27</v>
      </c>
      <c r="BW178" s="284" t="s">
        <v>27</v>
      </c>
    </row>
    <row r="179" spans="1:75" ht="15" customHeight="1" x14ac:dyDescent="0.25">
      <c r="A179" s="275" t="s">
        <v>544</v>
      </c>
      <c r="B179" s="276" t="s">
        <v>144</v>
      </c>
      <c r="C179" s="1" t="s">
        <v>1262</v>
      </c>
      <c r="D179" s="277">
        <v>44820</v>
      </c>
      <c r="E179" s="277">
        <v>45916</v>
      </c>
      <c r="F179" s="277">
        <v>44942</v>
      </c>
      <c r="H179" s="275" t="s">
        <v>32</v>
      </c>
      <c r="I179" s="275" t="s">
        <v>1473</v>
      </c>
      <c r="J179" s="286"/>
      <c r="K179" s="275" t="s">
        <v>545</v>
      </c>
      <c r="L179" s="275" t="s">
        <v>546</v>
      </c>
      <c r="M179" s="275" t="s">
        <v>499</v>
      </c>
      <c r="V179" s="1">
        <f t="shared" si="31"/>
        <v>0</v>
      </c>
      <c r="W179" s="1">
        <v>2</v>
      </c>
      <c r="AE179" s="1">
        <f t="shared" si="32"/>
        <v>2</v>
      </c>
      <c r="AF179" s="1">
        <f t="shared" si="33"/>
        <v>2</v>
      </c>
      <c r="AG179" s="1">
        <f t="shared" si="34"/>
        <v>0</v>
      </c>
      <c r="AH179" s="1">
        <f t="shared" si="35"/>
        <v>0</v>
      </c>
      <c r="AI179" s="1">
        <f t="shared" si="36"/>
        <v>0</v>
      </c>
      <c r="AJ179" s="1">
        <f t="shared" si="37"/>
        <v>0</v>
      </c>
      <c r="AK179" s="1">
        <f t="shared" si="38"/>
        <v>0</v>
      </c>
      <c r="AL179" s="1">
        <f t="shared" si="39"/>
        <v>0</v>
      </c>
      <c r="AM179" s="1">
        <f t="shared" si="40"/>
        <v>0</v>
      </c>
      <c r="AN179" s="278">
        <f t="shared" si="30"/>
        <v>2</v>
      </c>
      <c r="AP179" s="280"/>
      <c r="AQ179" s="1">
        <v>1</v>
      </c>
      <c r="AR179" s="1">
        <v>1</v>
      </c>
      <c r="AU179" s="281"/>
      <c r="AZ179" s="281"/>
      <c r="BG179" s="282">
        <f t="shared" si="41"/>
        <v>2</v>
      </c>
      <c r="BH179" s="282">
        <f t="shared" si="42"/>
        <v>2</v>
      </c>
      <c r="BI179" s="283">
        <f t="shared" si="43"/>
        <v>2</v>
      </c>
      <c r="BL179" s="1">
        <v>517628</v>
      </c>
      <c r="BM179" s="1">
        <v>174828</v>
      </c>
      <c r="BN179" s="1" t="s">
        <v>1385</v>
      </c>
      <c r="BO179" s="1" t="s">
        <v>1405</v>
      </c>
      <c r="BU179" s="284" t="s">
        <v>1731</v>
      </c>
      <c r="BV179" s="284" t="s">
        <v>27</v>
      </c>
      <c r="BW179" s="284" t="s">
        <v>27</v>
      </c>
    </row>
    <row r="180" spans="1:75" ht="15" customHeight="1" x14ac:dyDescent="0.25">
      <c r="A180" s="275" t="s">
        <v>574</v>
      </c>
      <c r="B180" s="276" t="s">
        <v>49</v>
      </c>
      <c r="C180" s="1" t="s">
        <v>1262</v>
      </c>
      <c r="D180" s="277">
        <v>44820</v>
      </c>
      <c r="E180" s="277">
        <v>45916</v>
      </c>
      <c r="F180" s="277">
        <v>44942</v>
      </c>
      <c r="H180" s="275" t="s">
        <v>32</v>
      </c>
      <c r="I180" s="275" t="s">
        <v>1473</v>
      </c>
      <c r="J180" s="286"/>
      <c r="K180" s="275" t="s">
        <v>575</v>
      </c>
      <c r="L180" s="275" t="s">
        <v>573</v>
      </c>
      <c r="M180" s="275" t="s">
        <v>499</v>
      </c>
      <c r="V180" s="1">
        <f t="shared" si="31"/>
        <v>0</v>
      </c>
      <c r="W180" s="1">
        <v>1</v>
      </c>
      <c r="AE180" s="1">
        <f t="shared" si="32"/>
        <v>1</v>
      </c>
      <c r="AF180" s="1">
        <f t="shared" si="33"/>
        <v>1</v>
      </c>
      <c r="AG180" s="1">
        <f t="shared" si="34"/>
        <v>0</v>
      </c>
      <c r="AH180" s="1">
        <f t="shared" si="35"/>
        <v>0</v>
      </c>
      <c r="AI180" s="1">
        <f t="shared" si="36"/>
        <v>0</v>
      </c>
      <c r="AJ180" s="1">
        <f t="shared" si="37"/>
        <v>0</v>
      </c>
      <c r="AK180" s="1">
        <f t="shared" si="38"/>
        <v>0</v>
      </c>
      <c r="AL180" s="1">
        <f t="shared" si="39"/>
        <v>0</v>
      </c>
      <c r="AM180" s="1">
        <f t="shared" si="40"/>
        <v>0</v>
      </c>
      <c r="AN180" s="278">
        <f t="shared" si="30"/>
        <v>1</v>
      </c>
      <c r="AP180" s="280"/>
      <c r="AQ180" s="1">
        <v>1</v>
      </c>
      <c r="AU180" s="281"/>
      <c r="AZ180" s="281"/>
      <c r="BG180" s="282">
        <f t="shared" si="41"/>
        <v>1</v>
      </c>
      <c r="BH180" s="282">
        <f t="shared" si="42"/>
        <v>1</v>
      </c>
      <c r="BI180" s="283">
        <f t="shared" si="43"/>
        <v>1</v>
      </c>
      <c r="BL180" s="1">
        <v>517621</v>
      </c>
      <c r="BM180" s="1">
        <v>174819</v>
      </c>
      <c r="BN180" s="1" t="s">
        <v>1385</v>
      </c>
      <c r="BO180" s="1" t="s">
        <v>1405</v>
      </c>
      <c r="BU180" s="284" t="s">
        <v>1731</v>
      </c>
      <c r="BV180" s="284" t="s">
        <v>27</v>
      </c>
      <c r="BW180" s="284" t="s">
        <v>27</v>
      </c>
    </row>
    <row r="181" spans="1:75" ht="15" customHeight="1" x14ac:dyDescent="0.25">
      <c r="A181" s="275" t="s">
        <v>694</v>
      </c>
      <c r="B181" s="276" t="s">
        <v>49</v>
      </c>
      <c r="C181" s="1" t="s">
        <v>1262</v>
      </c>
      <c r="D181" s="277">
        <v>44893</v>
      </c>
      <c r="E181" s="277">
        <v>45981</v>
      </c>
      <c r="F181" s="277">
        <v>44942</v>
      </c>
      <c r="H181" s="275" t="s">
        <v>32</v>
      </c>
      <c r="I181" s="275" t="s">
        <v>1473</v>
      </c>
      <c r="J181" s="286"/>
      <c r="K181" s="275" t="s">
        <v>695</v>
      </c>
      <c r="L181" s="275" t="s">
        <v>696</v>
      </c>
      <c r="M181" s="275" t="s">
        <v>697</v>
      </c>
      <c r="V181" s="1">
        <f t="shared" si="31"/>
        <v>0</v>
      </c>
      <c r="W181" s="1">
        <v>1</v>
      </c>
      <c r="AE181" s="1">
        <f t="shared" si="32"/>
        <v>1</v>
      </c>
      <c r="AF181" s="1">
        <f t="shared" si="33"/>
        <v>1</v>
      </c>
      <c r="AG181" s="1">
        <f t="shared" si="34"/>
        <v>0</v>
      </c>
      <c r="AH181" s="1">
        <f t="shared" si="35"/>
        <v>0</v>
      </c>
      <c r="AI181" s="1">
        <f t="shared" si="36"/>
        <v>0</v>
      </c>
      <c r="AJ181" s="1">
        <f t="shared" si="37"/>
        <v>0</v>
      </c>
      <c r="AK181" s="1">
        <f t="shared" si="38"/>
        <v>0</v>
      </c>
      <c r="AL181" s="1">
        <f t="shared" si="39"/>
        <v>0</v>
      </c>
      <c r="AM181" s="1">
        <f t="shared" si="40"/>
        <v>0</v>
      </c>
      <c r="AN181" s="278">
        <f t="shared" si="30"/>
        <v>1</v>
      </c>
      <c r="AP181" s="280"/>
      <c r="AQ181" s="1">
        <v>0.5</v>
      </c>
      <c r="AR181" s="1">
        <v>0.5</v>
      </c>
      <c r="AU181" s="281"/>
      <c r="AZ181" s="281"/>
      <c r="BG181" s="282">
        <f t="shared" si="41"/>
        <v>1</v>
      </c>
      <c r="BH181" s="282">
        <f t="shared" si="42"/>
        <v>1</v>
      </c>
      <c r="BI181" s="283">
        <f t="shared" si="43"/>
        <v>1</v>
      </c>
      <c r="BL181" s="1">
        <v>517638</v>
      </c>
      <c r="BM181" s="1">
        <v>174846</v>
      </c>
      <c r="BN181" s="1" t="s">
        <v>1385</v>
      </c>
      <c r="BO181" s="1" t="s">
        <v>1405</v>
      </c>
      <c r="BU181" s="284" t="s">
        <v>1731</v>
      </c>
      <c r="BV181" s="284" t="s">
        <v>27</v>
      </c>
      <c r="BW181" s="284" t="s">
        <v>27</v>
      </c>
    </row>
    <row r="182" spans="1:75" ht="15" customHeight="1" x14ac:dyDescent="0.25">
      <c r="A182" s="275" t="s">
        <v>496</v>
      </c>
      <c r="B182" s="276" t="s">
        <v>49</v>
      </c>
      <c r="C182" s="1" t="s">
        <v>1262</v>
      </c>
      <c r="D182" s="277">
        <v>44952</v>
      </c>
      <c r="E182" s="277">
        <v>46048</v>
      </c>
      <c r="F182" s="277">
        <v>44942</v>
      </c>
      <c r="H182" s="275" t="s">
        <v>32</v>
      </c>
      <c r="I182" s="275" t="s">
        <v>1473</v>
      </c>
      <c r="J182" s="286"/>
      <c r="K182" s="275" t="s">
        <v>497</v>
      </c>
      <c r="L182" s="275" t="s">
        <v>498</v>
      </c>
      <c r="M182" s="275" t="s">
        <v>499</v>
      </c>
      <c r="V182" s="1">
        <f t="shared" si="31"/>
        <v>0</v>
      </c>
      <c r="W182" s="1">
        <v>2</v>
      </c>
      <c r="AE182" s="1">
        <f t="shared" si="32"/>
        <v>2</v>
      </c>
      <c r="AF182" s="1">
        <f t="shared" si="33"/>
        <v>2</v>
      </c>
      <c r="AG182" s="1">
        <f t="shared" si="34"/>
        <v>0</v>
      </c>
      <c r="AH182" s="1">
        <f t="shared" si="35"/>
        <v>0</v>
      </c>
      <c r="AI182" s="1">
        <f t="shared" si="36"/>
        <v>0</v>
      </c>
      <c r="AJ182" s="1">
        <f t="shared" si="37"/>
        <v>0</v>
      </c>
      <c r="AK182" s="1">
        <f t="shared" si="38"/>
        <v>0</v>
      </c>
      <c r="AL182" s="1">
        <f t="shared" si="39"/>
        <v>0</v>
      </c>
      <c r="AM182" s="1">
        <f t="shared" si="40"/>
        <v>0</v>
      </c>
      <c r="AN182" s="278">
        <f t="shared" si="30"/>
        <v>2</v>
      </c>
      <c r="AP182" s="280"/>
      <c r="AQ182" s="1">
        <v>1</v>
      </c>
      <c r="AR182" s="1">
        <v>1</v>
      </c>
      <c r="AU182" s="281"/>
      <c r="AZ182" s="281"/>
      <c r="BG182" s="282">
        <f t="shared" si="41"/>
        <v>2</v>
      </c>
      <c r="BH182" s="282">
        <f t="shared" si="42"/>
        <v>2</v>
      </c>
      <c r="BI182" s="283">
        <f t="shared" si="43"/>
        <v>2</v>
      </c>
      <c r="BL182" s="1">
        <v>517631</v>
      </c>
      <c r="BM182" s="1">
        <v>174833</v>
      </c>
      <c r="BN182" s="1" t="s">
        <v>1385</v>
      </c>
      <c r="BO182" s="1" t="s">
        <v>1405</v>
      </c>
      <c r="BU182" s="284" t="s">
        <v>1731</v>
      </c>
      <c r="BV182" s="284" t="s">
        <v>27</v>
      </c>
      <c r="BW182" s="284" t="s">
        <v>27</v>
      </c>
    </row>
    <row r="183" spans="1:75" ht="15" customHeight="1" x14ac:dyDescent="0.25">
      <c r="A183" s="275" t="s">
        <v>576</v>
      </c>
      <c r="B183" s="276" t="s">
        <v>49</v>
      </c>
      <c r="C183" s="1" t="s">
        <v>1262</v>
      </c>
      <c r="D183" s="277">
        <v>44743</v>
      </c>
      <c r="E183" s="277">
        <v>45839</v>
      </c>
      <c r="F183" s="277">
        <v>44956</v>
      </c>
      <c r="H183" s="275" t="s">
        <v>32</v>
      </c>
      <c r="I183" s="275" t="s">
        <v>1473</v>
      </c>
      <c r="J183" s="286"/>
      <c r="K183" s="275" t="s">
        <v>577</v>
      </c>
      <c r="L183" s="275" t="s">
        <v>578</v>
      </c>
      <c r="M183" s="275" t="s">
        <v>579</v>
      </c>
      <c r="V183" s="1">
        <f t="shared" si="31"/>
        <v>0</v>
      </c>
      <c r="W183" s="1">
        <v>1</v>
      </c>
      <c r="AE183" s="1">
        <f t="shared" si="32"/>
        <v>1</v>
      </c>
      <c r="AF183" s="1">
        <f t="shared" si="33"/>
        <v>1</v>
      </c>
      <c r="AG183" s="1">
        <f t="shared" si="34"/>
        <v>0</v>
      </c>
      <c r="AH183" s="1">
        <f t="shared" si="35"/>
        <v>0</v>
      </c>
      <c r="AI183" s="1">
        <f t="shared" si="36"/>
        <v>0</v>
      </c>
      <c r="AJ183" s="1">
        <f t="shared" si="37"/>
        <v>0</v>
      </c>
      <c r="AK183" s="1">
        <f t="shared" si="38"/>
        <v>0</v>
      </c>
      <c r="AL183" s="1">
        <f t="shared" si="39"/>
        <v>0</v>
      </c>
      <c r="AM183" s="1">
        <f t="shared" si="40"/>
        <v>0</v>
      </c>
      <c r="AN183" s="278">
        <f t="shared" si="30"/>
        <v>1</v>
      </c>
      <c r="AP183" s="280"/>
      <c r="AQ183" s="1">
        <v>0.5</v>
      </c>
      <c r="AR183" s="1">
        <v>0.5</v>
      </c>
      <c r="AU183" s="281"/>
      <c r="AZ183" s="281"/>
      <c r="BG183" s="282">
        <f t="shared" si="41"/>
        <v>1</v>
      </c>
      <c r="BH183" s="282">
        <f t="shared" si="42"/>
        <v>1</v>
      </c>
      <c r="BI183" s="283">
        <f t="shared" si="43"/>
        <v>1</v>
      </c>
      <c r="BL183" s="1">
        <v>517582</v>
      </c>
      <c r="BM183" s="1">
        <v>174357</v>
      </c>
      <c r="BN183" s="1" t="s">
        <v>1389</v>
      </c>
      <c r="BO183" s="1" t="s">
        <v>1407</v>
      </c>
      <c r="BR183" s="284" t="s">
        <v>1732</v>
      </c>
      <c r="BS183" s="284" t="s">
        <v>27</v>
      </c>
      <c r="BU183" s="284" t="s">
        <v>1733</v>
      </c>
      <c r="BV183" s="284" t="s">
        <v>27</v>
      </c>
      <c r="BW183" s="284" t="s">
        <v>27</v>
      </c>
    </row>
    <row r="184" spans="1:75" ht="15" customHeight="1" x14ac:dyDescent="0.25">
      <c r="A184" s="275" t="s">
        <v>810</v>
      </c>
      <c r="B184" s="276" t="s">
        <v>224</v>
      </c>
      <c r="D184" s="277">
        <v>43866</v>
      </c>
      <c r="E184" s="277">
        <v>44962</v>
      </c>
      <c r="F184" s="277">
        <v>44960</v>
      </c>
      <c r="H184" s="275" t="s">
        <v>32</v>
      </c>
      <c r="I184" s="275" t="s">
        <v>1473</v>
      </c>
      <c r="J184" s="286"/>
      <c r="K184" s="275" t="s">
        <v>811</v>
      </c>
      <c r="L184" s="275" t="s">
        <v>812</v>
      </c>
      <c r="M184" s="275" t="s">
        <v>813</v>
      </c>
      <c r="V184" s="1">
        <f t="shared" si="31"/>
        <v>0</v>
      </c>
      <c r="X184" s="1">
        <v>2</v>
      </c>
      <c r="AE184" s="1">
        <f t="shared" si="32"/>
        <v>2</v>
      </c>
      <c r="AF184" s="1">
        <f t="shared" si="33"/>
        <v>0</v>
      </c>
      <c r="AG184" s="1">
        <f t="shared" si="34"/>
        <v>2</v>
      </c>
      <c r="AH184" s="1">
        <f t="shared" si="35"/>
        <v>0</v>
      </c>
      <c r="AI184" s="1">
        <f t="shared" si="36"/>
        <v>0</v>
      </c>
      <c r="AJ184" s="1">
        <f t="shared" si="37"/>
        <v>0</v>
      </c>
      <c r="AK184" s="1">
        <f t="shared" si="38"/>
        <v>0</v>
      </c>
      <c r="AL184" s="1">
        <f t="shared" si="39"/>
        <v>0</v>
      </c>
      <c r="AM184" s="1">
        <f t="shared" si="40"/>
        <v>0</v>
      </c>
      <c r="AN184" s="278">
        <f t="shared" si="30"/>
        <v>2</v>
      </c>
      <c r="AP184" s="280"/>
      <c r="AQ184" s="1">
        <v>1</v>
      </c>
      <c r="AR184" s="1">
        <v>1</v>
      </c>
      <c r="AU184" s="281"/>
      <c r="AZ184" s="281"/>
      <c r="BG184" s="282">
        <f t="shared" si="41"/>
        <v>2</v>
      </c>
      <c r="BH184" s="282">
        <f t="shared" si="42"/>
        <v>2</v>
      </c>
      <c r="BI184" s="283">
        <f t="shared" si="43"/>
        <v>2</v>
      </c>
      <c r="BL184" s="1">
        <v>517543</v>
      </c>
      <c r="BM184" s="1">
        <v>169767</v>
      </c>
      <c r="BN184" s="1" t="s">
        <v>1600</v>
      </c>
      <c r="BO184" s="1" t="s">
        <v>1559</v>
      </c>
      <c r="BW184" s="284" t="s">
        <v>27</v>
      </c>
    </row>
    <row r="185" spans="1:75" ht="15" customHeight="1" x14ac:dyDescent="0.25">
      <c r="A185" s="275" t="s">
        <v>531</v>
      </c>
      <c r="B185" s="276" t="s">
        <v>21</v>
      </c>
      <c r="D185" s="277">
        <v>44799</v>
      </c>
      <c r="E185" s="277">
        <v>45895</v>
      </c>
      <c r="F185" s="277">
        <v>44981</v>
      </c>
      <c r="H185" s="275" t="s">
        <v>32</v>
      </c>
      <c r="I185" s="275" t="s">
        <v>1473</v>
      </c>
      <c r="J185" s="286"/>
      <c r="K185" s="275" t="s">
        <v>532</v>
      </c>
      <c r="L185" s="275" t="s">
        <v>533</v>
      </c>
      <c r="Q185" s="1">
        <v>1</v>
      </c>
      <c r="V185" s="1">
        <f t="shared" si="31"/>
        <v>1</v>
      </c>
      <c r="Y185" s="1">
        <v>1</v>
      </c>
      <c r="AE185" s="1">
        <f t="shared" si="32"/>
        <v>1</v>
      </c>
      <c r="AF185" s="1">
        <f t="shared" si="33"/>
        <v>0</v>
      </c>
      <c r="AG185" s="1">
        <f t="shared" si="34"/>
        <v>0</v>
      </c>
      <c r="AH185" s="1">
        <f t="shared" si="35"/>
        <v>0</v>
      </c>
      <c r="AI185" s="1">
        <f t="shared" si="36"/>
        <v>0</v>
      </c>
      <c r="AJ185" s="1">
        <f t="shared" si="37"/>
        <v>0</v>
      </c>
      <c r="AK185" s="1">
        <f t="shared" si="38"/>
        <v>0</v>
      </c>
      <c r="AL185" s="1">
        <f t="shared" si="39"/>
        <v>0</v>
      </c>
      <c r="AM185" s="1">
        <f t="shared" si="40"/>
        <v>0</v>
      </c>
      <c r="AN185" s="278">
        <f t="shared" si="30"/>
        <v>0</v>
      </c>
      <c r="AP185" s="280"/>
      <c r="AQ185" s="1">
        <v>0</v>
      </c>
      <c r="AU185" s="281"/>
      <c r="AZ185" s="281"/>
      <c r="BG185" s="282">
        <f t="shared" si="41"/>
        <v>0</v>
      </c>
      <c r="BH185" s="282">
        <f t="shared" si="42"/>
        <v>0</v>
      </c>
      <c r="BI185" s="283">
        <f t="shared" si="43"/>
        <v>0</v>
      </c>
      <c r="BL185" s="1">
        <v>521430</v>
      </c>
      <c r="BM185" s="1">
        <v>175853</v>
      </c>
      <c r="BN185" s="1" t="s">
        <v>1599</v>
      </c>
      <c r="BO185" s="1" t="s">
        <v>1562</v>
      </c>
      <c r="BU185" s="284" t="s">
        <v>1714</v>
      </c>
      <c r="BV185" s="284" t="s">
        <v>27</v>
      </c>
      <c r="BW185" s="284" t="s">
        <v>27</v>
      </c>
    </row>
    <row r="186" spans="1:75" ht="15" customHeight="1" x14ac:dyDescent="0.25">
      <c r="A186" s="275" t="s">
        <v>447</v>
      </c>
      <c r="B186" s="276" t="s">
        <v>224</v>
      </c>
      <c r="D186" s="277">
        <v>43957</v>
      </c>
      <c r="E186" s="277">
        <v>45052</v>
      </c>
      <c r="F186" s="277">
        <v>44986</v>
      </c>
      <c r="H186" s="275" t="s">
        <v>32</v>
      </c>
      <c r="I186" s="275" t="s">
        <v>1473</v>
      </c>
      <c r="J186" s="286"/>
      <c r="K186" s="275" t="s">
        <v>448</v>
      </c>
      <c r="L186" s="275" t="s">
        <v>449</v>
      </c>
      <c r="M186" s="275" t="s">
        <v>450</v>
      </c>
      <c r="V186" s="1">
        <f t="shared" si="31"/>
        <v>0</v>
      </c>
      <c r="W186" s="1">
        <v>2</v>
      </c>
      <c r="AE186" s="1">
        <f t="shared" si="32"/>
        <v>2</v>
      </c>
      <c r="AF186" s="1">
        <f t="shared" si="33"/>
        <v>2</v>
      </c>
      <c r="AG186" s="1">
        <f t="shared" si="34"/>
        <v>0</v>
      </c>
      <c r="AH186" s="1">
        <f t="shared" si="35"/>
        <v>0</v>
      </c>
      <c r="AI186" s="1">
        <f t="shared" si="36"/>
        <v>0</v>
      </c>
      <c r="AJ186" s="1">
        <f t="shared" si="37"/>
        <v>0</v>
      </c>
      <c r="AK186" s="1">
        <f t="shared" si="38"/>
        <v>0</v>
      </c>
      <c r="AL186" s="1">
        <f t="shared" si="39"/>
        <v>0</v>
      </c>
      <c r="AM186" s="1">
        <f t="shared" si="40"/>
        <v>0</v>
      </c>
      <c r="AN186" s="278">
        <f t="shared" ref="AN186:AN249" si="44">AE186-V186</f>
        <v>2</v>
      </c>
      <c r="AP186" s="280"/>
      <c r="AQ186" s="1">
        <v>1</v>
      </c>
      <c r="AR186" s="1">
        <v>1</v>
      </c>
      <c r="AU186" s="281"/>
      <c r="AZ186" s="281"/>
      <c r="BG186" s="282">
        <f t="shared" si="41"/>
        <v>2</v>
      </c>
      <c r="BH186" s="282">
        <f t="shared" si="42"/>
        <v>2</v>
      </c>
      <c r="BI186" s="283">
        <f t="shared" si="43"/>
        <v>2</v>
      </c>
      <c r="BL186" s="1">
        <v>514218</v>
      </c>
      <c r="BM186" s="1">
        <v>173596</v>
      </c>
      <c r="BN186" s="1" t="s">
        <v>1391</v>
      </c>
      <c r="BO186" s="1" t="s">
        <v>1391</v>
      </c>
      <c r="BP186" s="284" t="s">
        <v>1391</v>
      </c>
      <c r="BW186" s="284" t="s">
        <v>27</v>
      </c>
    </row>
    <row r="187" spans="1:75" ht="15" customHeight="1" x14ac:dyDescent="0.25">
      <c r="A187" s="275" t="s">
        <v>665</v>
      </c>
      <c r="B187" s="276" t="s">
        <v>49</v>
      </c>
      <c r="D187" s="277">
        <v>44701</v>
      </c>
      <c r="E187" s="277">
        <v>45797</v>
      </c>
      <c r="F187" s="277">
        <v>44986</v>
      </c>
      <c r="H187" s="275" t="s">
        <v>32</v>
      </c>
      <c r="I187" s="275" t="s">
        <v>1473</v>
      </c>
      <c r="J187" s="286"/>
      <c r="K187" s="275" t="s">
        <v>666</v>
      </c>
      <c r="L187" s="275" t="s">
        <v>667</v>
      </c>
      <c r="M187" s="275" t="s">
        <v>660</v>
      </c>
      <c r="V187" s="1">
        <f t="shared" si="31"/>
        <v>0</v>
      </c>
      <c r="W187" s="1">
        <v>1</v>
      </c>
      <c r="AE187" s="1">
        <f t="shared" si="32"/>
        <v>1</v>
      </c>
      <c r="AF187" s="1">
        <f t="shared" si="33"/>
        <v>1</v>
      </c>
      <c r="AG187" s="1">
        <f t="shared" si="34"/>
        <v>0</v>
      </c>
      <c r="AH187" s="1">
        <f t="shared" si="35"/>
        <v>0</v>
      </c>
      <c r="AI187" s="1">
        <f t="shared" si="36"/>
        <v>0</v>
      </c>
      <c r="AJ187" s="1">
        <f t="shared" si="37"/>
        <v>0</v>
      </c>
      <c r="AK187" s="1">
        <f t="shared" si="38"/>
        <v>0</v>
      </c>
      <c r="AL187" s="1">
        <f t="shared" si="39"/>
        <v>0</v>
      </c>
      <c r="AM187" s="1">
        <f t="shared" si="40"/>
        <v>0</v>
      </c>
      <c r="AN187" s="278">
        <f t="shared" si="44"/>
        <v>1</v>
      </c>
      <c r="AP187" s="280"/>
      <c r="AQ187" s="1">
        <v>0.5</v>
      </c>
      <c r="AR187" s="1">
        <v>0.5</v>
      </c>
      <c r="AU187" s="281"/>
      <c r="AZ187" s="281"/>
      <c r="BG187" s="282">
        <f t="shared" si="41"/>
        <v>1</v>
      </c>
      <c r="BH187" s="282">
        <f t="shared" si="42"/>
        <v>1</v>
      </c>
      <c r="BI187" s="283">
        <f t="shared" si="43"/>
        <v>1</v>
      </c>
      <c r="BL187" s="1">
        <v>515093</v>
      </c>
      <c r="BM187" s="1">
        <v>171528</v>
      </c>
      <c r="BN187" s="1" t="s">
        <v>1600</v>
      </c>
      <c r="BO187" s="1" t="s">
        <v>1563</v>
      </c>
      <c r="BR187" s="284" t="s">
        <v>1734</v>
      </c>
      <c r="BS187" s="284" t="s">
        <v>27</v>
      </c>
      <c r="BW187" s="284" t="s">
        <v>27</v>
      </c>
    </row>
    <row r="188" spans="1:75" ht="15" customHeight="1" x14ac:dyDescent="0.25">
      <c r="A188" s="275" t="s">
        <v>661</v>
      </c>
      <c r="B188" s="276" t="s">
        <v>21</v>
      </c>
      <c r="D188" s="277">
        <v>44778</v>
      </c>
      <c r="E188" s="277">
        <v>45874</v>
      </c>
      <c r="F188" s="277">
        <v>44986</v>
      </c>
      <c r="H188" s="275" t="s">
        <v>32</v>
      </c>
      <c r="I188" s="275" t="s">
        <v>1473</v>
      </c>
      <c r="J188" s="286"/>
      <c r="K188" s="275" t="s">
        <v>662</v>
      </c>
      <c r="L188" s="275" t="s">
        <v>663</v>
      </c>
      <c r="M188" s="275" t="s">
        <v>664</v>
      </c>
      <c r="Q188" s="1">
        <v>1</v>
      </c>
      <c r="V188" s="1">
        <f t="shared" si="31"/>
        <v>1</v>
      </c>
      <c r="Z188" s="1">
        <v>1</v>
      </c>
      <c r="AE188" s="1">
        <f t="shared" si="32"/>
        <v>1</v>
      </c>
      <c r="AF188" s="1">
        <f t="shared" si="33"/>
        <v>0</v>
      </c>
      <c r="AG188" s="1">
        <f t="shared" si="34"/>
        <v>0</v>
      </c>
      <c r="AH188" s="1">
        <f t="shared" si="35"/>
        <v>-1</v>
      </c>
      <c r="AI188" s="1">
        <f t="shared" si="36"/>
        <v>1</v>
      </c>
      <c r="AJ188" s="1">
        <f t="shared" si="37"/>
        <v>0</v>
      </c>
      <c r="AK188" s="1">
        <f t="shared" si="38"/>
        <v>0</v>
      </c>
      <c r="AL188" s="1">
        <f t="shared" si="39"/>
        <v>0</v>
      </c>
      <c r="AM188" s="1">
        <f t="shared" si="40"/>
        <v>0</v>
      </c>
      <c r="AN188" s="278">
        <f t="shared" si="44"/>
        <v>0</v>
      </c>
      <c r="AP188" s="280"/>
      <c r="AQ188" s="1">
        <v>0</v>
      </c>
      <c r="AU188" s="281"/>
      <c r="AZ188" s="281"/>
      <c r="BG188" s="282">
        <f t="shared" si="41"/>
        <v>0</v>
      </c>
      <c r="BH188" s="282">
        <f t="shared" si="42"/>
        <v>0</v>
      </c>
      <c r="BI188" s="283">
        <f t="shared" si="43"/>
        <v>0</v>
      </c>
      <c r="BL188" s="1">
        <v>516237</v>
      </c>
      <c r="BM188" s="1">
        <v>170397</v>
      </c>
      <c r="BN188" s="1" t="s">
        <v>1600</v>
      </c>
      <c r="BO188" s="1" t="s">
        <v>1387</v>
      </c>
      <c r="BW188" s="284" t="s">
        <v>27</v>
      </c>
    </row>
    <row r="189" spans="1:75" ht="15" customHeight="1" x14ac:dyDescent="0.25">
      <c r="A189" s="275" t="s">
        <v>761</v>
      </c>
      <c r="B189" s="276" t="s">
        <v>144</v>
      </c>
      <c r="D189" s="277">
        <v>44973</v>
      </c>
      <c r="E189" s="277">
        <v>46069</v>
      </c>
      <c r="F189" s="277">
        <v>44986</v>
      </c>
      <c r="H189" s="275" t="s">
        <v>32</v>
      </c>
      <c r="I189" s="275" t="s">
        <v>1473</v>
      </c>
      <c r="J189" s="286"/>
      <c r="K189" s="275" t="s">
        <v>762</v>
      </c>
      <c r="L189" s="275" t="s">
        <v>763</v>
      </c>
      <c r="M189" s="275" t="s">
        <v>764</v>
      </c>
      <c r="O189" s="1">
        <v>1</v>
      </c>
      <c r="S189" s="1">
        <v>1</v>
      </c>
      <c r="V189" s="1">
        <f t="shared" si="31"/>
        <v>2</v>
      </c>
      <c r="AA189" s="1">
        <v>1</v>
      </c>
      <c r="AE189" s="1">
        <f t="shared" si="32"/>
        <v>1</v>
      </c>
      <c r="AF189" s="1">
        <f t="shared" si="33"/>
        <v>-1</v>
      </c>
      <c r="AG189" s="1">
        <f t="shared" si="34"/>
        <v>0</v>
      </c>
      <c r="AH189" s="1">
        <f t="shared" si="35"/>
        <v>0</v>
      </c>
      <c r="AI189" s="1">
        <f t="shared" si="36"/>
        <v>0</v>
      </c>
      <c r="AJ189" s="1">
        <f t="shared" si="37"/>
        <v>0</v>
      </c>
      <c r="AK189" s="1">
        <f t="shared" si="38"/>
        <v>0</v>
      </c>
      <c r="AL189" s="1">
        <f t="shared" si="39"/>
        <v>0</v>
      </c>
      <c r="AM189" s="1">
        <f t="shared" si="40"/>
        <v>0</v>
      </c>
      <c r="AN189" s="278">
        <f t="shared" si="44"/>
        <v>-1</v>
      </c>
      <c r="AP189" s="280"/>
      <c r="AQ189" s="1">
        <v>-0.5</v>
      </c>
      <c r="AR189" s="1">
        <v>-0.5</v>
      </c>
      <c r="AU189" s="281"/>
      <c r="AZ189" s="281"/>
      <c r="BG189" s="282">
        <f t="shared" si="41"/>
        <v>-1</v>
      </c>
      <c r="BH189" s="282">
        <f t="shared" si="42"/>
        <v>-1</v>
      </c>
      <c r="BI189" s="283">
        <f t="shared" si="43"/>
        <v>-1</v>
      </c>
      <c r="BL189" s="1">
        <v>516027</v>
      </c>
      <c r="BM189" s="1">
        <v>172735</v>
      </c>
      <c r="BN189" s="1" t="s">
        <v>1389</v>
      </c>
      <c r="BO189" s="1" t="s">
        <v>1407</v>
      </c>
      <c r="BT189" s="284" t="s">
        <v>1735</v>
      </c>
      <c r="BU189" s="284" t="s">
        <v>1689</v>
      </c>
      <c r="BV189" s="284" t="s">
        <v>27</v>
      </c>
      <c r="BW189" s="284" t="s">
        <v>27</v>
      </c>
    </row>
    <row r="190" spans="1:75" ht="15" customHeight="1" x14ac:dyDescent="0.25">
      <c r="A190" s="275" t="s">
        <v>726</v>
      </c>
      <c r="B190" s="276" t="s">
        <v>21</v>
      </c>
      <c r="D190" s="277">
        <v>44104</v>
      </c>
      <c r="E190" s="277">
        <v>45199</v>
      </c>
      <c r="F190" s="277">
        <v>44991</v>
      </c>
      <c r="H190" s="275" t="s">
        <v>32</v>
      </c>
      <c r="I190" s="275" t="s">
        <v>1473</v>
      </c>
      <c r="J190" s="286"/>
      <c r="K190" s="275" t="s">
        <v>727</v>
      </c>
      <c r="L190" s="275" t="s">
        <v>728</v>
      </c>
      <c r="M190" s="275" t="s">
        <v>729</v>
      </c>
      <c r="V190" s="1">
        <f t="shared" si="31"/>
        <v>0</v>
      </c>
      <c r="W190" s="1">
        <v>1</v>
      </c>
      <c r="AE190" s="1">
        <f t="shared" si="32"/>
        <v>1</v>
      </c>
      <c r="AF190" s="1">
        <f t="shared" si="33"/>
        <v>1</v>
      </c>
      <c r="AG190" s="1">
        <f t="shared" si="34"/>
        <v>0</v>
      </c>
      <c r="AH190" s="1">
        <f t="shared" si="35"/>
        <v>0</v>
      </c>
      <c r="AI190" s="1">
        <f t="shared" si="36"/>
        <v>0</v>
      </c>
      <c r="AJ190" s="1">
        <f t="shared" si="37"/>
        <v>0</v>
      </c>
      <c r="AK190" s="1">
        <f t="shared" si="38"/>
        <v>0</v>
      </c>
      <c r="AL190" s="1">
        <f t="shared" si="39"/>
        <v>0</v>
      </c>
      <c r="AM190" s="1">
        <f t="shared" si="40"/>
        <v>0</v>
      </c>
      <c r="AN190" s="278">
        <f t="shared" si="44"/>
        <v>1</v>
      </c>
      <c r="AP190" s="280"/>
      <c r="AQ190" s="1">
        <v>0.5</v>
      </c>
      <c r="AR190" s="1">
        <v>0.5</v>
      </c>
      <c r="AU190" s="281"/>
      <c r="AZ190" s="281"/>
      <c r="BG190" s="282">
        <f t="shared" si="41"/>
        <v>1</v>
      </c>
      <c r="BH190" s="282">
        <f t="shared" si="42"/>
        <v>1</v>
      </c>
      <c r="BI190" s="283">
        <f t="shared" si="43"/>
        <v>1</v>
      </c>
      <c r="BL190" s="1">
        <v>518657</v>
      </c>
      <c r="BM190" s="1">
        <v>175579</v>
      </c>
      <c r="BN190" s="1" t="s">
        <v>1385</v>
      </c>
      <c r="BO190" s="1" t="s">
        <v>1404</v>
      </c>
      <c r="BW190" s="284" t="s">
        <v>27</v>
      </c>
    </row>
    <row r="191" spans="1:75" ht="15" customHeight="1" x14ac:dyDescent="0.25">
      <c r="A191" s="275" t="s">
        <v>524</v>
      </c>
      <c r="B191" s="276" t="s">
        <v>21</v>
      </c>
      <c r="D191" s="277">
        <v>43881</v>
      </c>
      <c r="E191" s="277">
        <v>44977</v>
      </c>
      <c r="F191" s="277">
        <v>44993</v>
      </c>
      <c r="H191" s="275" t="s">
        <v>32</v>
      </c>
      <c r="I191" s="275" t="s">
        <v>1473</v>
      </c>
      <c r="J191" s="286"/>
      <c r="K191" s="275" t="s">
        <v>525</v>
      </c>
      <c r="L191" s="275" t="s">
        <v>526</v>
      </c>
      <c r="M191" s="275" t="s">
        <v>527</v>
      </c>
      <c r="V191" s="1">
        <f t="shared" si="31"/>
        <v>0</v>
      </c>
      <c r="W191" s="1">
        <v>3</v>
      </c>
      <c r="X191" s="1">
        <v>4</v>
      </c>
      <c r="AE191" s="1">
        <f t="shared" si="32"/>
        <v>7</v>
      </c>
      <c r="AF191" s="1">
        <f t="shared" si="33"/>
        <v>3</v>
      </c>
      <c r="AG191" s="1">
        <f t="shared" si="34"/>
        <v>4</v>
      </c>
      <c r="AH191" s="1">
        <f t="shared" si="35"/>
        <v>0</v>
      </c>
      <c r="AI191" s="1">
        <f t="shared" si="36"/>
        <v>0</v>
      </c>
      <c r="AJ191" s="1">
        <f t="shared" si="37"/>
        <v>0</v>
      </c>
      <c r="AK191" s="1">
        <f t="shared" si="38"/>
        <v>0</v>
      </c>
      <c r="AL191" s="1">
        <f t="shared" si="39"/>
        <v>0</v>
      </c>
      <c r="AM191" s="1">
        <f t="shared" si="40"/>
        <v>0</v>
      </c>
      <c r="AN191" s="278">
        <f t="shared" si="44"/>
        <v>7</v>
      </c>
      <c r="AP191" s="280"/>
      <c r="AR191" s="1">
        <v>3.5</v>
      </c>
      <c r="AS191" s="1">
        <v>3.5</v>
      </c>
      <c r="AU191" s="281"/>
      <c r="AZ191" s="281"/>
      <c r="BG191" s="282">
        <f t="shared" si="41"/>
        <v>7</v>
      </c>
      <c r="BH191" s="282">
        <f t="shared" si="42"/>
        <v>7</v>
      </c>
      <c r="BI191" s="283">
        <f t="shared" si="43"/>
        <v>7</v>
      </c>
      <c r="BL191" s="1">
        <v>521492</v>
      </c>
      <c r="BM191" s="1">
        <v>175545</v>
      </c>
      <c r="BN191" s="1" t="s">
        <v>1599</v>
      </c>
      <c r="BO191" s="1" t="s">
        <v>1562</v>
      </c>
      <c r="BR191" s="284" t="s">
        <v>1736</v>
      </c>
      <c r="BS191" s="284" t="s">
        <v>27</v>
      </c>
      <c r="BW191" s="284" t="s">
        <v>27</v>
      </c>
    </row>
    <row r="192" spans="1:75" ht="15" customHeight="1" x14ac:dyDescent="0.25">
      <c r="A192" s="275" t="s">
        <v>31</v>
      </c>
      <c r="B192" s="276" t="s">
        <v>21</v>
      </c>
      <c r="D192" s="277">
        <v>44655</v>
      </c>
      <c r="E192" s="277">
        <v>45751</v>
      </c>
      <c r="F192" s="277">
        <v>44995</v>
      </c>
      <c r="H192" s="275" t="s">
        <v>32</v>
      </c>
      <c r="I192" s="275" t="s">
        <v>36</v>
      </c>
      <c r="J192" s="286"/>
      <c r="K192" s="275" t="s">
        <v>33</v>
      </c>
      <c r="L192" s="275" t="s">
        <v>34</v>
      </c>
      <c r="M192" s="275" t="s">
        <v>35</v>
      </c>
      <c r="N192" s="1" t="s">
        <v>784</v>
      </c>
      <c r="V192" s="1">
        <f t="shared" si="31"/>
        <v>0</v>
      </c>
      <c r="W192" s="1">
        <v>2</v>
      </c>
      <c r="X192" s="1">
        <v>4</v>
      </c>
      <c r="AE192" s="1">
        <f t="shared" si="32"/>
        <v>6</v>
      </c>
      <c r="AF192" s="1">
        <f t="shared" si="33"/>
        <v>2</v>
      </c>
      <c r="AG192" s="1">
        <f t="shared" si="34"/>
        <v>4</v>
      </c>
      <c r="AH192" s="1">
        <f t="shared" si="35"/>
        <v>0</v>
      </c>
      <c r="AI192" s="1">
        <f t="shared" si="36"/>
        <v>0</v>
      </c>
      <c r="AJ192" s="1">
        <f t="shared" si="37"/>
        <v>0</v>
      </c>
      <c r="AK192" s="1">
        <f t="shared" si="38"/>
        <v>0</v>
      </c>
      <c r="AL192" s="1">
        <f t="shared" si="39"/>
        <v>0</v>
      </c>
      <c r="AM192" s="1">
        <f t="shared" si="40"/>
        <v>0</v>
      </c>
      <c r="AN192" s="278">
        <f t="shared" si="44"/>
        <v>6</v>
      </c>
      <c r="AP192" s="280"/>
      <c r="AR192" s="1">
        <v>6</v>
      </c>
      <c r="AU192" s="281"/>
      <c r="AZ192" s="281"/>
      <c r="BG192" s="282">
        <f t="shared" si="41"/>
        <v>6</v>
      </c>
      <c r="BH192" s="282">
        <f t="shared" si="42"/>
        <v>6</v>
      </c>
      <c r="BI192" s="283">
        <f t="shared" si="43"/>
        <v>6</v>
      </c>
      <c r="BL192" s="1">
        <v>515141</v>
      </c>
      <c r="BM192" s="1">
        <v>171791</v>
      </c>
      <c r="BN192" s="1" t="s">
        <v>1600</v>
      </c>
      <c r="BO192" s="1" t="s">
        <v>1563</v>
      </c>
      <c r="BW192" s="284" t="s">
        <v>27</v>
      </c>
    </row>
    <row r="193" spans="1:76" ht="15" customHeight="1" x14ac:dyDescent="0.25">
      <c r="A193" s="275" t="s">
        <v>31</v>
      </c>
      <c r="B193" s="276" t="s">
        <v>21</v>
      </c>
      <c r="D193" s="277">
        <v>44655</v>
      </c>
      <c r="E193" s="277">
        <v>45751</v>
      </c>
      <c r="F193" s="277">
        <v>44995</v>
      </c>
      <c r="H193" s="275" t="s">
        <v>32</v>
      </c>
      <c r="I193" s="275" t="s">
        <v>23</v>
      </c>
      <c r="J193" s="286"/>
      <c r="K193" s="275" t="s">
        <v>33</v>
      </c>
      <c r="L193" s="275" t="s">
        <v>34</v>
      </c>
      <c r="M193" s="275" t="s">
        <v>35</v>
      </c>
      <c r="N193" s="1" t="s">
        <v>785</v>
      </c>
      <c r="V193" s="1">
        <f t="shared" si="31"/>
        <v>0</v>
      </c>
      <c r="W193" s="1">
        <v>4</v>
      </c>
      <c r="X193" s="1">
        <v>13</v>
      </c>
      <c r="Y193" s="1">
        <v>7</v>
      </c>
      <c r="AE193" s="1">
        <f t="shared" si="32"/>
        <v>24</v>
      </c>
      <c r="AF193" s="1">
        <f t="shared" si="33"/>
        <v>4</v>
      </c>
      <c r="AG193" s="1">
        <f t="shared" si="34"/>
        <v>13</v>
      </c>
      <c r="AH193" s="1">
        <f t="shared" si="35"/>
        <v>7</v>
      </c>
      <c r="AI193" s="1">
        <f t="shared" si="36"/>
        <v>0</v>
      </c>
      <c r="AJ193" s="1">
        <f t="shared" si="37"/>
        <v>0</v>
      </c>
      <c r="AK193" s="1">
        <f t="shared" si="38"/>
        <v>0</v>
      </c>
      <c r="AL193" s="1">
        <f t="shared" si="39"/>
        <v>0</v>
      </c>
      <c r="AM193" s="1">
        <f t="shared" si="40"/>
        <v>0</v>
      </c>
      <c r="AN193" s="278">
        <f t="shared" si="44"/>
        <v>24</v>
      </c>
      <c r="AO193" s="279" t="s">
        <v>27</v>
      </c>
      <c r="AP193" s="280"/>
      <c r="AR193" s="1">
        <v>24</v>
      </c>
      <c r="AU193" s="281"/>
      <c r="AZ193" s="281"/>
      <c r="BG193" s="282">
        <f t="shared" si="41"/>
        <v>24</v>
      </c>
      <c r="BH193" s="282">
        <f t="shared" si="42"/>
        <v>24</v>
      </c>
      <c r="BI193" s="283">
        <f t="shared" si="43"/>
        <v>24</v>
      </c>
      <c r="BL193" s="1">
        <v>515141</v>
      </c>
      <c r="BM193" s="1">
        <v>171791</v>
      </c>
      <c r="BN193" s="1" t="s">
        <v>1600</v>
      </c>
      <c r="BO193" s="1" t="s">
        <v>1563</v>
      </c>
      <c r="BW193" s="284" t="s">
        <v>27</v>
      </c>
    </row>
    <row r="194" spans="1:76" ht="15" customHeight="1" x14ac:dyDescent="0.25">
      <c r="A194" s="275" t="s">
        <v>603</v>
      </c>
      <c r="B194" s="276" t="s">
        <v>44</v>
      </c>
      <c r="D194" s="277">
        <v>43895</v>
      </c>
      <c r="E194" s="277">
        <v>44990</v>
      </c>
      <c r="F194" s="277">
        <v>45016</v>
      </c>
      <c r="H194" s="275" t="s">
        <v>32</v>
      </c>
      <c r="I194" s="275" t="s">
        <v>1473</v>
      </c>
      <c r="J194" s="286"/>
      <c r="K194" s="275" t="s">
        <v>604</v>
      </c>
      <c r="L194" s="275" t="s">
        <v>605</v>
      </c>
      <c r="M194" s="275" t="s">
        <v>606</v>
      </c>
      <c r="O194" s="1">
        <v>1</v>
      </c>
      <c r="V194" s="1">
        <f t="shared" ref="V194:V257" si="45">SUM(O194:U194)</f>
        <v>1</v>
      </c>
      <c r="W194" s="1">
        <v>2</v>
      </c>
      <c r="AE194" s="1">
        <f t="shared" ref="AE194:AE257" si="46">SUM(W194:AD194)</f>
        <v>2</v>
      </c>
      <c r="AF194" s="1">
        <f t="shared" ref="AF194:AF257" si="47">W194-O194</f>
        <v>1</v>
      </c>
      <c r="AG194" s="1">
        <f t="shared" ref="AG194:AG257" si="48">X194-P194</f>
        <v>0</v>
      </c>
      <c r="AH194" s="1">
        <f t="shared" ref="AH194:AH257" si="49">Y194-Q194</f>
        <v>0</v>
      </c>
      <c r="AI194" s="1">
        <f t="shared" ref="AI194:AI257" si="50">Z194-R194</f>
        <v>0</v>
      </c>
      <c r="AJ194" s="1">
        <f t="shared" ref="AJ194:AJ257" si="51">AA194-S194</f>
        <v>0</v>
      </c>
      <c r="AK194" s="1">
        <f t="shared" ref="AK194:AK257" si="52">AB194-T194</f>
        <v>0</v>
      </c>
      <c r="AL194" s="1">
        <f t="shared" ref="AL194:AL257" si="53">AC194-U194</f>
        <v>0</v>
      </c>
      <c r="AM194" s="1">
        <f t="shared" ref="AM194:AM257" si="54">AD194</f>
        <v>0</v>
      </c>
      <c r="AN194" s="278">
        <f t="shared" si="44"/>
        <v>1</v>
      </c>
      <c r="AP194" s="280"/>
      <c r="AQ194" s="1">
        <v>0.5</v>
      </c>
      <c r="AR194" s="1">
        <v>0.5</v>
      </c>
      <c r="AU194" s="281"/>
      <c r="AZ194" s="281"/>
      <c r="BG194" s="282">
        <f t="shared" ref="BG194:BG257" si="55">SUBTOTAL(9,AQ194:AU194)</f>
        <v>1</v>
      </c>
      <c r="BH194" s="282">
        <f t="shared" ref="BH194:BH257" si="56">SUBTOTAL(9,AQ194:AZ194)</f>
        <v>1</v>
      </c>
      <c r="BI194" s="283">
        <f t="shared" ref="BI194:BI257" si="57">SUM(AQ194:BF194)</f>
        <v>1</v>
      </c>
      <c r="BL194" s="1">
        <v>518109</v>
      </c>
      <c r="BM194" s="1">
        <v>175300</v>
      </c>
      <c r="BN194" s="1" t="s">
        <v>1385</v>
      </c>
      <c r="BO194" s="1" t="s">
        <v>1405</v>
      </c>
      <c r="BP194" s="284" t="s">
        <v>1385</v>
      </c>
      <c r="BU194" s="284" t="s">
        <v>1699</v>
      </c>
      <c r="BV194" s="284" t="s">
        <v>27</v>
      </c>
      <c r="BW194" s="284" t="s">
        <v>27</v>
      </c>
    </row>
    <row r="195" spans="1:76" ht="15" customHeight="1" x14ac:dyDescent="0.25">
      <c r="A195" s="275" t="s">
        <v>641</v>
      </c>
      <c r="B195" s="276" t="s">
        <v>224</v>
      </c>
      <c r="D195" s="277">
        <v>44092</v>
      </c>
      <c r="E195" s="277">
        <v>45187</v>
      </c>
      <c r="F195" s="277">
        <v>45016</v>
      </c>
      <c r="H195" s="275" t="s">
        <v>32</v>
      </c>
      <c r="I195" s="275" t="s">
        <v>1473</v>
      </c>
      <c r="J195" s="286"/>
      <c r="K195" s="275" t="s">
        <v>642</v>
      </c>
      <c r="L195" s="275" t="s">
        <v>643</v>
      </c>
      <c r="M195" s="275" t="s">
        <v>644</v>
      </c>
      <c r="V195" s="1">
        <f t="shared" si="45"/>
        <v>0</v>
      </c>
      <c r="W195" s="1">
        <v>1</v>
      </c>
      <c r="AE195" s="1">
        <f t="shared" si="46"/>
        <v>1</v>
      </c>
      <c r="AF195" s="1">
        <f t="shared" si="47"/>
        <v>1</v>
      </c>
      <c r="AG195" s="1">
        <f t="shared" si="48"/>
        <v>0</v>
      </c>
      <c r="AH195" s="1">
        <f t="shared" si="49"/>
        <v>0</v>
      </c>
      <c r="AI195" s="1">
        <f t="shared" si="50"/>
        <v>0</v>
      </c>
      <c r="AJ195" s="1">
        <f t="shared" si="51"/>
        <v>0</v>
      </c>
      <c r="AK195" s="1">
        <f t="shared" si="52"/>
        <v>0</v>
      </c>
      <c r="AL195" s="1">
        <f t="shared" si="53"/>
        <v>0</v>
      </c>
      <c r="AM195" s="1">
        <f t="shared" si="54"/>
        <v>0</v>
      </c>
      <c r="AN195" s="278">
        <f t="shared" si="44"/>
        <v>1</v>
      </c>
      <c r="AP195" s="280"/>
      <c r="AR195" s="1">
        <v>1</v>
      </c>
      <c r="AU195" s="281"/>
      <c r="AZ195" s="281"/>
      <c r="BG195" s="282">
        <f t="shared" si="55"/>
        <v>1</v>
      </c>
      <c r="BH195" s="282">
        <f t="shared" si="56"/>
        <v>1</v>
      </c>
      <c r="BI195" s="283">
        <f t="shared" si="57"/>
        <v>1</v>
      </c>
      <c r="BL195" s="1">
        <v>517423</v>
      </c>
      <c r="BM195" s="1">
        <v>169711</v>
      </c>
      <c r="BN195" s="1" t="s">
        <v>1600</v>
      </c>
      <c r="BO195" s="1" t="s">
        <v>1559</v>
      </c>
      <c r="BR195" s="284" t="s">
        <v>1710</v>
      </c>
      <c r="BS195" s="284" t="s">
        <v>27</v>
      </c>
      <c r="BU195" s="284" t="s">
        <v>1691</v>
      </c>
      <c r="BV195" s="284" t="s">
        <v>27</v>
      </c>
      <c r="BW195" s="284" t="s">
        <v>27</v>
      </c>
    </row>
    <row r="196" spans="1:76" ht="15" customHeight="1" x14ac:dyDescent="0.25">
      <c r="A196" s="275" t="s">
        <v>656</v>
      </c>
      <c r="B196" s="276" t="s">
        <v>21</v>
      </c>
      <c r="D196" s="277">
        <v>44053</v>
      </c>
      <c r="E196" s="277">
        <v>45148</v>
      </c>
      <c r="F196" s="277">
        <v>45016</v>
      </c>
      <c r="H196" s="275" t="s">
        <v>32</v>
      </c>
      <c r="I196" s="275" t="s">
        <v>1473</v>
      </c>
      <c r="J196" s="286"/>
      <c r="K196" s="275" t="s">
        <v>657</v>
      </c>
      <c r="L196" s="275" t="s">
        <v>658</v>
      </c>
      <c r="M196" s="275" t="s">
        <v>659</v>
      </c>
      <c r="R196" s="1">
        <v>1</v>
      </c>
      <c r="V196" s="1">
        <f t="shared" si="45"/>
        <v>1</v>
      </c>
      <c r="Z196" s="1">
        <v>1</v>
      </c>
      <c r="AE196" s="1">
        <f t="shared" si="46"/>
        <v>1</v>
      </c>
      <c r="AF196" s="1">
        <f t="shared" si="47"/>
        <v>0</v>
      </c>
      <c r="AG196" s="1">
        <f t="shared" si="48"/>
        <v>0</v>
      </c>
      <c r="AH196" s="1">
        <f t="shared" si="49"/>
        <v>0</v>
      </c>
      <c r="AI196" s="1">
        <f t="shared" si="50"/>
        <v>0</v>
      </c>
      <c r="AJ196" s="1">
        <f t="shared" si="51"/>
        <v>0</v>
      </c>
      <c r="AK196" s="1">
        <f t="shared" si="52"/>
        <v>0</v>
      </c>
      <c r="AL196" s="1">
        <f t="shared" si="53"/>
        <v>0</v>
      </c>
      <c r="AM196" s="1">
        <f t="shared" si="54"/>
        <v>0</v>
      </c>
      <c r="AN196" s="278">
        <f t="shared" si="44"/>
        <v>0</v>
      </c>
      <c r="AP196" s="280"/>
      <c r="AQ196" s="1">
        <v>0</v>
      </c>
      <c r="AU196" s="281"/>
      <c r="AZ196" s="281"/>
      <c r="BG196" s="282">
        <f t="shared" si="55"/>
        <v>0</v>
      </c>
      <c r="BH196" s="282">
        <f t="shared" si="56"/>
        <v>0</v>
      </c>
      <c r="BI196" s="283">
        <f t="shared" si="57"/>
        <v>0</v>
      </c>
      <c r="BL196" s="1">
        <v>513542</v>
      </c>
      <c r="BM196" s="1">
        <v>169839</v>
      </c>
      <c r="BN196" s="1" t="s">
        <v>1600</v>
      </c>
      <c r="BO196" s="1" t="s">
        <v>1400</v>
      </c>
      <c r="BW196" s="284" t="s">
        <v>27</v>
      </c>
    </row>
    <row r="197" spans="1:76" ht="15" customHeight="1" x14ac:dyDescent="0.25">
      <c r="A197" s="275" t="s">
        <v>426</v>
      </c>
      <c r="B197" s="276" t="s">
        <v>49</v>
      </c>
      <c r="C197" s="1" t="s">
        <v>1262</v>
      </c>
      <c r="D197" s="277">
        <v>44711</v>
      </c>
      <c r="E197" s="277">
        <v>45807</v>
      </c>
      <c r="F197" s="277">
        <v>45016</v>
      </c>
      <c r="H197" s="275" t="s">
        <v>32</v>
      </c>
      <c r="I197" s="275" t="s">
        <v>1473</v>
      </c>
      <c r="J197" s="286"/>
      <c r="K197" s="275" t="s">
        <v>427</v>
      </c>
      <c r="L197" s="275" t="s">
        <v>428</v>
      </c>
      <c r="M197" s="275" t="s">
        <v>429</v>
      </c>
      <c r="V197" s="1">
        <f t="shared" si="45"/>
        <v>0</v>
      </c>
      <c r="X197" s="1">
        <v>1</v>
      </c>
      <c r="AE197" s="1">
        <f t="shared" si="46"/>
        <v>1</v>
      </c>
      <c r="AF197" s="1">
        <f t="shared" si="47"/>
        <v>0</v>
      </c>
      <c r="AG197" s="1">
        <f t="shared" si="48"/>
        <v>1</v>
      </c>
      <c r="AH197" s="1">
        <f t="shared" si="49"/>
        <v>0</v>
      </c>
      <c r="AI197" s="1">
        <f t="shared" si="50"/>
        <v>0</v>
      </c>
      <c r="AJ197" s="1">
        <f t="shared" si="51"/>
        <v>0</v>
      </c>
      <c r="AK197" s="1">
        <f t="shared" si="52"/>
        <v>0</v>
      </c>
      <c r="AL197" s="1">
        <f t="shared" si="53"/>
        <v>0</v>
      </c>
      <c r="AM197" s="1">
        <f t="shared" si="54"/>
        <v>0</v>
      </c>
      <c r="AN197" s="278">
        <f t="shared" si="44"/>
        <v>1</v>
      </c>
      <c r="AP197" s="280"/>
      <c r="AQ197" s="1">
        <v>0.5</v>
      </c>
      <c r="AR197" s="1">
        <v>0.5</v>
      </c>
      <c r="AU197" s="281"/>
      <c r="AZ197" s="281"/>
      <c r="BG197" s="282">
        <f t="shared" si="55"/>
        <v>1</v>
      </c>
      <c r="BH197" s="282">
        <f t="shared" si="56"/>
        <v>1</v>
      </c>
      <c r="BI197" s="283">
        <f t="shared" si="57"/>
        <v>1</v>
      </c>
      <c r="BL197" s="1">
        <v>515985</v>
      </c>
      <c r="BM197" s="1">
        <v>171070</v>
      </c>
      <c r="BN197" s="1" t="s">
        <v>1600</v>
      </c>
      <c r="BO197" s="1" t="s">
        <v>1387</v>
      </c>
      <c r="BP197" s="284" t="s">
        <v>1387</v>
      </c>
      <c r="BU197" s="284" t="s">
        <v>1685</v>
      </c>
      <c r="BV197" s="284" t="s">
        <v>27</v>
      </c>
      <c r="BW197" s="284" t="s">
        <v>27</v>
      </c>
    </row>
    <row r="198" spans="1:76" ht="15" customHeight="1" x14ac:dyDescent="0.25">
      <c r="A198" s="275" t="s">
        <v>777</v>
      </c>
      <c r="B198" s="276" t="s">
        <v>49</v>
      </c>
      <c r="D198" s="277">
        <v>44754</v>
      </c>
      <c r="E198" s="277">
        <v>45850</v>
      </c>
      <c r="F198" s="277">
        <v>45047</v>
      </c>
      <c r="H198" s="275" t="s">
        <v>32</v>
      </c>
      <c r="I198" s="275" t="s">
        <v>1473</v>
      </c>
      <c r="J198" s="286"/>
      <c r="K198" s="275" t="s">
        <v>1258</v>
      </c>
      <c r="L198" s="275" t="s">
        <v>778</v>
      </c>
      <c r="M198" s="275" t="s">
        <v>779</v>
      </c>
      <c r="V198" s="1">
        <f t="shared" si="45"/>
        <v>0</v>
      </c>
      <c r="W198" s="1">
        <v>1</v>
      </c>
      <c r="X198" s="1">
        <v>3</v>
      </c>
      <c r="AE198" s="1">
        <f t="shared" si="46"/>
        <v>4</v>
      </c>
      <c r="AF198" s="1">
        <f t="shared" si="47"/>
        <v>1</v>
      </c>
      <c r="AG198" s="1">
        <f t="shared" si="48"/>
        <v>3</v>
      </c>
      <c r="AH198" s="1">
        <f t="shared" si="49"/>
        <v>0</v>
      </c>
      <c r="AI198" s="1">
        <f t="shared" si="50"/>
        <v>0</v>
      </c>
      <c r="AJ198" s="1">
        <f t="shared" si="51"/>
        <v>0</v>
      </c>
      <c r="AK198" s="1">
        <f t="shared" si="52"/>
        <v>0</v>
      </c>
      <c r="AL198" s="1">
        <f t="shared" si="53"/>
        <v>0</v>
      </c>
      <c r="AM198" s="1">
        <f t="shared" si="54"/>
        <v>0</v>
      </c>
      <c r="AN198" s="278">
        <f t="shared" si="44"/>
        <v>4</v>
      </c>
      <c r="AP198" s="280"/>
      <c r="AQ198" s="1">
        <v>2</v>
      </c>
      <c r="AR198" s="1">
        <v>2</v>
      </c>
      <c r="AU198" s="281"/>
      <c r="AZ198" s="281"/>
      <c r="BG198" s="282">
        <f t="shared" si="55"/>
        <v>4</v>
      </c>
      <c r="BH198" s="282">
        <f t="shared" si="56"/>
        <v>4</v>
      </c>
      <c r="BI198" s="283">
        <f t="shared" si="57"/>
        <v>4</v>
      </c>
      <c r="BL198" s="1">
        <v>517498</v>
      </c>
      <c r="BM198" s="1">
        <v>169337</v>
      </c>
      <c r="BN198" s="1" t="s">
        <v>1600</v>
      </c>
      <c r="BO198" s="1" t="s">
        <v>1559</v>
      </c>
      <c r="BQ198" s="284" t="s">
        <v>1386</v>
      </c>
      <c r="BR198" s="284" t="s">
        <v>1710</v>
      </c>
      <c r="BS198" s="284" t="s">
        <v>27</v>
      </c>
      <c r="BT198" s="284" t="s">
        <v>1737</v>
      </c>
      <c r="BU198" s="284" t="s">
        <v>1691</v>
      </c>
      <c r="BV198" s="284" t="s">
        <v>27</v>
      </c>
      <c r="BW198" s="284" t="s">
        <v>27</v>
      </c>
    </row>
    <row r="199" spans="1:76" ht="15" customHeight="1" x14ac:dyDescent="0.25">
      <c r="A199" s="275" t="s">
        <v>508</v>
      </c>
      <c r="B199" s="276" t="s">
        <v>44</v>
      </c>
      <c r="D199" s="277">
        <v>44000</v>
      </c>
      <c r="E199" s="277">
        <v>45095</v>
      </c>
      <c r="F199" s="277">
        <v>45061</v>
      </c>
      <c r="H199" s="275" t="s">
        <v>32</v>
      </c>
      <c r="I199" s="275" t="s">
        <v>1473</v>
      </c>
      <c r="J199" s="286"/>
      <c r="K199" s="275" t="s">
        <v>509</v>
      </c>
      <c r="L199" s="275" t="s">
        <v>510</v>
      </c>
      <c r="M199" s="275" t="s">
        <v>511</v>
      </c>
      <c r="O199" s="1">
        <v>1</v>
      </c>
      <c r="P199" s="1">
        <v>1</v>
      </c>
      <c r="V199" s="1">
        <f t="shared" si="45"/>
        <v>2</v>
      </c>
      <c r="W199" s="1">
        <v>4</v>
      </c>
      <c r="AE199" s="1">
        <f t="shared" si="46"/>
        <v>4</v>
      </c>
      <c r="AF199" s="1">
        <f t="shared" si="47"/>
        <v>3</v>
      </c>
      <c r="AG199" s="1">
        <f t="shared" si="48"/>
        <v>-1</v>
      </c>
      <c r="AH199" s="1">
        <f t="shared" si="49"/>
        <v>0</v>
      </c>
      <c r="AI199" s="1">
        <f t="shared" si="50"/>
        <v>0</v>
      </c>
      <c r="AJ199" s="1">
        <f t="shared" si="51"/>
        <v>0</v>
      </c>
      <c r="AK199" s="1">
        <f t="shared" si="52"/>
        <v>0</v>
      </c>
      <c r="AL199" s="1">
        <f t="shared" si="53"/>
        <v>0</v>
      </c>
      <c r="AM199" s="1">
        <f t="shared" si="54"/>
        <v>0</v>
      </c>
      <c r="AN199" s="278">
        <f t="shared" si="44"/>
        <v>2</v>
      </c>
      <c r="AP199" s="280"/>
      <c r="AQ199" s="1">
        <v>1</v>
      </c>
      <c r="AR199" s="1">
        <v>1</v>
      </c>
      <c r="AU199" s="281"/>
      <c r="AZ199" s="281"/>
      <c r="BG199" s="282">
        <f t="shared" si="55"/>
        <v>2</v>
      </c>
      <c r="BH199" s="282">
        <f t="shared" si="56"/>
        <v>2</v>
      </c>
      <c r="BI199" s="283">
        <f t="shared" si="57"/>
        <v>2</v>
      </c>
      <c r="BL199" s="1">
        <v>516259</v>
      </c>
      <c r="BM199" s="1">
        <v>173377</v>
      </c>
      <c r="BN199" s="1" t="s">
        <v>1389</v>
      </c>
      <c r="BO199" s="1" t="s">
        <v>1407</v>
      </c>
      <c r="BP199" s="284" t="s">
        <v>1389</v>
      </c>
      <c r="BU199" s="284" t="s">
        <v>1689</v>
      </c>
      <c r="BV199" s="284" t="s">
        <v>27</v>
      </c>
      <c r="BW199" s="284" t="s">
        <v>27</v>
      </c>
    </row>
    <row r="200" spans="1:76" ht="15" customHeight="1" x14ac:dyDescent="0.25">
      <c r="A200" s="275" t="s">
        <v>1081</v>
      </c>
      <c r="B200" s="276" t="s">
        <v>49</v>
      </c>
      <c r="C200" s="1" t="s">
        <v>1262</v>
      </c>
      <c r="D200" s="277">
        <v>44243</v>
      </c>
      <c r="E200" s="277">
        <v>45338</v>
      </c>
      <c r="F200" s="277"/>
      <c r="H200" s="275" t="s">
        <v>64</v>
      </c>
      <c r="I200" s="275" t="s">
        <v>1473</v>
      </c>
      <c r="J200" s="286"/>
      <c r="K200" s="275" t="s">
        <v>1082</v>
      </c>
      <c r="L200" s="275" t="s">
        <v>1083</v>
      </c>
      <c r="M200" s="275" t="s">
        <v>1084</v>
      </c>
      <c r="V200" s="1">
        <f t="shared" si="45"/>
        <v>0</v>
      </c>
      <c r="X200" s="1">
        <v>1</v>
      </c>
      <c r="AE200" s="1">
        <f t="shared" si="46"/>
        <v>1</v>
      </c>
      <c r="AF200" s="1">
        <f t="shared" si="47"/>
        <v>0</v>
      </c>
      <c r="AG200" s="1">
        <f t="shared" si="48"/>
        <v>1</v>
      </c>
      <c r="AH200" s="1">
        <f t="shared" si="49"/>
        <v>0</v>
      </c>
      <c r="AI200" s="1">
        <f t="shared" si="50"/>
        <v>0</v>
      </c>
      <c r="AJ200" s="1">
        <f t="shared" si="51"/>
        <v>0</v>
      </c>
      <c r="AK200" s="1">
        <f t="shared" si="52"/>
        <v>0</v>
      </c>
      <c r="AL200" s="1">
        <f t="shared" si="53"/>
        <v>0</v>
      </c>
      <c r="AM200" s="1">
        <f t="shared" si="54"/>
        <v>0</v>
      </c>
      <c r="AN200" s="278">
        <f t="shared" si="44"/>
        <v>1</v>
      </c>
      <c r="AP200" s="280"/>
      <c r="AQ200" s="1">
        <v>0.25</v>
      </c>
      <c r="AR200" s="1">
        <v>0.25</v>
      </c>
      <c r="AS200" s="1">
        <v>0.25</v>
      </c>
      <c r="AT200" s="1">
        <v>0.25</v>
      </c>
      <c r="AU200" s="281"/>
      <c r="AZ200" s="281"/>
      <c r="BG200" s="282">
        <f t="shared" si="55"/>
        <v>1</v>
      </c>
      <c r="BH200" s="282">
        <f t="shared" si="56"/>
        <v>1</v>
      </c>
      <c r="BI200" s="283">
        <f t="shared" si="57"/>
        <v>1</v>
      </c>
      <c r="BL200" s="1">
        <v>518619</v>
      </c>
      <c r="BM200" s="1">
        <v>175475</v>
      </c>
      <c r="BN200" s="1" t="s">
        <v>1385</v>
      </c>
      <c r="BO200" s="1" t="s">
        <v>1404</v>
      </c>
      <c r="BW200" s="284" t="s">
        <v>27</v>
      </c>
      <c r="BX200" s="1" t="s">
        <v>27</v>
      </c>
    </row>
    <row r="201" spans="1:76" ht="15" customHeight="1" x14ac:dyDescent="0.25">
      <c r="A201" s="275" t="s">
        <v>1213</v>
      </c>
      <c r="B201" s="276" t="s">
        <v>49</v>
      </c>
      <c r="C201" s="1" t="s">
        <v>1262</v>
      </c>
      <c r="D201" s="277">
        <v>44357</v>
      </c>
      <c r="E201" s="277">
        <v>45453</v>
      </c>
      <c r="F201" s="277">
        <v>45047</v>
      </c>
      <c r="H201" s="275" t="s">
        <v>64</v>
      </c>
      <c r="I201" s="275" t="s">
        <v>1473</v>
      </c>
      <c r="J201" s="286"/>
      <c r="K201" s="275" t="s">
        <v>1214</v>
      </c>
      <c r="L201" s="275" t="s">
        <v>1215</v>
      </c>
      <c r="M201" s="275" t="s">
        <v>1216</v>
      </c>
      <c r="V201" s="1">
        <f t="shared" si="45"/>
        <v>0</v>
      </c>
      <c r="W201" s="1">
        <v>1</v>
      </c>
      <c r="AE201" s="1">
        <f t="shared" si="46"/>
        <v>1</v>
      </c>
      <c r="AF201" s="1">
        <f t="shared" si="47"/>
        <v>1</v>
      </c>
      <c r="AG201" s="1">
        <f t="shared" si="48"/>
        <v>0</v>
      </c>
      <c r="AH201" s="1">
        <f t="shared" si="49"/>
        <v>0</v>
      </c>
      <c r="AI201" s="1">
        <f t="shared" si="50"/>
        <v>0</v>
      </c>
      <c r="AJ201" s="1">
        <f t="shared" si="51"/>
        <v>0</v>
      </c>
      <c r="AK201" s="1">
        <f t="shared" si="52"/>
        <v>0</v>
      </c>
      <c r="AL201" s="1">
        <f t="shared" si="53"/>
        <v>0</v>
      </c>
      <c r="AM201" s="1">
        <f t="shared" si="54"/>
        <v>0</v>
      </c>
      <c r="AN201" s="278">
        <f t="shared" si="44"/>
        <v>1</v>
      </c>
      <c r="AP201" s="280"/>
      <c r="AQ201" s="1">
        <v>0.25</v>
      </c>
      <c r="AR201" s="1">
        <v>0.25</v>
      </c>
      <c r="AS201" s="1">
        <v>0.25</v>
      </c>
      <c r="AT201" s="1">
        <v>0.25</v>
      </c>
      <c r="AU201" s="281"/>
      <c r="AZ201" s="281"/>
      <c r="BG201" s="282">
        <f t="shared" si="55"/>
        <v>1</v>
      </c>
      <c r="BH201" s="282">
        <f t="shared" si="56"/>
        <v>1</v>
      </c>
      <c r="BI201" s="283">
        <f t="shared" si="57"/>
        <v>1</v>
      </c>
      <c r="BL201" s="1">
        <v>516472</v>
      </c>
      <c r="BM201" s="1">
        <v>174374</v>
      </c>
      <c r="BN201" s="1" t="s">
        <v>1389</v>
      </c>
      <c r="BO201" s="1" t="s">
        <v>1561</v>
      </c>
      <c r="BW201" s="284" t="s">
        <v>27</v>
      </c>
    </row>
    <row r="202" spans="1:76" ht="15" customHeight="1" x14ac:dyDescent="0.25">
      <c r="A202" s="275" t="s">
        <v>1217</v>
      </c>
      <c r="B202" s="276" t="s">
        <v>49</v>
      </c>
      <c r="C202" s="1" t="s">
        <v>1262</v>
      </c>
      <c r="D202" s="277">
        <v>44357</v>
      </c>
      <c r="E202" s="277">
        <v>45453</v>
      </c>
      <c r="F202" s="277">
        <v>45047</v>
      </c>
      <c r="H202" s="275" t="s">
        <v>64</v>
      </c>
      <c r="I202" s="275" t="s">
        <v>1473</v>
      </c>
      <c r="J202" s="286"/>
      <c r="K202" s="275" t="s">
        <v>1218</v>
      </c>
      <c r="L202" s="275" t="s">
        <v>1219</v>
      </c>
      <c r="M202" s="275" t="s">
        <v>1216</v>
      </c>
      <c r="V202" s="1">
        <f t="shared" si="45"/>
        <v>0</v>
      </c>
      <c r="W202" s="1">
        <v>3</v>
      </c>
      <c r="AE202" s="1">
        <f t="shared" si="46"/>
        <v>3</v>
      </c>
      <c r="AF202" s="1">
        <f t="shared" si="47"/>
        <v>3</v>
      </c>
      <c r="AG202" s="1">
        <f t="shared" si="48"/>
        <v>0</v>
      </c>
      <c r="AH202" s="1">
        <f t="shared" si="49"/>
        <v>0</v>
      </c>
      <c r="AI202" s="1">
        <f t="shared" si="50"/>
        <v>0</v>
      </c>
      <c r="AJ202" s="1">
        <f t="shared" si="51"/>
        <v>0</v>
      </c>
      <c r="AK202" s="1">
        <f t="shared" si="52"/>
        <v>0</v>
      </c>
      <c r="AL202" s="1">
        <f t="shared" si="53"/>
        <v>0</v>
      </c>
      <c r="AM202" s="1">
        <f t="shared" si="54"/>
        <v>0</v>
      </c>
      <c r="AN202" s="278">
        <f t="shared" si="44"/>
        <v>3</v>
      </c>
      <c r="AP202" s="280"/>
      <c r="AQ202" s="1">
        <v>0.75</v>
      </c>
      <c r="AR202" s="1">
        <v>0.75</v>
      </c>
      <c r="AS202" s="1">
        <v>0.75</v>
      </c>
      <c r="AT202" s="1">
        <v>0.75</v>
      </c>
      <c r="AU202" s="281"/>
      <c r="AZ202" s="281"/>
      <c r="BG202" s="282">
        <f t="shared" si="55"/>
        <v>3</v>
      </c>
      <c r="BH202" s="282">
        <f t="shared" si="56"/>
        <v>3</v>
      </c>
      <c r="BI202" s="283">
        <f t="shared" si="57"/>
        <v>3</v>
      </c>
      <c r="BL202" s="1">
        <v>516481</v>
      </c>
      <c r="BM202" s="1">
        <v>174369</v>
      </c>
      <c r="BN202" s="1" t="s">
        <v>1389</v>
      </c>
      <c r="BO202" s="1" t="s">
        <v>1561</v>
      </c>
      <c r="BW202" s="284" t="s">
        <v>27</v>
      </c>
    </row>
    <row r="203" spans="1:76" ht="15" customHeight="1" x14ac:dyDescent="0.25">
      <c r="A203" s="275" t="s">
        <v>829</v>
      </c>
      <c r="B203" s="276" t="s">
        <v>21</v>
      </c>
      <c r="D203" s="277">
        <v>44799</v>
      </c>
      <c r="E203" s="277">
        <v>45895</v>
      </c>
      <c r="F203" s="277">
        <v>45068</v>
      </c>
      <c r="H203" s="275" t="s">
        <v>64</v>
      </c>
      <c r="I203" s="275" t="s">
        <v>1473</v>
      </c>
      <c r="J203" s="286"/>
      <c r="K203" s="275" t="s">
        <v>830</v>
      </c>
      <c r="L203" s="275" t="s">
        <v>831</v>
      </c>
      <c r="M203" s="275" t="s">
        <v>832</v>
      </c>
      <c r="O203" s="1">
        <v>1</v>
      </c>
      <c r="V203" s="1">
        <f t="shared" si="45"/>
        <v>1</v>
      </c>
      <c r="X203" s="1">
        <v>1</v>
      </c>
      <c r="AE203" s="1">
        <f t="shared" si="46"/>
        <v>1</v>
      </c>
      <c r="AF203" s="1">
        <f t="shared" si="47"/>
        <v>-1</v>
      </c>
      <c r="AG203" s="1">
        <f t="shared" si="48"/>
        <v>1</v>
      </c>
      <c r="AH203" s="1">
        <f t="shared" si="49"/>
        <v>0</v>
      </c>
      <c r="AI203" s="1">
        <f t="shared" si="50"/>
        <v>0</v>
      </c>
      <c r="AJ203" s="1">
        <f t="shared" si="51"/>
        <v>0</v>
      </c>
      <c r="AK203" s="1">
        <f t="shared" si="52"/>
        <v>0</v>
      </c>
      <c r="AL203" s="1">
        <f t="shared" si="53"/>
        <v>0</v>
      </c>
      <c r="AM203" s="1">
        <f t="shared" si="54"/>
        <v>0</v>
      </c>
      <c r="AN203" s="278">
        <f t="shared" si="44"/>
        <v>0</v>
      </c>
      <c r="AP203" s="280"/>
      <c r="AQ203" s="1">
        <v>0</v>
      </c>
      <c r="AU203" s="281"/>
      <c r="AZ203" s="281"/>
      <c r="BG203" s="282">
        <f t="shared" si="55"/>
        <v>0</v>
      </c>
      <c r="BH203" s="282">
        <f t="shared" si="56"/>
        <v>0</v>
      </c>
      <c r="BI203" s="283">
        <f t="shared" si="57"/>
        <v>0</v>
      </c>
      <c r="BL203" s="1">
        <v>514878</v>
      </c>
      <c r="BM203" s="1">
        <v>171282</v>
      </c>
      <c r="BN203" s="1" t="s">
        <v>1600</v>
      </c>
      <c r="BO203" s="1" t="s">
        <v>1563</v>
      </c>
      <c r="BW203" s="284" t="s">
        <v>27</v>
      </c>
    </row>
    <row r="204" spans="1:76" ht="15" customHeight="1" x14ac:dyDescent="0.25">
      <c r="A204" s="275" t="s">
        <v>1005</v>
      </c>
      <c r="B204" s="276" t="s">
        <v>21</v>
      </c>
      <c r="D204" s="277">
        <v>44973</v>
      </c>
      <c r="E204" s="277">
        <v>46069</v>
      </c>
      <c r="F204" s="277">
        <v>45078</v>
      </c>
      <c r="H204" s="275" t="s">
        <v>64</v>
      </c>
      <c r="I204" s="275" t="s">
        <v>1473</v>
      </c>
      <c r="J204" s="286"/>
      <c r="K204" s="275" t="s">
        <v>1006</v>
      </c>
      <c r="L204" s="275" t="s">
        <v>1007</v>
      </c>
      <c r="M204" s="275" t="s">
        <v>636</v>
      </c>
      <c r="V204" s="1">
        <f t="shared" si="45"/>
        <v>0</v>
      </c>
      <c r="Y204" s="1">
        <v>4</v>
      </c>
      <c r="AE204" s="1">
        <f t="shared" si="46"/>
        <v>4</v>
      </c>
      <c r="AF204" s="1">
        <f t="shared" si="47"/>
        <v>0</v>
      </c>
      <c r="AG204" s="1">
        <f t="shared" si="48"/>
        <v>0</v>
      </c>
      <c r="AH204" s="1">
        <f t="shared" si="49"/>
        <v>4</v>
      </c>
      <c r="AI204" s="1">
        <f t="shared" si="50"/>
        <v>0</v>
      </c>
      <c r="AJ204" s="1">
        <f t="shared" si="51"/>
        <v>0</v>
      </c>
      <c r="AK204" s="1">
        <f t="shared" si="52"/>
        <v>0</v>
      </c>
      <c r="AL204" s="1">
        <f t="shared" si="53"/>
        <v>0</v>
      </c>
      <c r="AM204" s="1">
        <f t="shared" si="54"/>
        <v>0</v>
      </c>
      <c r="AN204" s="278">
        <f t="shared" si="44"/>
        <v>4</v>
      </c>
      <c r="AP204" s="280"/>
      <c r="AR204" s="1">
        <v>4</v>
      </c>
      <c r="AU204" s="281"/>
      <c r="AZ204" s="281"/>
      <c r="BG204" s="282">
        <f t="shared" si="55"/>
        <v>4</v>
      </c>
      <c r="BH204" s="282">
        <f t="shared" si="56"/>
        <v>4</v>
      </c>
      <c r="BI204" s="283">
        <f t="shared" si="57"/>
        <v>4</v>
      </c>
      <c r="BL204" s="1">
        <v>513825</v>
      </c>
      <c r="BM204" s="1">
        <v>169567</v>
      </c>
      <c r="BN204" s="1" t="s">
        <v>1600</v>
      </c>
      <c r="BO204" s="1" t="s">
        <v>1400</v>
      </c>
      <c r="BU204" s="284" t="s">
        <v>1693</v>
      </c>
      <c r="BV204" s="284" t="s">
        <v>27</v>
      </c>
      <c r="BW204" s="284" t="s">
        <v>27</v>
      </c>
    </row>
    <row r="205" spans="1:76" ht="15" customHeight="1" x14ac:dyDescent="0.25">
      <c r="A205" s="275" t="s">
        <v>63</v>
      </c>
      <c r="B205" s="276" t="s">
        <v>21</v>
      </c>
      <c r="D205" s="277">
        <v>44001</v>
      </c>
      <c r="E205" s="277">
        <v>45096</v>
      </c>
      <c r="F205" s="277">
        <v>45086</v>
      </c>
      <c r="H205" s="275" t="s">
        <v>64</v>
      </c>
      <c r="I205" s="275" t="s">
        <v>42</v>
      </c>
      <c r="J205" s="286"/>
      <c r="K205" s="275" t="s">
        <v>65</v>
      </c>
      <c r="L205" s="275" t="s">
        <v>66</v>
      </c>
      <c r="M205" s="275" t="s">
        <v>67</v>
      </c>
      <c r="V205" s="1">
        <f t="shared" si="45"/>
        <v>0</v>
      </c>
      <c r="W205" s="1">
        <v>6</v>
      </c>
      <c r="X205" s="1">
        <v>6</v>
      </c>
      <c r="Y205" s="1">
        <v>3</v>
      </c>
      <c r="AE205" s="1">
        <f t="shared" si="46"/>
        <v>15</v>
      </c>
      <c r="AF205" s="1">
        <f t="shared" si="47"/>
        <v>6</v>
      </c>
      <c r="AG205" s="1">
        <f t="shared" si="48"/>
        <v>6</v>
      </c>
      <c r="AH205" s="1">
        <f t="shared" si="49"/>
        <v>3</v>
      </c>
      <c r="AI205" s="1">
        <f t="shared" si="50"/>
        <v>0</v>
      </c>
      <c r="AJ205" s="1">
        <f t="shared" si="51"/>
        <v>0</v>
      </c>
      <c r="AK205" s="1">
        <f t="shared" si="52"/>
        <v>0</v>
      </c>
      <c r="AL205" s="1">
        <f t="shared" si="53"/>
        <v>0</v>
      </c>
      <c r="AM205" s="1">
        <f t="shared" si="54"/>
        <v>0</v>
      </c>
      <c r="AN205" s="278">
        <f t="shared" si="44"/>
        <v>15</v>
      </c>
      <c r="AO205" s="279" t="s">
        <v>27</v>
      </c>
      <c r="AP205" s="280"/>
      <c r="AS205" s="1">
        <v>7.5</v>
      </c>
      <c r="AT205" s="1">
        <v>7.5</v>
      </c>
      <c r="AU205" s="281"/>
      <c r="AZ205" s="281"/>
      <c r="BG205" s="282">
        <f t="shared" si="55"/>
        <v>15</v>
      </c>
      <c r="BH205" s="282">
        <f t="shared" si="56"/>
        <v>15</v>
      </c>
      <c r="BI205" s="283">
        <f t="shared" si="57"/>
        <v>15</v>
      </c>
      <c r="BL205" s="1">
        <v>515337</v>
      </c>
      <c r="BM205" s="1">
        <v>173383</v>
      </c>
      <c r="BN205" s="1" t="s">
        <v>1389</v>
      </c>
      <c r="BO205" s="1" t="s">
        <v>1406</v>
      </c>
      <c r="BW205" s="284" t="s">
        <v>27</v>
      </c>
    </row>
    <row r="206" spans="1:76" ht="15" customHeight="1" x14ac:dyDescent="0.25">
      <c r="A206" s="275" t="s">
        <v>846</v>
      </c>
      <c r="B206" s="276" t="s">
        <v>21</v>
      </c>
      <c r="D206" s="277">
        <v>44209</v>
      </c>
      <c r="E206" s="277">
        <v>45304</v>
      </c>
      <c r="F206" s="277">
        <v>45089</v>
      </c>
      <c r="H206" s="275" t="s">
        <v>64</v>
      </c>
      <c r="I206" s="275" t="s">
        <v>1473</v>
      </c>
      <c r="J206" s="286"/>
      <c r="K206" s="275" t="s">
        <v>847</v>
      </c>
      <c r="L206" s="275" t="s">
        <v>848</v>
      </c>
      <c r="M206" s="275" t="s">
        <v>849</v>
      </c>
      <c r="V206" s="1">
        <f t="shared" si="45"/>
        <v>0</v>
      </c>
      <c r="X206" s="1">
        <v>2</v>
      </c>
      <c r="AE206" s="1">
        <f t="shared" si="46"/>
        <v>2</v>
      </c>
      <c r="AF206" s="1">
        <f t="shared" si="47"/>
        <v>0</v>
      </c>
      <c r="AG206" s="1">
        <f t="shared" si="48"/>
        <v>2</v>
      </c>
      <c r="AH206" s="1">
        <f t="shared" si="49"/>
        <v>0</v>
      </c>
      <c r="AI206" s="1">
        <f t="shared" si="50"/>
        <v>0</v>
      </c>
      <c r="AJ206" s="1">
        <f t="shared" si="51"/>
        <v>0</v>
      </c>
      <c r="AK206" s="1">
        <f t="shared" si="52"/>
        <v>0</v>
      </c>
      <c r="AL206" s="1">
        <f t="shared" si="53"/>
        <v>0</v>
      </c>
      <c r="AM206" s="1">
        <f t="shared" si="54"/>
        <v>0</v>
      </c>
      <c r="AN206" s="278">
        <f t="shared" si="44"/>
        <v>2</v>
      </c>
      <c r="AP206" s="280"/>
      <c r="AR206" s="1">
        <v>2</v>
      </c>
      <c r="AU206" s="281"/>
      <c r="AZ206" s="281"/>
      <c r="BG206" s="282">
        <f t="shared" si="55"/>
        <v>2</v>
      </c>
      <c r="BH206" s="282">
        <f t="shared" si="56"/>
        <v>2</v>
      </c>
      <c r="BI206" s="283">
        <f t="shared" si="57"/>
        <v>2</v>
      </c>
      <c r="BL206" s="1">
        <v>520452</v>
      </c>
      <c r="BM206" s="1">
        <v>175621</v>
      </c>
      <c r="BN206" s="1" t="s">
        <v>1599</v>
      </c>
      <c r="BO206" s="1" t="s">
        <v>1384</v>
      </c>
      <c r="BU206" s="284" t="s">
        <v>1720</v>
      </c>
      <c r="BV206" s="284" t="s">
        <v>27</v>
      </c>
      <c r="BW206" s="284" t="s">
        <v>27</v>
      </c>
    </row>
    <row r="207" spans="1:76" ht="15" customHeight="1" x14ac:dyDescent="0.25">
      <c r="A207" s="275" t="s">
        <v>80</v>
      </c>
      <c r="B207" s="276" t="s">
        <v>49</v>
      </c>
      <c r="D207" s="277">
        <v>44659</v>
      </c>
      <c r="E207" s="277">
        <v>45755</v>
      </c>
      <c r="F207" s="277">
        <v>45131</v>
      </c>
      <c r="H207" s="275" t="s">
        <v>64</v>
      </c>
      <c r="I207" s="275" t="s">
        <v>50</v>
      </c>
      <c r="J207" s="286"/>
      <c r="K207" s="275" t="s">
        <v>81</v>
      </c>
      <c r="L207" s="275" t="s">
        <v>82</v>
      </c>
      <c r="M207" s="275" t="s">
        <v>83</v>
      </c>
      <c r="V207" s="1">
        <f t="shared" si="45"/>
        <v>0</v>
      </c>
      <c r="W207" s="1">
        <v>4</v>
      </c>
      <c r="AE207" s="1">
        <f t="shared" si="46"/>
        <v>4</v>
      </c>
      <c r="AF207" s="1">
        <f t="shared" si="47"/>
        <v>4</v>
      </c>
      <c r="AG207" s="1">
        <f t="shared" si="48"/>
        <v>0</v>
      </c>
      <c r="AH207" s="1">
        <f t="shared" si="49"/>
        <v>0</v>
      </c>
      <c r="AI207" s="1">
        <f t="shared" si="50"/>
        <v>0</v>
      </c>
      <c r="AJ207" s="1">
        <f t="shared" si="51"/>
        <v>0</v>
      </c>
      <c r="AK207" s="1">
        <f t="shared" si="52"/>
        <v>0</v>
      </c>
      <c r="AL207" s="1">
        <f t="shared" si="53"/>
        <v>0</v>
      </c>
      <c r="AM207" s="1">
        <f t="shared" si="54"/>
        <v>0</v>
      </c>
      <c r="AN207" s="278">
        <f t="shared" si="44"/>
        <v>4</v>
      </c>
      <c r="AP207" s="280"/>
      <c r="AR207" s="1">
        <v>4</v>
      </c>
      <c r="AU207" s="281"/>
      <c r="AZ207" s="281"/>
      <c r="BG207" s="282">
        <f t="shared" si="55"/>
        <v>4</v>
      </c>
      <c r="BH207" s="282">
        <f t="shared" si="56"/>
        <v>4</v>
      </c>
      <c r="BI207" s="283">
        <f t="shared" si="57"/>
        <v>4</v>
      </c>
      <c r="BK207" s="1" t="s">
        <v>27</v>
      </c>
      <c r="BL207" s="1">
        <v>516114</v>
      </c>
      <c r="BM207" s="1">
        <v>173184</v>
      </c>
      <c r="BN207" s="1" t="s">
        <v>1389</v>
      </c>
      <c r="BO207" s="1" t="s">
        <v>1407</v>
      </c>
      <c r="BP207" s="284" t="s">
        <v>1389</v>
      </c>
      <c r="BW207" s="284" t="s">
        <v>27</v>
      </c>
    </row>
    <row r="208" spans="1:76" ht="15" customHeight="1" x14ac:dyDescent="0.25">
      <c r="A208" s="275" t="s">
        <v>1187</v>
      </c>
      <c r="B208" s="276" t="s">
        <v>21</v>
      </c>
      <c r="D208" s="277">
        <v>44672</v>
      </c>
      <c r="E208" s="277">
        <v>45768</v>
      </c>
      <c r="F208" s="277">
        <v>45154</v>
      </c>
      <c r="H208" s="275" t="s">
        <v>64</v>
      </c>
      <c r="I208" s="275" t="s">
        <v>1473</v>
      </c>
      <c r="J208" s="286"/>
      <c r="K208" s="275" t="s">
        <v>1188</v>
      </c>
      <c r="L208" s="275" t="s">
        <v>1189</v>
      </c>
      <c r="M208" s="275" t="s">
        <v>1190</v>
      </c>
      <c r="V208" s="1">
        <f t="shared" si="45"/>
        <v>0</v>
      </c>
      <c r="X208" s="1">
        <v>1</v>
      </c>
      <c r="AE208" s="1">
        <f t="shared" si="46"/>
        <v>1</v>
      </c>
      <c r="AF208" s="1">
        <f t="shared" si="47"/>
        <v>0</v>
      </c>
      <c r="AG208" s="1">
        <f t="shared" si="48"/>
        <v>1</v>
      </c>
      <c r="AH208" s="1">
        <f t="shared" si="49"/>
        <v>0</v>
      </c>
      <c r="AI208" s="1">
        <f t="shared" si="50"/>
        <v>0</v>
      </c>
      <c r="AJ208" s="1">
        <f t="shared" si="51"/>
        <v>0</v>
      </c>
      <c r="AK208" s="1">
        <f t="shared" si="52"/>
        <v>0</v>
      </c>
      <c r="AL208" s="1">
        <f t="shared" si="53"/>
        <v>0</v>
      </c>
      <c r="AM208" s="1">
        <f t="shared" si="54"/>
        <v>0</v>
      </c>
      <c r="AN208" s="278">
        <f t="shared" si="44"/>
        <v>1</v>
      </c>
      <c r="AP208" s="280"/>
      <c r="AR208" s="1">
        <v>1</v>
      </c>
      <c r="AU208" s="281"/>
      <c r="AZ208" s="281"/>
      <c r="BG208" s="282">
        <f t="shared" si="55"/>
        <v>1</v>
      </c>
      <c r="BH208" s="282">
        <f t="shared" si="56"/>
        <v>1</v>
      </c>
      <c r="BI208" s="283">
        <f t="shared" si="57"/>
        <v>1</v>
      </c>
      <c r="BL208" s="1">
        <v>516850</v>
      </c>
      <c r="BM208" s="1">
        <v>172139</v>
      </c>
      <c r="BN208" s="1" t="s">
        <v>1601</v>
      </c>
      <c r="BO208" s="1" t="s">
        <v>1560</v>
      </c>
    </row>
    <row r="209" spans="1:76" ht="15" customHeight="1" x14ac:dyDescent="0.25">
      <c r="A209" s="275" t="s">
        <v>1097</v>
      </c>
      <c r="B209" s="276" t="s">
        <v>21</v>
      </c>
      <c r="D209" s="277">
        <v>44795</v>
      </c>
      <c r="E209" s="277">
        <v>45895</v>
      </c>
      <c r="F209" s="277">
        <v>45173</v>
      </c>
      <c r="H209" s="275" t="s">
        <v>64</v>
      </c>
      <c r="I209" s="275" t="s">
        <v>1473</v>
      </c>
      <c r="J209" s="286"/>
      <c r="K209" s="275" t="s">
        <v>1098</v>
      </c>
      <c r="L209" s="275" t="s">
        <v>1099</v>
      </c>
      <c r="M209" s="275" t="s">
        <v>648</v>
      </c>
      <c r="V209" s="1">
        <f t="shared" si="45"/>
        <v>0</v>
      </c>
      <c r="W209" s="1">
        <v>2</v>
      </c>
      <c r="X209" s="1">
        <v>2</v>
      </c>
      <c r="Y209" s="1">
        <v>3</v>
      </c>
      <c r="AE209" s="1">
        <f t="shared" si="46"/>
        <v>7</v>
      </c>
      <c r="AF209" s="1">
        <f t="shared" si="47"/>
        <v>2</v>
      </c>
      <c r="AG209" s="1">
        <f t="shared" si="48"/>
        <v>2</v>
      </c>
      <c r="AH209" s="1">
        <f t="shared" si="49"/>
        <v>3</v>
      </c>
      <c r="AI209" s="1">
        <f t="shared" si="50"/>
        <v>0</v>
      </c>
      <c r="AJ209" s="1">
        <f t="shared" si="51"/>
        <v>0</v>
      </c>
      <c r="AK209" s="1">
        <f t="shared" si="52"/>
        <v>0</v>
      </c>
      <c r="AL209" s="1">
        <f t="shared" si="53"/>
        <v>0</v>
      </c>
      <c r="AM209" s="1">
        <f t="shared" si="54"/>
        <v>0</v>
      </c>
      <c r="AN209" s="278">
        <f t="shared" si="44"/>
        <v>7</v>
      </c>
      <c r="AP209" s="280"/>
      <c r="AR209" s="1">
        <v>3.5</v>
      </c>
      <c r="AS209" s="1">
        <v>3.5</v>
      </c>
      <c r="AU209" s="281"/>
      <c r="AZ209" s="281"/>
      <c r="BG209" s="282">
        <f t="shared" si="55"/>
        <v>7</v>
      </c>
      <c r="BH209" s="282">
        <f t="shared" si="56"/>
        <v>7</v>
      </c>
      <c r="BI209" s="283">
        <f t="shared" si="57"/>
        <v>7</v>
      </c>
      <c r="BL209" s="1">
        <v>514498</v>
      </c>
      <c r="BM209" s="1">
        <v>174249</v>
      </c>
      <c r="BN209" s="1" t="s">
        <v>1391</v>
      </c>
      <c r="BO209" s="1" t="s">
        <v>1391</v>
      </c>
      <c r="BW209" s="284" t="s">
        <v>27</v>
      </c>
    </row>
    <row r="210" spans="1:76" ht="15" customHeight="1" x14ac:dyDescent="0.25">
      <c r="A210" s="275" t="s">
        <v>1116</v>
      </c>
      <c r="B210" s="276" t="s">
        <v>224</v>
      </c>
      <c r="D210" s="277">
        <v>44068</v>
      </c>
      <c r="E210" s="277">
        <v>45163</v>
      </c>
      <c r="H210" s="275" t="s">
        <v>64</v>
      </c>
      <c r="I210" s="275" t="s">
        <v>1473</v>
      </c>
      <c r="J210" s="286"/>
      <c r="K210" s="275" t="s">
        <v>1117</v>
      </c>
      <c r="L210" s="275" t="s">
        <v>1118</v>
      </c>
      <c r="M210" s="275" t="s">
        <v>1119</v>
      </c>
      <c r="V210" s="1">
        <f t="shared" si="45"/>
        <v>0</v>
      </c>
      <c r="Y210" s="1">
        <v>1</v>
      </c>
      <c r="AE210" s="1">
        <f t="shared" si="46"/>
        <v>1</v>
      </c>
      <c r="AF210" s="1">
        <f t="shared" si="47"/>
        <v>0</v>
      </c>
      <c r="AG210" s="1">
        <f t="shared" si="48"/>
        <v>0</v>
      </c>
      <c r="AH210" s="1">
        <f t="shared" si="49"/>
        <v>1</v>
      </c>
      <c r="AI210" s="1">
        <f t="shared" si="50"/>
        <v>0</v>
      </c>
      <c r="AJ210" s="1">
        <f t="shared" si="51"/>
        <v>0</v>
      </c>
      <c r="AK210" s="1">
        <f t="shared" si="52"/>
        <v>0</v>
      </c>
      <c r="AL210" s="1">
        <f t="shared" si="53"/>
        <v>0</v>
      </c>
      <c r="AM210" s="1">
        <f t="shared" si="54"/>
        <v>0</v>
      </c>
      <c r="AN210" s="278">
        <f t="shared" si="44"/>
        <v>1</v>
      </c>
      <c r="AP210" s="280"/>
      <c r="AQ210" s="1">
        <v>0.25</v>
      </c>
      <c r="AR210" s="1">
        <v>0.25</v>
      </c>
      <c r="AS210" s="1">
        <v>0.25</v>
      </c>
      <c r="AT210" s="1">
        <v>0.25</v>
      </c>
      <c r="AU210" s="281"/>
      <c r="AZ210" s="281"/>
      <c r="BG210" s="282">
        <f t="shared" si="55"/>
        <v>1</v>
      </c>
      <c r="BH210" s="282">
        <f t="shared" si="56"/>
        <v>1</v>
      </c>
      <c r="BI210" s="283">
        <f t="shared" si="57"/>
        <v>1</v>
      </c>
      <c r="BL210" s="1">
        <v>520556</v>
      </c>
      <c r="BM210" s="1">
        <v>175757</v>
      </c>
      <c r="BN210" s="1" t="s">
        <v>1599</v>
      </c>
      <c r="BO210" s="1" t="s">
        <v>1384</v>
      </c>
      <c r="BP210" s="284" t="s">
        <v>1384</v>
      </c>
      <c r="BW210" s="284" t="s">
        <v>27</v>
      </c>
    </row>
    <row r="211" spans="1:76" ht="15" customHeight="1" x14ac:dyDescent="0.25">
      <c r="A211" s="275" t="s">
        <v>825</v>
      </c>
      <c r="B211" s="276" t="s">
        <v>49</v>
      </c>
      <c r="C211" s="1" t="s">
        <v>1262</v>
      </c>
      <c r="D211" s="277">
        <v>44068</v>
      </c>
      <c r="E211" s="277">
        <v>45163</v>
      </c>
      <c r="H211" s="275" t="s">
        <v>64</v>
      </c>
      <c r="I211" s="275" t="s">
        <v>1473</v>
      </c>
      <c r="J211" s="286"/>
      <c r="K211" s="275" t="s">
        <v>826</v>
      </c>
      <c r="L211" s="275" t="s">
        <v>827</v>
      </c>
      <c r="M211" s="275" t="s">
        <v>828</v>
      </c>
      <c r="V211" s="1">
        <f t="shared" si="45"/>
        <v>0</v>
      </c>
      <c r="W211" s="1">
        <v>2</v>
      </c>
      <c r="AE211" s="1">
        <f t="shared" si="46"/>
        <v>2</v>
      </c>
      <c r="AF211" s="1">
        <f t="shared" si="47"/>
        <v>2</v>
      </c>
      <c r="AG211" s="1">
        <f t="shared" si="48"/>
        <v>0</v>
      </c>
      <c r="AH211" s="1">
        <f t="shared" si="49"/>
        <v>0</v>
      </c>
      <c r="AI211" s="1">
        <f t="shared" si="50"/>
        <v>0</v>
      </c>
      <c r="AJ211" s="1">
        <f t="shared" si="51"/>
        <v>0</v>
      </c>
      <c r="AK211" s="1">
        <f t="shared" si="52"/>
        <v>0</v>
      </c>
      <c r="AL211" s="1">
        <f t="shared" si="53"/>
        <v>0</v>
      </c>
      <c r="AM211" s="1">
        <f t="shared" si="54"/>
        <v>0</v>
      </c>
      <c r="AN211" s="278">
        <f t="shared" si="44"/>
        <v>2</v>
      </c>
      <c r="AP211" s="280"/>
      <c r="AQ211" s="1">
        <v>0.5</v>
      </c>
      <c r="AR211" s="1">
        <v>0.5</v>
      </c>
      <c r="AS211" s="1">
        <v>0.5</v>
      </c>
      <c r="AT211" s="1">
        <v>0.5</v>
      </c>
      <c r="AU211" s="281"/>
      <c r="AZ211" s="281"/>
      <c r="BG211" s="282">
        <f t="shared" si="55"/>
        <v>2</v>
      </c>
      <c r="BH211" s="282">
        <f t="shared" si="56"/>
        <v>2</v>
      </c>
      <c r="BI211" s="283">
        <f t="shared" si="57"/>
        <v>2</v>
      </c>
      <c r="BL211" s="1">
        <v>514296</v>
      </c>
      <c r="BM211" s="1">
        <v>170824</v>
      </c>
      <c r="BN211" s="1" t="s">
        <v>1600</v>
      </c>
      <c r="BO211" s="1" t="s">
        <v>1563</v>
      </c>
      <c r="BR211" s="284" t="s">
        <v>1701</v>
      </c>
      <c r="BS211" s="284" t="s">
        <v>27</v>
      </c>
      <c r="BU211" s="284" t="s">
        <v>1702</v>
      </c>
      <c r="BV211" s="284" t="s">
        <v>27</v>
      </c>
    </row>
    <row r="212" spans="1:76" ht="15" customHeight="1" x14ac:dyDescent="0.25">
      <c r="A212" s="275" t="s">
        <v>68</v>
      </c>
      <c r="B212" s="276" t="s">
        <v>44</v>
      </c>
      <c r="D212" s="277">
        <v>44088</v>
      </c>
      <c r="E212" s="277">
        <v>45183</v>
      </c>
      <c r="H212" s="269" t="s">
        <v>64</v>
      </c>
      <c r="I212" s="275" t="s">
        <v>23</v>
      </c>
      <c r="J212" s="286"/>
      <c r="K212" s="275" t="s">
        <v>69</v>
      </c>
      <c r="L212" s="275" t="s">
        <v>70</v>
      </c>
      <c r="M212" s="275" t="s">
        <v>71</v>
      </c>
      <c r="V212" s="1">
        <f t="shared" si="45"/>
        <v>0</v>
      </c>
      <c r="W212" s="269">
        <v>3</v>
      </c>
      <c r="X212" s="269">
        <v>1</v>
      </c>
      <c r="Y212" s="269"/>
      <c r="AE212" s="1">
        <f t="shared" si="46"/>
        <v>4</v>
      </c>
      <c r="AF212" s="1">
        <f t="shared" si="47"/>
        <v>3</v>
      </c>
      <c r="AG212" s="1">
        <f t="shared" si="48"/>
        <v>1</v>
      </c>
      <c r="AH212" s="1">
        <f t="shared" si="49"/>
        <v>0</v>
      </c>
      <c r="AI212" s="1">
        <f t="shared" si="50"/>
        <v>0</v>
      </c>
      <c r="AJ212" s="1">
        <f t="shared" si="51"/>
        <v>0</v>
      </c>
      <c r="AK212" s="1">
        <f t="shared" si="52"/>
        <v>0</v>
      </c>
      <c r="AL212" s="1">
        <f t="shared" si="53"/>
        <v>0</v>
      </c>
      <c r="AM212" s="1">
        <f t="shared" si="54"/>
        <v>0</v>
      </c>
      <c r="AN212" s="278">
        <f t="shared" si="44"/>
        <v>4</v>
      </c>
      <c r="AO212" s="279" t="s">
        <v>27</v>
      </c>
      <c r="AP212" s="280"/>
      <c r="AU212" s="1">
        <v>2</v>
      </c>
      <c r="AV212" s="287">
        <v>2</v>
      </c>
      <c r="AZ212" s="281"/>
      <c r="BG212" s="282">
        <f t="shared" si="55"/>
        <v>2</v>
      </c>
      <c r="BH212" s="282">
        <f t="shared" si="56"/>
        <v>4</v>
      </c>
      <c r="BI212" s="283">
        <f t="shared" si="57"/>
        <v>4</v>
      </c>
      <c r="BL212" s="1">
        <v>521203</v>
      </c>
      <c r="BM212" s="1">
        <v>175677</v>
      </c>
      <c r="BN212" s="1" t="s">
        <v>1599</v>
      </c>
      <c r="BO212" s="1" t="s">
        <v>1562</v>
      </c>
      <c r="BW212" s="284" t="s">
        <v>27</v>
      </c>
    </row>
    <row r="213" spans="1:76" ht="15" customHeight="1" x14ac:dyDescent="0.25">
      <c r="A213" s="275" t="s">
        <v>68</v>
      </c>
      <c r="B213" s="276" t="s">
        <v>44</v>
      </c>
      <c r="D213" s="277">
        <v>44088</v>
      </c>
      <c r="E213" s="277">
        <v>45183</v>
      </c>
      <c r="H213" s="269" t="s">
        <v>64</v>
      </c>
      <c r="I213" s="275" t="s">
        <v>1473</v>
      </c>
      <c r="J213" s="286"/>
      <c r="K213" s="275" t="s">
        <v>69</v>
      </c>
      <c r="L213" s="275" t="s">
        <v>70</v>
      </c>
      <c r="M213" s="275" t="s">
        <v>71</v>
      </c>
      <c r="V213" s="1">
        <f t="shared" si="45"/>
        <v>0</v>
      </c>
      <c r="W213" s="269">
        <v>22</v>
      </c>
      <c r="X213" s="269">
        <v>31</v>
      </c>
      <c r="Y213" s="269">
        <v>12</v>
      </c>
      <c r="AE213" s="1">
        <f t="shared" si="46"/>
        <v>65</v>
      </c>
      <c r="AF213" s="1">
        <f t="shared" si="47"/>
        <v>22</v>
      </c>
      <c r="AG213" s="1">
        <f t="shared" si="48"/>
        <v>31</v>
      </c>
      <c r="AH213" s="1">
        <f t="shared" si="49"/>
        <v>12</v>
      </c>
      <c r="AI213" s="1">
        <f t="shared" si="50"/>
        <v>0</v>
      </c>
      <c r="AJ213" s="1">
        <f t="shared" si="51"/>
        <v>0</v>
      </c>
      <c r="AK213" s="1">
        <f t="shared" si="52"/>
        <v>0</v>
      </c>
      <c r="AL213" s="1">
        <f t="shared" si="53"/>
        <v>0</v>
      </c>
      <c r="AM213" s="1">
        <f t="shared" si="54"/>
        <v>0</v>
      </c>
      <c r="AN213" s="278">
        <f t="shared" si="44"/>
        <v>65</v>
      </c>
      <c r="AO213" s="279" t="s">
        <v>27</v>
      </c>
      <c r="AP213" s="280"/>
      <c r="AU213" s="1">
        <v>32.5</v>
      </c>
      <c r="AV213" s="287">
        <v>32.5</v>
      </c>
      <c r="AZ213" s="281"/>
      <c r="BG213" s="282">
        <f t="shared" si="55"/>
        <v>32.5</v>
      </c>
      <c r="BH213" s="282">
        <f t="shared" si="56"/>
        <v>65</v>
      </c>
      <c r="BI213" s="283">
        <f t="shared" si="57"/>
        <v>65</v>
      </c>
      <c r="BL213" s="1">
        <v>521203</v>
      </c>
      <c r="BM213" s="1">
        <v>175677</v>
      </c>
      <c r="BN213" s="1" t="s">
        <v>1599</v>
      </c>
      <c r="BO213" s="1" t="s">
        <v>1562</v>
      </c>
      <c r="BW213" s="284" t="s">
        <v>27</v>
      </c>
    </row>
    <row r="214" spans="1:76" ht="15" customHeight="1" x14ac:dyDescent="0.25">
      <c r="A214" s="275" t="s">
        <v>68</v>
      </c>
      <c r="B214" s="276" t="s">
        <v>44</v>
      </c>
      <c r="D214" s="277">
        <v>44088</v>
      </c>
      <c r="E214" s="277">
        <v>45183</v>
      </c>
      <c r="H214" s="269" t="s">
        <v>64</v>
      </c>
      <c r="I214" s="275" t="s">
        <v>42</v>
      </c>
      <c r="J214" s="286"/>
      <c r="K214" s="275" t="s">
        <v>69</v>
      </c>
      <c r="L214" s="275" t="s">
        <v>70</v>
      </c>
      <c r="M214" s="275" t="s">
        <v>71</v>
      </c>
      <c r="V214" s="1">
        <f t="shared" si="45"/>
        <v>0</v>
      </c>
      <c r="W214" s="269">
        <v>5</v>
      </c>
      <c r="X214" s="269">
        <v>7</v>
      </c>
      <c r="Y214" s="269">
        <v>2</v>
      </c>
      <c r="AE214" s="1">
        <f t="shared" si="46"/>
        <v>14</v>
      </c>
      <c r="AF214" s="1">
        <f t="shared" si="47"/>
        <v>5</v>
      </c>
      <c r="AG214" s="1">
        <f t="shared" si="48"/>
        <v>7</v>
      </c>
      <c r="AH214" s="1">
        <f t="shared" si="49"/>
        <v>2</v>
      </c>
      <c r="AI214" s="1">
        <f t="shared" si="50"/>
        <v>0</v>
      </c>
      <c r="AJ214" s="1">
        <f t="shared" si="51"/>
        <v>0</v>
      </c>
      <c r="AK214" s="1">
        <f t="shared" si="52"/>
        <v>0</v>
      </c>
      <c r="AL214" s="1">
        <f t="shared" si="53"/>
        <v>0</v>
      </c>
      <c r="AM214" s="1">
        <f t="shared" si="54"/>
        <v>0</v>
      </c>
      <c r="AN214" s="278">
        <f t="shared" si="44"/>
        <v>14</v>
      </c>
      <c r="AO214" s="279" t="s">
        <v>27</v>
      </c>
      <c r="AP214" s="280"/>
      <c r="AU214" s="1">
        <v>7</v>
      </c>
      <c r="AV214" s="287">
        <v>7</v>
      </c>
      <c r="AZ214" s="281"/>
      <c r="BG214" s="282">
        <f t="shared" si="55"/>
        <v>7</v>
      </c>
      <c r="BH214" s="282">
        <f t="shared" si="56"/>
        <v>14</v>
      </c>
      <c r="BI214" s="283">
        <f t="shared" si="57"/>
        <v>14</v>
      </c>
      <c r="BL214" s="1">
        <v>521203</v>
      </c>
      <c r="BM214" s="1">
        <v>175677</v>
      </c>
      <c r="BN214" s="1" t="s">
        <v>1599</v>
      </c>
      <c r="BO214" s="1" t="s">
        <v>1562</v>
      </c>
      <c r="BW214" s="284" t="s">
        <v>27</v>
      </c>
    </row>
    <row r="215" spans="1:76" ht="15" customHeight="1" x14ac:dyDescent="0.25">
      <c r="A215" s="275" t="s">
        <v>1163</v>
      </c>
      <c r="B215" s="276" t="s">
        <v>21</v>
      </c>
      <c r="D215" s="277">
        <v>44090</v>
      </c>
      <c r="E215" s="277">
        <v>45185</v>
      </c>
      <c r="F215" s="277">
        <v>45181</v>
      </c>
      <c r="H215" s="275" t="s">
        <v>64</v>
      </c>
      <c r="I215" s="275" t="s">
        <v>1473</v>
      </c>
      <c r="J215" s="286"/>
      <c r="K215" s="275" t="s">
        <v>1164</v>
      </c>
      <c r="L215" s="275" t="s">
        <v>1165</v>
      </c>
      <c r="M215" s="275" t="s">
        <v>861</v>
      </c>
      <c r="V215" s="1">
        <f t="shared" si="45"/>
        <v>0</v>
      </c>
      <c r="W215" s="1">
        <v>13</v>
      </c>
      <c r="X215" s="1">
        <v>75</v>
      </c>
      <c r="AE215" s="1">
        <f t="shared" si="46"/>
        <v>88</v>
      </c>
      <c r="AF215" s="1">
        <f t="shared" si="47"/>
        <v>13</v>
      </c>
      <c r="AG215" s="1">
        <f t="shared" si="48"/>
        <v>75</v>
      </c>
      <c r="AH215" s="1">
        <f t="shared" si="49"/>
        <v>0</v>
      </c>
      <c r="AI215" s="1">
        <f t="shared" si="50"/>
        <v>0</v>
      </c>
      <c r="AJ215" s="1">
        <f t="shared" si="51"/>
        <v>0</v>
      </c>
      <c r="AK215" s="1">
        <f t="shared" si="52"/>
        <v>0</v>
      </c>
      <c r="AL215" s="1">
        <f t="shared" si="53"/>
        <v>0</v>
      </c>
      <c r="AM215" s="1">
        <f t="shared" si="54"/>
        <v>0</v>
      </c>
      <c r="AN215" s="278">
        <f t="shared" si="44"/>
        <v>88</v>
      </c>
      <c r="AO215" s="279" t="s">
        <v>27</v>
      </c>
      <c r="AP215" s="280"/>
      <c r="AT215" s="1">
        <v>44</v>
      </c>
      <c r="AU215" s="281">
        <v>44</v>
      </c>
      <c r="AZ215" s="281"/>
      <c r="BG215" s="282">
        <f t="shared" si="55"/>
        <v>88</v>
      </c>
      <c r="BH215" s="282">
        <f t="shared" si="56"/>
        <v>88</v>
      </c>
      <c r="BI215" s="283">
        <f t="shared" si="57"/>
        <v>88</v>
      </c>
      <c r="BJ215" s="1" t="s">
        <v>27</v>
      </c>
      <c r="BK215" s="1" t="s">
        <v>27</v>
      </c>
      <c r="BL215" s="1">
        <v>519778</v>
      </c>
      <c r="BM215" s="1">
        <v>176914</v>
      </c>
      <c r="BN215" s="1" t="s">
        <v>1385</v>
      </c>
      <c r="BO215" s="1" t="s">
        <v>1403</v>
      </c>
      <c r="BQ215" s="284" t="s">
        <v>1386</v>
      </c>
      <c r="BT215" s="284" t="s">
        <v>1738</v>
      </c>
      <c r="BW215" s="284" t="s">
        <v>27</v>
      </c>
    </row>
    <row r="216" spans="1:76" ht="15" customHeight="1" x14ac:dyDescent="0.25">
      <c r="A216" s="275" t="s">
        <v>1025</v>
      </c>
      <c r="B216" s="276" t="s">
        <v>49</v>
      </c>
      <c r="D216" s="277">
        <v>44090</v>
      </c>
      <c r="E216" s="277">
        <v>45185</v>
      </c>
      <c r="H216" s="275" t="s">
        <v>64</v>
      </c>
      <c r="I216" s="275" t="s">
        <v>1473</v>
      </c>
      <c r="J216" s="286"/>
      <c r="K216" s="275" t="s">
        <v>1026</v>
      </c>
      <c r="L216" s="275" t="s">
        <v>1027</v>
      </c>
      <c r="M216" s="275" t="s">
        <v>1028</v>
      </c>
      <c r="V216" s="1">
        <f t="shared" si="45"/>
        <v>0</v>
      </c>
      <c r="X216" s="1">
        <v>1</v>
      </c>
      <c r="AE216" s="1">
        <f t="shared" si="46"/>
        <v>1</v>
      </c>
      <c r="AF216" s="1">
        <f t="shared" si="47"/>
        <v>0</v>
      </c>
      <c r="AG216" s="1">
        <f t="shared" si="48"/>
        <v>1</v>
      </c>
      <c r="AH216" s="1">
        <f t="shared" si="49"/>
        <v>0</v>
      </c>
      <c r="AI216" s="1">
        <f t="shared" si="50"/>
        <v>0</v>
      </c>
      <c r="AJ216" s="1">
        <f t="shared" si="51"/>
        <v>0</v>
      </c>
      <c r="AK216" s="1">
        <f t="shared" si="52"/>
        <v>0</v>
      </c>
      <c r="AL216" s="1">
        <f t="shared" si="53"/>
        <v>0</v>
      </c>
      <c r="AM216" s="1">
        <f t="shared" si="54"/>
        <v>0</v>
      </c>
      <c r="AN216" s="278">
        <f t="shared" si="44"/>
        <v>1</v>
      </c>
      <c r="AP216" s="280"/>
      <c r="AQ216" s="1">
        <v>0.25</v>
      </c>
      <c r="AR216" s="1">
        <v>0.25</v>
      </c>
      <c r="AS216" s="1">
        <v>0.25</v>
      </c>
      <c r="AT216" s="1">
        <v>0.25</v>
      </c>
      <c r="AU216" s="281"/>
      <c r="AZ216" s="281"/>
      <c r="BG216" s="282">
        <f t="shared" si="55"/>
        <v>1</v>
      </c>
      <c r="BH216" s="282">
        <f t="shared" si="56"/>
        <v>1</v>
      </c>
      <c r="BI216" s="283">
        <f t="shared" si="57"/>
        <v>1</v>
      </c>
      <c r="BL216" s="1">
        <v>521750</v>
      </c>
      <c r="BM216" s="1">
        <v>176384</v>
      </c>
      <c r="BN216" s="1" t="s">
        <v>1599</v>
      </c>
      <c r="BO216" s="1" t="s">
        <v>1562</v>
      </c>
      <c r="BR216" s="284" t="s">
        <v>1739</v>
      </c>
      <c r="BS216" s="284" t="s">
        <v>27</v>
      </c>
      <c r="BU216" s="284" t="s">
        <v>1688</v>
      </c>
      <c r="BV216" s="284" t="s">
        <v>27</v>
      </c>
      <c r="BW216" s="284" t="s">
        <v>27</v>
      </c>
    </row>
    <row r="217" spans="1:76" ht="15" customHeight="1" x14ac:dyDescent="0.25">
      <c r="A217" s="275" t="s">
        <v>866</v>
      </c>
      <c r="B217" s="276" t="s">
        <v>144</v>
      </c>
      <c r="D217" s="277">
        <v>43644</v>
      </c>
      <c r="E217" s="277">
        <v>44740</v>
      </c>
      <c r="H217" s="275" t="s">
        <v>64</v>
      </c>
      <c r="I217" s="275" t="s">
        <v>1473</v>
      </c>
      <c r="J217" s="286"/>
      <c r="K217" s="275" t="s">
        <v>867</v>
      </c>
      <c r="L217" s="275" t="s">
        <v>868</v>
      </c>
      <c r="M217" s="275" t="s">
        <v>869</v>
      </c>
      <c r="U217" s="1">
        <v>1</v>
      </c>
      <c r="V217" s="1">
        <f t="shared" si="45"/>
        <v>1</v>
      </c>
      <c r="Y217" s="1">
        <v>1</v>
      </c>
      <c r="Z217" s="1">
        <v>1</v>
      </c>
      <c r="AE217" s="1">
        <f t="shared" si="46"/>
        <v>2</v>
      </c>
      <c r="AF217" s="1">
        <f t="shared" si="47"/>
        <v>0</v>
      </c>
      <c r="AG217" s="1">
        <f t="shared" si="48"/>
        <v>0</v>
      </c>
      <c r="AH217" s="1">
        <f t="shared" si="49"/>
        <v>1</v>
      </c>
      <c r="AI217" s="1">
        <f t="shared" si="50"/>
        <v>1</v>
      </c>
      <c r="AJ217" s="1">
        <f t="shared" si="51"/>
        <v>0</v>
      </c>
      <c r="AK217" s="1">
        <f t="shared" si="52"/>
        <v>0</v>
      </c>
      <c r="AL217" s="1">
        <f t="shared" si="53"/>
        <v>-1</v>
      </c>
      <c r="AM217" s="1">
        <f t="shared" si="54"/>
        <v>0</v>
      </c>
      <c r="AN217" s="278">
        <f t="shared" si="44"/>
        <v>1</v>
      </c>
      <c r="AP217" s="280"/>
      <c r="AQ217" s="1">
        <v>0.25</v>
      </c>
      <c r="AR217" s="1">
        <v>0.25</v>
      </c>
      <c r="AS217" s="1">
        <v>0.25</v>
      </c>
      <c r="AT217" s="1">
        <v>0.25</v>
      </c>
      <c r="AU217" s="281"/>
      <c r="AZ217" s="281"/>
      <c r="BG217" s="282">
        <f t="shared" si="55"/>
        <v>1</v>
      </c>
      <c r="BH217" s="282">
        <f t="shared" si="56"/>
        <v>1</v>
      </c>
      <c r="BI217" s="283">
        <f t="shared" si="57"/>
        <v>1</v>
      </c>
      <c r="BL217" s="1">
        <v>518380</v>
      </c>
      <c r="BM217" s="1">
        <v>175623</v>
      </c>
      <c r="BN217" s="1" t="s">
        <v>1385</v>
      </c>
      <c r="BO217" s="1" t="s">
        <v>1404</v>
      </c>
      <c r="BU217" s="284" t="s">
        <v>1715</v>
      </c>
      <c r="BV217" s="284" t="s">
        <v>27</v>
      </c>
      <c r="BW217" s="284" t="s">
        <v>27</v>
      </c>
      <c r="BX217" s="1" t="s">
        <v>27</v>
      </c>
    </row>
    <row r="218" spans="1:76" ht="15" customHeight="1" x14ac:dyDescent="0.25">
      <c r="A218" s="275" t="s">
        <v>1059</v>
      </c>
      <c r="B218" s="276" t="s">
        <v>44</v>
      </c>
      <c r="D218" s="277">
        <v>44098</v>
      </c>
      <c r="E218" s="277">
        <v>45193</v>
      </c>
      <c r="H218" s="275" t="s">
        <v>64</v>
      </c>
      <c r="I218" s="275" t="s">
        <v>1473</v>
      </c>
      <c r="J218" s="286"/>
      <c r="K218" s="275" t="s">
        <v>1060</v>
      </c>
      <c r="L218" s="275" t="s">
        <v>1061</v>
      </c>
      <c r="M218" s="275" t="s">
        <v>323</v>
      </c>
      <c r="V218" s="1">
        <f t="shared" si="45"/>
        <v>0</v>
      </c>
      <c r="W218" s="1">
        <v>1</v>
      </c>
      <c r="AE218" s="1">
        <f t="shared" si="46"/>
        <v>1</v>
      </c>
      <c r="AF218" s="1">
        <f t="shared" si="47"/>
        <v>1</v>
      </c>
      <c r="AG218" s="1">
        <f t="shared" si="48"/>
        <v>0</v>
      </c>
      <c r="AH218" s="1">
        <f t="shared" si="49"/>
        <v>0</v>
      </c>
      <c r="AI218" s="1">
        <f t="shared" si="50"/>
        <v>0</v>
      </c>
      <c r="AJ218" s="1">
        <f t="shared" si="51"/>
        <v>0</v>
      </c>
      <c r="AK218" s="1">
        <f t="shared" si="52"/>
        <v>0</v>
      </c>
      <c r="AL218" s="1">
        <f t="shared" si="53"/>
        <v>0</v>
      </c>
      <c r="AM218" s="1">
        <f t="shared" si="54"/>
        <v>0</v>
      </c>
      <c r="AN218" s="278">
        <f t="shared" si="44"/>
        <v>1</v>
      </c>
      <c r="AP218" s="280"/>
      <c r="AR218" s="1">
        <v>1</v>
      </c>
      <c r="AU218" s="281"/>
      <c r="AZ218" s="281"/>
      <c r="BG218" s="282">
        <f t="shared" si="55"/>
        <v>1</v>
      </c>
      <c r="BH218" s="282">
        <f t="shared" si="56"/>
        <v>1</v>
      </c>
      <c r="BI218" s="283">
        <f t="shared" si="57"/>
        <v>1</v>
      </c>
      <c r="BL218" s="1">
        <v>521318</v>
      </c>
      <c r="BM218" s="1">
        <v>175834</v>
      </c>
      <c r="BN218" s="1" t="s">
        <v>1599</v>
      </c>
      <c r="BO218" s="1" t="s">
        <v>1562</v>
      </c>
      <c r="BR218" s="284" t="s">
        <v>1698</v>
      </c>
      <c r="BS218" s="284" t="s">
        <v>27</v>
      </c>
      <c r="BU218" s="284" t="s">
        <v>1690</v>
      </c>
      <c r="BV218" s="284" t="s">
        <v>27</v>
      </c>
      <c r="BW218" s="284" t="s">
        <v>27</v>
      </c>
    </row>
    <row r="219" spans="1:76" ht="15" customHeight="1" x14ac:dyDescent="0.25">
      <c r="A219" s="275" t="s">
        <v>1073</v>
      </c>
      <c r="B219" s="276" t="s">
        <v>49</v>
      </c>
      <c r="D219" s="277">
        <v>44106</v>
      </c>
      <c r="E219" s="277">
        <v>45201</v>
      </c>
      <c r="H219" s="275" t="s">
        <v>64</v>
      </c>
      <c r="I219" s="275" t="s">
        <v>1473</v>
      </c>
      <c r="J219" s="286"/>
      <c r="K219" s="275" t="s">
        <v>1074</v>
      </c>
      <c r="L219" s="275" t="s">
        <v>1075</v>
      </c>
      <c r="M219" s="275" t="s">
        <v>1076</v>
      </c>
      <c r="R219" s="1">
        <v>1</v>
      </c>
      <c r="V219" s="1">
        <f t="shared" si="45"/>
        <v>1</v>
      </c>
      <c r="Z219" s="1">
        <v>1</v>
      </c>
      <c r="AE219" s="1">
        <f t="shared" si="46"/>
        <v>1</v>
      </c>
      <c r="AF219" s="1">
        <f t="shared" si="47"/>
        <v>0</v>
      </c>
      <c r="AG219" s="1">
        <f t="shared" si="48"/>
        <v>0</v>
      </c>
      <c r="AH219" s="1">
        <f t="shared" si="49"/>
        <v>0</v>
      </c>
      <c r="AI219" s="1">
        <f t="shared" si="50"/>
        <v>0</v>
      </c>
      <c r="AJ219" s="1">
        <f t="shared" si="51"/>
        <v>0</v>
      </c>
      <c r="AK219" s="1">
        <f t="shared" si="52"/>
        <v>0</v>
      </c>
      <c r="AL219" s="1">
        <f t="shared" si="53"/>
        <v>0</v>
      </c>
      <c r="AM219" s="1">
        <f t="shared" si="54"/>
        <v>0</v>
      </c>
      <c r="AN219" s="278">
        <f t="shared" si="44"/>
        <v>0</v>
      </c>
      <c r="AP219" s="280"/>
      <c r="AQ219" s="1">
        <v>0</v>
      </c>
      <c r="AU219" s="281"/>
      <c r="AZ219" s="281"/>
      <c r="BG219" s="282">
        <f t="shared" si="55"/>
        <v>0</v>
      </c>
      <c r="BH219" s="282">
        <f t="shared" si="56"/>
        <v>0</v>
      </c>
      <c r="BI219" s="283">
        <f t="shared" si="57"/>
        <v>0</v>
      </c>
      <c r="BL219" s="1">
        <v>513956</v>
      </c>
      <c r="BM219" s="1">
        <v>171140</v>
      </c>
      <c r="BN219" s="1" t="s">
        <v>1600</v>
      </c>
      <c r="BO219" s="1" t="s">
        <v>1563</v>
      </c>
    </row>
    <row r="220" spans="1:76" ht="15" customHeight="1" x14ac:dyDescent="0.25">
      <c r="A220" s="275" t="s">
        <v>842</v>
      </c>
      <c r="B220" s="276" t="s">
        <v>144</v>
      </c>
      <c r="D220" s="277">
        <v>44109</v>
      </c>
      <c r="E220" s="277">
        <v>45204</v>
      </c>
      <c r="H220" s="275" t="s">
        <v>64</v>
      </c>
      <c r="I220" s="275" t="s">
        <v>1473</v>
      </c>
      <c r="J220" s="286"/>
      <c r="K220" s="275" t="s">
        <v>843</v>
      </c>
      <c r="L220" s="275" t="s">
        <v>844</v>
      </c>
      <c r="M220" s="275" t="s">
        <v>845</v>
      </c>
      <c r="R220" s="1">
        <v>1</v>
      </c>
      <c r="V220" s="1">
        <f t="shared" si="45"/>
        <v>1</v>
      </c>
      <c r="W220" s="1">
        <v>1</v>
      </c>
      <c r="X220" s="1">
        <v>1</v>
      </c>
      <c r="AE220" s="1">
        <f t="shared" si="46"/>
        <v>2</v>
      </c>
      <c r="AF220" s="1">
        <f t="shared" si="47"/>
        <v>1</v>
      </c>
      <c r="AG220" s="1">
        <f t="shared" si="48"/>
        <v>1</v>
      </c>
      <c r="AH220" s="1">
        <f t="shared" si="49"/>
        <v>0</v>
      </c>
      <c r="AI220" s="1">
        <f t="shared" si="50"/>
        <v>-1</v>
      </c>
      <c r="AJ220" s="1">
        <f t="shared" si="51"/>
        <v>0</v>
      </c>
      <c r="AK220" s="1">
        <f t="shared" si="52"/>
        <v>0</v>
      </c>
      <c r="AL220" s="1">
        <f t="shared" si="53"/>
        <v>0</v>
      </c>
      <c r="AM220" s="1">
        <f t="shared" si="54"/>
        <v>0</v>
      </c>
      <c r="AN220" s="278">
        <f t="shared" si="44"/>
        <v>1</v>
      </c>
      <c r="AP220" s="280"/>
      <c r="AQ220" s="1">
        <v>0.25</v>
      </c>
      <c r="AR220" s="1">
        <v>0.25</v>
      </c>
      <c r="AS220" s="1">
        <v>0.25</v>
      </c>
      <c r="AT220" s="1">
        <v>0.25</v>
      </c>
      <c r="AU220" s="281"/>
      <c r="AZ220" s="281"/>
      <c r="BG220" s="282">
        <f t="shared" si="55"/>
        <v>1</v>
      </c>
      <c r="BH220" s="282">
        <f t="shared" si="56"/>
        <v>1</v>
      </c>
      <c r="BI220" s="283">
        <f t="shared" si="57"/>
        <v>1</v>
      </c>
      <c r="BL220" s="1">
        <v>514206</v>
      </c>
      <c r="BM220" s="1">
        <v>173520</v>
      </c>
      <c r="BN220" s="1" t="s">
        <v>1391</v>
      </c>
      <c r="BO220" s="1" t="s">
        <v>1402</v>
      </c>
      <c r="BP220" s="284" t="s">
        <v>1391</v>
      </c>
      <c r="BW220" s="284" t="s">
        <v>27</v>
      </c>
    </row>
    <row r="221" spans="1:76" ht="15" customHeight="1" x14ac:dyDescent="0.25">
      <c r="A221" s="275" t="s">
        <v>890</v>
      </c>
      <c r="B221" s="276" t="s">
        <v>21</v>
      </c>
      <c r="D221" s="277">
        <v>43810</v>
      </c>
      <c r="E221" s="277">
        <v>44906</v>
      </c>
      <c r="H221" s="275" t="s">
        <v>64</v>
      </c>
      <c r="I221" s="275" t="s">
        <v>1473</v>
      </c>
      <c r="J221" s="286"/>
      <c r="K221" s="275" t="s">
        <v>891</v>
      </c>
      <c r="L221" s="275" t="s">
        <v>892</v>
      </c>
      <c r="M221" s="275" t="s">
        <v>893</v>
      </c>
      <c r="P221" s="1">
        <v>1</v>
      </c>
      <c r="V221" s="1">
        <f t="shared" si="45"/>
        <v>1</v>
      </c>
      <c r="Y221" s="1">
        <v>1</v>
      </c>
      <c r="AE221" s="1">
        <f t="shared" si="46"/>
        <v>1</v>
      </c>
      <c r="AF221" s="1">
        <f t="shared" si="47"/>
        <v>0</v>
      </c>
      <c r="AG221" s="1">
        <f t="shared" si="48"/>
        <v>-1</v>
      </c>
      <c r="AH221" s="1">
        <f t="shared" si="49"/>
        <v>1</v>
      </c>
      <c r="AI221" s="1">
        <f t="shared" si="50"/>
        <v>0</v>
      </c>
      <c r="AJ221" s="1">
        <f t="shared" si="51"/>
        <v>0</v>
      </c>
      <c r="AK221" s="1">
        <f t="shared" si="52"/>
        <v>0</v>
      </c>
      <c r="AL221" s="1">
        <f t="shared" si="53"/>
        <v>0</v>
      </c>
      <c r="AM221" s="1">
        <f t="shared" si="54"/>
        <v>0</v>
      </c>
      <c r="AN221" s="278">
        <f t="shared" si="44"/>
        <v>0</v>
      </c>
      <c r="AP221" s="280"/>
      <c r="AQ221" s="1">
        <v>0</v>
      </c>
      <c r="AU221" s="281"/>
      <c r="AZ221" s="281"/>
      <c r="BG221" s="282">
        <f t="shared" si="55"/>
        <v>0</v>
      </c>
      <c r="BH221" s="282">
        <f t="shared" si="56"/>
        <v>0</v>
      </c>
      <c r="BI221" s="283">
        <f t="shared" si="57"/>
        <v>0</v>
      </c>
      <c r="BL221" s="1">
        <v>520990</v>
      </c>
      <c r="BM221" s="1">
        <v>175033</v>
      </c>
      <c r="BN221" s="1" t="s">
        <v>1599</v>
      </c>
      <c r="BO221" s="1" t="s">
        <v>1384</v>
      </c>
      <c r="BW221" s="284" t="s">
        <v>27</v>
      </c>
    </row>
    <row r="222" spans="1:76" ht="15" customHeight="1" x14ac:dyDescent="0.25">
      <c r="A222" s="275" t="s">
        <v>894</v>
      </c>
      <c r="B222" s="276" t="s">
        <v>144</v>
      </c>
      <c r="D222" s="277">
        <v>44118</v>
      </c>
      <c r="E222" s="277">
        <v>45213</v>
      </c>
      <c r="H222" s="275" t="s">
        <v>64</v>
      </c>
      <c r="I222" s="275" t="s">
        <v>1473</v>
      </c>
      <c r="J222" s="286"/>
      <c r="K222" s="275" t="s">
        <v>895</v>
      </c>
      <c r="L222" s="275" t="s">
        <v>896</v>
      </c>
      <c r="M222" s="275" t="s">
        <v>897</v>
      </c>
      <c r="Q222" s="1">
        <v>1</v>
      </c>
      <c r="V222" s="1">
        <f t="shared" si="45"/>
        <v>1</v>
      </c>
      <c r="W222" s="1">
        <v>2</v>
      </c>
      <c r="AE222" s="1">
        <f t="shared" si="46"/>
        <v>2</v>
      </c>
      <c r="AF222" s="1">
        <f t="shared" si="47"/>
        <v>2</v>
      </c>
      <c r="AG222" s="1">
        <f t="shared" si="48"/>
        <v>0</v>
      </c>
      <c r="AH222" s="1">
        <f t="shared" si="49"/>
        <v>-1</v>
      </c>
      <c r="AI222" s="1">
        <f t="shared" si="50"/>
        <v>0</v>
      </c>
      <c r="AJ222" s="1">
        <f t="shared" si="51"/>
        <v>0</v>
      </c>
      <c r="AK222" s="1">
        <f t="shared" si="52"/>
        <v>0</v>
      </c>
      <c r="AL222" s="1">
        <f t="shared" si="53"/>
        <v>0</v>
      </c>
      <c r="AM222" s="1">
        <f t="shared" si="54"/>
        <v>0</v>
      </c>
      <c r="AN222" s="278">
        <f t="shared" si="44"/>
        <v>1</v>
      </c>
      <c r="AP222" s="280"/>
      <c r="AQ222" s="1">
        <v>0.25</v>
      </c>
      <c r="AR222" s="1">
        <v>0.25</v>
      </c>
      <c r="AS222" s="1">
        <v>0.25</v>
      </c>
      <c r="AT222" s="1">
        <v>0.25</v>
      </c>
      <c r="AU222" s="281"/>
      <c r="AZ222" s="281"/>
      <c r="BG222" s="282">
        <f t="shared" si="55"/>
        <v>1</v>
      </c>
      <c r="BH222" s="282">
        <f t="shared" si="56"/>
        <v>1</v>
      </c>
      <c r="BI222" s="283">
        <f t="shared" si="57"/>
        <v>1</v>
      </c>
      <c r="BL222" s="1">
        <v>513125</v>
      </c>
      <c r="BM222" s="1">
        <v>169836</v>
      </c>
      <c r="BN222" s="1" t="s">
        <v>1600</v>
      </c>
      <c r="BO222" s="1" t="s">
        <v>1400</v>
      </c>
      <c r="BW222" s="284" t="s">
        <v>27</v>
      </c>
    </row>
    <row r="223" spans="1:76" ht="15" customHeight="1" x14ac:dyDescent="0.25">
      <c r="A223" s="275" t="s">
        <v>1128</v>
      </c>
      <c r="B223" s="276" t="s">
        <v>49</v>
      </c>
      <c r="C223" s="1" t="s">
        <v>1262</v>
      </c>
      <c r="D223" s="277">
        <v>44127</v>
      </c>
      <c r="E223" s="277">
        <v>45222</v>
      </c>
      <c r="H223" s="275" t="s">
        <v>64</v>
      </c>
      <c r="I223" s="275" t="s">
        <v>1473</v>
      </c>
      <c r="J223" s="286"/>
      <c r="K223" s="275" t="s">
        <v>1129</v>
      </c>
      <c r="L223" s="275" t="s">
        <v>1130</v>
      </c>
      <c r="M223" s="275" t="s">
        <v>1131</v>
      </c>
      <c r="V223" s="1">
        <f t="shared" si="45"/>
        <v>0</v>
      </c>
      <c r="Y223" s="1">
        <v>1</v>
      </c>
      <c r="AE223" s="1">
        <f t="shared" si="46"/>
        <v>1</v>
      </c>
      <c r="AF223" s="1">
        <f t="shared" si="47"/>
        <v>0</v>
      </c>
      <c r="AG223" s="1">
        <f t="shared" si="48"/>
        <v>0</v>
      </c>
      <c r="AH223" s="1">
        <f t="shared" si="49"/>
        <v>1</v>
      </c>
      <c r="AI223" s="1">
        <f t="shared" si="50"/>
        <v>0</v>
      </c>
      <c r="AJ223" s="1">
        <f t="shared" si="51"/>
        <v>0</v>
      </c>
      <c r="AK223" s="1">
        <f t="shared" si="52"/>
        <v>0</v>
      </c>
      <c r="AL223" s="1">
        <f t="shared" si="53"/>
        <v>0</v>
      </c>
      <c r="AM223" s="1">
        <f t="shared" si="54"/>
        <v>0</v>
      </c>
      <c r="AN223" s="278">
        <f t="shared" si="44"/>
        <v>1</v>
      </c>
      <c r="AP223" s="280"/>
      <c r="AQ223" s="1">
        <v>0.25</v>
      </c>
      <c r="AR223" s="1">
        <v>0.25</v>
      </c>
      <c r="AS223" s="1">
        <v>0.25</v>
      </c>
      <c r="AT223" s="1">
        <v>0.25</v>
      </c>
      <c r="AU223" s="281"/>
      <c r="AZ223" s="281"/>
      <c r="BG223" s="282">
        <f t="shared" si="55"/>
        <v>1</v>
      </c>
      <c r="BH223" s="282">
        <f t="shared" si="56"/>
        <v>1</v>
      </c>
      <c r="BI223" s="283">
        <f t="shared" si="57"/>
        <v>1</v>
      </c>
      <c r="BL223" s="1">
        <v>516240</v>
      </c>
      <c r="BM223" s="1">
        <v>173173</v>
      </c>
      <c r="BN223" s="1" t="s">
        <v>1389</v>
      </c>
      <c r="BO223" s="1" t="s">
        <v>1407</v>
      </c>
      <c r="BP223" s="284" t="s">
        <v>1389</v>
      </c>
      <c r="BW223" s="284" t="s">
        <v>27</v>
      </c>
    </row>
    <row r="224" spans="1:76" ht="15" customHeight="1" x14ac:dyDescent="0.25">
      <c r="A224" s="275" t="s">
        <v>814</v>
      </c>
      <c r="B224" s="276" t="s">
        <v>224</v>
      </c>
      <c r="D224" s="277">
        <v>44137</v>
      </c>
      <c r="E224" s="277">
        <v>45232</v>
      </c>
      <c r="H224" s="275" t="s">
        <v>64</v>
      </c>
      <c r="I224" s="275" t="s">
        <v>1473</v>
      </c>
      <c r="J224" s="286"/>
      <c r="K224" s="275" t="s">
        <v>815</v>
      </c>
      <c r="L224" s="275" t="s">
        <v>816</v>
      </c>
      <c r="V224" s="1">
        <f t="shared" si="45"/>
        <v>0</v>
      </c>
      <c r="W224" s="1">
        <v>2</v>
      </c>
      <c r="AE224" s="1">
        <f t="shared" si="46"/>
        <v>2</v>
      </c>
      <c r="AF224" s="1">
        <f t="shared" si="47"/>
        <v>2</v>
      </c>
      <c r="AG224" s="1">
        <f t="shared" si="48"/>
        <v>0</v>
      </c>
      <c r="AH224" s="1">
        <f t="shared" si="49"/>
        <v>0</v>
      </c>
      <c r="AI224" s="1">
        <f t="shared" si="50"/>
        <v>0</v>
      </c>
      <c r="AJ224" s="1">
        <f t="shared" si="51"/>
        <v>0</v>
      </c>
      <c r="AK224" s="1">
        <f t="shared" si="52"/>
        <v>0</v>
      </c>
      <c r="AL224" s="1">
        <f t="shared" si="53"/>
        <v>0</v>
      </c>
      <c r="AM224" s="1">
        <f t="shared" si="54"/>
        <v>0</v>
      </c>
      <c r="AN224" s="278">
        <f t="shared" si="44"/>
        <v>2</v>
      </c>
      <c r="AP224" s="280"/>
      <c r="AQ224" s="1">
        <v>0.5</v>
      </c>
      <c r="AR224" s="1">
        <v>0.5</v>
      </c>
      <c r="AS224" s="1">
        <v>0.5</v>
      </c>
      <c r="AT224" s="1">
        <v>0.5</v>
      </c>
      <c r="AU224" s="281"/>
      <c r="AZ224" s="281"/>
      <c r="BG224" s="282">
        <f t="shared" si="55"/>
        <v>2</v>
      </c>
      <c r="BH224" s="282">
        <f t="shared" si="56"/>
        <v>2</v>
      </c>
      <c r="BI224" s="283">
        <f t="shared" si="57"/>
        <v>2</v>
      </c>
      <c r="BL224" s="1">
        <v>516132</v>
      </c>
      <c r="BM224" s="1">
        <v>170736</v>
      </c>
      <c r="BN224" s="1" t="s">
        <v>1600</v>
      </c>
      <c r="BO224" s="1" t="s">
        <v>1387</v>
      </c>
      <c r="BW224" s="284" t="s">
        <v>27</v>
      </c>
    </row>
    <row r="225" spans="1:75" ht="15" customHeight="1" x14ac:dyDescent="0.25">
      <c r="A225" s="275" t="s">
        <v>958</v>
      </c>
      <c r="B225" s="276" t="s">
        <v>21</v>
      </c>
      <c r="D225" s="277">
        <v>43818</v>
      </c>
      <c r="E225" s="277">
        <v>45240</v>
      </c>
      <c r="H225" s="275" t="s">
        <v>64</v>
      </c>
      <c r="I225" s="275" t="s">
        <v>1473</v>
      </c>
      <c r="J225" s="286"/>
      <c r="K225" s="275" t="s">
        <v>959</v>
      </c>
      <c r="L225" s="275" t="s">
        <v>960</v>
      </c>
      <c r="M225" s="275" t="s">
        <v>961</v>
      </c>
      <c r="V225" s="1">
        <f t="shared" si="45"/>
        <v>0</v>
      </c>
      <c r="X225" s="1">
        <v>1</v>
      </c>
      <c r="AE225" s="1">
        <f t="shared" si="46"/>
        <v>1</v>
      </c>
      <c r="AF225" s="1">
        <f t="shared" si="47"/>
        <v>0</v>
      </c>
      <c r="AG225" s="1">
        <f t="shared" si="48"/>
        <v>1</v>
      </c>
      <c r="AH225" s="1">
        <f t="shared" si="49"/>
        <v>0</v>
      </c>
      <c r="AI225" s="1">
        <f t="shared" si="50"/>
        <v>0</v>
      </c>
      <c r="AJ225" s="1">
        <f t="shared" si="51"/>
        <v>0</v>
      </c>
      <c r="AK225" s="1">
        <f t="shared" si="52"/>
        <v>0</v>
      </c>
      <c r="AL225" s="1">
        <f t="shared" si="53"/>
        <v>0</v>
      </c>
      <c r="AM225" s="1">
        <f t="shared" si="54"/>
        <v>0</v>
      </c>
      <c r="AN225" s="278">
        <f t="shared" si="44"/>
        <v>1</v>
      </c>
      <c r="AP225" s="280"/>
      <c r="AQ225" s="1">
        <v>0.25</v>
      </c>
      <c r="AR225" s="1">
        <v>0.25</v>
      </c>
      <c r="AS225" s="1">
        <v>0.25</v>
      </c>
      <c r="AT225" s="1">
        <v>0.25</v>
      </c>
      <c r="AU225" s="281"/>
      <c r="AZ225" s="281"/>
      <c r="BG225" s="282">
        <f t="shared" si="55"/>
        <v>1</v>
      </c>
      <c r="BH225" s="282">
        <f t="shared" si="56"/>
        <v>1</v>
      </c>
      <c r="BI225" s="283">
        <f t="shared" si="57"/>
        <v>1</v>
      </c>
      <c r="BL225" s="1">
        <v>517407</v>
      </c>
      <c r="BM225" s="1">
        <v>174195</v>
      </c>
      <c r="BN225" s="1" t="s">
        <v>1389</v>
      </c>
      <c r="BO225" s="1" t="s">
        <v>1407</v>
      </c>
      <c r="BR225" s="284" t="s">
        <v>1732</v>
      </c>
      <c r="BS225" s="284" t="s">
        <v>27</v>
      </c>
      <c r="BU225" s="284" t="s">
        <v>1733</v>
      </c>
      <c r="BV225" s="284" t="s">
        <v>27</v>
      </c>
      <c r="BW225" s="284" t="s">
        <v>27</v>
      </c>
    </row>
    <row r="226" spans="1:75" ht="15" customHeight="1" x14ac:dyDescent="0.25">
      <c r="A226" s="275" t="s">
        <v>1202</v>
      </c>
      <c r="B226" s="276" t="s">
        <v>21</v>
      </c>
      <c r="D226" s="277">
        <v>44020</v>
      </c>
      <c r="E226" s="277">
        <v>45115</v>
      </c>
      <c r="H226" s="275" t="s">
        <v>64</v>
      </c>
      <c r="I226" s="275" t="s">
        <v>1473</v>
      </c>
      <c r="J226" s="286"/>
      <c r="K226" s="275" t="s">
        <v>1203</v>
      </c>
      <c r="L226" s="275" t="s">
        <v>1204</v>
      </c>
      <c r="M226" s="275" t="s">
        <v>1205</v>
      </c>
      <c r="V226" s="1">
        <f t="shared" si="45"/>
        <v>0</v>
      </c>
      <c r="W226" s="1">
        <v>1</v>
      </c>
      <c r="AE226" s="1">
        <f t="shared" si="46"/>
        <v>1</v>
      </c>
      <c r="AF226" s="1">
        <f t="shared" si="47"/>
        <v>1</v>
      </c>
      <c r="AG226" s="1">
        <f t="shared" si="48"/>
        <v>0</v>
      </c>
      <c r="AH226" s="1">
        <f t="shared" si="49"/>
        <v>0</v>
      </c>
      <c r="AI226" s="1">
        <f t="shared" si="50"/>
        <v>0</v>
      </c>
      <c r="AJ226" s="1">
        <f t="shared" si="51"/>
        <v>0</v>
      </c>
      <c r="AK226" s="1">
        <f t="shared" si="52"/>
        <v>0</v>
      </c>
      <c r="AL226" s="1">
        <f t="shared" si="53"/>
        <v>0</v>
      </c>
      <c r="AM226" s="1">
        <f t="shared" si="54"/>
        <v>0</v>
      </c>
      <c r="AN226" s="278">
        <f t="shared" si="44"/>
        <v>1</v>
      </c>
      <c r="AP226" s="280"/>
      <c r="AQ226" s="1">
        <v>0.25</v>
      </c>
      <c r="AR226" s="1">
        <v>0.25</v>
      </c>
      <c r="AS226" s="1">
        <v>0.25</v>
      </c>
      <c r="AT226" s="1">
        <v>0.25</v>
      </c>
      <c r="AU226" s="281"/>
      <c r="AZ226" s="281"/>
      <c r="BG226" s="282">
        <f t="shared" si="55"/>
        <v>1</v>
      </c>
      <c r="BH226" s="282">
        <f t="shared" si="56"/>
        <v>1</v>
      </c>
      <c r="BI226" s="283">
        <f t="shared" si="57"/>
        <v>1</v>
      </c>
      <c r="BL226" s="1">
        <v>512957</v>
      </c>
      <c r="BM226" s="1">
        <v>173546</v>
      </c>
      <c r="BN226" s="1" t="s">
        <v>1391</v>
      </c>
      <c r="BO226" s="1" t="s">
        <v>1402</v>
      </c>
    </row>
    <row r="227" spans="1:75" ht="15" customHeight="1" x14ac:dyDescent="0.25">
      <c r="A227" s="275" t="s">
        <v>1220</v>
      </c>
      <c r="B227" s="276" t="s">
        <v>224</v>
      </c>
      <c r="D227" s="277">
        <v>44175</v>
      </c>
      <c r="E227" s="277">
        <v>45270</v>
      </c>
      <c r="H227" s="275" t="s">
        <v>64</v>
      </c>
      <c r="I227" s="275" t="s">
        <v>1473</v>
      </c>
      <c r="J227" s="286"/>
      <c r="K227" s="275" t="s">
        <v>1221</v>
      </c>
      <c r="L227" s="275" t="s">
        <v>1222</v>
      </c>
      <c r="M227" s="275" t="s">
        <v>1223</v>
      </c>
      <c r="V227" s="1">
        <f t="shared" si="45"/>
        <v>0</v>
      </c>
      <c r="W227" s="1">
        <v>2</v>
      </c>
      <c r="AE227" s="1">
        <f t="shared" si="46"/>
        <v>2</v>
      </c>
      <c r="AF227" s="1">
        <f t="shared" si="47"/>
        <v>2</v>
      </c>
      <c r="AG227" s="1">
        <f t="shared" si="48"/>
        <v>0</v>
      </c>
      <c r="AH227" s="1">
        <f t="shared" si="49"/>
        <v>0</v>
      </c>
      <c r="AI227" s="1">
        <f t="shared" si="50"/>
        <v>0</v>
      </c>
      <c r="AJ227" s="1">
        <f t="shared" si="51"/>
        <v>0</v>
      </c>
      <c r="AK227" s="1">
        <f t="shared" si="52"/>
        <v>0</v>
      </c>
      <c r="AL227" s="1">
        <f t="shared" si="53"/>
        <v>0</v>
      </c>
      <c r="AM227" s="1">
        <f t="shared" si="54"/>
        <v>0</v>
      </c>
      <c r="AN227" s="278">
        <f t="shared" si="44"/>
        <v>2</v>
      </c>
      <c r="AP227" s="280"/>
      <c r="AQ227" s="1">
        <v>0.5</v>
      </c>
      <c r="AR227" s="1">
        <v>0.5</v>
      </c>
      <c r="AS227" s="1">
        <v>0.5</v>
      </c>
      <c r="AT227" s="1">
        <v>0.5</v>
      </c>
      <c r="AU227" s="281"/>
      <c r="AZ227" s="281"/>
      <c r="BG227" s="282">
        <f t="shared" si="55"/>
        <v>2</v>
      </c>
      <c r="BH227" s="282">
        <f t="shared" si="56"/>
        <v>2</v>
      </c>
      <c r="BI227" s="283">
        <f t="shared" si="57"/>
        <v>2</v>
      </c>
      <c r="BL227" s="1">
        <v>517355</v>
      </c>
      <c r="BM227" s="1">
        <v>169968</v>
      </c>
      <c r="BN227" s="1" t="s">
        <v>1600</v>
      </c>
      <c r="BO227" s="1" t="s">
        <v>1559</v>
      </c>
      <c r="BW227" s="284" t="s">
        <v>27</v>
      </c>
    </row>
    <row r="228" spans="1:75" ht="15" customHeight="1" x14ac:dyDescent="0.25">
      <c r="A228" s="275" t="s">
        <v>1231</v>
      </c>
      <c r="B228" s="276" t="s">
        <v>49</v>
      </c>
      <c r="C228" s="1" t="s">
        <v>1262</v>
      </c>
      <c r="D228" s="277">
        <v>43787</v>
      </c>
      <c r="E228" s="277">
        <v>44883</v>
      </c>
      <c r="H228" s="275" t="s">
        <v>64</v>
      </c>
      <c r="I228" s="275" t="s">
        <v>1473</v>
      </c>
      <c r="J228" s="286"/>
      <c r="K228" s="275" t="s">
        <v>1232</v>
      </c>
      <c r="L228" s="275" t="s">
        <v>1233</v>
      </c>
      <c r="M228" s="275" t="s">
        <v>1230</v>
      </c>
      <c r="V228" s="1">
        <f t="shared" si="45"/>
        <v>0</v>
      </c>
      <c r="X228" s="1">
        <v>1</v>
      </c>
      <c r="AE228" s="1">
        <f t="shared" si="46"/>
        <v>1</v>
      </c>
      <c r="AF228" s="1">
        <f t="shared" si="47"/>
        <v>0</v>
      </c>
      <c r="AG228" s="1">
        <f t="shared" si="48"/>
        <v>1</v>
      </c>
      <c r="AH228" s="1">
        <f t="shared" si="49"/>
        <v>0</v>
      </c>
      <c r="AI228" s="1">
        <f t="shared" si="50"/>
        <v>0</v>
      </c>
      <c r="AJ228" s="1">
        <f t="shared" si="51"/>
        <v>0</v>
      </c>
      <c r="AK228" s="1">
        <f t="shared" si="52"/>
        <v>0</v>
      </c>
      <c r="AL228" s="1">
        <f t="shared" si="53"/>
        <v>0</v>
      </c>
      <c r="AM228" s="1">
        <f t="shared" si="54"/>
        <v>0</v>
      </c>
      <c r="AN228" s="278">
        <f t="shared" si="44"/>
        <v>1</v>
      </c>
      <c r="AP228" s="280"/>
      <c r="AQ228" s="1">
        <v>0.25</v>
      </c>
      <c r="AR228" s="1">
        <v>0.25</v>
      </c>
      <c r="AS228" s="1">
        <v>0.25</v>
      </c>
      <c r="AT228" s="1">
        <v>0.25</v>
      </c>
      <c r="AU228" s="281"/>
      <c r="AZ228" s="281"/>
      <c r="BG228" s="282">
        <f t="shared" si="55"/>
        <v>1</v>
      </c>
      <c r="BH228" s="282">
        <f t="shared" si="56"/>
        <v>1</v>
      </c>
      <c r="BI228" s="283">
        <f t="shared" si="57"/>
        <v>1</v>
      </c>
      <c r="BL228" s="1">
        <v>515035</v>
      </c>
      <c r="BM228" s="1">
        <v>171569</v>
      </c>
      <c r="BN228" s="1" t="s">
        <v>1600</v>
      </c>
      <c r="BO228" s="1" t="s">
        <v>1563</v>
      </c>
      <c r="BR228" s="284" t="s">
        <v>1734</v>
      </c>
      <c r="BS228" s="284" t="s">
        <v>27</v>
      </c>
      <c r="BW228" s="284" t="s">
        <v>27</v>
      </c>
    </row>
    <row r="229" spans="1:75" ht="15" customHeight="1" x14ac:dyDescent="0.25">
      <c r="A229" s="275" t="s">
        <v>1237</v>
      </c>
      <c r="B229" s="276" t="s">
        <v>49</v>
      </c>
      <c r="D229" s="277">
        <v>44187</v>
      </c>
      <c r="E229" s="277">
        <v>45282</v>
      </c>
      <c r="H229" s="275" t="s">
        <v>64</v>
      </c>
      <c r="I229" s="275" t="s">
        <v>1473</v>
      </c>
      <c r="J229" s="286"/>
      <c r="K229" s="275" t="s">
        <v>1238</v>
      </c>
      <c r="L229" s="275" t="s">
        <v>1239</v>
      </c>
      <c r="M229" s="275" t="s">
        <v>1240</v>
      </c>
      <c r="V229" s="1">
        <f t="shared" si="45"/>
        <v>0</v>
      </c>
      <c r="AA229" s="1">
        <v>1</v>
      </c>
      <c r="AE229" s="1">
        <f t="shared" si="46"/>
        <v>1</v>
      </c>
      <c r="AF229" s="1">
        <f t="shared" si="47"/>
        <v>0</v>
      </c>
      <c r="AG229" s="1">
        <f t="shared" si="48"/>
        <v>0</v>
      </c>
      <c r="AH229" s="1">
        <f t="shared" si="49"/>
        <v>0</v>
      </c>
      <c r="AI229" s="1">
        <f t="shared" si="50"/>
        <v>0</v>
      </c>
      <c r="AJ229" s="1">
        <f t="shared" si="51"/>
        <v>1</v>
      </c>
      <c r="AK229" s="1">
        <f t="shared" si="52"/>
        <v>0</v>
      </c>
      <c r="AL229" s="1">
        <f t="shared" si="53"/>
        <v>0</v>
      </c>
      <c r="AM229" s="1">
        <f t="shared" si="54"/>
        <v>0</v>
      </c>
      <c r="AN229" s="278">
        <f t="shared" si="44"/>
        <v>1</v>
      </c>
      <c r="AP229" s="280"/>
      <c r="AQ229" s="1">
        <v>0.25</v>
      </c>
      <c r="AR229" s="1">
        <v>0.25</v>
      </c>
      <c r="AS229" s="1">
        <v>0.25</v>
      </c>
      <c r="AT229" s="1">
        <v>0.25</v>
      </c>
      <c r="AU229" s="281"/>
      <c r="AZ229" s="281"/>
      <c r="BG229" s="282">
        <f t="shared" si="55"/>
        <v>1</v>
      </c>
      <c r="BH229" s="282">
        <f t="shared" si="56"/>
        <v>1</v>
      </c>
      <c r="BI229" s="283">
        <f t="shared" si="57"/>
        <v>1</v>
      </c>
      <c r="BL229" s="1">
        <v>518366</v>
      </c>
      <c r="BM229" s="1">
        <v>173868</v>
      </c>
      <c r="BN229" s="1" t="s">
        <v>1601</v>
      </c>
      <c r="BO229" s="1" t="s">
        <v>1560</v>
      </c>
      <c r="BQ229" s="284" t="s">
        <v>1386</v>
      </c>
      <c r="BT229" s="284" t="s">
        <v>1740</v>
      </c>
      <c r="BU229" s="284" t="s">
        <v>1686</v>
      </c>
      <c r="BV229" s="284" t="s">
        <v>27</v>
      </c>
      <c r="BW229" s="284" t="s">
        <v>27</v>
      </c>
    </row>
    <row r="230" spans="1:75" ht="15" customHeight="1" x14ac:dyDescent="0.25">
      <c r="A230" s="275" t="s">
        <v>858</v>
      </c>
      <c r="B230" s="276" t="s">
        <v>49</v>
      </c>
      <c r="C230" s="1" t="s">
        <v>1262</v>
      </c>
      <c r="D230" s="277">
        <v>44225</v>
      </c>
      <c r="E230" s="277">
        <v>45320</v>
      </c>
      <c r="H230" s="275" t="s">
        <v>64</v>
      </c>
      <c r="I230" s="275" t="s">
        <v>1473</v>
      </c>
      <c r="J230" s="286"/>
      <c r="K230" s="275" t="s">
        <v>859</v>
      </c>
      <c r="L230" s="275" t="s">
        <v>860</v>
      </c>
      <c r="M230" s="275" t="s">
        <v>861</v>
      </c>
      <c r="V230" s="1">
        <f t="shared" si="45"/>
        <v>0</v>
      </c>
      <c r="W230" s="1">
        <v>21</v>
      </c>
      <c r="X230" s="1">
        <v>10</v>
      </c>
      <c r="AE230" s="1">
        <f t="shared" si="46"/>
        <v>31</v>
      </c>
      <c r="AF230" s="1">
        <f t="shared" si="47"/>
        <v>21</v>
      </c>
      <c r="AG230" s="1">
        <f t="shared" si="48"/>
        <v>10</v>
      </c>
      <c r="AH230" s="1">
        <f t="shared" si="49"/>
        <v>0</v>
      </c>
      <c r="AI230" s="1">
        <f t="shared" si="50"/>
        <v>0</v>
      </c>
      <c r="AJ230" s="1">
        <f t="shared" si="51"/>
        <v>0</v>
      </c>
      <c r="AK230" s="1">
        <f t="shared" si="52"/>
        <v>0</v>
      </c>
      <c r="AL230" s="1">
        <f t="shared" si="53"/>
        <v>0</v>
      </c>
      <c r="AM230" s="1">
        <f t="shared" si="54"/>
        <v>0</v>
      </c>
      <c r="AN230" s="278">
        <f t="shared" si="44"/>
        <v>31</v>
      </c>
      <c r="AO230" s="279" t="s">
        <v>27</v>
      </c>
      <c r="AP230" s="280"/>
      <c r="AQ230" s="1">
        <v>7.75</v>
      </c>
      <c r="AR230" s="1">
        <v>7.75</v>
      </c>
      <c r="AS230" s="1">
        <v>7.75</v>
      </c>
      <c r="AT230" s="1">
        <v>7.75</v>
      </c>
      <c r="AU230" s="281"/>
      <c r="AZ230" s="281"/>
      <c r="BG230" s="282">
        <f t="shared" si="55"/>
        <v>31</v>
      </c>
      <c r="BH230" s="282">
        <f t="shared" si="56"/>
        <v>31</v>
      </c>
      <c r="BI230" s="283">
        <f t="shared" si="57"/>
        <v>31</v>
      </c>
      <c r="BL230" s="1">
        <v>519533</v>
      </c>
      <c r="BM230" s="1">
        <v>176694</v>
      </c>
      <c r="BN230" s="1" t="s">
        <v>1385</v>
      </c>
      <c r="BO230" s="1" t="s">
        <v>1403</v>
      </c>
      <c r="BW230" s="284" t="s">
        <v>27</v>
      </c>
    </row>
    <row r="231" spans="1:75" ht="15" customHeight="1" x14ac:dyDescent="0.25">
      <c r="A231" s="275" t="s">
        <v>923</v>
      </c>
      <c r="B231" s="276" t="s">
        <v>44</v>
      </c>
      <c r="D231" s="277">
        <v>44049</v>
      </c>
      <c r="E231" s="277">
        <v>45144</v>
      </c>
      <c r="H231" s="275" t="s">
        <v>64</v>
      </c>
      <c r="I231" s="275" t="s">
        <v>1473</v>
      </c>
      <c r="J231" s="286"/>
      <c r="K231" s="275" t="s">
        <v>924</v>
      </c>
      <c r="L231" s="275" t="s">
        <v>925</v>
      </c>
      <c r="M231" s="275" t="s">
        <v>926</v>
      </c>
      <c r="Q231" s="1">
        <v>1</v>
      </c>
      <c r="V231" s="1">
        <f t="shared" si="45"/>
        <v>1</v>
      </c>
      <c r="W231" s="1">
        <v>4</v>
      </c>
      <c r="AE231" s="1">
        <f t="shared" si="46"/>
        <v>4</v>
      </c>
      <c r="AF231" s="1">
        <f t="shared" si="47"/>
        <v>4</v>
      </c>
      <c r="AG231" s="1">
        <f t="shared" si="48"/>
        <v>0</v>
      </c>
      <c r="AH231" s="1">
        <f t="shared" si="49"/>
        <v>-1</v>
      </c>
      <c r="AI231" s="1">
        <f t="shared" si="50"/>
        <v>0</v>
      </c>
      <c r="AJ231" s="1">
        <f t="shared" si="51"/>
        <v>0</v>
      </c>
      <c r="AK231" s="1">
        <f t="shared" si="52"/>
        <v>0</v>
      </c>
      <c r="AL231" s="1">
        <f t="shared" si="53"/>
        <v>0</v>
      </c>
      <c r="AM231" s="1">
        <f t="shared" si="54"/>
        <v>0</v>
      </c>
      <c r="AN231" s="278">
        <f t="shared" si="44"/>
        <v>3</v>
      </c>
      <c r="AP231" s="280"/>
      <c r="AQ231" s="1">
        <v>0.75</v>
      </c>
      <c r="AR231" s="1">
        <v>0.75</v>
      </c>
      <c r="AS231" s="1">
        <v>0.75</v>
      </c>
      <c r="AT231" s="1">
        <v>0.75</v>
      </c>
      <c r="AU231" s="281"/>
      <c r="AZ231" s="281"/>
      <c r="BG231" s="282">
        <f t="shared" si="55"/>
        <v>3</v>
      </c>
      <c r="BH231" s="282">
        <f t="shared" si="56"/>
        <v>3</v>
      </c>
      <c r="BI231" s="283">
        <f t="shared" si="57"/>
        <v>3</v>
      </c>
      <c r="BL231" s="1">
        <v>514554</v>
      </c>
      <c r="BM231" s="1">
        <v>171263</v>
      </c>
      <c r="BN231" s="1" t="s">
        <v>1600</v>
      </c>
      <c r="BO231" s="1" t="s">
        <v>1563</v>
      </c>
      <c r="BR231" s="284" t="s">
        <v>1701</v>
      </c>
      <c r="BS231" s="284" t="s">
        <v>27</v>
      </c>
      <c r="BW231" s="284" t="s">
        <v>27</v>
      </c>
    </row>
    <row r="232" spans="1:75" ht="15" customHeight="1" x14ac:dyDescent="0.25">
      <c r="A232" s="275" t="s">
        <v>989</v>
      </c>
      <c r="B232" s="276" t="s">
        <v>44</v>
      </c>
      <c r="D232" s="277">
        <v>44239</v>
      </c>
      <c r="E232" s="277">
        <v>45334</v>
      </c>
      <c r="H232" s="275" t="s">
        <v>64</v>
      </c>
      <c r="I232" s="275" t="s">
        <v>1473</v>
      </c>
      <c r="J232" s="286"/>
      <c r="K232" s="275" t="s">
        <v>990</v>
      </c>
      <c r="L232" s="275" t="s">
        <v>991</v>
      </c>
      <c r="M232" s="275" t="s">
        <v>992</v>
      </c>
      <c r="V232" s="1">
        <f t="shared" si="45"/>
        <v>0</v>
      </c>
      <c r="W232" s="1">
        <v>1</v>
      </c>
      <c r="AE232" s="1">
        <f t="shared" si="46"/>
        <v>1</v>
      </c>
      <c r="AF232" s="1">
        <f t="shared" si="47"/>
        <v>1</v>
      </c>
      <c r="AG232" s="1">
        <f t="shared" si="48"/>
        <v>0</v>
      </c>
      <c r="AH232" s="1">
        <f t="shared" si="49"/>
        <v>0</v>
      </c>
      <c r="AI232" s="1">
        <f t="shared" si="50"/>
        <v>0</v>
      </c>
      <c r="AJ232" s="1">
        <f t="shared" si="51"/>
        <v>0</v>
      </c>
      <c r="AK232" s="1">
        <f t="shared" si="52"/>
        <v>0</v>
      </c>
      <c r="AL232" s="1">
        <f t="shared" si="53"/>
        <v>0</v>
      </c>
      <c r="AM232" s="1">
        <f t="shared" si="54"/>
        <v>0</v>
      </c>
      <c r="AN232" s="278">
        <f t="shared" si="44"/>
        <v>1</v>
      </c>
      <c r="AP232" s="280"/>
      <c r="AQ232" s="1">
        <v>0.25</v>
      </c>
      <c r="AR232" s="1">
        <v>0.25</v>
      </c>
      <c r="AS232" s="1">
        <v>0.25</v>
      </c>
      <c r="AT232" s="1">
        <v>0.25</v>
      </c>
      <c r="AU232" s="281"/>
      <c r="AZ232" s="281"/>
      <c r="BG232" s="282">
        <f t="shared" si="55"/>
        <v>1</v>
      </c>
      <c r="BH232" s="282">
        <f t="shared" si="56"/>
        <v>1</v>
      </c>
      <c r="BI232" s="283">
        <f t="shared" si="57"/>
        <v>1</v>
      </c>
      <c r="BL232" s="1">
        <v>521239</v>
      </c>
      <c r="BM232" s="1">
        <v>176042</v>
      </c>
      <c r="BN232" s="1" t="s">
        <v>1599</v>
      </c>
      <c r="BO232" s="1" t="s">
        <v>1562</v>
      </c>
      <c r="BR232" s="284" t="s">
        <v>1741</v>
      </c>
      <c r="BS232" s="284" t="s">
        <v>27</v>
      </c>
      <c r="BU232" s="284" t="s">
        <v>1690</v>
      </c>
      <c r="BV232" s="284" t="s">
        <v>27</v>
      </c>
      <c r="BW232" s="284" t="s">
        <v>27</v>
      </c>
    </row>
    <row r="233" spans="1:75" ht="15" customHeight="1" x14ac:dyDescent="0.25">
      <c r="A233" s="275" t="s">
        <v>821</v>
      </c>
      <c r="B233" s="276" t="s">
        <v>224</v>
      </c>
      <c r="D233" s="277">
        <v>44239</v>
      </c>
      <c r="E233" s="277">
        <v>45334</v>
      </c>
      <c r="H233" s="275" t="s">
        <v>64</v>
      </c>
      <c r="I233" s="275" t="s">
        <v>1473</v>
      </c>
      <c r="J233" s="286"/>
      <c r="K233" s="275" t="s">
        <v>822</v>
      </c>
      <c r="L233" s="275" t="s">
        <v>823</v>
      </c>
      <c r="M233" s="275" t="s">
        <v>159</v>
      </c>
      <c r="V233" s="1">
        <f t="shared" si="45"/>
        <v>0</v>
      </c>
      <c r="W233" s="1">
        <v>1</v>
      </c>
      <c r="AE233" s="1">
        <f t="shared" si="46"/>
        <v>1</v>
      </c>
      <c r="AF233" s="1">
        <f t="shared" si="47"/>
        <v>1</v>
      </c>
      <c r="AG233" s="1">
        <f t="shared" si="48"/>
        <v>0</v>
      </c>
      <c r="AH233" s="1">
        <f t="shared" si="49"/>
        <v>0</v>
      </c>
      <c r="AI233" s="1">
        <f t="shared" si="50"/>
        <v>0</v>
      </c>
      <c r="AJ233" s="1">
        <f t="shared" si="51"/>
        <v>0</v>
      </c>
      <c r="AK233" s="1">
        <f t="shared" si="52"/>
        <v>0</v>
      </c>
      <c r="AL233" s="1">
        <f t="shared" si="53"/>
        <v>0</v>
      </c>
      <c r="AM233" s="1">
        <f t="shared" si="54"/>
        <v>0</v>
      </c>
      <c r="AN233" s="278">
        <f t="shared" si="44"/>
        <v>1</v>
      </c>
      <c r="AP233" s="280"/>
      <c r="AQ233" s="1">
        <v>0.25</v>
      </c>
      <c r="AR233" s="1">
        <v>0.25</v>
      </c>
      <c r="AS233" s="1">
        <v>0.25</v>
      </c>
      <c r="AT233" s="1">
        <v>0.25</v>
      </c>
      <c r="AU233" s="281"/>
      <c r="AZ233" s="281"/>
      <c r="BG233" s="282">
        <f t="shared" si="55"/>
        <v>1</v>
      </c>
      <c r="BH233" s="282">
        <f t="shared" si="56"/>
        <v>1</v>
      </c>
      <c r="BI233" s="283">
        <f t="shared" si="57"/>
        <v>1</v>
      </c>
      <c r="BL233" s="1">
        <v>514515</v>
      </c>
      <c r="BM233" s="1">
        <v>171261</v>
      </c>
      <c r="BN233" s="1" t="s">
        <v>1600</v>
      </c>
      <c r="BO233" s="1" t="s">
        <v>1563</v>
      </c>
      <c r="BR233" s="284" t="s">
        <v>1701</v>
      </c>
      <c r="BS233" s="284" t="s">
        <v>27</v>
      </c>
      <c r="BW233" s="284" t="s">
        <v>27</v>
      </c>
    </row>
    <row r="234" spans="1:75" ht="15" customHeight="1" x14ac:dyDescent="0.25">
      <c r="A234" s="275" t="s">
        <v>1234</v>
      </c>
      <c r="B234" s="276" t="s">
        <v>49</v>
      </c>
      <c r="C234" s="1" t="s">
        <v>1262</v>
      </c>
      <c r="D234" s="277">
        <v>44243</v>
      </c>
      <c r="E234" s="277">
        <v>45338</v>
      </c>
      <c r="H234" s="275" t="s">
        <v>64</v>
      </c>
      <c r="I234" s="275" t="s">
        <v>1473</v>
      </c>
      <c r="J234" s="286"/>
      <c r="K234" s="275" t="s">
        <v>1235</v>
      </c>
      <c r="L234" s="275" t="s">
        <v>1236</v>
      </c>
      <c r="M234" s="275" t="s">
        <v>1084</v>
      </c>
      <c r="V234" s="1">
        <f t="shared" si="45"/>
        <v>0</v>
      </c>
      <c r="W234" s="1">
        <v>1</v>
      </c>
      <c r="X234" s="1">
        <v>1</v>
      </c>
      <c r="AE234" s="1">
        <f t="shared" si="46"/>
        <v>2</v>
      </c>
      <c r="AF234" s="1">
        <f t="shared" si="47"/>
        <v>1</v>
      </c>
      <c r="AG234" s="1">
        <f t="shared" si="48"/>
        <v>1</v>
      </c>
      <c r="AH234" s="1">
        <f t="shared" si="49"/>
        <v>0</v>
      </c>
      <c r="AI234" s="1">
        <f t="shared" si="50"/>
        <v>0</v>
      </c>
      <c r="AJ234" s="1">
        <f t="shared" si="51"/>
        <v>0</v>
      </c>
      <c r="AK234" s="1">
        <f t="shared" si="52"/>
        <v>0</v>
      </c>
      <c r="AL234" s="1">
        <f t="shared" si="53"/>
        <v>0</v>
      </c>
      <c r="AM234" s="1">
        <f t="shared" si="54"/>
        <v>0</v>
      </c>
      <c r="AN234" s="278">
        <f t="shared" si="44"/>
        <v>2</v>
      </c>
      <c r="AP234" s="280"/>
      <c r="AQ234" s="1">
        <v>0.5</v>
      </c>
      <c r="AR234" s="1">
        <v>0.5</v>
      </c>
      <c r="AS234" s="1">
        <v>0.5</v>
      </c>
      <c r="AT234" s="1">
        <v>0.5</v>
      </c>
      <c r="AU234" s="281"/>
      <c r="AZ234" s="281"/>
      <c r="BG234" s="282">
        <f t="shared" si="55"/>
        <v>2</v>
      </c>
      <c r="BH234" s="282">
        <f t="shared" si="56"/>
        <v>2</v>
      </c>
      <c r="BI234" s="283">
        <f t="shared" si="57"/>
        <v>2</v>
      </c>
      <c r="BL234" s="1">
        <v>518638</v>
      </c>
      <c r="BM234" s="1">
        <v>175484</v>
      </c>
      <c r="BN234" s="1" t="s">
        <v>1385</v>
      </c>
      <c r="BO234" s="1" t="s">
        <v>1404</v>
      </c>
      <c r="BW234" s="284" t="s">
        <v>27</v>
      </c>
    </row>
    <row r="235" spans="1:75" ht="15" customHeight="1" x14ac:dyDescent="0.25">
      <c r="A235" s="275" t="s">
        <v>1227</v>
      </c>
      <c r="B235" s="276" t="s">
        <v>49</v>
      </c>
      <c r="C235" s="1" t="s">
        <v>1262</v>
      </c>
      <c r="D235" s="277">
        <v>43956</v>
      </c>
      <c r="E235" s="277">
        <v>45051</v>
      </c>
      <c r="H235" s="275" t="s">
        <v>64</v>
      </c>
      <c r="I235" s="275" t="s">
        <v>1473</v>
      </c>
      <c r="J235" s="286"/>
      <c r="K235" s="275" t="s">
        <v>1228</v>
      </c>
      <c r="L235" s="275" t="s">
        <v>1229</v>
      </c>
      <c r="M235" s="275" t="s">
        <v>1230</v>
      </c>
      <c r="V235" s="1">
        <f t="shared" si="45"/>
        <v>0</v>
      </c>
      <c r="X235" s="1">
        <v>1</v>
      </c>
      <c r="AE235" s="1">
        <f t="shared" si="46"/>
        <v>1</v>
      </c>
      <c r="AF235" s="1">
        <f t="shared" si="47"/>
        <v>0</v>
      </c>
      <c r="AG235" s="1">
        <f t="shared" si="48"/>
        <v>1</v>
      </c>
      <c r="AH235" s="1">
        <f t="shared" si="49"/>
        <v>0</v>
      </c>
      <c r="AI235" s="1">
        <f t="shared" si="50"/>
        <v>0</v>
      </c>
      <c r="AJ235" s="1">
        <f t="shared" si="51"/>
        <v>0</v>
      </c>
      <c r="AK235" s="1">
        <f t="shared" si="52"/>
        <v>0</v>
      </c>
      <c r="AL235" s="1">
        <f t="shared" si="53"/>
        <v>0</v>
      </c>
      <c r="AM235" s="1">
        <f t="shared" si="54"/>
        <v>0</v>
      </c>
      <c r="AN235" s="278">
        <f t="shared" si="44"/>
        <v>1</v>
      </c>
      <c r="AP235" s="280"/>
      <c r="AQ235" s="1">
        <v>0.25</v>
      </c>
      <c r="AR235" s="1">
        <v>0.25</v>
      </c>
      <c r="AS235" s="1">
        <v>0.25</v>
      </c>
      <c r="AT235" s="1">
        <v>0.25</v>
      </c>
      <c r="AU235" s="281"/>
      <c r="AZ235" s="281"/>
      <c r="BG235" s="282">
        <f t="shared" si="55"/>
        <v>1</v>
      </c>
      <c r="BH235" s="282">
        <f t="shared" si="56"/>
        <v>1</v>
      </c>
      <c r="BI235" s="283">
        <f t="shared" si="57"/>
        <v>1</v>
      </c>
      <c r="BL235" s="1">
        <v>515038</v>
      </c>
      <c r="BM235" s="1">
        <v>171570</v>
      </c>
      <c r="BN235" s="1" t="s">
        <v>1600</v>
      </c>
      <c r="BO235" s="1" t="s">
        <v>1563</v>
      </c>
      <c r="BR235" s="284" t="s">
        <v>1734</v>
      </c>
      <c r="BS235" s="284" t="s">
        <v>27</v>
      </c>
      <c r="BW235" s="284" t="s">
        <v>27</v>
      </c>
    </row>
    <row r="236" spans="1:75" ht="15" customHeight="1" x14ac:dyDescent="0.25">
      <c r="A236" s="275" t="s">
        <v>862</v>
      </c>
      <c r="B236" s="276" t="s">
        <v>49</v>
      </c>
      <c r="C236" s="1" t="s">
        <v>1262</v>
      </c>
      <c r="D236" s="277">
        <v>44256</v>
      </c>
      <c r="E236" s="277">
        <v>45352</v>
      </c>
      <c r="H236" s="275" t="s">
        <v>64</v>
      </c>
      <c r="I236" s="275" t="s">
        <v>1473</v>
      </c>
      <c r="J236" s="286"/>
      <c r="K236" s="275" t="s">
        <v>863</v>
      </c>
      <c r="L236" s="275" t="s">
        <v>864</v>
      </c>
      <c r="M236" s="275" t="s">
        <v>865</v>
      </c>
      <c r="V236" s="1">
        <f t="shared" si="45"/>
        <v>0</v>
      </c>
      <c r="X236" s="1">
        <v>1</v>
      </c>
      <c r="AE236" s="1">
        <f t="shared" si="46"/>
        <v>1</v>
      </c>
      <c r="AF236" s="1">
        <f t="shared" si="47"/>
        <v>0</v>
      </c>
      <c r="AG236" s="1">
        <f t="shared" si="48"/>
        <v>1</v>
      </c>
      <c r="AH236" s="1">
        <f t="shared" si="49"/>
        <v>0</v>
      </c>
      <c r="AI236" s="1">
        <f t="shared" si="50"/>
        <v>0</v>
      </c>
      <c r="AJ236" s="1">
        <f t="shared" si="51"/>
        <v>0</v>
      </c>
      <c r="AK236" s="1">
        <f t="shared" si="52"/>
        <v>0</v>
      </c>
      <c r="AL236" s="1">
        <f t="shared" si="53"/>
        <v>0</v>
      </c>
      <c r="AM236" s="1">
        <f t="shared" si="54"/>
        <v>0</v>
      </c>
      <c r="AN236" s="278">
        <f t="shared" si="44"/>
        <v>1</v>
      </c>
      <c r="AP236" s="280"/>
      <c r="AQ236" s="1">
        <v>0.25</v>
      </c>
      <c r="AR236" s="1">
        <v>0.25</v>
      </c>
      <c r="AS236" s="1">
        <v>0.25</v>
      </c>
      <c r="AT236" s="1">
        <v>0.25</v>
      </c>
      <c r="AU236" s="281"/>
      <c r="AZ236" s="281"/>
      <c r="BG236" s="282">
        <f t="shared" si="55"/>
        <v>1</v>
      </c>
      <c r="BH236" s="282">
        <f t="shared" si="56"/>
        <v>1</v>
      </c>
      <c r="BI236" s="283">
        <f t="shared" si="57"/>
        <v>1</v>
      </c>
      <c r="BL236" s="1">
        <v>516869</v>
      </c>
      <c r="BM236" s="1">
        <v>170713</v>
      </c>
      <c r="BN236" s="1" t="s">
        <v>1600</v>
      </c>
      <c r="BO236" s="1" t="s">
        <v>1559</v>
      </c>
      <c r="BW236" s="284" t="s">
        <v>27</v>
      </c>
    </row>
    <row r="237" spans="1:75" ht="15" customHeight="1" x14ac:dyDescent="0.25">
      <c r="A237" s="275" t="s">
        <v>1112</v>
      </c>
      <c r="B237" s="276" t="s">
        <v>21</v>
      </c>
      <c r="D237" s="277">
        <v>44006</v>
      </c>
      <c r="E237" s="277">
        <v>45101</v>
      </c>
      <c r="H237" s="275" t="s">
        <v>64</v>
      </c>
      <c r="I237" s="275" t="s">
        <v>1473</v>
      </c>
      <c r="J237" s="286"/>
      <c r="K237" s="275" t="s">
        <v>1113</v>
      </c>
      <c r="L237" s="275" t="s">
        <v>1114</v>
      </c>
      <c r="M237" s="275" t="s">
        <v>1115</v>
      </c>
      <c r="R237" s="1">
        <v>1</v>
      </c>
      <c r="V237" s="1">
        <f t="shared" si="45"/>
        <v>1</v>
      </c>
      <c r="AA237" s="1">
        <v>1</v>
      </c>
      <c r="AE237" s="1">
        <f t="shared" si="46"/>
        <v>1</v>
      </c>
      <c r="AF237" s="1">
        <f t="shared" si="47"/>
        <v>0</v>
      </c>
      <c r="AG237" s="1">
        <f t="shared" si="48"/>
        <v>0</v>
      </c>
      <c r="AH237" s="1">
        <f t="shared" si="49"/>
        <v>0</v>
      </c>
      <c r="AI237" s="1">
        <f t="shared" si="50"/>
        <v>-1</v>
      </c>
      <c r="AJ237" s="1">
        <f t="shared" si="51"/>
        <v>1</v>
      </c>
      <c r="AK237" s="1">
        <f t="shared" si="52"/>
        <v>0</v>
      </c>
      <c r="AL237" s="1">
        <f t="shared" si="53"/>
        <v>0</v>
      </c>
      <c r="AM237" s="1">
        <f t="shared" si="54"/>
        <v>0</v>
      </c>
      <c r="AN237" s="278">
        <f t="shared" si="44"/>
        <v>0</v>
      </c>
      <c r="AP237" s="280"/>
      <c r="AQ237" s="1">
        <v>0</v>
      </c>
      <c r="AU237" s="281"/>
      <c r="AZ237" s="281"/>
      <c r="BG237" s="282">
        <f t="shared" si="55"/>
        <v>0</v>
      </c>
      <c r="BH237" s="282">
        <f t="shared" si="56"/>
        <v>0</v>
      </c>
      <c r="BI237" s="283">
        <f t="shared" si="57"/>
        <v>0</v>
      </c>
      <c r="BL237" s="1">
        <v>517972</v>
      </c>
      <c r="BM237" s="1">
        <v>172874</v>
      </c>
      <c r="BN237" s="1" t="s">
        <v>1601</v>
      </c>
      <c r="BO237" s="1" t="s">
        <v>1560</v>
      </c>
    </row>
    <row r="238" spans="1:75" ht="15" customHeight="1" x14ac:dyDescent="0.25">
      <c r="A238" s="275" t="s">
        <v>72</v>
      </c>
      <c r="B238" s="276" t="s">
        <v>21</v>
      </c>
      <c r="D238" s="277">
        <v>44258</v>
      </c>
      <c r="E238" s="277">
        <v>45354</v>
      </c>
      <c r="H238" s="275" t="s">
        <v>64</v>
      </c>
      <c r="I238" s="275" t="s">
        <v>38</v>
      </c>
      <c r="J238" s="286"/>
      <c r="K238" s="275" t="s">
        <v>73</v>
      </c>
      <c r="L238" s="275" t="s">
        <v>74</v>
      </c>
      <c r="M238" s="275" t="s">
        <v>75</v>
      </c>
      <c r="V238" s="1">
        <f t="shared" si="45"/>
        <v>0</v>
      </c>
      <c r="W238" s="1">
        <v>10</v>
      </c>
      <c r="AE238" s="1">
        <f t="shared" si="46"/>
        <v>10</v>
      </c>
      <c r="AF238" s="1">
        <f t="shared" si="47"/>
        <v>10</v>
      </c>
      <c r="AG238" s="1">
        <f t="shared" si="48"/>
        <v>0</v>
      </c>
      <c r="AH238" s="1">
        <f t="shared" si="49"/>
        <v>0</v>
      </c>
      <c r="AI238" s="1">
        <f t="shared" si="50"/>
        <v>0</v>
      </c>
      <c r="AJ238" s="1">
        <f t="shared" si="51"/>
        <v>0</v>
      </c>
      <c r="AK238" s="1">
        <f t="shared" si="52"/>
        <v>0</v>
      </c>
      <c r="AL238" s="1">
        <f t="shared" si="53"/>
        <v>0</v>
      </c>
      <c r="AM238" s="1">
        <f t="shared" si="54"/>
        <v>0</v>
      </c>
      <c r="AN238" s="278">
        <f t="shared" si="44"/>
        <v>10</v>
      </c>
      <c r="AO238" s="279" t="s">
        <v>27</v>
      </c>
      <c r="AP238" s="280"/>
      <c r="AS238" s="1">
        <v>5</v>
      </c>
      <c r="AT238" s="1">
        <v>5</v>
      </c>
      <c r="AU238" s="281"/>
      <c r="AZ238" s="281"/>
      <c r="BG238" s="282">
        <f t="shared" si="55"/>
        <v>10</v>
      </c>
      <c r="BH238" s="282">
        <f t="shared" si="56"/>
        <v>10</v>
      </c>
      <c r="BI238" s="283">
        <f t="shared" si="57"/>
        <v>10</v>
      </c>
      <c r="BL238" s="1">
        <v>516060</v>
      </c>
      <c r="BM238" s="1">
        <v>173599</v>
      </c>
      <c r="BN238" s="1" t="s">
        <v>1389</v>
      </c>
      <c r="BO238" s="1" t="s">
        <v>1407</v>
      </c>
      <c r="BP238" s="284" t="s">
        <v>1389</v>
      </c>
      <c r="BW238" s="284" t="s">
        <v>27</v>
      </c>
    </row>
    <row r="239" spans="1:75" ht="15" customHeight="1" x14ac:dyDescent="0.25">
      <c r="A239" s="275" t="s">
        <v>72</v>
      </c>
      <c r="B239" s="276" t="s">
        <v>21</v>
      </c>
      <c r="D239" s="277">
        <v>44258</v>
      </c>
      <c r="E239" s="277">
        <v>45354</v>
      </c>
      <c r="H239" s="275" t="s">
        <v>64</v>
      </c>
      <c r="I239" s="275" t="s">
        <v>1473</v>
      </c>
      <c r="J239" s="286"/>
      <c r="K239" s="275" t="s">
        <v>73</v>
      </c>
      <c r="L239" s="275" t="s">
        <v>74</v>
      </c>
      <c r="M239" s="275" t="s">
        <v>75</v>
      </c>
      <c r="V239" s="1">
        <f t="shared" si="45"/>
        <v>0</v>
      </c>
      <c r="W239" s="1">
        <v>28</v>
      </c>
      <c r="X239" s="1">
        <v>8</v>
      </c>
      <c r="AE239" s="1">
        <f t="shared" si="46"/>
        <v>36</v>
      </c>
      <c r="AF239" s="1">
        <f t="shared" si="47"/>
        <v>28</v>
      </c>
      <c r="AG239" s="1">
        <f t="shared" si="48"/>
        <v>8</v>
      </c>
      <c r="AH239" s="1">
        <f t="shared" si="49"/>
        <v>0</v>
      </c>
      <c r="AI239" s="1">
        <f t="shared" si="50"/>
        <v>0</v>
      </c>
      <c r="AJ239" s="1">
        <f t="shared" si="51"/>
        <v>0</v>
      </c>
      <c r="AK239" s="1">
        <f t="shared" si="52"/>
        <v>0</v>
      </c>
      <c r="AL239" s="1">
        <f t="shared" si="53"/>
        <v>0</v>
      </c>
      <c r="AM239" s="1">
        <f t="shared" si="54"/>
        <v>0</v>
      </c>
      <c r="AN239" s="278">
        <f t="shared" si="44"/>
        <v>36</v>
      </c>
      <c r="AO239" s="279" t="s">
        <v>27</v>
      </c>
      <c r="AP239" s="280"/>
      <c r="AS239" s="1">
        <v>18</v>
      </c>
      <c r="AT239" s="1">
        <v>18</v>
      </c>
      <c r="AU239" s="281"/>
      <c r="AZ239" s="281"/>
      <c r="BG239" s="282">
        <f t="shared" si="55"/>
        <v>36</v>
      </c>
      <c r="BH239" s="282">
        <f t="shared" si="56"/>
        <v>36</v>
      </c>
      <c r="BI239" s="283">
        <f t="shared" si="57"/>
        <v>36</v>
      </c>
      <c r="BL239" s="1">
        <v>516060</v>
      </c>
      <c r="BM239" s="1">
        <v>173599</v>
      </c>
      <c r="BN239" s="1" t="s">
        <v>1389</v>
      </c>
      <c r="BO239" s="1" t="s">
        <v>1407</v>
      </c>
      <c r="BP239" s="284" t="s">
        <v>1389</v>
      </c>
      <c r="BW239" s="284" t="s">
        <v>27</v>
      </c>
    </row>
    <row r="240" spans="1:75" ht="15" customHeight="1" x14ac:dyDescent="0.25">
      <c r="A240" s="275" t="s">
        <v>1195</v>
      </c>
      <c r="B240" s="276" t="s">
        <v>49</v>
      </c>
      <c r="D240" s="277">
        <v>44263</v>
      </c>
      <c r="E240" s="277">
        <v>45359</v>
      </c>
      <c r="H240" s="275" t="s">
        <v>64</v>
      </c>
      <c r="I240" s="275" t="s">
        <v>1473</v>
      </c>
      <c r="J240" s="286"/>
      <c r="K240" s="275" t="s">
        <v>1196</v>
      </c>
      <c r="L240" s="275" t="s">
        <v>1197</v>
      </c>
      <c r="M240" s="275" t="s">
        <v>1198</v>
      </c>
      <c r="V240" s="1">
        <f t="shared" si="45"/>
        <v>0</v>
      </c>
      <c r="W240" s="1">
        <v>1</v>
      </c>
      <c r="AE240" s="1">
        <f t="shared" si="46"/>
        <v>1</v>
      </c>
      <c r="AF240" s="1">
        <f t="shared" si="47"/>
        <v>1</v>
      </c>
      <c r="AG240" s="1">
        <f t="shared" si="48"/>
        <v>0</v>
      </c>
      <c r="AH240" s="1">
        <f t="shared" si="49"/>
        <v>0</v>
      </c>
      <c r="AI240" s="1">
        <f t="shared" si="50"/>
        <v>0</v>
      </c>
      <c r="AJ240" s="1">
        <f t="shared" si="51"/>
        <v>0</v>
      </c>
      <c r="AK240" s="1">
        <f t="shared" si="52"/>
        <v>0</v>
      </c>
      <c r="AL240" s="1">
        <f t="shared" si="53"/>
        <v>0</v>
      </c>
      <c r="AM240" s="1">
        <f t="shared" si="54"/>
        <v>0</v>
      </c>
      <c r="AN240" s="278">
        <f t="shared" si="44"/>
        <v>1</v>
      </c>
      <c r="AP240" s="280"/>
      <c r="AQ240" s="1">
        <v>0.25</v>
      </c>
      <c r="AR240" s="1">
        <v>0.25</v>
      </c>
      <c r="AS240" s="1">
        <v>0.25</v>
      </c>
      <c r="AT240" s="1">
        <v>0.25</v>
      </c>
      <c r="AU240" s="281"/>
      <c r="AZ240" s="281"/>
      <c r="BG240" s="282">
        <f t="shared" si="55"/>
        <v>1</v>
      </c>
      <c r="BH240" s="282">
        <f t="shared" si="56"/>
        <v>1</v>
      </c>
      <c r="BI240" s="283">
        <f t="shared" si="57"/>
        <v>1</v>
      </c>
      <c r="BL240" s="1">
        <v>518831</v>
      </c>
      <c r="BM240" s="1">
        <v>174557</v>
      </c>
      <c r="BN240" s="1" t="s">
        <v>1385</v>
      </c>
      <c r="BO240" s="1" t="s">
        <v>1405</v>
      </c>
      <c r="BW240" s="284" t="s">
        <v>27</v>
      </c>
    </row>
    <row r="241" spans="1:75" ht="15" customHeight="1" x14ac:dyDescent="0.25">
      <c r="A241" s="275" t="s">
        <v>1139</v>
      </c>
      <c r="B241" s="276" t="s">
        <v>21</v>
      </c>
      <c r="D241" s="277">
        <v>43893</v>
      </c>
      <c r="E241" s="277">
        <v>45381</v>
      </c>
      <c r="H241" s="275" t="s">
        <v>64</v>
      </c>
      <c r="I241" s="275" t="s">
        <v>1473</v>
      </c>
      <c r="J241" s="286"/>
      <c r="K241" s="275" t="s">
        <v>1140</v>
      </c>
      <c r="L241" s="275" t="s">
        <v>1141</v>
      </c>
      <c r="M241" s="275" t="s">
        <v>1142</v>
      </c>
      <c r="V241" s="1">
        <f t="shared" si="45"/>
        <v>0</v>
      </c>
      <c r="X241" s="1">
        <v>2</v>
      </c>
      <c r="AE241" s="1">
        <f t="shared" si="46"/>
        <v>2</v>
      </c>
      <c r="AF241" s="1">
        <f t="shared" si="47"/>
        <v>0</v>
      </c>
      <c r="AG241" s="1">
        <f t="shared" si="48"/>
        <v>2</v>
      </c>
      <c r="AH241" s="1">
        <f t="shared" si="49"/>
        <v>0</v>
      </c>
      <c r="AI241" s="1">
        <f t="shared" si="50"/>
        <v>0</v>
      </c>
      <c r="AJ241" s="1">
        <f t="shared" si="51"/>
        <v>0</v>
      </c>
      <c r="AK241" s="1">
        <f t="shared" si="52"/>
        <v>0</v>
      </c>
      <c r="AL241" s="1">
        <f t="shared" si="53"/>
        <v>0</v>
      </c>
      <c r="AM241" s="1">
        <f t="shared" si="54"/>
        <v>0</v>
      </c>
      <c r="AN241" s="278">
        <f t="shared" si="44"/>
        <v>2</v>
      </c>
      <c r="AP241" s="280"/>
      <c r="AQ241" s="1">
        <v>0.5</v>
      </c>
      <c r="AR241" s="1">
        <v>0.5</v>
      </c>
      <c r="AS241" s="1">
        <v>0.5</v>
      </c>
      <c r="AT241" s="1">
        <v>0.5</v>
      </c>
      <c r="AU241" s="281"/>
      <c r="AZ241" s="281"/>
      <c r="BG241" s="282">
        <f t="shared" si="55"/>
        <v>2</v>
      </c>
      <c r="BH241" s="282">
        <f t="shared" si="56"/>
        <v>2</v>
      </c>
      <c r="BI241" s="283">
        <f t="shared" si="57"/>
        <v>2</v>
      </c>
      <c r="BL241" s="1">
        <v>514626</v>
      </c>
      <c r="BM241" s="1">
        <v>173079</v>
      </c>
      <c r="BN241" s="1" t="s">
        <v>1389</v>
      </c>
      <c r="BO241" s="1" t="s">
        <v>1408</v>
      </c>
      <c r="BW241" s="284" t="s">
        <v>27</v>
      </c>
    </row>
    <row r="242" spans="1:75" ht="15" customHeight="1" x14ac:dyDescent="0.25">
      <c r="A242" s="275" t="s">
        <v>1153</v>
      </c>
      <c r="B242" s="276" t="s">
        <v>49</v>
      </c>
      <c r="C242" s="1" t="s">
        <v>1262</v>
      </c>
      <c r="D242" s="277">
        <v>44316</v>
      </c>
      <c r="E242" s="277">
        <v>45412</v>
      </c>
      <c r="H242" s="275" t="s">
        <v>64</v>
      </c>
      <c r="I242" s="275" t="s">
        <v>1473</v>
      </c>
      <c r="J242" s="286"/>
      <c r="K242" s="275" t="s">
        <v>1154</v>
      </c>
      <c r="L242" s="275" t="s">
        <v>1155</v>
      </c>
      <c r="M242" s="275" t="s">
        <v>246</v>
      </c>
      <c r="V242" s="1">
        <f t="shared" si="45"/>
        <v>0</v>
      </c>
      <c r="W242" s="1">
        <v>10</v>
      </c>
      <c r="AE242" s="1">
        <f t="shared" si="46"/>
        <v>10</v>
      </c>
      <c r="AF242" s="1">
        <f t="shared" si="47"/>
        <v>10</v>
      </c>
      <c r="AG242" s="1">
        <f t="shared" si="48"/>
        <v>0</v>
      </c>
      <c r="AH242" s="1">
        <f t="shared" si="49"/>
        <v>0</v>
      </c>
      <c r="AI242" s="1">
        <f t="shared" si="50"/>
        <v>0</v>
      </c>
      <c r="AJ242" s="1">
        <f t="shared" si="51"/>
        <v>0</v>
      </c>
      <c r="AK242" s="1">
        <f t="shared" si="52"/>
        <v>0</v>
      </c>
      <c r="AL242" s="1">
        <f t="shared" si="53"/>
        <v>0</v>
      </c>
      <c r="AM242" s="1">
        <f t="shared" si="54"/>
        <v>0</v>
      </c>
      <c r="AN242" s="278">
        <f t="shared" si="44"/>
        <v>10</v>
      </c>
      <c r="AO242" s="279" t="s">
        <v>27</v>
      </c>
      <c r="AP242" s="280"/>
      <c r="AQ242" s="1">
        <v>2.5</v>
      </c>
      <c r="AR242" s="1">
        <v>2.5</v>
      </c>
      <c r="AS242" s="1">
        <v>2.5</v>
      </c>
      <c r="AT242" s="1">
        <v>2.5</v>
      </c>
      <c r="AU242" s="281"/>
      <c r="AZ242" s="281"/>
      <c r="BG242" s="282">
        <f t="shared" si="55"/>
        <v>10</v>
      </c>
      <c r="BH242" s="282">
        <f t="shared" si="56"/>
        <v>10</v>
      </c>
      <c r="BI242" s="283">
        <f t="shared" si="57"/>
        <v>10</v>
      </c>
      <c r="BL242" s="1">
        <v>515777</v>
      </c>
      <c r="BM242" s="1">
        <v>171474</v>
      </c>
      <c r="BN242" s="1" t="s">
        <v>1600</v>
      </c>
      <c r="BO242" s="1" t="s">
        <v>1387</v>
      </c>
      <c r="BW242" s="284" t="s">
        <v>27</v>
      </c>
    </row>
    <row r="243" spans="1:75" ht="15" customHeight="1" x14ac:dyDescent="0.25">
      <c r="A243" s="275" t="s">
        <v>1132</v>
      </c>
      <c r="B243" s="276" t="s">
        <v>49</v>
      </c>
      <c r="C243" s="1" t="s">
        <v>1262</v>
      </c>
      <c r="D243" s="277">
        <v>44335</v>
      </c>
      <c r="E243" s="277">
        <v>45431</v>
      </c>
      <c r="H243" s="275" t="s">
        <v>64</v>
      </c>
      <c r="I243" s="275" t="s">
        <v>1473</v>
      </c>
      <c r="J243" s="286"/>
      <c r="K243" s="275" t="s">
        <v>1133</v>
      </c>
      <c r="L243" s="275" t="s">
        <v>1134</v>
      </c>
      <c r="M243" s="275" t="s">
        <v>1103</v>
      </c>
      <c r="V243" s="1">
        <f t="shared" si="45"/>
        <v>0</v>
      </c>
      <c r="W243" s="1">
        <v>3</v>
      </c>
      <c r="X243" s="1">
        <v>1</v>
      </c>
      <c r="AE243" s="1">
        <f t="shared" si="46"/>
        <v>4</v>
      </c>
      <c r="AF243" s="1">
        <f t="shared" si="47"/>
        <v>3</v>
      </c>
      <c r="AG243" s="1">
        <f t="shared" si="48"/>
        <v>1</v>
      </c>
      <c r="AH243" s="1">
        <f t="shared" si="49"/>
        <v>0</v>
      </c>
      <c r="AI243" s="1">
        <f t="shared" si="50"/>
        <v>0</v>
      </c>
      <c r="AJ243" s="1">
        <f t="shared" si="51"/>
        <v>0</v>
      </c>
      <c r="AK243" s="1">
        <f t="shared" si="52"/>
        <v>0</v>
      </c>
      <c r="AL243" s="1">
        <f t="shared" si="53"/>
        <v>0</v>
      </c>
      <c r="AM243" s="1">
        <f t="shared" si="54"/>
        <v>0</v>
      </c>
      <c r="AN243" s="278">
        <f t="shared" si="44"/>
        <v>4</v>
      </c>
      <c r="AP243" s="280"/>
      <c r="AQ243" s="1">
        <v>1</v>
      </c>
      <c r="AR243" s="1">
        <v>1</v>
      </c>
      <c r="AS243" s="1">
        <v>1</v>
      </c>
      <c r="AT243" s="1">
        <v>1</v>
      </c>
      <c r="AU243" s="281"/>
      <c r="AZ243" s="281"/>
      <c r="BG243" s="282">
        <f t="shared" si="55"/>
        <v>4</v>
      </c>
      <c r="BH243" s="282">
        <f t="shared" si="56"/>
        <v>4</v>
      </c>
      <c r="BI243" s="283">
        <f t="shared" si="57"/>
        <v>4</v>
      </c>
      <c r="BL243" s="1">
        <v>515975</v>
      </c>
      <c r="BM243" s="1">
        <v>173091</v>
      </c>
      <c r="BN243" s="1" t="s">
        <v>1389</v>
      </c>
      <c r="BO243" s="1" t="s">
        <v>1406</v>
      </c>
      <c r="BP243" s="284" t="s">
        <v>1389</v>
      </c>
      <c r="BW243" s="284" t="s">
        <v>27</v>
      </c>
    </row>
    <row r="244" spans="1:75" ht="15" customHeight="1" x14ac:dyDescent="0.25">
      <c r="A244" s="275" t="s">
        <v>854</v>
      </c>
      <c r="B244" s="276" t="s">
        <v>49</v>
      </c>
      <c r="D244" s="277">
        <v>44336</v>
      </c>
      <c r="E244" s="277">
        <v>45432</v>
      </c>
      <c r="H244" s="275" t="s">
        <v>64</v>
      </c>
      <c r="I244" s="275" t="s">
        <v>1473</v>
      </c>
      <c r="J244" s="286"/>
      <c r="K244" s="275" t="s">
        <v>855</v>
      </c>
      <c r="L244" s="275" t="s">
        <v>856</v>
      </c>
      <c r="M244" s="275" t="s">
        <v>857</v>
      </c>
      <c r="V244" s="1">
        <f t="shared" si="45"/>
        <v>0</v>
      </c>
      <c r="W244" s="1">
        <v>4</v>
      </c>
      <c r="AE244" s="1">
        <f t="shared" si="46"/>
        <v>4</v>
      </c>
      <c r="AF244" s="1">
        <f t="shared" si="47"/>
        <v>4</v>
      </c>
      <c r="AG244" s="1">
        <f t="shared" si="48"/>
        <v>0</v>
      </c>
      <c r="AH244" s="1">
        <f t="shared" si="49"/>
        <v>0</v>
      </c>
      <c r="AI244" s="1">
        <f t="shared" si="50"/>
        <v>0</v>
      </c>
      <c r="AJ244" s="1">
        <f t="shared" si="51"/>
        <v>0</v>
      </c>
      <c r="AK244" s="1">
        <f t="shared" si="52"/>
        <v>0</v>
      </c>
      <c r="AL244" s="1">
        <f t="shared" si="53"/>
        <v>0</v>
      </c>
      <c r="AM244" s="1">
        <f t="shared" si="54"/>
        <v>0</v>
      </c>
      <c r="AN244" s="278">
        <f t="shared" si="44"/>
        <v>4</v>
      </c>
      <c r="AP244" s="280"/>
      <c r="AQ244" s="1">
        <v>1</v>
      </c>
      <c r="AR244" s="1">
        <v>1</v>
      </c>
      <c r="AS244" s="1">
        <v>1</v>
      </c>
      <c r="AT244" s="1">
        <v>1</v>
      </c>
      <c r="AU244" s="281"/>
      <c r="AZ244" s="281"/>
      <c r="BG244" s="282">
        <f t="shared" si="55"/>
        <v>4</v>
      </c>
      <c r="BH244" s="282">
        <f t="shared" si="56"/>
        <v>4</v>
      </c>
      <c r="BI244" s="283">
        <f t="shared" si="57"/>
        <v>4</v>
      </c>
      <c r="BL244" s="1">
        <v>515605</v>
      </c>
      <c r="BM244" s="1">
        <v>173100</v>
      </c>
      <c r="BN244" s="1" t="s">
        <v>1389</v>
      </c>
      <c r="BO244" s="1" t="s">
        <v>1406</v>
      </c>
      <c r="BP244" s="284" t="s">
        <v>1389</v>
      </c>
      <c r="BW244" s="284" t="s">
        <v>27</v>
      </c>
    </row>
    <row r="245" spans="1:75" ht="15" customHeight="1" x14ac:dyDescent="0.25">
      <c r="A245" s="275" t="s">
        <v>1143</v>
      </c>
      <c r="B245" s="276" t="s">
        <v>224</v>
      </c>
      <c r="D245" s="277">
        <v>44355</v>
      </c>
      <c r="E245" s="277">
        <v>45451</v>
      </c>
      <c r="H245" s="275" t="s">
        <v>64</v>
      </c>
      <c r="I245" s="275" t="s">
        <v>1473</v>
      </c>
      <c r="J245" s="286"/>
      <c r="K245" s="275" t="s">
        <v>1144</v>
      </c>
      <c r="L245" s="275" t="s">
        <v>1145</v>
      </c>
      <c r="M245" s="275" t="s">
        <v>1103</v>
      </c>
      <c r="V245" s="1">
        <f t="shared" si="45"/>
        <v>0</v>
      </c>
      <c r="W245" s="1">
        <v>4</v>
      </c>
      <c r="AE245" s="1">
        <f t="shared" si="46"/>
        <v>4</v>
      </c>
      <c r="AF245" s="1">
        <f t="shared" si="47"/>
        <v>4</v>
      </c>
      <c r="AG245" s="1">
        <f t="shared" si="48"/>
        <v>0</v>
      </c>
      <c r="AH245" s="1">
        <f t="shared" si="49"/>
        <v>0</v>
      </c>
      <c r="AI245" s="1">
        <f t="shared" si="50"/>
        <v>0</v>
      </c>
      <c r="AJ245" s="1">
        <f t="shared" si="51"/>
        <v>0</v>
      </c>
      <c r="AK245" s="1">
        <f t="shared" si="52"/>
        <v>0</v>
      </c>
      <c r="AL245" s="1">
        <f t="shared" si="53"/>
        <v>0</v>
      </c>
      <c r="AM245" s="1">
        <f t="shared" si="54"/>
        <v>0</v>
      </c>
      <c r="AN245" s="278">
        <f t="shared" si="44"/>
        <v>4</v>
      </c>
      <c r="AP245" s="280"/>
      <c r="AQ245" s="1">
        <v>1</v>
      </c>
      <c r="AR245" s="1">
        <v>1</v>
      </c>
      <c r="AS245" s="1">
        <v>1</v>
      </c>
      <c r="AT245" s="1">
        <v>1</v>
      </c>
      <c r="AU245" s="281"/>
      <c r="AZ245" s="281"/>
      <c r="BG245" s="282">
        <f t="shared" si="55"/>
        <v>4</v>
      </c>
      <c r="BH245" s="282">
        <f t="shared" si="56"/>
        <v>4</v>
      </c>
      <c r="BI245" s="283">
        <f t="shared" si="57"/>
        <v>4</v>
      </c>
      <c r="BL245" s="1">
        <v>515975</v>
      </c>
      <c r="BM245" s="1">
        <v>173091</v>
      </c>
      <c r="BN245" s="1" t="s">
        <v>1389</v>
      </c>
      <c r="BO245" s="1" t="s">
        <v>1406</v>
      </c>
      <c r="BP245" s="284" t="s">
        <v>1389</v>
      </c>
      <c r="BW245" s="284" t="s">
        <v>27</v>
      </c>
    </row>
    <row r="246" spans="1:75" ht="15" customHeight="1" x14ac:dyDescent="0.25">
      <c r="A246" s="275" t="s">
        <v>1036</v>
      </c>
      <c r="B246" s="276" t="s">
        <v>21</v>
      </c>
      <c r="D246" s="277">
        <v>44371</v>
      </c>
      <c r="E246" s="277">
        <v>45467</v>
      </c>
      <c r="H246" s="275" t="s">
        <v>64</v>
      </c>
      <c r="I246" s="275" t="s">
        <v>1473</v>
      </c>
      <c r="J246" s="286"/>
      <c r="K246" s="275" t="s">
        <v>1037</v>
      </c>
      <c r="L246" s="275" t="s">
        <v>1038</v>
      </c>
      <c r="M246" s="275" t="s">
        <v>1039</v>
      </c>
      <c r="V246" s="1">
        <f t="shared" si="45"/>
        <v>0</v>
      </c>
      <c r="Y246" s="1">
        <v>1</v>
      </c>
      <c r="AE246" s="1">
        <f t="shared" si="46"/>
        <v>1</v>
      </c>
      <c r="AF246" s="1">
        <f t="shared" si="47"/>
        <v>0</v>
      </c>
      <c r="AG246" s="1">
        <f t="shared" si="48"/>
        <v>0</v>
      </c>
      <c r="AH246" s="1">
        <f t="shared" si="49"/>
        <v>1</v>
      </c>
      <c r="AI246" s="1">
        <f t="shared" si="50"/>
        <v>0</v>
      </c>
      <c r="AJ246" s="1">
        <f t="shared" si="51"/>
        <v>0</v>
      </c>
      <c r="AK246" s="1">
        <f t="shared" si="52"/>
        <v>0</v>
      </c>
      <c r="AL246" s="1">
        <f t="shared" si="53"/>
        <v>0</v>
      </c>
      <c r="AM246" s="1">
        <f t="shared" si="54"/>
        <v>0</v>
      </c>
      <c r="AN246" s="278">
        <f t="shared" si="44"/>
        <v>1</v>
      </c>
      <c r="AP246" s="280"/>
      <c r="AQ246" s="1">
        <v>0.25</v>
      </c>
      <c r="AR246" s="1">
        <v>0.25</v>
      </c>
      <c r="AS246" s="1">
        <v>0.25</v>
      </c>
      <c r="AT246" s="1">
        <v>0.25</v>
      </c>
      <c r="AU246" s="281"/>
      <c r="AZ246" s="281"/>
      <c r="BG246" s="282">
        <f t="shared" si="55"/>
        <v>1</v>
      </c>
      <c r="BH246" s="282">
        <f t="shared" si="56"/>
        <v>1</v>
      </c>
      <c r="BI246" s="283">
        <f t="shared" si="57"/>
        <v>1</v>
      </c>
      <c r="BL246" s="1">
        <v>513278</v>
      </c>
      <c r="BM246" s="1">
        <v>171616</v>
      </c>
      <c r="BN246" s="1" t="s">
        <v>1600</v>
      </c>
      <c r="BO246" s="1" t="s">
        <v>1401</v>
      </c>
    </row>
    <row r="247" spans="1:75" ht="15" customHeight="1" x14ac:dyDescent="0.25">
      <c r="A247" s="275" t="s">
        <v>76</v>
      </c>
      <c r="B247" s="276" t="s">
        <v>21</v>
      </c>
      <c r="D247" s="277">
        <v>44377</v>
      </c>
      <c r="E247" s="277">
        <v>45473</v>
      </c>
      <c r="H247" s="275" t="s">
        <v>64</v>
      </c>
      <c r="I247" s="275" t="s">
        <v>50</v>
      </c>
      <c r="J247" s="286"/>
      <c r="K247" s="275" t="s">
        <v>77</v>
      </c>
      <c r="L247" s="275" t="s">
        <v>78</v>
      </c>
      <c r="M247" s="275" t="s">
        <v>79</v>
      </c>
      <c r="V247" s="1">
        <f t="shared" si="45"/>
        <v>0</v>
      </c>
      <c r="W247" s="1">
        <v>7</v>
      </c>
      <c r="X247" s="1">
        <v>1</v>
      </c>
      <c r="AE247" s="1">
        <f t="shared" si="46"/>
        <v>8</v>
      </c>
      <c r="AF247" s="1">
        <f t="shared" si="47"/>
        <v>7</v>
      </c>
      <c r="AG247" s="1">
        <f t="shared" si="48"/>
        <v>1</v>
      </c>
      <c r="AH247" s="1">
        <f t="shared" si="49"/>
        <v>0</v>
      </c>
      <c r="AI247" s="1">
        <f t="shared" si="50"/>
        <v>0</v>
      </c>
      <c r="AJ247" s="1">
        <f t="shared" si="51"/>
        <v>0</v>
      </c>
      <c r="AK247" s="1">
        <f t="shared" si="52"/>
        <v>0</v>
      </c>
      <c r="AL247" s="1">
        <f t="shared" si="53"/>
        <v>0</v>
      </c>
      <c r="AM247" s="1">
        <f t="shared" si="54"/>
        <v>0</v>
      </c>
      <c r="AN247" s="278">
        <f t="shared" si="44"/>
        <v>8</v>
      </c>
      <c r="AP247" s="280"/>
      <c r="AS247" s="1">
        <v>4</v>
      </c>
      <c r="AT247" s="1">
        <v>4</v>
      </c>
      <c r="AU247" s="281"/>
      <c r="AZ247" s="281"/>
      <c r="BG247" s="282">
        <f t="shared" si="55"/>
        <v>8</v>
      </c>
      <c r="BH247" s="282">
        <f t="shared" si="56"/>
        <v>8</v>
      </c>
      <c r="BI247" s="283">
        <f t="shared" si="57"/>
        <v>8</v>
      </c>
      <c r="BL247" s="1">
        <v>518792</v>
      </c>
      <c r="BM247" s="1">
        <v>174254</v>
      </c>
      <c r="BN247" s="1" t="s">
        <v>1385</v>
      </c>
      <c r="BO247" s="1" t="s">
        <v>1405</v>
      </c>
    </row>
    <row r="248" spans="1:75" ht="15" customHeight="1" x14ac:dyDescent="0.25">
      <c r="A248" s="275" t="s">
        <v>76</v>
      </c>
      <c r="B248" s="276" t="s">
        <v>21</v>
      </c>
      <c r="D248" s="277">
        <v>44377</v>
      </c>
      <c r="E248" s="277">
        <v>45473</v>
      </c>
      <c r="H248" s="275" t="s">
        <v>64</v>
      </c>
      <c r="I248" s="275" t="s">
        <v>23</v>
      </c>
      <c r="J248" s="286"/>
      <c r="K248" s="275" t="s">
        <v>77</v>
      </c>
      <c r="L248" s="275" t="s">
        <v>78</v>
      </c>
      <c r="M248" s="275" t="s">
        <v>79</v>
      </c>
      <c r="V248" s="1">
        <f t="shared" si="45"/>
        <v>0</v>
      </c>
      <c r="W248" s="1">
        <v>4</v>
      </c>
      <c r="AE248" s="1">
        <f t="shared" si="46"/>
        <v>4</v>
      </c>
      <c r="AF248" s="1">
        <f t="shared" si="47"/>
        <v>4</v>
      </c>
      <c r="AG248" s="1">
        <f t="shared" si="48"/>
        <v>0</v>
      </c>
      <c r="AH248" s="1">
        <f t="shared" si="49"/>
        <v>0</v>
      </c>
      <c r="AI248" s="1">
        <f t="shared" si="50"/>
        <v>0</v>
      </c>
      <c r="AJ248" s="1">
        <f t="shared" si="51"/>
        <v>0</v>
      </c>
      <c r="AK248" s="1">
        <f t="shared" si="52"/>
        <v>0</v>
      </c>
      <c r="AL248" s="1">
        <f t="shared" si="53"/>
        <v>0</v>
      </c>
      <c r="AM248" s="1">
        <f t="shared" si="54"/>
        <v>0</v>
      </c>
      <c r="AN248" s="278">
        <f t="shared" si="44"/>
        <v>4</v>
      </c>
      <c r="AP248" s="280"/>
      <c r="AS248" s="1">
        <v>2</v>
      </c>
      <c r="AT248" s="1">
        <v>2</v>
      </c>
      <c r="AU248" s="281"/>
      <c r="AZ248" s="281"/>
      <c r="BG248" s="282">
        <f t="shared" si="55"/>
        <v>4</v>
      </c>
      <c r="BH248" s="282">
        <f t="shared" si="56"/>
        <v>4</v>
      </c>
      <c r="BI248" s="283">
        <f t="shared" si="57"/>
        <v>4</v>
      </c>
      <c r="BL248" s="1">
        <v>518792</v>
      </c>
      <c r="BM248" s="1">
        <v>174254</v>
      </c>
      <c r="BN248" s="1" t="s">
        <v>1385</v>
      </c>
      <c r="BO248" s="1" t="s">
        <v>1405</v>
      </c>
    </row>
    <row r="249" spans="1:75" ht="15" customHeight="1" x14ac:dyDescent="0.25">
      <c r="A249" s="275" t="s">
        <v>979</v>
      </c>
      <c r="B249" s="276" t="s">
        <v>49</v>
      </c>
      <c r="C249" s="1" t="s">
        <v>1262</v>
      </c>
      <c r="D249" s="277">
        <v>44384</v>
      </c>
      <c r="E249" s="277">
        <v>45480</v>
      </c>
      <c r="H249" s="275" t="s">
        <v>64</v>
      </c>
      <c r="I249" s="275" t="s">
        <v>1473</v>
      </c>
      <c r="J249" s="286"/>
      <c r="K249" s="275" t="s">
        <v>980</v>
      </c>
      <c r="L249" s="275" t="s">
        <v>981</v>
      </c>
      <c r="M249" s="275" t="s">
        <v>982</v>
      </c>
      <c r="V249" s="1">
        <f t="shared" si="45"/>
        <v>0</v>
      </c>
      <c r="X249" s="1">
        <v>4</v>
      </c>
      <c r="Y249" s="1">
        <v>2</v>
      </c>
      <c r="AE249" s="1">
        <f t="shared" si="46"/>
        <v>6</v>
      </c>
      <c r="AF249" s="1">
        <f t="shared" si="47"/>
        <v>0</v>
      </c>
      <c r="AG249" s="1">
        <f t="shared" si="48"/>
        <v>4</v>
      </c>
      <c r="AH249" s="1">
        <f t="shared" si="49"/>
        <v>2</v>
      </c>
      <c r="AI249" s="1">
        <f t="shared" si="50"/>
        <v>0</v>
      </c>
      <c r="AJ249" s="1">
        <f t="shared" si="51"/>
        <v>0</v>
      </c>
      <c r="AK249" s="1">
        <f t="shared" si="52"/>
        <v>0</v>
      </c>
      <c r="AL249" s="1">
        <f t="shared" si="53"/>
        <v>0</v>
      </c>
      <c r="AM249" s="1">
        <f t="shared" si="54"/>
        <v>0</v>
      </c>
      <c r="AN249" s="278">
        <f t="shared" si="44"/>
        <v>6</v>
      </c>
      <c r="AP249" s="280"/>
      <c r="AQ249" s="1">
        <v>1.5</v>
      </c>
      <c r="AR249" s="1">
        <v>1.5</v>
      </c>
      <c r="AS249" s="1">
        <v>1.5</v>
      </c>
      <c r="AT249" s="1">
        <v>1.5</v>
      </c>
      <c r="AU249" s="281"/>
      <c r="AZ249" s="281"/>
      <c r="BG249" s="282">
        <f t="shared" si="55"/>
        <v>6</v>
      </c>
      <c r="BH249" s="282">
        <f t="shared" si="56"/>
        <v>6</v>
      </c>
      <c r="BI249" s="283">
        <f t="shared" si="57"/>
        <v>6</v>
      </c>
      <c r="BL249" s="1">
        <v>518272</v>
      </c>
      <c r="BM249" s="1">
        <v>174943</v>
      </c>
      <c r="BN249" s="1" t="s">
        <v>1385</v>
      </c>
      <c r="BO249" s="1" t="s">
        <v>1405</v>
      </c>
      <c r="BU249" s="284" t="s">
        <v>1705</v>
      </c>
      <c r="BV249" s="284" t="s">
        <v>27</v>
      </c>
      <c r="BW249" s="284" t="s">
        <v>27</v>
      </c>
    </row>
    <row r="250" spans="1:75" ht="15" customHeight="1" x14ac:dyDescent="0.25">
      <c r="A250" s="275" t="s">
        <v>1049</v>
      </c>
      <c r="B250" s="276" t="s">
        <v>49</v>
      </c>
      <c r="C250" s="1" t="s">
        <v>1262</v>
      </c>
      <c r="D250" s="277">
        <v>44386</v>
      </c>
      <c r="E250" s="277">
        <v>45482</v>
      </c>
      <c r="H250" s="275" t="s">
        <v>64</v>
      </c>
      <c r="I250" s="275" t="s">
        <v>1473</v>
      </c>
      <c r="J250" s="286"/>
      <c r="K250" s="275" t="s">
        <v>1050</v>
      </c>
      <c r="L250" s="275" t="s">
        <v>1051</v>
      </c>
      <c r="M250" s="275" t="s">
        <v>1044</v>
      </c>
      <c r="V250" s="1">
        <f t="shared" si="45"/>
        <v>0</v>
      </c>
      <c r="W250" s="1">
        <v>3</v>
      </c>
      <c r="X250" s="1">
        <v>2</v>
      </c>
      <c r="AE250" s="1">
        <f t="shared" si="46"/>
        <v>5</v>
      </c>
      <c r="AF250" s="1">
        <f t="shared" si="47"/>
        <v>3</v>
      </c>
      <c r="AG250" s="1">
        <f t="shared" si="48"/>
        <v>2</v>
      </c>
      <c r="AH250" s="1">
        <f t="shared" si="49"/>
        <v>0</v>
      </c>
      <c r="AI250" s="1">
        <f t="shared" si="50"/>
        <v>0</v>
      </c>
      <c r="AJ250" s="1">
        <f t="shared" si="51"/>
        <v>0</v>
      </c>
      <c r="AK250" s="1">
        <f t="shared" si="52"/>
        <v>0</v>
      </c>
      <c r="AL250" s="1">
        <f t="shared" si="53"/>
        <v>0</v>
      </c>
      <c r="AM250" s="1">
        <f t="shared" si="54"/>
        <v>0</v>
      </c>
      <c r="AN250" s="278">
        <f t="shared" ref="AN250:AN313" si="58">AE250-V250</f>
        <v>5</v>
      </c>
      <c r="AP250" s="280"/>
      <c r="AQ250" s="1">
        <v>1.25</v>
      </c>
      <c r="AR250" s="1">
        <v>1.25</v>
      </c>
      <c r="AS250" s="1">
        <v>1.25</v>
      </c>
      <c r="AT250" s="1">
        <v>1.25</v>
      </c>
      <c r="AU250" s="281"/>
      <c r="AZ250" s="281"/>
      <c r="BG250" s="282">
        <f t="shared" si="55"/>
        <v>5</v>
      </c>
      <c r="BH250" s="282">
        <f t="shared" si="56"/>
        <v>5</v>
      </c>
      <c r="BI250" s="283">
        <f t="shared" si="57"/>
        <v>5</v>
      </c>
      <c r="BL250" s="1">
        <v>516134</v>
      </c>
      <c r="BM250" s="1">
        <v>171142</v>
      </c>
      <c r="BN250" s="1" t="s">
        <v>1600</v>
      </c>
      <c r="BO250" s="1" t="s">
        <v>1387</v>
      </c>
      <c r="BP250" s="284" t="s">
        <v>1387</v>
      </c>
      <c r="BU250" s="284" t="s">
        <v>1685</v>
      </c>
      <c r="BV250" s="284" t="s">
        <v>27</v>
      </c>
      <c r="BW250" s="284" t="s">
        <v>27</v>
      </c>
    </row>
    <row r="251" spans="1:75" ht="15" customHeight="1" x14ac:dyDescent="0.25">
      <c r="A251" s="275" t="s">
        <v>1176</v>
      </c>
      <c r="B251" s="276" t="s">
        <v>21</v>
      </c>
      <c r="D251" s="277">
        <v>44393</v>
      </c>
      <c r="E251" s="277">
        <v>45489</v>
      </c>
      <c r="H251" s="275" t="s">
        <v>64</v>
      </c>
      <c r="I251" s="275" t="s">
        <v>1473</v>
      </c>
      <c r="J251" s="286"/>
      <c r="K251" s="275" t="s">
        <v>1177</v>
      </c>
      <c r="L251" s="275" t="s">
        <v>1178</v>
      </c>
      <c r="M251" s="275" t="s">
        <v>1179</v>
      </c>
      <c r="V251" s="1">
        <f t="shared" si="45"/>
        <v>0</v>
      </c>
      <c r="Y251" s="1">
        <v>1</v>
      </c>
      <c r="AE251" s="1">
        <f t="shared" si="46"/>
        <v>1</v>
      </c>
      <c r="AF251" s="1">
        <f t="shared" si="47"/>
        <v>0</v>
      </c>
      <c r="AG251" s="1">
        <f t="shared" si="48"/>
        <v>0</v>
      </c>
      <c r="AH251" s="1">
        <f t="shared" si="49"/>
        <v>1</v>
      </c>
      <c r="AI251" s="1">
        <f t="shared" si="50"/>
        <v>0</v>
      </c>
      <c r="AJ251" s="1">
        <f t="shared" si="51"/>
        <v>0</v>
      </c>
      <c r="AK251" s="1">
        <f t="shared" si="52"/>
        <v>0</v>
      </c>
      <c r="AL251" s="1">
        <f t="shared" si="53"/>
        <v>0</v>
      </c>
      <c r="AM251" s="1">
        <f t="shared" si="54"/>
        <v>0</v>
      </c>
      <c r="AN251" s="278">
        <f t="shared" si="58"/>
        <v>1</v>
      </c>
      <c r="AP251" s="280"/>
      <c r="AQ251" s="1">
        <v>0.25</v>
      </c>
      <c r="AR251" s="1">
        <v>0.25</v>
      </c>
      <c r="AS251" s="1">
        <v>0.25</v>
      </c>
      <c r="AT251" s="1">
        <v>0.25</v>
      </c>
      <c r="AU251" s="281"/>
      <c r="AZ251" s="281"/>
      <c r="BG251" s="282">
        <f t="shared" si="55"/>
        <v>1</v>
      </c>
      <c r="BH251" s="282">
        <f t="shared" si="56"/>
        <v>1</v>
      </c>
      <c r="BI251" s="283">
        <f t="shared" si="57"/>
        <v>1</v>
      </c>
      <c r="BL251" s="1">
        <v>522676</v>
      </c>
      <c r="BM251" s="1">
        <v>177493</v>
      </c>
      <c r="BN251" s="1" t="s">
        <v>1599</v>
      </c>
      <c r="BO251" s="1" t="s">
        <v>1399</v>
      </c>
      <c r="BU251" s="284" t="s">
        <v>1687</v>
      </c>
      <c r="BV251" s="284" t="s">
        <v>27</v>
      </c>
      <c r="BW251" s="284" t="s">
        <v>27</v>
      </c>
    </row>
    <row r="252" spans="1:75" ht="15" customHeight="1" x14ac:dyDescent="0.25">
      <c r="A252" s="275" t="s">
        <v>1183</v>
      </c>
      <c r="B252" s="276" t="s">
        <v>21</v>
      </c>
      <c r="D252" s="277">
        <v>44405</v>
      </c>
      <c r="E252" s="277">
        <v>45501</v>
      </c>
      <c r="H252" s="275" t="s">
        <v>64</v>
      </c>
      <c r="I252" s="275" t="s">
        <v>1473</v>
      </c>
      <c r="J252" s="286"/>
      <c r="K252" s="275" t="s">
        <v>1184</v>
      </c>
      <c r="L252" s="275" t="s">
        <v>1185</v>
      </c>
      <c r="M252" s="275" t="s">
        <v>1186</v>
      </c>
      <c r="V252" s="1">
        <f t="shared" si="45"/>
        <v>0</v>
      </c>
      <c r="X252" s="1">
        <v>4</v>
      </c>
      <c r="Y252" s="1">
        <v>2</v>
      </c>
      <c r="AE252" s="1">
        <f t="shared" si="46"/>
        <v>6</v>
      </c>
      <c r="AF252" s="1">
        <f t="shared" si="47"/>
        <v>0</v>
      </c>
      <c r="AG252" s="1">
        <f t="shared" si="48"/>
        <v>4</v>
      </c>
      <c r="AH252" s="1">
        <f t="shared" si="49"/>
        <v>2</v>
      </c>
      <c r="AI252" s="1">
        <f t="shared" si="50"/>
        <v>0</v>
      </c>
      <c r="AJ252" s="1">
        <f t="shared" si="51"/>
        <v>0</v>
      </c>
      <c r="AK252" s="1">
        <f t="shared" si="52"/>
        <v>0</v>
      </c>
      <c r="AL252" s="1">
        <f t="shared" si="53"/>
        <v>0</v>
      </c>
      <c r="AM252" s="1">
        <f t="shared" si="54"/>
        <v>0</v>
      </c>
      <c r="AN252" s="278">
        <f t="shared" si="58"/>
        <v>6</v>
      </c>
      <c r="AP252" s="280"/>
      <c r="AQ252" s="1">
        <v>1.5</v>
      </c>
      <c r="AR252" s="1">
        <v>1.5</v>
      </c>
      <c r="AS252" s="1">
        <v>1.5</v>
      </c>
      <c r="AT252" s="1">
        <v>1.5</v>
      </c>
      <c r="AU252" s="281"/>
      <c r="AZ252" s="281"/>
      <c r="BG252" s="282">
        <f t="shared" si="55"/>
        <v>6</v>
      </c>
      <c r="BH252" s="282">
        <f t="shared" si="56"/>
        <v>6</v>
      </c>
      <c r="BI252" s="283">
        <f t="shared" si="57"/>
        <v>6</v>
      </c>
      <c r="BL252" s="1">
        <v>519806</v>
      </c>
      <c r="BM252" s="1">
        <v>175640</v>
      </c>
      <c r="BN252" s="1" t="s">
        <v>1599</v>
      </c>
      <c r="BO252" s="1" t="s">
        <v>1562</v>
      </c>
      <c r="BW252" s="284" t="s">
        <v>27</v>
      </c>
    </row>
    <row r="253" spans="1:75" ht="15" customHeight="1" x14ac:dyDescent="0.25">
      <c r="A253" s="275" t="s">
        <v>1008</v>
      </c>
      <c r="B253" s="276" t="s">
        <v>224</v>
      </c>
      <c r="D253" s="277">
        <v>44411</v>
      </c>
      <c r="E253" s="277">
        <v>45507</v>
      </c>
      <c r="H253" s="275" t="s">
        <v>64</v>
      </c>
      <c r="I253" s="275" t="s">
        <v>1473</v>
      </c>
      <c r="J253" s="286"/>
      <c r="K253" s="275" t="s">
        <v>1009</v>
      </c>
      <c r="L253" s="275" t="s">
        <v>1010</v>
      </c>
      <c r="M253" s="275" t="s">
        <v>1011</v>
      </c>
      <c r="V253" s="1">
        <f t="shared" si="45"/>
        <v>0</v>
      </c>
      <c r="X253" s="1">
        <v>1</v>
      </c>
      <c r="AE253" s="1">
        <f t="shared" si="46"/>
        <v>1</v>
      </c>
      <c r="AF253" s="1">
        <f t="shared" si="47"/>
        <v>0</v>
      </c>
      <c r="AG253" s="1">
        <f t="shared" si="48"/>
        <v>1</v>
      </c>
      <c r="AH253" s="1">
        <f t="shared" si="49"/>
        <v>0</v>
      </c>
      <c r="AI253" s="1">
        <f t="shared" si="50"/>
        <v>0</v>
      </c>
      <c r="AJ253" s="1">
        <f t="shared" si="51"/>
        <v>0</v>
      </c>
      <c r="AK253" s="1">
        <f t="shared" si="52"/>
        <v>0</v>
      </c>
      <c r="AL253" s="1">
        <f t="shared" si="53"/>
        <v>0</v>
      </c>
      <c r="AM253" s="1">
        <f t="shared" si="54"/>
        <v>0</v>
      </c>
      <c r="AN253" s="278">
        <f t="shared" si="58"/>
        <v>1</v>
      </c>
      <c r="AP253" s="280"/>
      <c r="AQ253" s="1">
        <v>0.25</v>
      </c>
      <c r="AR253" s="1">
        <v>0.25</v>
      </c>
      <c r="AS253" s="1">
        <v>0.25</v>
      </c>
      <c r="AT253" s="1">
        <v>0.25</v>
      </c>
      <c r="AU253" s="281"/>
      <c r="AZ253" s="281"/>
      <c r="BG253" s="282">
        <f t="shared" si="55"/>
        <v>1</v>
      </c>
      <c r="BH253" s="282">
        <f t="shared" si="56"/>
        <v>1</v>
      </c>
      <c r="BI253" s="283">
        <f t="shared" si="57"/>
        <v>1</v>
      </c>
      <c r="BL253" s="1">
        <v>516925</v>
      </c>
      <c r="BM253" s="1">
        <v>174069</v>
      </c>
      <c r="BN253" s="1" t="s">
        <v>1389</v>
      </c>
      <c r="BO253" s="1" t="s">
        <v>1561</v>
      </c>
      <c r="BR253" s="284" t="s">
        <v>1709</v>
      </c>
      <c r="BS253" s="284" t="s">
        <v>27</v>
      </c>
      <c r="BW253" s="284" t="s">
        <v>27</v>
      </c>
    </row>
    <row r="254" spans="1:75" ht="15" customHeight="1" x14ac:dyDescent="0.25">
      <c r="A254" s="275" t="s">
        <v>1056</v>
      </c>
      <c r="B254" s="276" t="s">
        <v>44</v>
      </c>
      <c r="D254" s="277">
        <v>44418</v>
      </c>
      <c r="E254" s="277">
        <v>45514</v>
      </c>
      <c r="H254" s="275" t="s">
        <v>64</v>
      </c>
      <c r="I254" s="275" t="s">
        <v>1473</v>
      </c>
      <c r="J254" s="286"/>
      <c r="K254" s="275" t="s">
        <v>1057</v>
      </c>
      <c r="L254" s="275" t="s">
        <v>1058</v>
      </c>
      <c r="M254" s="275" t="s">
        <v>756</v>
      </c>
      <c r="P254" s="1">
        <v>1</v>
      </c>
      <c r="V254" s="1">
        <f t="shared" si="45"/>
        <v>1</v>
      </c>
      <c r="W254" s="1">
        <v>2</v>
      </c>
      <c r="AE254" s="1">
        <f t="shared" si="46"/>
        <v>2</v>
      </c>
      <c r="AF254" s="1">
        <f t="shared" si="47"/>
        <v>2</v>
      </c>
      <c r="AG254" s="1">
        <f t="shared" si="48"/>
        <v>-1</v>
      </c>
      <c r="AH254" s="1">
        <f t="shared" si="49"/>
        <v>0</v>
      </c>
      <c r="AI254" s="1">
        <f t="shared" si="50"/>
        <v>0</v>
      </c>
      <c r="AJ254" s="1">
        <f t="shared" si="51"/>
        <v>0</v>
      </c>
      <c r="AK254" s="1">
        <f t="shared" si="52"/>
        <v>0</v>
      </c>
      <c r="AL254" s="1">
        <f t="shared" si="53"/>
        <v>0</v>
      </c>
      <c r="AM254" s="1">
        <f t="shared" si="54"/>
        <v>0</v>
      </c>
      <c r="AN254" s="278">
        <f t="shared" si="58"/>
        <v>1</v>
      </c>
      <c r="AP254" s="280"/>
      <c r="AQ254" s="1">
        <v>0.25</v>
      </c>
      <c r="AR254" s="1">
        <v>0.25</v>
      </c>
      <c r="AS254" s="1">
        <v>0.25</v>
      </c>
      <c r="AT254" s="1">
        <v>0.25</v>
      </c>
      <c r="AU254" s="281"/>
      <c r="AZ254" s="281"/>
      <c r="BG254" s="282">
        <f t="shared" si="55"/>
        <v>1</v>
      </c>
      <c r="BH254" s="282">
        <f t="shared" si="56"/>
        <v>1</v>
      </c>
      <c r="BI254" s="283">
        <f t="shared" si="57"/>
        <v>1</v>
      </c>
      <c r="BL254" s="1">
        <v>512771</v>
      </c>
      <c r="BM254" s="1">
        <v>173675</v>
      </c>
      <c r="BN254" s="1" t="s">
        <v>1391</v>
      </c>
      <c r="BO254" s="1" t="s">
        <v>1402</v>
      </c>
      <c r="BR254" s="284" t="s">
        <v>1728</v>
      </c>
      <c r="BS254" s="284" t="s">
        <v>27</v>
      </c>
    </row>
    <row r="255" spans="1:75" ht="15" customHeight="1" x14ac:dyDescent="0.25">
      <c r="A255" s="275" t="s">
        <v>1069</v>
      </c>
      <c r="B255" s="276" t="s">
        <v>144</v>
      </c>
      <c r="D255" s="277">
        <v>44435</v>
      </c>
      <c r="E255" s="277">
        <v>45531</v>
      </c>
      <c r="H255" s="275" t="s">
        <v>64</v>
      </c>
      <c r="I255" s="275" t="s">
        <v>1473</v>
      </c>
      <c r="J255" s="286"/>
      <c r="K255" s="275" t="s">
        <v>1070</v>
      </c>
      <c r="L255" s="275" t="s">
        <v>1071</v>
      </c>
      <c r="M255" s="275" t="s">
        <v>1072</v>
      </c>
      <c r="Q255" s="1">
        <v>2</v>
      </c>
      <c r="V255" s="1">
        <f t="shared" si="45"/>
        <v>2</v>
      </c>
      <c r="W255" s="1">
        <v>4</v>
      </c>
      <c r="X255" s="1">
        <v>1</v>
      </c>
      <c r="AE255" s="1">
        <f t="shared" si="46"/>
        <v>5</v>
      </c>
      <c r="AF255" s="1">
        <f t="shared" si="47"/>
        <v>4</v>
      </c>
      <c r="AG255" s="1">
        <f t="shared" si="48"/>
        <v>1</v>
      </c>
      <c r="AH255" s="1">
        <f t="shared" si="49"/>
        <v>-2</v>
      </c>
      <c r="AI255" s="1">
        <f t="shared" si="50"/>
        <v>0</v>
      </c>
      <c r="AJ255" s="1">
        <f t="shared" si="51"/>
        <v>0</v>
      </c>
      <c r="AK255" s="1">
        <f t="shared" si="52"/>
        <v>0</v>
      </c>
      <c r="AL255" s="1">
        <f t="shared" si="53"/>
        <v>0</v>
      </c>
      <c r="AM255" s="1">
        <f t="shared" si="54"/>
        <v>0</v>
      </c>
      <c r="AN255" s="278">
        <f t="shared" si="58"/>
        <v>3</v>
      </c>
      <c r="AP255" s="280"/>
      <c r="AQ255" s="1">
        <v>0.75</v>
      </c>
      <c r="AR255" s="1">
        <v>0.75</v>
      </c>
      <c r="AS255" s="1">
        <v>0.75</v>
      </c>
      <c r="AT255" s="1">
        <v>0.75</v>
      </c>
      <c r="AU255" s="281"/>
      <c r="AZ255" s="281"/>
      <c r="BG255" s="282">
        <f t="shared" si="55"/>
        <v>3</v>
      </c>
      <c r="BH255" s="282">
        <f t="shared" si="56"/>
        <v>3</v>
      </c>
      <c r="BI255" s="283">
        <f t="shared" si="57"/>
        <v>3</v>
      </c>
      <c r="BL255" s="1">
        <v>515988</v>
      </c>
      <c r="BM255" s="1">
        <v>171089</v>
      </c>
      <c r="BN255" s="1" t="s">
        <v>1600</v>
      </c>
      <c r="BO255" s="1" t="s">
        <v>1387</v>
      </c>
      <c r="BP255" s="284" t="s">
        <v>1387</v>
      </c>
      <c r="BU255" s="284" t="s">
        <v>1685</v>
      </c>
      <c r="BV255" s="284" t="s">
        <v>27</v>
      </c>
      <c r="BW255" s="284" t="s">
        <v>27</v>
      </c>
    </row>
    <row r="256" spans="1:75" ht="15" customHeight="1" x14ac:dyDescent="0.25">
      <c r="A256" s="275" t="s">
        <v>1149</v>
      </c>
      <c r="B256" s="276" t="s">
        <v>224</v>
      </c>
      <c r="D256" s="277">
        <v>44147</v>
      </c>
      <c r="E256" s="277">
        <v>45531</v>
      </c>
      <c r="H256" s="275" t="s">
        <v>64</v>
      </c>
      <c r="I256" s="275" t="s">
        <v>1473</v>
      </c>
      <c r="J256" s="286"/>
      <c r="K256" s="275" t="s">
        <v>1150</v>
      </c>
      <c r="L256" s="275" t="s">
        <v>1151</v>
      </c>
      <c r="M256" s="275" t="s">
        <v>1152</v>
      </c>
      <c r="V256" s="1">
        <f t="shared" si="45"/>
        <v>0</v>
      </c>
      <c r="W256" s="1">
        <v>3</v>
      </c>
      <c r="AE256" s="1">
        <f t="shared" si="46"/>
        <v>3</v>
      </c>
      <c r="AF256" s="1">
        <f t="shared" si="47"/>
        <v>3</v>
      </c>
      <c r="AG256" s="1">
        <f t="shared" si="48"/>
        <v>0</v>
      </c>
      <c r="AH256" s="1">
        <f t="shared" si="49"/>
        <v>0</v>
      </c>
      <c r="AI256" s="1">
        <f t="shared" si="50"/>
        <v>0</v>
      </c>
      <c r="AJ256" s="1">
        <f t="shared" si="51"/>
        <v>0</v>
      </c>
      <c r="AK256" s="1">
        <f t="shared" si="52"/>
        <v>0</v>
      </c>
      <c r="AL256" s="1">
        <f t="shared" si="53"/>
        <v>0</v>
      </c>
      <c r="AM256" s="1">
        <f t="shared" si="54"/>
        <v>0</v>
      </c>
      <c r="AN256" s="278">
        <f t="shared" si="58"/>
        <v>3</v>
      </c>
      <c r="AP256" s="280"/>
      <c r="AQ256" s="1">
        <v>0.75</v>
      </c>
      <c r="AR256" s="1">
        <v>0.75</v>
      </c>
      <c r="AS256" s="1">
        <v>0.75</v>
      </c>
      <c r="AT256" s="1">
        <v>0.75</v>
      </c>
      <c r="AU256" s="281"/>
      <c r="AZ256" s="281"/>
      <c r="BG256" s="282">
        <f t="shared" si="55"/>
        <v>3</v>
      </c>
      <c r="BH256" s="282">
        <f t="shared" si="56"/>
        <v>3</v>
      </c>
      <c r="BI256" s="283">
        <f t="shared" si="57"/>
        <v>3</v>
      </c>
      <c r="BL256" s="1">
        <v>516098</v>
      </c>
      <c r="BM256" s="1">
        <v>173924</v>
      </c>
      <c r="BN256" s="1" t="s">
        <v>1389</v>
      </c>
      <c r="BO256" s="1" t="s">
        <v>1561</v>
      </c>
      <c r="BW256" s="284" t="s">
        <v>27</v>
      </c>
    </row>
    <row r="257" spans="1:75" ht="15" customHeight="1" x14ac:dyDescent="0.25">
      <c r="A257" s="275" t="s">
        <v>976</v>
      </c>
      <c r="B257" s="276" t="s">
        <v>49</v>
      </c>
      <c r="C257" s="1" t="s">
        <v>1262</v>
      </c>
      <c r="D257" s="277">
        <v>44440</v>
      </c>
      <c r="E257" s="277">
        <v>45536</v>
      </c>
      <c r="H257" s="275" t="s">
        <v>64</v>
      </c>
      <c r="I257" s="275" t="s">
        <v>1473</v>
      </c>
      <c r="J257" s="286"/>
      <c r="K257" s="275" t="s">
        <v>977</v>
      </c>
      <c r="L257" s="275" t="s">
        <v>978</v>
      </c>
      <c r="M257" s="275" t="s">
        <v>258</v>
      </c>
      <c r="V257" s="1">
        <f t="shared" si="45"/>
        <v>0</v>
      </c>
      <c r="W257" s="1">
        <v>1</v>
      </c>
      <c r="AE257" s="1">
        <f t="shared" si="46"/>
        <v>1</v>
      </c>
      <c r="AF257" s="1">
        <f t="shared" si="47"/>
        <v>1</v>
      </c>
      <c r="AG257" s="1">
        <f t="shared" si="48"/>
        <v>0</v>
      </c>
      <c r="AH257" s="1">
        <f t="shared" si="49"/>
        <v>0</v>
      </c>
      <c r="AI257" s="1">
        <f t="shared" si="50"/>
        <v>0</v>
      </c>
      <c r="AJ257" s="1">
        <f t="shared" si="51"/>
        <v>0</v>
      </c>
      <c r="AK257" s="1">
        <f t="shared" si="52"/>
        <v>0</v>
      </c>
      <c r="AL257" s="1">
        <f t="shared" si="53"/>
        <v>0</v>
      </c>
      <c r="AM257" s="1">
        <f t="shared" si="54"/>
        <v>0</v>
      </c>
      <c r="AN257" s="278">
        <f t="shared" si="58"/>
        <v>1</v>
      </c>
      <c r="AP257" s="280"/>
      <c r="AQ257" s="1">
        <v>0.25</v>
      </c>
      <c r="AR257" s="1">
        <v>0.25</v>
      </c>
      <c r="AS257" s="1">
        <v>0.25</v>
      </c>
      <c r="AT257" s="1">
        <v>0.25</v>
      </c>
      <c r="AU257" s="281"/>
      <c r="AZ257" s="281"/>
      <c r="BG257" s="282">
        <f t="shared" si="55"/>
        <v>1</v>
      </c>
      <c r="BH257" s="282">
        <f t="shared" si="56"/>
        <v>1</v>
      </c>
      <c r="BI257" s="283">
        <f t="shared" si="57"/>
        <v>1</v>
      </c>
      <c r="BL257" s="1">
        <v>520553</v>
      </c>
      <c r="BM257" s="1">
        <v>175393</v>
      </c>
      <c r="BN257" s="1" t="s">
        <v>1599</v>
      </c>
      <c r="BO257" s="1" t="s">
        <v>1384</v>
      </c>
      <c r="BP257" s="284" t="s">
        <v>1384</v>
      </c>
      <c r="BW257" s="284" t="s">
        <v>27</v>
      </c>
    </row>
    <row r="258" spans="1:75" ht="15" customHeight="1" x14ac:dyDescent="0.25">
      <c r="A258" s="275" t="s">
        <v>927</v>
      </c>
      <c r="B258" s="276" t="s">
        <v>49</v>
      </c>
      <c r="C258" s="1" t="s">
        <v>1262</v>
      </c>
      <c r="D258" s="277">
        <v>44455</v>
      </c>
      <c r="E258" s="277">
        <v>45551</v>
      </c>
      <c r="H258" s="275" t="s">
        <v>64</v>
      </c>
      <c r="I258" s="275" t="s">
        <v>1473</v>
      </c>
      <c r="J258" s="286"/>
      <c r="K258" s="275" t="s">
        <v>928</v>
      </c>
      <c r="L258" s="275" t="s">
        <v>925</v>
      </c>
      <c r="M258" s="275" t="s">
        <v>926</v>
      </c>
      <c r="V258" s="1">
        <f t="shared" ref="V258:V321" si="59">SUM(O258:U258)</f>
        <v>0</v>
      </c>
      <c r="W258" s="1">
        <v>2</v>
      </c>
      <c r="AE258" s="1">
        <f t="shared" ref="AE258:AE321" si="60">SUM(W258:AD258)</f>
        <v>2</v>
      </c>
      <c r="AF258" s="1">
        <f t="shared" ref="AF258:AF321" si="61">W258-O258</f>
        <v>2</v>
      </c>
      <c r="AG258" s="1">
        <f t="shared" ref="AG258:AG321" si="62">X258-P258</f>
        <v>0</v>
      </c>
      <c r="AH258" s="1">
        <f t="shared" ref="AH258:AH321" si="63">Y258-Q258</f>
        <v>0</v>
      </c>
      <c r="AI258" s="1">
        <f t="shared" ref="AI258:AI321" si="64">Z258-R258</f>
        <v>0</v>
      </c>
      <c r="AJ258" s="1">
        <f t="shared" ref="AJ258:AJ321" si="65">AA258-S258</f>
        <v>0</v>
      </c>
      <c r="AK258" s="1">
        <f t="shared" ref="AK258:AK321" si="66">AB258-T258</f>
        <v>0</v>
      </c>
      <c r="AL258" s="1">
        <f t="shared" ref="AL258:AL321" si="67">AC258-U258</f>
        <v>0</v>
      </c>
      <c r="AM258" s="1">
        <f t="shared" ref="AM258:AM321" si="68">AD258</f>
        <v>0</v>
      </c>
      <c r="AN258" s="278">
        <f t="shared" si="58"/>
        <v>2</v>
      </c>
      <c r="AP258" s="280"/>
      <c r="AQ258" s="1">
        <v>0.5</v>
      </c>
      <c r="AR258" s="1">
        <v>0.5</v>
      </c>
      <c r="AS258" s="1">
        <v>0.5</v>
      </c>
      <c r="AT258" s="1">
        <v>0.5</v>
      </c>
      <c r="AU258" s="281"/>
      <c r="AZ258" s="281"/>
      <c r="BG258" s="282">
        <f t="shared" ref="BG258:BG321" si="69">SUBTOTAL(9,AQ258:AU258)</f>
        <v>2</v>
      </c>
      <c r="BH258" s="282">
        <f t="shared" ref="BH258:BH321" si="70">SUBTOTAL(9,AQ258:AZ258)</f>
        <v>2</v>
      </c>
      <c r="BI258" s="283">
        <f t="shared" ref="BI258:BI321" si="71">SUM(AQ258:BF258)</f>
        <v>2</v>
      </c>
      <c r="BL258" s="1">
        <v>514554</v>
      </c>
      <c r="BM258" s="1">
        <v>171263</v>
      </c>
      <c r="BN258" s="1" t="s">
        <v>1600</v>
      </c>
      <c r="BO258" s="1" t="s">
        <v>1563</v>
      </c>
      <c r="BR258" s="284" t="s">
        <v>1701</v>
      </c>
      <c r="BS258" s="284" t="s">
        <v>27</v>
      </c>
      <c r="BW258" s="284" t="s">
        <v>27</v>
      </c>
    </row>
    <row r="259" spans="1:75" ht="15" customHeight="1" x14ac:dyDescent="0.25">
      <c r="A259" s="275" t="s">
        <v>970</v>
      </c>
      <c r="B259" s="276" t="s">
        <v>144</v>
      </c>
      <c r="D259" s="277">
        <v>44459</v>
      </c>
      <c r="E259" s="277">
        <v>45555</v>
      </c>
      <c r="H259" s="275" t="s">
        <v>64</v>
      </c>
      <c r="I259" s="275" t="s">
        <v>1473</v>
      </c>
      <c r="J259" s="286"/>
      <c r="K259" s="275" t="s">
        <v>971</v>
      </c>
      <c r="L259" s="275" t="s">
        <v>972</v>
      </c>
      <c r="M259" s="275" t="s">
        <v>961</v>
      </c>
      <c r="R259" s="1">
        <v>1</v>
      </c>
      <c r="V259" s="1">
        <f t="shared" si="59"/>
        <v>1</v>
      </c>
      <c r="W259" s="1">
        <v>1</v>
      </c>
      <c r="X259" s="1">
        <v>1</v>
      </c>
      <c r="AE259" s="1">
        <f t="shared" si="60"/>
        <v>2</v>
      </c>
      <c r="AF259" s="1">
        <f t="shared" si="61"/>
        <v>1</v>
      </c>
      <c r="AG259" s="1">
        <f t="shared" si="62"/>
        <v>1</v>
      </c>
      <c r="AH259" s="1">
        <f t="shared" si="63"/>
        <v>0</v>
      </c>
      <c r="AI259" s="1">
        <f t="shared" si="64"/>
        <v>-1</v>
      </c>
      <c r="AJ259" s="1">
        <f t="shared" si="65"/>
        <v>0</v>
      </c>
      <c r="AK259" s="1">
        <f t="shared" si="66"/>
        <v>0</v>
      </c>
      <c r="AL259" s="1">
        <f t="shared" si="67"/>
        <v>0</v>
      </c>
      <c r="AM259" s="1">
        <f t="shared" si="68"/>
        <v>0</v>
      </c>
      <c r="AN259" s="278">
        <f t="shared" si="58"/>
        <v>1</v>
      </c>
      <c r="AP259" s="280"/>
      <c r="AQ259" s="1">
        <v>0.25</v>
      </c>
      <c r="AR259" s="1">
        <v>0.25</v>
      </c>
      <c r="AS259" s="1">
        <v>0.25</v>
      </c>
      <c r="AT259" s="1">
        <v>0.25</v>
      </c>
      <c r="AU259" s="281"/>
      <c r="AZ259" s="281"/>
      <c r="BG259" s="282">
        <f t="shared" si="69"/>
        <v>1</v>
      </c>
      <c r="BH259" s="282">
        <f t="shared" si="70"/>
        <v>1</v>
      </c>
      <c r="BI259" s="283">
        <f t="shared" si="71"/>
        <v>1</v>
      </c>
      <c r="BL259" s="1">
        <v>517428</v>
      </c>
      <c r="BM259" s="1">
        <v>174238</v>
      </c>
      <c r="BN259" s="1" t="s">
        <v>1389</v>
      </c>
      <c r="BO259" s="1" t="s">
        <v>1407</v>
      </c>
      <c r="BR259" s="284" t="s">
        <v>1732</v>
      </c>
      <c r="BS259" s="284" t="s">
        <v>27</v>
      </c>
      <c r="BU259" s="284" t="s">
        <v>1733</v>
      </c>
      <c r="BV259" s="284" t="s">
        <v>27</v>
      </c>
      <c r="BW259" s="284" t="s">
        <v>27</v>
      </c>
    </row>
    <row r="260" spans="1:75" ht="15" customHeight="1" x14ac:dyDescent="0.25">
      <c r="A260" s="275" t="s">
        <v>939</v>
      </c>
      <c r="B260" s="276" t="s">
        <v>49</v>
      </c>
      <c r="D260" s="277">
        <v>44469</v>
      </c>
      <c r="E260" s="277">
        <v>45565</v>
      </c>
      <c r="H260" s="275" t="s">
        <v>64</v>
      </c>
      <c r="I260" s="275" t="s">
        <v>1473</v>
      </c>
      <c r="J260" s="286"/>
      <c r="K260" s="275" t="s">
        <v>940</v>
      </c>
      <c r="L260" s="275" t="s">
        <v>941</v>
      </c>
      <c r="M260" s="275" t="s">
        <v>942</v>
      </c>
      <c r="V260" s="1">
        <f t="shared" si="59"/>
        <v>0</v>
      </c>
      <c r="W260" s="1">
        <v>1</v>
      </c>
      <c r="AE260" s="1">
        <f t="shared" si="60"/>
        <v>1</v>
      </c>
      <c r="AF260" s="1">
        <f t="shared" si="61"/>
        <v>1</v>
      </c>
      <c r="AG260" s="1">
        <f t="shared" si="62"/>
        <v>0</v>
      </c>
      <c r="AH260" s="1">
        <f t="shared" si="63"/>
        <v>0</v>
      </c>
      <c r="AI260" s="1">
        <f t="shared" si="64"/>
        <v>0</v>
      </c>
      <c r="AJ260" s="1">
        <f t="shared" si="65"/>
        <v>0</v>
      </c>
      <c r="AK260" s="1">
        <f t="shared" si="66"/>
        <v>0</v>
      </c>
      <c r="AL260" s="1">
        <f t="shared" si="67"/>
        <v>0</v>
      </c>
      <c r="AM260" s="1">
        <f t="shared" si="68"/>
        <v>0</v>
      </c>
      <c r="AN260" s="278">
        <f t="shared" si="58"/>
        <v>1</v>
      </c>
      <c r="AP260" s="280"/>
      <c r="AQ260" s="1">
        <v>0.25</v>
      </c>
      <c r="AR260" s="1">
        <v>0.25</v>
      </c>
      <c r="AS260" s="1">
        <v>0.25</v>
      </c>
      <c r="AT260" s="1">
        <v>0.25</v>
      </c>
      <c r="AU260" s="281"/>
      <c r="AZ260" s="281"/>
      <c r="BG260" s="282">
        <f t="shared" si="69"/>
        <v>1</v>
      </c>
      <c r="BH260" s="282">
        <f t="shared" si="70"/>
        <v>1</v>
      </c>
      <c r="BI260" s="283">
        <f t="shared" si="71"/>
        <v>1</v>
      </c>
      <c r="BL260" s="1">
        <v>517763</v>
      </c>
      <c r="BM260" s="1">
        <v>171531</v>
      </c>
      <c r="BN260" s="1" t="s">
        <v>1601</v>
      </c>
      <c r="BO260" s="1" t="s">
        <v>1560</v>
      </c>
    </row>
    <row r="261" spans="1:75" ht="15" customHeight="1" x14ac:dyDescent="0.25">
      <c r="A261" s="275" t="s">
        <v>878</v>
      </c>
      <c r="B261" s="276" t="s">
        <v>21</v>
      </c>
      <c r="D261" s="277">
        <v>44469</v>
      </c>
      <c r="E261" s="277">
        <v>45565</v>
      </c>
      <c r="H261" s="275" t="s">
        <v>64</v>
      </c>
      <c r="I261" s="275" t="s">
        <v>1473</v>
      </c>
      <c r="J261" s="286"/>
      <c r="K261" s="275" t="s">
        <v>879</v>
      </c>
      <c r="L261" s="275" t="s">
        <v>880</v>
      </c>
      <c r="M261" s="275" t="s">
        <v>881</v>
      </c>
      <c r="S261" s="1">
        <v>1</v>
      </c>
      <c r="V261" s="1">
        <f t="shared" si="59"/>
        <v>1</v>
      </c>
      <c r="AB261" s="1">
        <v>1</v>
      </c>
      <c r="AE261" s="1">
        <f t="shared" si="60"/>
        <v>1</v>
      </c>
      <c r="AF261" s="1">
        <f t="shared" si="61"/>
        <v>0</v>
      </c>
      <c r="AG261" s="1">
        <f t="shared" si="62"/>
        <v>0</v>
      </c>
      <c r="AH261" s="1">
        <f t="shared" si="63"/>
        <v>0</v>
      </c>
      <c r="AI261" s="1">
        <f t="shared" si="64"/>
        <v>0</v>
      </c>
      <c r="AJ261" s="1">
        <f t="shared" si="65"/>
        <v>-1</v>
      </c>
      <c r="AK261" s="1">
        <f t="shared" si="66"/>
        <v>1</v>
      </c>
      <c r="AL261" s="1">
        <f t="shared" si="67"/>
        <v>0</v>
      </c>
      <c r="AM261" s="1">
        <f t="shared" si="68"/>
        <v>0</v>
      </c>
      <c r="AN261" s="278">
        <f t="shared" si="58"/>
        <v>0</v>
      </c>
      <c r="AP261" s="280"/>
      <c r="AQ261" s="1">
        <v>0</v>
      </c>
      <c r="AU261" s="281"/>
      <c r="AZ261" s="281"/>
      <c r="BG261" s="282">
        <f t="shared" si="69"/>
        <v>0</v>
      </c>
      <c r="BH261" s="282">
        <f t="shared" si="70"/>
        <v>0</v>
      </c>
      <c r="BI261" s="283">
        <f t="shared" si="71"/>
        <v>0</v>
      </c>
      <c r="BL261" s="1">
        <v>519305</v>
      </c>
      <c r="BM261" s="1">
        <v>176468</v>
      </c>
      <c r="BN261" s="1" t="s">
        <v>1385</v>
      </c>
      <c r="BO261" s="1" t="s">
        <v>1403</v>
      </c>
      <c r="BW261" s="284" t="s">
        <v>27</v>
      </c>
    </row>
    <row r="262" spans="1:75" ht="15" customHeight="1" x14ac:dyDescent="0.25">
      <c r="A262" s="275" t="s">
        <v>886</v>
      </c>
      <c r="B262" s="276" t="s">
        <v>49</v>
      </c>
      <c r="D262" s="277">
        <v>44509</v>
      </c>
      <c r="E262" s="277">
        <v>45605</v>
      </c>
      <c r="H262" s="275" t="s">
        <v>64</v>
      </c>
      <c r="I262" s="275" t="s">
        <v>1473</v>
      </c>
      <c r="J262" s="286"/>
      <c r="K262" s="275" t="s">
        <v>887</v>
      </c>
      <c r="L262" s="275" t="s">
        <v>888</v>
      </c>
      <c r="M262" s="275" t="s">
        <v>889</v>
      </c>
      <c r="O262" s="1">
        <v>1</v>
      </c>
      <c r="V262" s="1">
        <f t="shared" si="59"/>
        <v>1</v>
      </c>
      <c r="AE262" s="1">
        <f t="shared" si="60"/>
        <v>0</v>
      </c>
      <c r="AF262" s="1">
        <f t="shared" si="61"/>
        <v>-1</v>
      </c>
      <c r="AG262" s="1">
        <f t="shared" si="62"/>
        <v>0</v>
      </c>
      <c r="AH262" s="1">
        <f t="shared" si="63"/>
        <v>0</v>
      </c>
      <c r="AI262" s="1">
        <f t="shared" si="64"/>
        <v>0</v>
      </c>
      <c r="AJ262" s="1">
        <f t="shared" si="65"/>
        <v>0</v>
      </c>
      <c r="AK262" s="1">
        <f t="shared" si="66"/>
        <v>0</v>
      </c>
      <c r="AL262" s="1">
        <f t="shared" si="67"/>
        <v>0</v>
      </c>
      <c r="AM262" s="1">
        <f t="shared" si="68"/>
        <v>0</v>
      </c>
      <c r="AN262" s="278">
        <f t="shared" si="58"/>
        <v>-1</v>
      </c>
      <c r="AP262" s="280"/>
      <c r="AQ262" s="1">
        <v>-0.25</v>
      </c>
      <c r="AR262" s="1">
        <v>-0.25</v>
      </c>
      <c r="AS262" s="1">
        <v>-0.25</v>
      </c>
      <c r="AT262" s="1">
        <v>-0.25</v>
      </c>
      <c r="AU262" s="281"/>
      <c r="AZ262" s="281"/>
      <c r="BG262" s="282">
        <f t="shared" si="69"/>
        <v>-1</v>
      </c>
      <c r="BH262" s="282">
        <f t="shared" si="70"/>
        <v>-1</v>
      </c>
      <c r="BI262" s="283">
        <f t="shared" si="71"/>
        <v>-1</v>
      </c>
      <c r="BL262" s="1">
        <v>522822</v>
      </c>
      <c r="BM262" s="1">
        <v>177807</v>
      </c>
      <c r="BN262" s="1" t="s">
        <v>1599</v>
      </c>
      <c r="BO262" s="1" t="s">
        <v>1399</v>
      </c>
      <c r="BR262" s="284" t="s">
        <v>1742</v>
      </c>
      <c r="BS262" s="284" t="s">
        <v>27</v>
      </c>
      <c r="BU262" s="284" t="s">
        <v>1687</v>
      </c>
      <c r="BV262" s="284" t="s">
        <v>27</v>
      </c>
      <c r="BW262" s="284" t="s">
        <v>27</v>
      </c>
    </row>
    <row r="263" spans="1:75" ht="15" customHeight="1" x14ac:dyDescent="0.25">
      <c r="A263" s="275" t="s">
        <v>908</v>
      </c>
      <c r="B263" s="276" t="s">
        <v>21</v>
      </c>
      <c r="D263" s="277">
        <v>44579</v>
      </c>
      <c r="E263" s="277">
        <v>45675</v>
      </c>
      <c r="H263" s="275" t="s">
        <v>64</v>
      </c>
      <c r="I263" s="275" t="s">
        <v>1473</v>
      </c>
      <c r="J263" s="286"/>
      <c r="K263" s="275" t="s">
        <v>909</v>
      </c>
      <c r="L263" s="275" t="s">
        <v>910</v>
      </c>
      <c r="M263" s="275" t="s">
        <v>911</v>
      </c>
      <c r="V263" s="1">
        <f t="shared" si="59"/>
        <v>0</v>
      </c>
      <c r="X263" s="1">
        <v>1</v>
      </c>
      <c r="AE263" s="1">
        <f t="shared" si="60"/>
        <v>1</v>
      </c>
      <c r="AF263" s="1">
        <f t="shared" si="61"/>
        <v>0</v>
      </c>
      <c r="AG263" s="1">
        <f t="shared" si="62"/>
        <v>1</v>
      </c>
      <c r="AH263" s="1">
        <f t="shared" si="63"/>
        <v>0</v>
      </c>
      <c r="AI263" s="1">
        <f t="shared" si="64"/>
        <v>0</v>
      </c>
      <c r="AJ263" s="1">
        <f t="shared" si="65"/>
        <v>0</v>
      </c>
      <c r="AK263" s="1">
        <f t="shared" si="66"/>
        <v>0</v>
      </c>
      <c r="AL263" s="1">
        <f t="shared" si="67"/>
        <v>0</v>
      </c>
      <c r="AM263" s="1">
        <f t="shared" si="68"/>
        <v>0</v>
      </c>
      <c r="AN263" s="278">
        <f t="shared" si="58"/>
        <v>1</v>
      </c>
      <c r="AP263" s="280"/>
      <c r="AQ263" s="1">
        <v>0.25</v>
      </c>
      <c r="AR263" s="1">
        <v>0.25</v>
      </c>
      <c r="AS263" s="1">
        <v>0.25</v>
      </c>
      <c r="AT263" s="1">
        <v>0.25</v>
      </c>
      <c r="AU263" s="281"/>
      <c r="AZ263" s="281"/>
      <c r="BG263" s="282">
        <f t="shared" si="69"/>
        <v>1</v>
      </c>
      <c r="BH263" s="282">
        <f t="shared" si="70"/>
        <v>1</v>
      </c>
      <c r="BI263" s="283">
        <f t="shared" si="71"/>
        <v>1</v>
      </c>
      <c r="BL263" s="1">
        <v>517804</v>
      </c>
      <c r="BM263" s="1">
        <v>174681</v>
      </c>
      <c r="BN263" s="1" t="s">
        <v>1385</v>
      </c>
      <c r="BO263" s="1" t="s">
        <v>1405</v>
      </c>
      <c r="BP263" s="284" t="s">
        <v>1385</v>
      </c>
      <c r="BU263" s="284" t="s">
        <v>1699</v>
      </c>
      <c r="BV263" s="284" t="s">
        <v>27</v>
      </c>
      <c r="BW263" s="284" t="s">
        <v>27</v>
      </c>
    </row>
    <row r="264" spans="1:75" ht="15" customHeight="1" x14ac:dyDescent="0.25">
      <c r="A264" s="275" t="s">
        <v>1135</v>
      </c>
      <c r="B264" s="276" t="s">
        <v>21</v>
      </c>
      <c r="D264" s="277">
        <v>44587</v>
      </c>
      <c r="E264" s="277">
        <v>45683</v>
      </c>
      <c r="H264" s="275" t="s">
        <v>64</v>
      </c>
      <c r="I264" s="275" t="s">
        <v>1473</v>
      </c>
      <c r="J264" s="286"/>
      <c r="K264" s="275" t="s">
        <v>1136</v>
      </c>
      <c r="L264" s="275" t="s">
        <v>1137</v>
      </c>
      <c r="M264" s="275" t="s">
        <v>1138</v>
      </c>
      <c r="V264" s="1">
        <f t="shared" si="59"/>
        <v>0</v>
      </c>
      <c r="W264" s="1">
        <v>4</v>
      </c>
      <c r="X264" s="1">
        <v>4</v>
      </c>
      <c r="Y264" s="1">
        <v>1</v>
      </c>
      <c r="AE264" s="1">
        <f t="shared" si="60"/>
        <v>9</v>
      </c>
      <c r="AF264" s="1">
        <f t="shared" si="61"/>
        <v>4</v>
      </c>
      <c r="AG264" s="1">
        <f t="shared" si="62"/>
        <v>4</v>
      </c>
      <c r="AH264" s="1">
        <f t="shared" si="63"/>
        <v>1</v>
      </c>
      <c r="AI264" s="1">
        <f t="shared" si="64"/>
        <v>0</v>
      </c>
      <c r="AJ264" s="1">
        <f t="shared" si="65"/>
        <v>0</v>
      </c>
      <c r="AK264" s="1">
        <f t="shared" si="66"/>
        <v>0</v>
      </c>
      <c r="AL264" s="1">
        <f t="shared" si="67"/>
        <v>0</v>
      </c>
      <c r="AM264" s="1">
        <f t="shared" si="68"/>
        <v>0</v>
      </c>
      <c r="AN264" s="278">
        <f t="shared" si="58"/>
        <v>9</v>
      </c>
      <c r="AP264" s="280"/>
      <c r="AQ264" s="1">
        <v>2.25</v>
      </c>
      <c r="AR264" s="1">
        <v>2.25</v>
      </c>
      <c r="AS264" s="1">
        <v>2.25</v>
      </c>
      <c r="AT264" s="1">
        <v>2.25</v>
      </c>
      <c r="AU264" s="281"/>
      <c r="AZ264" s="281"/>
      <c r="BG264" s="282">
        <f t="shared" si="69"/>
        <v>9</v>
      </c>
      <c r="BH264" s="282">
        <f t="shared" si="70"/>
        <v>9</v>
      </c>
      <c r="BI264" s="283">
        <f t="shared" si="71"/>
        <v>9</v>
      </c>
      <c r="BL264" s="1">
        <v>516182</v>
      </c>
      <c r="BM264" s="1">
        <v>173653</v>
      </c>
      <c r="BN264" s="1" t="s">
        <v>1389</v>
      </c>
      <c r="BO264" s="1" t="s">
        <v>1407</v>
      </c>
      <c r="BP264" s="284" t="s">
        <v>1389</v>
      </c>
      <c r="BW264" s="284" t="s">
        <v>27</v>
      </c>
    </row>
    <row r="265" spans="1:75" ht="15" customHeight="1" x14ac:dyDescent="0.25">
      <c r="A265" s="275" t="s">
        <v>983</v>
      </c>
      <c r="B265" s="276" t="s">
        <v>49</v>
      </c>
      <c r="D265" s="277">
        <v>44594</v>
      </c>
      <c r="E265" s="277">
        <v>45690</v>
      </c>
      <c r="H265" s="275" t="s">
        <v>64</v>
      </c>
      <c r="I265" s="275" t="s">
        <v>1473</v>
      </c>
      <c r="J265" s="286"/>
      <c r="K265" s="275" t="s">
        <v>984</v>
      </c>
      <c r="L265" s="275" t="s">
        <v>985</v>
      </c>
      <c r="M265" s="275" t="s">
        <v>591</v>
      </c>
      <c r="V265" s="1">
        <f t="shared" si="59"/>
        <v>0</v>
      </c>
      <c r="Y265" s="1">
        <v>1</v>
      </c>
      <c r="AE265" s="1">
        <f t="shared" si="60"/>
        <v>1</v>
      </c>
      <c r="AF265" s="1">
        <f t="shared" si="61"/>
        <v>0</v>
      </c>
      <c r="AG265" s="1">
        <f t="shared" si="62"/>
        <v>0</v>
      </c>
      <c r="AH265" s="1">
        <f t="shared" si="63"/>
        <v>1</v>
      </c>
      <c r="AI265" s="1">
        <f t="shared" si="64"/>
        <v>0</v>
      </c>
      <c r="AJ265" s="1">
        <f t="shared" si="65"/>
        <v>0</v>
      </c>
      <c r="AK265" s="1">
        <f t="shared" si="66"/>
        <v>0</v>
      </c>
      <c r="AL265" s="1">
        <f t="shared" si="67"/>
        <v>0</v>
      </c>
      <c r="AM265" s="1">
        <f t="shared" si="68"/>
        <v>0</v>
      </c>
      <c r="AN265" s="278">
        <f t="shared" si="58"/>
        <v>1</v>
      </c>
      <c r="AP265" s="280"/>
      <c r="AQ265" s="1">
        <v>0.25</v>
      </c>
      <c r="AR265" s="1">
        <v>0.25</v>
      </c>
      <c r="AS265" s="1">
        <v>0.25</v>
      </c>
      <c r="AT265" s="1">
        <v>0.25</v>
      </c>
      <c r="AU265" s="281"/>
      <c r="AZ265" s="281"/>
      <c r="BG265" s="282">
        <f t="shared" si="69"/>
        <v>1</v>
      </c>
      <c r="BH265" s="282">
        <f t="shared" si="70"/>
        <v>1</v>
      </c>
      <c r="BI265" s="283">
        <f t="shared" si="71"/>
        <v>1</v>
      </c>
      <c r="BL265" s="1">
        <v>518173</v>
      </c>
      <c r="BM265" s="1">
        <v>174602</v>
      </c>
      <c r="BN265" s="1" t="s">
        <v>1385</v>
      </c>
      <c r="BO265" s="1" t="s">
        <v>1405</v>
      </c>
      <c r="BU265" s="284" t="s">
        <v>1692</v>
      </c>
      <c r="BV265" s="284" t="s">
        <v>27</v>
      </c>
      <c r="BW265" s="284" t="s">
        <v>27</v>
      </c>
    </row>
    <row r="266" spans="1:75" ht="15" customHeight="1" x14ac:dyDescent="0.25">
      <c r="A266" s="275" t="s">
        <v>1104</v>
      </c>
      <c r="B266" s="276" t="s">
        <v>21</v>
      </c>
      <c r="D266" s="277">
        <v>44594</v>
      </c>
      <c r="E266" s="277">
        <v>45690</v>
      </c>
      <c r="H266" s="275" t="s">
        <v>64</v>
      </c>
      <c r="I266" s="275" t="s">
        <v>1473</v>
      </c>
      <c r="J266" s="286"/>
      <c r="K266" s="275" t="s">
        <v>1105</v>
      </c>
      <c r="L266" s="275" t="s">
        <v>1106</v>
      </c>
      <c r="M266" s="275" t="s">
        <v>1107</v>
      </c>
      <c r="V266" s="1">
        <f t="shared" si="59"/>
        <v>0</v>
      </c>
      <c r="Y266" s="1">
        <v>3</v>
      </c>
      <c r="AE266" s="1">
        <f t="shared" si="60"/>
        <v>3</v>
      </c>
      <c r="AF266" s="1">
        <f t="shared" si="61"/>
        <v>0</v>
      </c>
      <c r="AG266" s="1">
        <f t="shared" si="62"/>
        <v>0</v>
      </c>
      <c r="AH266" s="1">
        <f t="shared" si="63"/>
        <v>3</v>
      </c>
      <c r="AI266" s="1">
        <f t="shared" si="64"/>
        <v>0</v>
      </c>
      <c r="AJ266" s="1">
        <f t="shared" si="65"/>
        <v>0</v>
      </c>
      <c r="AK266" s="1">
        <f t="shared" si="66"/>
        <v>0</v>
      </c>
      <c r="AL266" s="1">
        <f t="shared" si="67"/>
        <v>0</v>
      </c>
      <c r="AM266" s="1">
        <f t="shared" si="68"/>
        <v>0</v>
      </c>
      <c r="AN266" s="278">
        <f t="shared" si="58"/>
        <v>3</v>
      </c>
      <c r="AP266" s="280"/>
      <c r="AQ266" s="1">
        <v>0.75</v>
      </c>
      <c r="AR266" s="1">
        <v>0.75</v>
      </c>
      <c r="AS266" s="1">
        <v>0.75</v>
      </c>
      <c r="AT266" s="1">
        <v>0.75</v>
      </c>
      <c r="AU266" s="281"/>
      <c r="AZ266" s="281"/>
      <c r="BG266" s="282">
        <f t="shared" si="69"/>
        <v>3</v>
      </c>
      <c r="BH266" s="282">
        <f t="shared" si="70"/>
        <v>3</v>
      </c>
      <c r="BI266" s="283">
        <f t="shared" si="71"/>
        <v>3</v>
      </c>
      <c r="BL266" s="1">
        <v>513958</v>
      </c>
      <c r="BM266" s="1">
        <v>171178</v>
      </c>
      <c r="BN266" s="1" t="s">
        <v>1600</v>
      </c>
      <c r="BO266" s="1" t="s">
        <v>1563</v>
      </c>
    </row>
    <row r="267" spans="1:75" ht="15" customHeight="1" x14ac:dyDescent="0.25">
      <c r="A267" s="275" t="s">
        <v>1021</v>
      </c>
      <c r="B267" s="276" t="s">
        <v>21</v>
      </c>
      <c r="D267" s="277">
        <v>44607</v>
      </c>
      <c r="E267" s="277">
        <v>45703</v>
      </c>
      <c r="H267" s="275" t="s">
        <v>64</v>
      </c>
      <c r="I267" s="275" t="s">
        <v>1473</v>
      </c>
      <c r="J267" s="286"/>
      <c r="K267" s="275" t="s">
        <v>1022</v>
      </c>
      <c r="L267" s="275" t="s">
        <v>1023</v>
      </c>
      <c r="M267" s="275" t="s">
        <v>1024</v>
      </c>
      <c r="V267" s="1">
        <f t="shared" si="59"/>
        <v>0</v>
      </c>
      <c r="W267" s="1">
        <v>2</v>
      </c>
      <c r="AE267" s="1">
        <f t="shared" si="60"/>
        <v>2</v>
      </c>
      <c r="AF267" s="1">
        <f t="shared" si="61"/>
        <v>2</v>
      </c>
      <c r="AG267" s="1">
        <f t="shared" si="62"/>
        <v>0</v>
      </c>
      <c r="AH267" s="1">
        <f t="shared" si="63"/>
        <v>0</v>
      </c>
      <c r="AI267" s="1">
        <f t="shared" si="64"/>
        <v>0</v>
      </c>
      <c r="AJ267" s="1">
        <f t="shared" si="65"/>
        <v>0</v>
      </c>
      <c r="AK267" s="1">
        <f t="shared" si="66"/>
        <v>0</v>
      </c>
      <c r="AL267" s="1">
        <f t="shared" si="67"/>
        <v>0</v>
      </c>
      <c r="AM267" s="1">
        <f t="shared" si="68"/>
        <v>0</v>
      </c>
      <c r="AN267" s="278">
        <f t="shared" si="58"/>
        <v>2</v>
      </c>
      <c r="AP267" s="280"/>
      <c r="AQ267" s="1">
        <v>0.5</v>
      </c>
      <c r="AR267" s="1">
        <v>0.5</v>
      </c>
      <c r="AS267" s="1">
        <v>0.5</v>
      </c>
      <c r="AT267" s="1">
        <v>0.5</v>
      </c>
      <c r="AU267" s="281"/>
      <c r="AZ267" s="281"/>
      <c r="BG267" s="282">
        <f t="shared" si="69"/>
        <v>2</v>
      </c>
      <c r="BH267" s="282">
        <f t="shared" si="70"/>
        <v>2</v>
      </c>
      <c r="BI267" s="283">
        <f t="shared" si="71"/>
        <v>2</v>
      </c>
      <c r="BL267" s="1">
        <v>513346</v>
      </c>
      <c r="BM267" s="1">
        <v>169821</v>
      </c>
      <c r="BN267" s="1" t="s">
        <v>1600</v>
      </c>
      <c r="BO267" s="1" t="s">
        <v>1400</v>
      </c>
      <c r="BW267" s="284" t="s">
        <v>27</v>
      </c>
    </row>
    <row r="268" spans="1:75" ht="15" customHeight="1" x14ac:dyDescent="0.25">
      <c r="A268" s="275" t="s">
        <v>882</v>
      </c>
      <c r="B268" s="276" t="s">
        <v>49</v>
      </c>
      <c r="D268" s="277">
        <v>44622</v>
      </c>
      <c r="E268" s="277">
        <v>45718</v>
      </c>
      <c r="H268" s="275" t="s">
        <v>64</v>
      </c>
      <c r="I268" s="275" t="s">
        <v>1473</v>
      </c>
      <c r="J268" s="286"/>
      <c r="K268" s="275" t="s">
        <v>883</v>
      </c>
      <c r="L268" s="275" t="s">
        <v>884</v>
      </c>
      <c r="M268" s="275" t="s">
        <v>885</v>
      </c>
      <c r="V268" s="1">
        <f t="shared" si="59"/>
        <v>0</v>
      </c>
      <c r="X268" s="1">
        <v>1</v>
      </c>
      <c r="AE268" s="1">
        <f t="shared" si="60"/>
        <v>1</v>
      </c>
      <c r="AF268" s="1">
        <f t="shared" si="61"/>
        <v>0</v>
      </c>
      <c r="AG268" s="1">
        <f t="shared" si="62"/>
        <v>1</v>
      </c>
      <c r="AH268" s="1">
        <f t="shared" si="63"/>
        <v>0</v>
      </c>
      <c r="AI268" s="1">
        <f t="shared" si="64"/>
        <v>0</v>
      </c>
      <c r="AJ268" s="1">
        <f t="shared" si="65"/>
        <v>0</v>
      </c>
      <c r="AK268" s="1">
        <f t="shared" si="66"/>
        <v>0</v>
      </c>
      <c r="AL268" s="1">
        <f t="shared" si="67"/>
        <v>0</v>
      </c>
      <c r="AM268" s="1">
        <f t="shared" si="68"/>
        <v>0</v>
      </c>
      <c r="AN268" s="278">
        <f t="shared" si="58"/>
        <v>1</v>
      </c>
      <c r="AP268" s="280"/>
      <c r="AQ268" s="1">
        <v>0.25</v>
      </c>
      <c r="AR268" s="1">
        <v>0.25</v>
      </c>
      <c r="AS268" s="1">
        <v>0.25</v>
      </c>
      <c r="AT268" s="1">
        <v>0.25</v>
      </c>
      <c r="AU268" s="281"/>
      <c r="AZ268" s="281"/>
      <c r="BG268" s="282">
        <f t="shared" si="69"/>
        <v>1</v>
      </c>
      <c r="BH268" s="282">
        <f t="shared" si="70"/>
        <v>1</v>
      </c>
      <c r="BI268" s="283">
        <f t="shared" si="71"/>
        <v>1</v>
      </c>
      <c r="BL268" s="1">
        <v>514165</v>
      </c>
      <c r="BM268" s="1">
        <v>173531</v>
      </c>
      <c r="BN268" s="1" t="s">
        <v>1391</v>
      </c>
      <c r="BO268" s="1" t="s">
        <v>1402</v>
      </c>
      <c r="BW268" s="284" t="s">
        <v>27</v>
      </c>
    </row>
    <row r="269" spans="1:75" ht="15" customHeight="1" x14ac:dyDescent="0.25">
      <c r="A269" s="275" t="s">
        <v>1065</v>
      </c>
      <c r="B269" s="276" t="s">
        <v>44</v>
      </c>
      <c r="D269" s="277">
        <v>44624</v>
      </c>
      <c r="E269" s="277">
        <v>45720</v>
      </c>
      <c r="H269" s="275" t="s">
        <v>64</v>
      </c>
      <c r="I269" s="275" t="s">
        <v>1473</v>
      </c>
      <c r="J269" s="286"/>
      <c r="K269" s="275" t="s">
        <v>1066</v>
      </c>
      <c r="L269" s="275" t="s">
        <v>1067</v>
      </c>
      <c r="M269" s="275" t="s">
        <v>1068</v>
      </c>
      <c r="R269" s="1">
        <v>1</v>
      </c>
      <c r="V269" s="1">
        <f t="shared" si="59"/>
        <v>1</v>
      </c>
      <c r="X269" s="1">
        <v>1</v>
      </c>
      <c r="Y269" s="1">
        <v>1</v>
      </c>
      <c r="AE269" s="1">
        <f t="shared" si="60"/>
        <v>2</v>
      </c>
      <c r="AF269" s="1">
        <f t="shared" si="61"/>
        <v>0</v>
      </c>
      <c r="AG269" s="1">
        <f t="shared" si="62"/>
        <v>1</v>
      </c>
      <c r="AH269" s="1">
        <f t="shared" si="63"/>
        <v>1</v>
      </c>
      <c r="AI269" s="1">
        <f t="shared" si="64"/>
        <v>-1</v>
      </c>
      <c r="AJ269" s="1">
        <f t="shared" si="65"/>
        <v>0</v>
      </c>
      <c r="AK269" s="1">
        <f t="shared" si="66"/>
        <v>0</v>
      </c>
      <c r="AL269" s="1">
        <f t="shared" si="67"/>
        <v>0</v>
      </c>
      <c r="AM269" s="1">
        <f t="shared" si="68"/>
        <v>0</v>
      </c>
      <c r="AN269" s="278">
        <f t="shared" si="58"/>
        <v>1</v>
      </c>
      <c r="AP269" s="280"/>
      <c r="AQ269" s="1">
        <v>0.25</v>
      </c>
      <c r="AR269" s="1">
        <v>0.25</v>
      </c>
      <c r="AS269" s="1">
        <v>0.25</v>
      </c>
      <c r="AT269" s="1">
        <v>0.25</v>
      </c>
      <c r="AU269" s="281"/>
      <c r="AZ269" s="281"/>
      <c r="BG269" s="282">
        <f t="shared" si="69"/>
        <v>1</v>
      </c>
      <c r="BH269" s="282">
        <f t="shared" si="70"/>
        <v>1</v>
      </c>
      <c r="BI269" s="283">
        <f t="shared" si="71"/>
        <v>1</v>
      </c>
      <c r="BL269" s="1">
        <v>514528</v>
      </c>
      <c r="BM269" s="1">
        <v>173249</v>
      </c>
      <c r="BN269" s="1" t="s">
        <v>1389</v>
      </c>
      <c r="BO269" s="1" t="s">
        <v>1408</v>
      </c>
      <c r="BW269" s="284" t="s">
        <v>27</v>
      </c>
    </row>
    <row r="270" spans="1:75" ht="15" customHeight="1" x14ac:dyDescent="0.25">
      <c r="A270" s="275" t="s">
        <v>916</v>
      </c>
      <c r="B270" s="276" t="s">
        <v>49</v>
      </c>
      <c r="C270" s="1" t="s">
        <v>1262</v>
      </c>
      <c r="D270" s="277">
        <v>44642</v>
      </c>
      <c r="E270" s="277">
        <v>45738</v>
      </c>
      <c r="H270" s="275" t="s">
        <v>64</v>
      </c>
      <c r="I270" s="275" t="s">
        <v>1473</v>
      </c>
      <c r="J270" s="286"/>
      <c r="K270" s="275" t="s">
        <v>917</v>
      </c>
      <c r="L270" s="275" t="s">
        <v>918</v>
      </c>
      <c r="M270" s="275" t="s">
        <v>606</v>
      </c>
      <c r="V270" s="1">
        <f t="shared" si="59"/>
        <v>0</v>
      </c>
      <c r="W270" s="1">
        <v>1</v>
      </c>
      <c r="AE270" s="1">
        <f t="shared" si="60"/>
        <v>1</v>
      </c>
      <c r="AF270" s="1">
        <f t="shared" si="61"/>
        <v>1</v>
      </c>
      <c r="AG270" s="1">
        <f t="shared" si="62"/>
        <v>0</v>
      </c>
      <c r="AH270" s="1">
        <f t="shared" si="63"/>
        <v>0</v>
      </c>
      <c r="AI270" s="1">
        <f t="shared" si="64"/>
        <v>0</v>
      </c>
      <c r="AJ270" s="1">
        <f t="shared" si="65"/>
        <v>0</v>
      </c>
      <c r="AK270" s="1">
        <f t="shared" si="66"/>
        <v>0</v>
      </c>
      <c r="AL270" s="1">
        <f t="shared" si="67"/>
        <v>0</v>
      </c>
      <c r="AM270" s="1">
        <f t="shared" si="68"/>
        <v>0</v>
      </c>
      <c r="AN270" s="278">
        <f t="shared" si="58"/>
        <v>1</v>
      </c>
      <c r="AP270" s="280"/>
      <c r="AQ270" s="1">
        <v>0.25</v>
      </c>
      <c r="AR270" s="1">
        <v>0.25</v>
      </c>
      <c r="AS270" s="1">
        <v>0.25</v>
      </c>
      <c r="AT270" s="1">
        <v>0.25</v>
      </c>
      <c r="AU270" s="281"/>
      <c r="AZ270" s="281"/>
      <c r="BG270" s="282">
        <f t="shared" si="69"/>
        <v>1</v>
      </c>
      <c r="BH270" s="282">
        <f t="shared" si="70"/>
        <v>1</v>
      </c>
      <c r="BI270" s="283">
        <f t="shared" si="71"/>
        <v>1</v>
      </c>
      <c r="BL270" s="1">
        <v>518059</v>
      </c>
      <c r="BM270" s="1">
        <v>175250</v>
      </c>
      <c r="BN270" s="1" t="s">
        <v>1385</v>
      </c>
      <c r="BO270" s="1" t="s">
        <v>1405</v>
      </c>
      <c r="BP270" s="284" t="s">
        <v>1385</v>
      </c>
      <c r="BU270" s="284" t="s">
        <v>1699</v>
      </c>
      <c r="BV270" s="284" t="s">
        <v>27</v>
      </c>
      <c r="BW270" s="284" t="s">
        <v>27</v>
      </c>
    </row>
    <row r="271" spans="1:75" ht="15" customHeight="1" x14ac:dyDescent="0.25">
      <c r="A271" s="275" t="s">
        <v>947</v>
      </c>
      <c r="B271" s="276" t="s">
        <v>49</v>
      </c>
      <c r="D271" s="277">
        <v>44652</v>
      </c>
      <c r="E271" s="277">
        <v>45748</v>
      </c>
      <c r="H271" s="275" t="s">
        <v>64</v>
      </c>
      <c r="I271" s="275" t="s">
        <v>1473</v>
      </c>
      <c r="J271" s="286"/>
      <c r="K271" s="275" t="s">
        <v>948</v>
      </c>
      <c r="L271" s="275" t="s">
        <v>949</v>
      </c>
      <c r="M271" s="275" t="s">
        <v>942</v>
      </c>
      <c r="V271" s="1">
        <f t="shared" si="59"/>
        <v>0</v>
      </c>
      <c r="W271" s="1">
        <v>1</v>
      </c>
      <c r="AE271" s="1">
        <f t="shared" si="60"/>
        <v>1</v>
      </c>
      <c r="AF271" s="1">
        <f t="shared" si="61"/>
        <v>1</v>
      </c>
      <c r="AG271" s="1">
        <f t="shared" si="62"/>
        <v>0</v>
      </c>
      <c r="AH271" s="1">
        <f t="shared" si="63"/>
        <v>0</v>
      </c>
      <c r="AI271" s="1">
        <f t="shared" si="64"/>
        <v>0</v>
      </c>
      <c r="AJ271" s="1">
        <f t="shared" si="65"/>
        <v>0</v>
      </c>
      <c r="AK271" s="1">
        <f t="shared" si="66"/>
        <v>0</v>
      </c>
      <c r="AL271" s="1">
        <f t="shared" si="67"/>
        <v>0</v>
      </c>
      <c r="AM271" s="1">
        <f t="shared" si="68"/>
        <v>0</v>
      </c>
      <c r="AN271" s="278">
        <f t="shared" si="58"/>
        <v>1</v>
      </c>
      <c r="AP271" s="280"/>
      <c r="AQ271" s="1">
        <v>0.25</v>
      </c>
      <c r="AR271" s="1">
        <v>0.25</v>
      </c>
      <c r="AS271" s="1">
        <v>0.25</v>
      </c>
      <c r="AT271" s="1">
        <v>0.25</v>
      </c>
      <c r="AU271" s="281"/>
      <c r="AZ271" s="281"/>
      <c r="BG271" s="282">
        <f t="shared" si="69"/>
        <v>1</v>
      </c>
      <c r="BH271" s="282">
        <f t="shared" si="70"/>
        <v>1</v>
      </c>
      <c r="BI271" s="283">
        <f t="shared" si="71"/>
        <v>1</v>
      </c>
      <c r="BL271" s="1">
        <v>517763</v>
      </c>
      <c r="BM271" s="1">
        <v>171561</v>
      </c>
      <c r="BN271" s="1" t="s">
        <v>1601</v>
      </c>
      <c r="BO271" s="1" t="s">
        <v>1560</v>
      </c>
    </row>
    <row r="272" spans="1:75" ht="15" customHeight="1" x14ac:dyDescent="0.25">
      <c r="A272" s="275" t="s">
        <v>870</v>
      </c>
      <c r="B272" s="276" t="s">
        <v>49</v>
      </c>
      <c r="C272" s="1" t="s">
        <v>1262</v>
      </c>
      <c r="D272" s="277">
        <v>44664</v>
      </c>
      <c r="E272" s="277">
        <v>45760</v>
      </c>
      <c r="H272" s="275" t="s">
        <v>64</v>
      </c>
      <c r="I272" s="275" t="s">
        <v>1473</v>
      </c>
      <c r="J272" s="286"/>
      <c r="K272" s="275" t="s">
        <v>871</v>
      </c>
      <c r="L272" s="275" t="s">
        <v>872</v>
      </c>
      <c r="M272" s="275" t="s">
        <v>873</v>
      </c>
      <c r="V272" s="1">
        <f t="shared" si="59"/>
        <v>0</v>
      </c>
      <c r="X272" s="1">
        <v>1</v>
      </c>
      <c r="AE272" s="1">
        <f t="shared" si="60"/>
        <v>1</v>
      </c>
      <c r="AF272" s="1">
        <f t="shared" si="61"/>
        <v>0</v>
      </c>
      <c r="AG272" s="1">
        <f t="shared" si="62"/>
        <v>1</v>
      </c>
      <c r="AH272" s="1">
        <f t="shared" si="63"/>
        <v>0</v>
      </c>
      <c r="AI272" s="1">
        <f t="shared" si="64"/>
        <v>0</v>
      </c>
      <c r="AJ272" s="1">
        <f t="shared" si="65"/>
        <v>0</v>
      </c>
      <c r="AK272" s="1">
        <f t="shared" si="66"/>
        <v>0</v>
      </c>
      <c r="AL272" s="1">
        <f t="shared" si="67"/>
        <v>0</v>
      </c>
      <c r="AM272" s="1">
        <f t="shared" si="68"/>
        <v>0</v>
      </c>
      <c r="AN272" s="278">
        <f t="shared" si="58"/>
        <v>1</v>
      </c>
      <c r="AP272" s="280"/>
      <c r="AQ272" s="1">
        <v>0.25</v>
      </c>
      <c r="AR272" s="1">
        <v>0.25</v>
      </c>
      <c r="AS272" s="1">
        <v>0.25</v>
      </c>
      <c r="AT272" s="1">
        <v>0.25</v>
      </c>
      <c r="AU272" s="281"/>
      <c r="AZ272" s="281"/>
      <c r="BG272" s="282">
        <f t="shared" si="69"/>
        <v>1</v>
      </c>
      <c r="BH272" s="282">
        <f t="shared" si="70"/>
        <v>1</v>
      </c>
      <c r="BI272" s="283">
        <f t="shared" si="71"/>
        <v>1</v>
      </c>
      <c r="BL272" s="1">
        <v>513028</v>
      </c>
      <c r="BM272" s="1">
        <v>170485</v>
      </c>
      <c r="BN272" s="1" t="s">
        <v>1600</v>
      </c>
      <c r="BO272" s="1" t="s">
        <v>1400</v>
      </c>
      <c r="BW272" s="284" t="s">
        <v>27</v>
      </c>
    </row>
    <row r="273" spans="1:75" ht="15" customHeight="1" x14ac:dyDescent="0.25">
      <c r="A273" s="275" t="s">
        <v>874</v>
      </c>
      <c r="B273" s="276" t="s">
        <v>44</v>
      </c>
      <c r="D273" s="277">
        <v>44671</v>
      </c>
      <c r="E273" s="277">
        <v>45767</v>
      </c>
      <c r="H273" s="275" t="s">
        <v>64</v>
      </c>
      <c r="I273" s="275" t="s">
        <v>1473</v>
      </c>
      <c r="J273" s="286"/>
      <c r="K273" s="275" t="s">
        <v>875</v>
      </c>
      <c r="L273" s="275" t="s">
        <v>876</v>
      </c>
      <c r="M273" s="275" t="s">
        <v>877</v>
      </c>
      <c r="V273" s="1">
        <f t="shared" si="59"/>
        <v>0</v>
      </c>
      <c r="W273" s="1">
        <v>1</v>
      </c>
      <c r="Y273" s="1">
        <v>1</v>
      </c>
      <c r="AE273" s="1">
        <f t="shared" si="60"/>
        <v>2</v>
      </c>
      <c r="AF273" s="1">
        <f t="shared" si="61"/>
        <v>1</v>
      </c>
      <c r="AG273" s="1">
        <f t="shared" si="62"/>
        <v>0</v>
      </c>
      <c r="AH273" s="1">
        <f t="shared" si="63"/>
        <v>1</v>
      </c>
      <c r="AI273" s="1">
        <f t="shared" si="64"/>
        <v>0</v>
      </c>
      <c r="AJ273" s="1">
        <f t="shared" si="65"/>
        <v>0</v>
      </c>
      <c r="AK273" s="1">
        <f t="shared" si="66"/>
        <v>0</v>
      </c>
      <c r="AL273" s="1">
        <f t="shared" si="67"/>
        <v>0</v>
      </c>
      <c r="AM273" s="1">
        <f t="shared" si="68"/>
        <v>0</v>
      </c>
      <c r="AN273" s="278">
        <f t="shared" si="58"/>
        <v>2</v>
      </c>
      <c r="AP273" s="280"/>
      <c r="AQ273" s="1">
        <v>0.5</v>
      </c>
      <c r="AR273" s="1">
        <v>0.5</v>
      </c>
      <c r="AS273" s="1">
        <v>0.5</v>
      </c>
      <c r="AT273" s="1">
        <v>0.5</v>
      </c>
      <c r="AU273" s="281"/>
      <c r="AZ273" s="281"/>
      <c r="BG273" s="282">
        <f t="shared" si="69"/>
        <v>2</v>
      </c>
      <c r="BH273" s="282">
        <f t="shared" si="70"/>
        <v>2</v>
      </c>
      <c r="BI273" s="283">
        <f t="shared" si="71"/>
        <v>2</v>
      </c>
      <c r="BL273" s="1">
        <v>517711</v>
      </c>
      <c r="BM273" s="1">
        <v>174824</v>
      </c>
      <c r="BN273" s="1" t="s">
        <v>1385</v>
      </c>
      <c r="BO273" s="1" t="s">
        <v>1405</v>
      </c>
      <c r="BP273" s="284" t="s">
        <v>1385</v>
      </c>
      <c r="BU273" s="284" t="s">
        <v>1731</v>
      </c>
      <c r="BV273" s="284" t="s">
        <v>27</v>
      </c>
      <c r="BW273" s="284" t="s">
        <v>27</v>
      </c>
    </row>
    <row r="274" spans="1:75" ht="15" customHeight="1" x14ac:dyDescent="0.25">
      <c r="A274" s="275" t="s">
        <v>898</v>
      </c>
      <c r="B274" s="276" t="s">
        <v>21</v>
      </c>
      <c r="D274" s="277">
        <v>44672</v>
      </c>
      <c r="E274" s="277">
        <v>45768</v>
      </c>
      <c r="H274" s="275" t="s">
        <v>64</v>
      </c>
      <c r="I274" s="275" t="s">
        <v>1473</v>
      </c>
      <c r="J274" s="286"/>
      <c r="K274" s="275" t="s">
        <v>899</v>
      </c>
      <c r="L274" s="275" t="s">
        <v>900</v>
      </c>
      <c r="M274" s="275" t="s">
        <v>901</v>
      </c>
      <c r="R274" s="1">
        <v>1</v>
      </c>
      <c r="V274" s="1">
        <f t="shared" si="59"/>
        <v>1</v>
      </c>
      <c r="AA274" s="1">
        <v>1</v>
      </c>
      <c r="AE274" s="1">
        <f t="shared" si="60"/>
        <v>1</v>
      </c>
      <c r="AF274" s="1">
        <f t="shared" si="61"/>
        <v>0</v>
      </c>
      <c r="AG274" s="1">
        <f t="shared" si="62"/>
        <v>0</v>
      </c>
      <c r="AH274" s="1">
        <f t="shared" si="63"/>
        <v>0</v>
      </c>
      <c r="AI274" s="1">
        <f t="shared" si="64"/>
        <v>-1</v>
      </c>
      <c r="AJ274" s="1">
        <f t="shared" si="65"/>
        <v>1</v>
      </c>
      <c r="AK274" s="1">
        <f t="shared" si="66"/>
        <v>0</v>
      </c>
      <c r="AL274" s="1">
        <f t="shared" si="67"/>
        <v>0</v>
      </c>
      <c r="AM274" s="1">
        <f t="shared" si="68"/>
        <v>0</v>
      </c>
      <c r="AN274" s="278">
        <f t="shared" si="58"/>
        <v>0</v>
      </c>
      <c r="AP274" s="280"/>
      <c r="AQ274" s="1">
        <v>0</v>
      </c>
      <c r="AU274" s="281"/>
      <c r="AZ274" s="281"/>
      <c r="BG274" s="282">
        <f t="shared" si="69"/>
        <v>0</v>
      </c>
      <c r="BH274" s="282">
        <f t="shared" si="70"/>
        <v>0</v>
      </c>
      <c r="BI274" s="283">
        <f t="shared" si="71"/>
        <v>0</v>
      </c>
      <c r="BL274" s="1">
        <v>522088</v>
      </c>
      <c r="BM274" s="1">
        <v>177109</v>
      </c>
      <c r="BN274" s="1" t="s">
        <v>1599</v>
      </c>
      <c r="BO274" s="1" t="s">
        <v>1399</v>
      </c>
    </row>
    <row r="275" spans="1:75" ht="15" customHeight="1" x14ac:dyDescent="0.25">
      <c r="A275" s="275" t="s">
        <v>1045</v>
      </c>
      <c r="B275" s="276" t="s">
        <v>49</v>
      </c>
      <c r="C275" s="1" t="s">
        <v>1262</v>
      </c>
      <c r="D275" s="277">
        <v>44672</v>
      </c>
      <c r="E275" s="277">
        <v>45768</v>
      </c>
      <c r="F275" s="277">
        <v>45017</v>
      </c>
      <c r="G275" s="277">
        <v>45168</v>
      </c>
      <c r="H275" s="275" t="s">
        <v>64</v>
      </c>
      <c r="I275" s="275" t="s">
        <v>1473</v>
      </c>
      <c r="J275" s="286"/>
      <c r="K275" s="275" t="s">
        <v>1046</v>
      </c>
      <c r="L275" s="275" t="s">
        <v>1047</v>
      </c>
      <c r="M275" s="275" t="s">
        <v>1048</v>
      </c>
      <c r="V275" s="1">
        <f t="shared" si="59"/>
        <v>0</v>
      </c>
      <c r="W275" s="1">
        <v>3</v>
      </c>
      <c r="AE275" s="1">
        <f t="shared" si="60"/>
        <v>3</v>
      </c>
      <c r="AF275" s="1">
        <f t="shared" si="61"/>
        <v>3</v>
      </c>
      <c r="AG275" s="1">
        <f t="shared" si="62"/>
        <v>0</v>
      </c>
      <c r="AH275" s="1">
        <f t="shared" si="63"/>
        <v>0</v>
      </c>
      <c r="AI275" s="1">
        <f t="shared" si="64"/>
        <v>0</v>
      </c>
      <c r="AJ275" s="1">
        <f t="shared" si="65"/>
        <v>0</v>
      </c>
      <c r="AK275" s="1">
        <f t="shared" si="66"/>
        <v>0</v>
      </c>
      <c r="AL275" s="1">
        <f t="shared" si="67"/>
        <v>0</v>
      </c>
      <c r="AM275" s="1">
        <f t="shared" si="68"/>
        <v>0</v>
      </c>
      <c r="AN275" s="278">
        <f t="shared" si="58"/>
        <v>3</v>
      </c>
      <c r="AP275" s="280"/>
      <c r="AQ275" s="1">
        <v>3</v>
      </c>
      <c r="AU275" s="281"/>
      <c r="AZ275" s="281"/>
      <c r="BG275" s="282">
        <f t="shared" si="69"/>
        <v>3</v>
      </c>
      <c r="BH275" s="282">
        <f t="shared" si="70"/>
        <v>3</v>
      </c>
      <c r="BI275" s="283">
        <f t="shared" si="71"/>
        <v>3</v>
      </c>
      <c r="BL275" s="1">
        <v>515980</v>
      </c>
      <c r="BM275" s="1">
        <v>171081</v>
      </c>
      <c r="BN275" s="1" t="s">
        <v>1600</v>
      </c>
      <c r="BO275" s="1" t="s">
        <v>1387</v>
      </c>
      <c r="BP275" s="284" t="s">
        <v>1387</v>
      </c>
      <c r="BU275" s="284" t="s">
        <v>1685</v>
      </c>
      <c r="BV275" s="284" t="s">
        <v>27</v>
      </c>
      <c r="BW275" s="284" t="s">
        <v>27</v>
      </c>
    </row>
    <row r="276" spans="1:75" ht="15" customHeight="1" x14ac:dyDescent="0.25">
      <c r="A276" s="275" t="s">
        <v>1077</v>
      </c>
      <c r="B276" s="276" t="s">
        <v>144</v>
      </c>
      <c r="D276" s="277">
        <v>44489</v>
      </c>
      <c r="E276" s="277">
        <v>45776</v>
      </c>
      <c r="H276" s="275" t="s">
        <v>64</v>
      </c>
      <c r="I276" s="275" t="s">
        <v>1473</v>
      </c>
      <c r="J276" s="286"/>
      <c r="K276" s="275" t="s">
        <v>1078</v>
      </c>
      <c r="L276" s="275" t="s">
        <v>1079</v>
      </c>
      <c r="M276" s="275" t="s">
        <v>1080</v>
      </c>
      <c r="P276" s="1">
        <v>1</v>
      </c>
      <c r="Q276" s="1">
        <v>1</v>
      </c>
      <c r="V276" s="1">
        <f t="shared" si="59"/>
        <v>2</v>
      </c>
      <c r="W276" s="1">
        <v>4</v>
      </c>
      <c r="X276" s="1">
        <v>2</v>
      </c>
      <c r="AE276" s="1">
        <f t="shared" si="60"/>
        <v>6</v>
      </c>
      <c r="AF276" s="1">
        <f t="shared" si="61"/>
        <v>4</v>
      </c>
      <c r="AG276" s="1">
        <f t="shared" si="62"/>
        <v>1</v>
      </c>
      <c r="AH276" s="1">
        <f t="shared" si="63"/>
        <v>-1</v>
      </c>
      <c r="AI276" s="1">
        <f t="shared" si="64"/>
        <v>0</v>
      </c>
      <c r="AJ276" s="1">
        <f t="shared" si="65"/>
        <v>0</v>
      </c>
      <c r="AK276" s="1">
        <f t="shared" si="66"/>
        <v>0</v>
      </c>
      <c r="AL276" s="1">
        <f t="shared" si="67"/>
        <v>0</v>
      </c>
      <c r="AM276" s="1">
        <f t="shared" si="68"/>
        <v>0</v>
      </c>
      <c r="AN276" s="278">
        <f t="shared" si="58"/>
        <v>4</v>
      </c>
      <c r="AP276" s="280"/>
      <c r="AQ276" s="1">
        <v>1</v>
      </c>
      <c r="AR276" s="1">
        <v>1</v>
      </c>
      <c r="AS276" s="1">
        <v>1</v>
      </c>
      <c r="AT276" s="1">
        <v>1</v>
      </c>
      <c r="AU276" s="281"/>
      <c r="AZ276" s="281"/>
      <c r="BG276" s="282">
        <f t="shared" si="69"/>
        <v>4</v>
      </c>
      <c r="BH276" s="282">
        <f t="shared" si="70"/>
        <v>4</v>
      </c>
      <c r="BI276" s="283">
        <f t="shared" si="71"/>
        <v>4</v>
      </c>
      <c r="BL276" s="1">
        <v>514632</v>
      </c>
      <c r="BM276" s="1">
        <v>171370</v>
      </c>
      <c r="BN276" s="1" t="s">
        <v>1600</v>
      </c>
      <c r="BO276" s="1" t="s">
        <v>1563</v>
      </c>
      <c r="BW276" s="284" t="s">
        <v>27</v>
      </c>
    </row>
    <row r="277" spans="1:75" ht="15" customHeight="1" x14ac:dyDescent="0.25">
      <c r="A277" s="275" t="s">
        <v>1089</v>
      </c>
      <c r="B277" s="276" t="s">
        <v>144</v>
      </c>
      <c r="D277" s="277">
        <v>44693</v>
      </c>
      <c r="E277" s="277">
        <v>45789</v>
      </c>
      <c r="H277" s="275" t="s">
        <v>64</v>
      </c>
      <c r="I277" s="275" t="s">
        <v>1473</v>
      </c>
      <c r="J277" s="286"/>
      <c r="K277" s="275" t="s">
        <v>1090</v>
      </c>
      <c r="L277" s="275" t="s">
        <v>1091</v>
      </c>
      <c r="M277" s="275" t="s">
        <v>1092</v>
      </c>
      <c r="S277" s="1">
        <v>1</v>
      </c>
      <c r="V277" s="1">
        <f t="shared" si="59"/>
        <v>1</v>
      </c>
      <c r="X277" s="1">
        <v>1</v>
      </c>
      <c r="Y277" s="1">
        <v>1</v>
      </c>
      <c r="AE277" s="1">
        <f t="shared" si="60"/>
        <v>2</v>
      </c>
      <c r="AF277" s="1">
        <f t="shared" si="61"/>
        <v>0</v>
      </c>
      <c r="AG277" s="1">
        <f t="shared" si="62"/>
        <v>1</v>
      </c>
      <c r="AH277" s="1">
        <f t="shared" si="63"/>
        <v>1</v>
      </c>
      <c r="AI277" s="1">
        <f t="shared" si="64"/>
        <v>0</v>
      </c>
      <c r="AJ277" s="1">
        <f t="shared" si="65"/>
        <v>-1</v>
      </c>
      <c r="AK277" s="1">
        <f t="shared" si="66"/>
        <v>0</v>
      </c>
      <c r="AL277" s="1">
        <f t="shared" si="67"/>
        <v>0</v>
      </c>
      <c r="AM277" s="1">
        <f t="shared" si="68"/>
        <v>0</v>
      </c>
      <c r="AN277" s="278">
        <f t="shared" si="58"/>
        <v>1</v>
      </c>
      <c r="AP277" s="280"/>
      <c r="AQ277" s="1">
        <v>0.25</v>
      </c>
      <c r="AR277" s="1">
        <v>0.25</v>
      </c>
      <c r="AS277" s="1">
        <v>0.25</v>
      </c>
      <c r="AT277" s="1">
        <v>0.25</v>
      </c>
      <c r="AU277" s="281"/>
      <c r="AZ277" s="281"/>
      <c r="BG277" s="282">
        <f t="shared" si="69"/>
        <v>1</v>
      </c>
      <c r="BH277" s="282">
        <f t="shared" si="70"/>
        <v>1</v>
      </c>
      <c r="BI277" s="283">
        <f t="shared" si="71"/>
        <v>1</v>
      </c>
      <c r="BL277" s="1">
        <v>515512</v>
      </c>
      <c r="BM277" s="1">
        <v>173771</v>
      </c>
      <c r="BN277" s="1" t="s">
        <v>1389</v>
      </c>
      <c r="BO277" s="1" t="s">
        <v>1561</v>
      </c>
      <c r="BW277" s="284" t="s">
        <v>27</v>
      </c>
    </row>
    <row r="278" spans="1:75" ht="15" customHeight="1" x14ac:dyDescent="0.25">
      <c r="A278" s="275" t="s">
        <v>1209</v>
      </c>
      <c r="B278" s="276" t="s">
        <v>49</v>
      </c>
      <c r="C278" s="1" t="s">
        <v>1262</v>
      </c>
      <c r="D278" s="277">
        <v>44712</v>
      </c>
      <c r="E278" s="277">
        <v>45808</v>
      </c>
      <c r="H278" s="275" t="s">
        <v>64</v>
      </c>
      <c r="I278" s="275" t="s">
        <v>1473</v>
      </c>
      <c r="J278" s="286"/>
      <c r="K278" s="275" t="s">
        <v>1210</v>
      </c>
      <c r="L278" s="275" t="s">
        <v>1211</v>
      </c>
      <c r="M278" s="275" t="s">
        <v>1212</v>
      </c>
      <c r="V278" s="1">
        <f t="shared" si="59"/>
        <v>0</v>
      </c>
      <c r="X278" s="1">
        <v>2</v>
      </c>
      <c r="AE278" s="1">
        <f t="shared" si="60"/>
        <v>2</v>
      </c>
      <c r="AF278" s="1">
        <f t="shared" si="61"/>
        <v>0</v>
      </c>
      <c r="AG278" s="1">
        <f t="shared" si="62"/>
        <v>2</v>
      </c>
      <c r="AH278" s="1">
        <f t="shared" si="63"/>
        <v>0</v>
      </c>
      <c r="AI278" s="1">
        <f t="shared" si="64"/>
        <v>0</v>
      </c>
      <c r="AJ278" s="1">
        <f t="shared" si="65"/>
        <v>0</v>
      </c>
      <c r="AK278" s="1">
        <f t="shared" si="66"/>
        <v>0</v>
      </c>
      <c r="AL278" s="1">
        <f t="shared" si="67"/>
        <v>0</v>
      </c>
      <c r="AM278" s="1">
        <f t="shared" si="68"/>
        <v>0</v>
      </c>
      <c r="AN278" s="278">
        <f t="shared" si="58"/>
        <v>2</v>
      </c>
      <c r="AP278" s="280"/>
      <c r="AQ278" s="1">
        <v>0.5</v>
      </c>
      <c r="AR278" s="1">
        <v>0.5</v>
      </c>
      <c r="AS278" s="1">
        <v>0.5</v>
      </c>
      <c r="AT278" s="1">
        <v>0.5</v>
      </c>
      <c r="AU278" s="281"/>
      <c r="AZ278" s="281"/>
      <c r="BG278" s="282">
        <f t="shared" si="69"/>
        <v>2</v>
      </c>
      <c r="BH278" s="282">
        <f t="shared" si="70"/>
        <v>2</v>
      </c>
      <c r="BI278" s="283">
        <f t="shared" si="71"/>
        <v>2</v>
      </c>
      <c r="BL278" s="1">
        <v>517895</v>
      </c>
      <c r="BM278" s="1">
        <v>174884</v>
      </c>
      <c r="BN278" s="1" t="s">
        <v>1385</v>
      </c>
      <c r="BO278" s="1" t="s">
        <v>1405</v>
      </c>
      <c r="BP278" s="284" t="s">
        <v>1385</v>
      </c>
      <c r="BU278" s="284" t="s">
        <v>1699</v>
      </c>
      <c r="BV278" s="284" t="s">
        <v>27</v>
      </c>
      <c r="BW278" s="284" t="s">
        <v>27</v>
      </c>
    </row>
    <row r="279" spans="1:75" ht="15" customHeight="1" x14ac:dyDescent="0.25">
      <c r="A279" s="275" t="s">
        <v>1029</v>
      </c>
      <c r="B279" s="276" t="s">
        <v>49</v>
      </c>
      <c r="C279" s="1" t="s">
        <v>1262</v>
      </c>
      <c r="D279" s="277">
        <v>44712</v>
      </c>
      <c r="E279" s="277">
        <v>45808</v>
      </c>
      <c r="H279" s="275" t="s">
        <v>64</v>
      </c>
      <c r="I279" s="275" t="s">
        <v>1473</v>
      </c>
      <c r="J279" s="286"/>
      <c r="K279" s="275" t="s">
        <v>1030</v>
      </c>
      <c r="L279" s="275" t="s">
        <v>1031</v>
      </c>
      <c r="M279" s="275" t="s">
        <v>938</v>
      </c>
      <c r="V279" s="1">
        <f t="shared" si="59"/>
        <v>0</v>
      </c>
      <c r="X279" s="1">
        <v>1</v>
      </c>
      <c r="AE279" s="1">
        <f t="shared" si="60"/>
        <v>1</v>
      </c>
      <c r="AF279" s="1">
        <f t="shared" si="61"/>
        <v>0</v>
      </c>
      <c r="AG279" s="1">
        <f t="shared" si="62"/>
        <v>1</v>
      </c>
      <c r="AH279" s="1">
        <f t="shared" si="63"/>
        <v>0</v>
      </c>
      <c r="AI279" s="1">
        <f t="shared" si="64"/>
        <v>0</v>
      </c>
      <c r="AJ279" s="1">
        <f t="shared" si="65"/>
        <v>0</v>
      </c>
      <c r="AK279" s="1">
        <f t="shared" si="66"/>
        <v>0</v>
      </c>
      <c r="AL279" s="1">
        <f t="shared" si="67"/>
        <v>0</v>
      </c>
      <c r="AM279" s="1">
        <f t="shared" si="68"/>
        <v>0</v>
      </c>
      <c r="AN279" s="278">
        <f t="shared" si="58"/>
        <v>1</v>
      </c>
      <c r="AP279" s="280"/>
      <c r="AQ279" s="1">
        <v>0.25</v>
      </c>
      <c r="AR279" s="1">
        <v>0.25</v>
      </c>
      <c r="AS279" s="1">
        <v>0.25</v>
      </c>
      <c r="AT279" s="1">
        <v>0.25</v>
      </c>
      <c r="AU279" s="281"/>
      <c r="AZ279" s="281"/>
      <c r="BG279" s="282">
        <f t="shared" si="69"/>
        <v>1</v>
      </c>
      <c r="BH279" s="282">
        <f t="shared" si="70"/>
        <v>1</v>
      </c>
      <c r="BI279" s="283">
        <f t="shared" si="71"/>
        <v>1</v>
      </c>
      <c r="BL279" s="1">
        <v>516837</v>
      </c>
      <c r="BM279" s="1">
        <v>174180</v>
      </c>
      <c r="BN279" s="1" t="s">
        <v>1389</v>
      </c>
      <c r="BO279" s="1" t="s">
        <v>1561</v>
      </c>
      <c r="BR279" s="284" t="s">
        <v>1709</v>
      </c>
      <c r="BS279" s="284" t="s">
        <v>27</v>
      </c>
      <c r="BU279" s="284" t="s">
        <v>1712</v>
      </c>
      <c r="BV279" s="284" t="s">
        <v>27</v>
      </c>
      <c r="BW279" s="284" t="s">
        <v>27</v>
      </c>
    </row>
    <row r="280" spans="1:75" ht="15" customHeight="1" x14ac:dyDescent="0.25">
      <c r="A280" s="275" t="s">
        <v>1120</v>
      </c>
      <c r="B280" s="276" t="s">
        <v>49</v>
      </c>
      <c r="C280" s="1" t="s">
        <v>1262</v>
      </c>
      <c r="D280" s="277">
        <v>44726</v>
      </c>
      <c r="E280" s="277">
        <v>45822</v>
      </c>
      <c r="H280" s="275" t="s">
        <v>64</v>
      </c>
      <c r="I280" s="275" t="s">
        <v>1473</v>
      </c>
      <c r="J280" s="286"/>
      <c r="K280" s="275" t="s">
        <v>1121</v>
      </c>
      <c r="L280" s="275" t="s">
        <v>1122</v>
      </c>
      <c r="M280" s="275" t="s">
        <v>1123</v>
      </c>
      <c r="V280" s="1">
        <f t="shared" si="59"/>
        <v>0</v>
      </c>
      <c r="X280" s="1">
        <v>2</v>
      </c>
      <c r="AE280" s="1">
        <f t="shared" si="60"/>
        <v>2</v>
      </c>
      <c r="AF280" s="1">
        <f t="shared" si="61"/>
        <v>0</v>
      </c>
      <c r="AG280" s="1">
        <f t="shared" si="62"/>
        <v>2</v>
      </c>
      <c r="AH280" s="1">
        <f t="shared" si="63"/>
        <v>0</v>
      </c>
      <c r="AI280" s="1">
        <f t="shared" si="64"/>
        <v>0</v>
      </c>
      <c r="AJ280" s="1">
        <f t="shared" si="65"/>
        <v>0</v>
      </c>
      <c r="AK280" s="1">
        <f t="shared" si="66"/>
        <v>0</v>
      </c>
      <c r="AL280" s="1">
        <f t="shared" si="67"/>
        <v>0</v>
      </c>
      <c r="AM280" s="1">
        <f t="shared" si="68"/>
        <v>0</v>
      </c>
      <c r="AN280" s="278">
        <f t="shared" si="58"/>
        <v>2</v>
      </c>
      <c r="AP280" s="280"/>
      <c r="AQ280" s="1">
        <v>0.5</v>
      </c>
      <c r="AR280" s="1">
        <v>0.5</v>
      </c>
      <c r="AS280" s="1">
        <v>0.5</v>
      </c>
      <c r="AT280" s="1">
        <v>0.5</v>
      </c>
      <c r="AU280" s="281"/>
      <c r="AZ280" s="281"/>
      <c r="BG280" s="282">
        <f t="shared" si="69"/>
        <v>2</v>
      </c>
      <c r="BH280" s="282">
        <f t="shared" si="70"/>
        <v>2</v>
      </c>
      <c r="BI280" s="283">
        <f t="shared" si="71"/>
        <v>2</v>
      </c>
      <c r="BL280" s="1">
        <v>515645</v>
      </c>
      <c r="BM280" s="1">
        <v>170997</v>
      </c>
      <c r="BN280" s="1" t="s">
        <v>1600</v>
      </c>
      <c r="BO280" s="1" t="s">
        <v>1387</v>
      </c>
      <c r="BP280" s="284" t="s">
        <v>1387</v>
      </c>
      <c r="BW280" s="284" t="s">
        <v>27</v>
      </c>
    </row>
    <row r="281" spans="1:75" ht="15" customHeight="1" x14ac:dyDescent="0.25">
      <c r="A281" s="275" t="s">
        <v>817</v>
      </c>
      <c r="B281" s="276" t="s">
        <v>49</v>
      </c>
      <c r="D281" s="277">
        <v>44729</v>
      </c>
      <c r="E281" s="277">
        <v>45825</v>
      </c>
      <c r="H281" s="275" t="s">
        <v>64</v>
      </c>
      <c r="I281" s="275" t="s">
        <v>1473</v>
      </c>
      <c r="J281" s="286"/>
      <c r="K281" s="275" t="s">
        <v>818</v>
      </c>
      <c r="L281" s="275" t="s">
        <v>819</v>
      </c>
      <c r="M281" s="275" t="s">
        <v>409</v>
      </c>
      <c r="Q281" s="1">
        <v>1</v>
      </c>
      <c r="V281" s="1">
        <f t="shared" si="59"/>
        <v>1</v>
      </c>
      <c r="AE281" s="1">
        <f t="shared" si="60"/>
        <v>0</v>
      </c>
      <c r="AF281" s="1">
        <f t="shared" si="61"/>
        <v>0</v>
      </c>
      <c r="AG281" s="1">
        <f t="shared" si="62"/>
        <v>0</v>
      </c>
      <c r="AH281" s="1">
        <f t="shared" si="63"/>
        <v>-1</v>
      </c>
      <c r="AI281" s="1">
        <f t="shared" si="64"/>
        <v>0</v>
      </c>
      <c r="AJ281" s="1">
        <f t="shared" si="65"/>
        <v>0</v>
      </c>
      <c r="AK281" s="1">
        <f t="shared" si="66"/>
        <v>0</v>
      </c>
      <c r="AL281" s="1">
        <f t="shared" si="67"/>
        <v>0</v>
      </c>
      <c r="AM281" s="1">
        <f t="shared" si="68"/>
        <v>0</v>
      </c>
      <c r="AN281" s="278">
        <f t="shared" si="58"/>
        <v>-1</v>
      </c>
      <c r="AP281" s="280"/>
      <c r="AQ281" s="1">
        <v>-0.25</v>
      </c>
      <c r="AR281" s="1">
        <v>-0.25</v>
      </c>
      <c r="AS281" s="1">
        <v>-0.25</v>
      </c>
      <c r="AT281" s="1">
        <v>-0.25</v>
      </c>
      <c r="AU281" s="281"/>
      <c r="AZ281" s="281"/>
      <c r="BG281" s="282">
        <f t="shared" si="69"/>
        <v>-1</v>
      </c>
      <c r="BH281" s="282">
        <f t="shared" si="70"/>
        <v>-1</v>
      </c>
      <c r="BI281" s="283">
        <f t="shared" si="71"/>
        <v>-1</v>
      </c>
      <c r="BL281" s="1">
        <v>518327</v>
      </c>
      <c r="BM281" s="1">
        <v>174138</v>
      </c>
      <c r="BN281" s="1" t="s">
        <v>1385</v>
      </c>
      <c r="BO281" s="1" t="s">
        <v>1405</v>
      </c>
      <c r="BU281" s="284" t="s">
        <v>1692</v>
      </c>
      <c r="BV281" s="284" t="s">
        <v>27</v>
      </c>
      <c r="BW281" s="284" t="s">
        <v>27</v>
      </c>
    </row>
    <row r="282" spans="1:75" ht="15" customHeight="1" x14ac:dyDescent="0.25">
      <c r="A282" s="275" t="s">
        <v>1062</v>
      </c>
      <c r="B282" s="276" t="s">
        <v>49</v>
      </c>
      <c r="C282" s="1" t="s">
        <v>1262</v>
      </c>
      <c r="D282" s="277">
        <v>44732</v>
      </c>
      <c r="E282" s="277">
        <v>45828</v>
      </c>
      <c r="H282" s="275" t="s">
        <v>64</v>
      </c>
      <c r="I282" s="275" t="s">
        <v>1473</v>
      </c>
      <c r="J282" s="286"/>
      <c r="K282" s="275" t="s">
        <v>1063</v>
      </c>
      <c r="L282" s="275" t="s">
        <v>1064</v>
      </c>
      <c r="M282" s="275" t="s">
        <v>413</v>
      </c>
      <c r="V282" s="1">
        <f t="shared" si="59"/>
        <v>0</v>
      </c>
      <c r="W282" s="1">
        <v>3</v>
      </c>
      <c r="X282" s="1">
        <v>3</v>
      </c>
      <c r="Y282" s="1">
        <v>1</v>
      </c>
      <c r="AE282" s="1">
        <f t="shared" si="60"/>
        <v>7</v>
      </c>
      <c r="AF282" s="1">
        <f t="shared" si="61"/>
        <v>3</v>
      </c>
      <c r="AG282" s="1">
        <f t="shared" si="62"/>
        <v>3</v>
      </c>
      <c r="AH282" s="1">
        <f t="shared" si="63"/>
        <v>1</v>
      </c>
      <c r="AI282" s="1">
        <f t="shared" si="64"/>
        <v>0</v>
      </c>
      <c r="AJ282" s="1">
        <f t="shared" si="65"/>
        <v>0</v>
      </c>
      <c r="AK282" s="1">
        <f t="shared" si="66"/>
        <v>0</v>
      </c>
      <c r="AL282" s="1">
        <f t="shared" si="67"/>
        <v>0</v>
      </c>
      <c r="AM282" s="1">
        <f t="shared" si="68"/>
        <v>0</v>
      </c>
      <c r="AN282" s="278">
        <f t="shared" si="58"/>
        <v>7</v>
      </c>
      <c r="AP282" s="280"/>
      <c r="AQ282" s="1">
        <v>1.75</v>
      </c>
      <c r="AR282" s="1">
        <v>1.75</v>
      </c>
      <c r="AS282" s="1">
        <v>1.75</v>
      </c>
      <c r="AT282" s="1">
        <v>1.75</v>
      </c>
      <c r="AU282" s="281"/>
      <c r="AZ282" s="281"/>
      <c r="BG282" s="282">
        <f t="shared" si="69"/>
        <v>7</v>
      </c>
      <c r="BH282" s="282">
        <f t="shared" si="70"/>
        <v>7</v>
      </c>
      <c r="BI282" s="283">
        <f t="shared" si="71"/>
        <v>7</v>
      </c>
      <c r="BL282" s="1">
        <v>514266</v>
      </c>
      <c r="BM282" s="1">
        <v>170834</v>
      </c>
      <c r="BN282" s="1" t="s">
        <v>1600</v>
      </c>
      <c r="BO282" s="1" t="s">
        <v>1563</v>
      </c>
      <c r="BR282" s="284" t="s">
        <v>1701</v>
      </c>
      <c r="BS282" s="284" t="s">
        <v>27</v>
      </c>
      <c r="BU282" s="284" t="s">
        <v>1702</v>
      </c>
      <c r="BV282" s="284" t="s">
        <v>27</v>
      </c>
    </row>
    <row r="283" spans="1:75" ht="15" customHeight="1" x14ac:dyDescent="0.25">
      <c r="A283" s="275" t="s">
        <v>84</v>
      </c>
      <c r="B283" s="276" t="s">
        <v>21</v>
      </c>
      <c r="D283" s="277">
        <v>44735</v>
      </c>
      <c r="E283" s="277">
        <v>45831</v>
      </c>
      <c r="H283" s="275" t="s">
        <v>64</v>
      </c>
      <c r="I283" s="275" t="s">
        <v>36</v>
      </c>
      <c r="J283" s="286"/>
      <c r="K283" s="275" t="s">
        <v>85</v>
      </c>
      <c r="L283" s="275" t="s">
        <v>86</v>
      </c>
      <c r="M283" s="275" t="s">
        <v>87</v>
      </c>
      <c r="V283" s="1">
        <f t="shared" si="59"/>
        <v>0</v>
      </c>
      <c r="W283" s="1">
        <v>1</v>
      </c>
      <c r="X283" s="1">
        <v>2</v>
      </c>
      <c r="AE283" s="1">
        <f t="shared" si="60"/>
        <v>3</v>
      </c>
      <c r="AF283" s="1">
        <f t="shared" si="61"/>
        <v>1</v>
      </c>
      <c r="AG283" s="1">
        <f t="shared" si="62"/>
        <v>2</v>
      </c>
      <c r="AH283" s="1">
        <f t="shared" si="63"/>
        <v>0</v>
      </c>
      <c r="AI283" s="1">
        <f t="shared" si="64"/>
        <v>0</v>
      </c>
      <c r="AJ283" s="1">
        <f t="shared" si="65"/>
        <v>0</v>
      </c>
      <c r="AK283" s="1">
        <f t="shared" si="66"/>
        <v>0</v>
      </c>
      <c r="AL283" s="1">
        <f t="shared" si="67"/>
        <v>0</v>
      </c>
      <c r="AM283" s="1">
        <f t="shared" si="68"/>
        <v>0</v>
      </c>
      <c r="AN283" s="278">
        <f t="shared" si="58"/>
        <v>3</v>
      </c>
      <c r="AO283" s="279" t="s">
        <v>27</v>
      </c>
      <c r="AP283" s="280"/>
      <c r="AS283" s="288">
        <v>1.5</v>
      </c>
      <c r="AT283" s="1">
        <v>1.5</v>
      </c>
      <c r="AU283" s="281"/>
      <c r="AZ283" s="281"/>
      <c r="BG283" s="282">
        <f t="shared" si="69"/>
        <v>3</v>
      </c>
      <c r="BH283" s="282">
        <f t="shared" si="70"/>
        <v>3</v>
      </c>
      <c r="BI283" s="283">
        <f t="shared" si="71"/>
        <v>3</v>
      </c>
      <c r="BL283" s="1">
        <v>515712</v>
      </c>
      <c r="BM283" s="1">
        <v>170847</v>
      </c>
      <c r="BN283" s="1" t="s">
        <v>1600</v>
      </c>
      <c r="BO283" s="1" t="s">
        <v>1387</v>
      </c>
      <c r="BW283" s="284" t="s">
        <v>27</v>
      </c>
    </row>
    <row r="284" spans="1:75" ht="15" customHeight="1" x14ac:dyDescent="0.25">
      <c r="A284" s="275" t="s">
        <v>84</v>
      </c>
      <c r="B284" s="276" t="s">
        <v>21</v>
      </c>
      <c r="D284" s="277">
        <v>44735</v>
      </c>
      <c r="E284" s="277">
        <v>45831</v>
      </c>
      <c r="H284" s="275" t="s">
        <v>64</v>
      </c>
      <c r="I284" s="275" t="s">
        <v>55</v>
      </c>
      <c r="J284" s="286"/>
      <c r="K284" s="275" t="s">
        <v>85</v>
      </c>
      <c r="L284" s="275" t="s">
        <v>86</v>
      </c>
      <c r="M284" s="275" t="s">
        <v>87</v>
      </c>
      <c r="V284" s="1">
        <f t="shared" si="59"/>
        <v>0</v>
      </c>
      <c r="W284" s="1">
        <v>2</v>
      </c>
      <c r="X284" s="1">
        <v>11</v>
      </c>
      <c r="AE284" s="1">
        <f t="shared" si="60"/>
        <v>13</v>
      </c>
      <c r="AF284" s="1">
        <f t="shared" si="61"/>
        <v>2</v>
      </c>
      <c r="AG284" s="1">
        <f t="shared" si="62"/>
        <v>11</v>
      </c>
      <c r="AH284" s="1">
        <f t="shared" si="63"/>
        <v>0</v>
      </c>
      <c r="AI284" s="1">
        <f t="shared" si="64"/>
        <v>0</v>
      </c>
      <c r="AJ284" s="1">
        <f t="shared" si="65"/>
        <v>0</v>
      </c>
      <c r="AK284" s="1">
        <f t="shared" si="66"/>
        <v>0</v>
      </c>
      <c r="AL284" s="1">
        <f t="shared" si="67"/>
        <v>0</v>
      </c>
      <c r="AM284" s="1">
        <f t="shared" si="68"/>
        <v>0</v>
      </c>
      <c r="AN284" s="278">
        <f t="shared" si="58"/>
        <v>13</v>
      </c>
      <c r="AO284" s="279" t="s">
        <v>27</v>
      </c>
      <c r="AP284" s="280"/>
      <c r="AS284" s="1">
        <v>6.5</v>
      </c>
      <c r="AT284" s="1">
        <v>6.5</v>
      </c>
      <c r="AU284" s="281"/>
      <c r="AZ284" s="281"/>
      <c r="BG284" s="282">
        <f t="shared" si="69"/>
        <v>13</v>
      </c>
      <c r="BH284" s="282">
        <f t="shared" si="70"/>
        <v>13</v>
      </c>
      <c r="BI284" s="283">
        <f t="shared" si="71"/>
        <v>13</v>
      </c>
      <c r="BL284" s="1">
        <v>515712</v>
      </c>
      <c r="BM284" s="1">
        <v>170847</v>
      </c>
      <c r="BN284" s="1" t="s">
        <v>1600</v>
      </c>
      <c r="BO284" s="1" t="s">
        <v>1387</v>
      </c>
      <c r="BW284" s="284" t="s">
        <v>27</v>
      </c>
    </row>
    <row r="285" spans="1:75" ht="15" customHeight="1" x14ac:dyDescent="0.25">
      <c r="A285" s="275" t="s">
        <v>943</v>
      </c>
      <c r="B285" s="276" t="s">
        <v>49</v>
      </c>
      <c r="D285" s="277">
        <v>44740</v>
      </c>
      <c r="E285" s="277">
        <v>45836</v>
      </c>
      <c r="H285" s="275" t="s">
        <v>64</v>
      </c>
      <c r="I285" s="275" t="s">
        <v>1473</v>
      </c>
      <c r="J285" s="286"/>
      <c r="K285" s="275" t="s">
        <v>944</v>
      </c>
      <c r="L285" s="275" t="s">
        <v>945</v>
      </c>
      <c r="M285" s="275" t="s">
        <v>946</v>
      </c>
      <c r="V285" s="1">
        <f t="shared" si="59"/>
        <v>0</v>
      </c>
      <c r="W285" s="1">
        <v>1</v>
      </c>
      <c r="X285" s="1">
        <v>1</v>
      </c>
      <c r="AE285" s="1">
        <f t="shared" si="60"/>
        <v>2</v>
      </c>
      <c r="AF285" s="1">
        <f t="shared" si="61"/>
        <v>1</v>
      </c>
      <c r="AG285" s="1">
        <f t="shared" si="62"/>
        <v>1</v>
      </c>
      <c r="AH285" s="1">
        <f t="shared" si="63"/>
        <v>0</v>
      </c>
      <c r="AI285" s="1">
        <f t="shared" si="64"/>
        <v>0</v>
      </c>
      <c r="AJ285" s="1">
        <f t="shared" si="65"/>
        <v>0</v>
      </c>
      <c r="AK285" s="1">
        <f t="shared" si="66"/>
        <v>0</v>
      </c>
      <c r="AL285" s="1">
        <f t="shared" si="67"/>
        <v>0</v>
      </c>
      <c r="AM285" s="1">
        <f t="shared" si="68"/>
        <v>0</v>
      </c>
      <c r="AN285" s="278">
        <f t="shared" si="58"/>
        <v>2</v>
      </c>
      <c r="AP285" s="280"/>
      <c r="AQ285" s="1">
        <v>0.5</v>
      </c>
      <c r="AR285" s="1">
        <v>0.5</v>
      </c>
      <c r="AS285" s="1">
        <v>0.5</v>
      </c>
      <c r="AT285" s="1">
        <v>0.5</v>
      </c>
      <c r="AU285" s="281"/>
      <c r="AZ285" s="281"/>
      <c r="BG285" s="282">
        <f t="shared" si="69"/>
        <v>2</v>
      </c>
      <c r="BH285" s="282">
        <f t="shared" si="70"/>
        <v>2</v>
      </c>
      <c r="BI285" s="283">
        <f t="shared" si="71"/>
        <v>2</v>
      </c>
      <c r="BL285" s="1">
        <v>520700</v>
      </c>
      <c r="BM285" s="1">
        <v>175411</v>
      </c>
      <c r="BN285" s="1" t="s">
        <v>1599</v>
      </c>
      <c r="BO285" s="1" t="s">
        <v>1384</v>
      </c>
      <c r="BP285" s="284" t="s">
        <v>1384</v>
      </c>
      <c r="BW285" s="284" t="s">
        <v>27</v>
      </c>
    </row>
    <row r="286" spans="1:75" ht="15" customHeight="1" x14ac:dyDescent="0.25">
      <c r="A286" s="275" t="s">
        <v>1166</v>
      </c>
      <c r="B286" s="276" t="s">
        <v>21</v>
      </c>
      <c r="D286" s="277">
        <v>44742</v>
      </c>
      <c r="E286" s="277">
        <v>45838</v>
      </c>
      <c r="H286" s="275" t="s">
        <v>64</v>
      </c>
      <c r="I286" s="275" t="s">
        <v>1473</v>
      </c>
      <c r="J286" s="286"/>
      <c r="K286" s="275" t="s">
        <v>1167</v>
      </c>
      <c r="L286" s="275" t="s">
        <v>1168</v>
      </c>
      <c r="M286" s="275" t="s">
        <v>1169</v>
      </c>
      <c r="V286" s="1">
        <f t="shared" si="59"/>
        <v>0</v>
      </c>
      <c r="X286" s="1">
        <v>1</v>
      </c>
      <c r="AE286" s="1">
        <f t="shared" si="60"/>
        <v>1</v>
      </c>
      <c r="AF286" s="1">
        <f t="shared" si="61"/>
        <v>0</v>
      </c>
      <c r="AG286" s="1">
        <f t="shared" si="62"/>
        <v>1</v>
      </c>
      <c r="AH286" s="1">
        <f t="shared" si="63"/>
        <v>0</v>
      </c>
      <c r="AI286" s="1">
        <f t="shared" si="64"/>
        <v>0</v>
      </c>
      <c r="AJ286" s="1">
        <f t="shared" si="65"/>
        <v>0</v>
      </c>
      <c r="AK286" s="1">
        <f t="shared" si="66"/>
        <v>0</v>
      </c>
      <c r="AL286" s="1">
        <f t="shared" si="67"/>
        <v>0</v>
      </c>
      <c r="AM286" s="1">
        <f t="shared" si="68"/>
        <v>0</v>
      </c>
      <c r="AN286" s="278">
        <f t="shared" si="58"/>
        <v>1</v>
      </c>
      <c r="AP286" s="280"/>
      <c r="AQ286" s="1">
        <v>0.25</v>
      </c>
      <c r="AR286" s="1">
        <v>0.25</v>
      </c>
      <c r="AS286" s="1">
        <v>0.25</v>
      </c>
      <c r="AT286" s="1">
        <v>0.25</v>
      </c>
      <c r="AU286" s="281"/>
      <c r="AZ286" s="281"/>
      <c r="BG286" s="282">
        <f t="shared" si="69"/>
        <v>1</v>
      </c>
      <c r="BH286" s="282">
        <f t="shared" si="70"/>
        <v>1</v>
      </c>
      <c r="BI286" s="283">
        <f t="shared" si="71"/>
        <v>1</v>
      </c>
      <c r="BL286" s="1">
        <v>518195</v>
      </c>
      <c r="BM286" s="1">
        <v>175741</v>
      </c>
      <c r="BN286" s="1" t="s">
        <v>1385</v>
      </c>
      <c r="BO286" s="1" t="s">
        <v>1404</v>
      </c>
      <c r="BW286" s="284" t="s">
        <v>27</v>
      </c>
    </row>
    <row r="287" spans="1:75" ht="15" customHeight="1" x14ac:dyDescent="0.25">
      <c r="A287" s="275" t="s">
        <v>931</v>
      </c>
      <c r="B287" s="276" t="s">
        <v>49</v>
      </c>
      <c r="C287" s="1" t="s">
        <v>1262</v>
      </c>
      <c r="D287" s="277">
        <v>44771</v>
      </c>
      <c r="E287" s="277">
        <v>45867</v>
      </c>
      <c r="H287" s="275" t="s">
        <v>64</v>
      </c>
      <c r="I287" s="275" t="s">
        <v>1473</v>
      </c>
      <c r="J287" s="286"/>
      <c r="K287" s="275" t="s">
        <v>932</v>
      </c>
      <c r="L287" s="275" t="s">
        <v>933</v>
      </c>
      <c r="M287" s="275" t="s">
        <v>934</v>
      </c>
      <c r="V287" s="1">
        <f t="shared" si="59"/>
        <v>0</v>
      </c>
      <c r="W287" s="1">
        <v>2</v>
      </c>
      <c r="AE287" s="1">
        <f t="shared" si="60"/>
        <v>2</v>
      </c>
      <c r="AF287" s="1">
        <f t="shared" si="61"/>
        <v>2</v>
      </c>
      <c r="AG287" s="1">
        <f t="shared" si="62"/>
        <v>0</v>
      </c>
      <c r="AH287" s="1">
        <f t="shared" si="63"/>
        <v>0</v>
      </c>
      <c r="AI287" s="1">
        <f t="shared" si="64"/>
        <v>0</v>
      </c>
      <c r="AJ287" s="1">
        <f t="shared" si="65"/>
        <v>0</v>
      </c>
      <c r="AK287" s="1">
        <f t="shared" si="66"/>
        <v>0</v>
      </c>
      <c r="AL287" s="1">
        <f t="shared" si="67"/>
        <v>0</v>
      </c>
      <c r="AM287" s="1">
        <f t="shared" si="68"/>
        <v>0</v>
      </c>
      <c r="AN287" s="278">
        <f t="shared" si="58"/>
        <v>2</v>
      </c>
      <c r="AP287" s="280"/>
      <c r="AQ287" s="1">
        <v>0.5</v>
      </c>
      <c r="AR287" s="1">
        <v>0.5</v>
      </c>
      <c r="AS287" s="1">
        <v>0.5</v>
      </c>
      <c r="AT287" s="1">
        <v>0.5</v>
      </c>
      <c r="AU287" s="281"/>
      <c r="AZ287" s="281"/>
      <c r="BG287" s="282">
        <f t="shared" si="69"/>
        <v>2</v>
      </c>
      <c r="BH287" s="282">
        <f t="shared" si="70"/>
        <v>2</v>
      </c>
      <c r="BI287" s="283">
        <f t="shared" si="71"/>
        <v>2</v>
      </c>
      <c r="BL287" s="1">
        <v>513450</v>
      </c>
      <c r="BM287" s="1">
        <v>169954</v>
      </c>
      <c r="BN287" s="1" t="s">
        <v>1600</v>
      </c>
      <c r="BO287" s="1" t="s">
        <v>1400</v>
      </c>
      <c r="BR287" s="284" t="s">
        <v>1700</v>
      </c>
      <c r="BS287" s="284" t="s">
        <v>27</v>
      </c>
      <c r="BW287" s="284" t="s">
        <v>27</v>
      </c>
    </row>
    <row r="288" spans="1:75" ht="15" customHeight="1" x14ac:dyDescent="0.25">
      <c r="A288" s="275" t="s">
        <v>1156</v>
      </c>
      <c r="B288" s="276" t="s">
        <v>21</v>
      </c>
      <c r="D288" s="277">
        <v>44782</v>
      </c>
      <c r="E288" s="277">
        <v>45878</v>
      </c>
      <c r="H288" s="275" t="s">
        <v>64</v>
      </c>
      <c r="I288" s="275" t="s">
        <v>1473</v>
      </c>
      <c r="J288" s="286"/>
      <c r="K288" s="275" t="s">
        <v>1157</v>
      </c>
      <c r="L288" s="275" t="s">
        <v>1158</v>
      </c>
      <c r="M288" s="275" t="s">
        <v>1159</v>
      </c>
      <c r="R288" s="1">
        <v>1</v>
      </c>
      <c r="V288" s="1">
        <f t="shared" si="59"/>
        <v>1</v>
      </c>
      <c r="AA288" s="1">
        <v>1</v>
      </c>
      <c r="AE288" s="1">
        <f t="shared" si="60"/>
        <v>1</v>
      </c>
      <c r="AF288" s="1">
        <f t="shared" si="61"/>
        <v>0</v>
      </c>
      <c r="AG288" s="1">
        <f t="shared" si="62"/>
        <v>0</v>
      </c>
      <c r="AH288" s="1">
        <f t="shared" si="63"/>
        <v>0</v>
      </c>
      <c r="AI288" s="1">
        <f t="shared" si="64"/>
        <v>-1</v>
      </c>
      <c r="AJ288" s="1">
        <f t="shared" si="65"/>
        <v>1</v>
      </c>
      <c r="AK288" s="1">
        <f t="shared" si="66"/>
        <v>0</v>
      </c>
      <c r="AL288" s="1">
        <f t="shared" si="67"/>
        <v>0</v>
      </c>
      <c r="AM288" s="1">
        <f t="shared" si="68"/>
        <v>0</v>
      </c>
      <c r="AN288" s="278">
        <f t="shared" si="58"/>
        <v>0</v>
      </c>
      <c r="AP288" s="280"/>
      <c r="AQ288" s="1">
        <v>0</v>
      </c>
      <c r="AU288" s="281"/>
      <c r="AZ288" s="281"/>
      <c r="BG288" s="282">
        <f t="shared" si="69"/>
        <v>0</v>
      </c>
      <c r="BH288" s="282">
        <f t="shared" si="70"/>
        <v>0</v>
      </c>
      <c r="BI288" s="283">
        <f t="shared" si="71"/>
        <v>0</v>
      </c>
      <c r="BL288" s="1">
        <v>517552</v>
      </c>
      <c r="BM288" s="1">
        <v>172166</v>
      </c>
      <c r="BN288" s="1" t="s">
        <v>1601</v>
      </c>
      <c r="BO288" s="1" t="s">
        <v>1560</v>
      </c>
      <c r="BU288" s="284" t="s">
        <v>1743</v>
      </c>
      <c r="BV288" s="284" t="s">
        <v>27</v>
      </c>
    </row>
    <row r="289" spans="1:76" ht="15" customHeight="1" x14ac:dyDescent="0.25">
      <c r="A289" s="275" t="s">
        <v>993</v>
      </c>
      <c r="B289" s="276" t="s">
        <v>21</v>
      </c>
      <c r="D289" s="277">
        <v>44783</v>
      </c>
      <c r="E289" s="277">
        <v>45879</v>
      </c>
      <c r="H289" s="275" t="s">
        <v>64</v>
      </c>
      <c r="I289" s="275" t="s">
        <v>1473</v>
      </c>
      <c r="J289" s="286"/>
      <c r="K289" s="275" t="s">
        <v>994</v>
      </c>
      <c r="L289" s="275" t="s">
        <v>995</v>
      </c>
      <c r="M289" s="275" t="s">
        <v>996</v>
      </c>
      <c r="S289" s="1">
        <v>1</v>
      </c>
      <c r="V289" s="1">
        <f t="shared" si="59"/>
        <v>1</v>
      </c>
      <c r="AA289" s="1">
        <v>1</v>
      </c>
      <c r="AE289" s="1">
        <f t="shared" si="60"/>
        <v>1</v>
      </c>
      <c r="AF289" s="1">
        <f t="shared" si="61"/>
        <v>0</v>
      </c>
      <c r="AG289" s="1">
        <f t="shared" si="62"/>
        <v>0</v>
      </c>
      <c r="AH289" s="1">
        <f t="shared" si="63"/>
        <v>0</v>
      </c>
      <c r="AI289" s="1">
        <f t="shared" si="64"/>
        <v>0</v>
      </c>
      <c r="AJ289" s="1">
        <f t="shared" si="65"/>
        <v>0</v>
      </c>
      <c r="AK289" s="1">
        <f t="shared" si="66"/>
        <v>0</v>
      </c>
      <c r="AL289" s="1">
        <f t="shared" si="67"/>
        <v>0</v>
      </c>
      <c r="AM289" s="1">
        <f t="shared" si="68"/>
        <v>0</v>
      </c>
      <c r="AN289" s="278">
        <f t="shared" si="58"/>
        <v>0</v>
      </c>
      <c r="AP289" s="280"/>
      <c r="AQ289" s="1">
        <v>0</v>
      </c>
      <c r="AU289" s="281"/>
      <c r="AZ289" s="281"/>
      <c r="BG289" s="282">
        <f t="shared" si="69"/>
        <v>0</v>
      </c>
      <c r="BH289" s="282">
        <f t="shared" si="70"/>
        <v>0</v>
      </c>
      <c r="BI289" s="283">
        <f t="shared" si="71"/>
        <v>0</v>
      </c>
      <c r="BL289" s="1">
        <v>519892</v>
      </c>
      <c r="BM289" s="1">
        <v>174721</v>
      </c>
      <c r="BN289" s="1" t="s">
        <v>1599</v>
      </c>
      <c r="BO289" s="1" t="s">
        <v>1384</v>
      </c>
      <c r="BW289" s="284" t="s">
        <v>27</v>
      </c>
    </row>
    <row r="290" spans="1:76" ht="15" customHeight="1" x14ac:dyDescent="0.25">
      <c r="A290" s="275" t="s">
        <v>986</v>
      </c>
      <c r="B290" s="276" t="s">
        <v>21</v>
      </c>
      <c r="D290" s="277">
        <v>44785</v>
      </c>
      <c r="E290" s="277">
        <v>45881</v>
      </c>
      <c r="H290" s="275" t="s">
        <v>64</v>
      </c>
      <c r="I290" s="275" t="s">
        <v>1473</v>
      </c>
      <c r="J290" s="286"/>
      <c r="K290" s="275" t="s">
        <v>987</v>
      </c>
      <c r="L290" s="275" t="s">
        <v>988</v>
      </c>
      <c r="P290" s="1">
        <v>1</v>
      </c>
      <c r="Q290" s="1">
        <v>1</v>
      </c>
      <c r="S290" s="1">
        <v>1</v>
      </c>
      <c r="V290" s="1">
        <f t="shared" si="59"/>
        <v>3</v>
      </c>
      <c r="Y290" s="1">
        <v>6</v>
      </c>
      <c r="Z290" s="1">
        <v>2</v>
      </c>
      <c r="AE290" s="1">
        <f t="shared" si="60"/>
        <v>8</v>
      </c>
      <c r="AF290" s="1">
        <f t="shared" si="61"/>
        <v>0</v>
      </c>
      <c r="AG290" s="1">
        <f t="shared" si="62"/>
        <v>-1</v>
      </c>
      <c r="AH290" s="1">
        <f t="shared" si="63"/>
        <v>5</v>
      </c>
      <c r="AI290" s="1">
        <f t="shared" si="64"/>
        <v>2</v>
      </c>
      <c r="AJ290" s="1">
        <f t="shared" si="65"/>
        <v>-1</v>
      </c>
      <c r="AK290" s="1">
        <f t="shared" si="66"/>
        <v>0</v>
      </c>
      <c r="AL290" s="1">
        <f t="shared" si="67"/>
        <v>0</v>
      </c>
      <c r="AM290" s="1">
        <f t="shared" si="68"/>
        <v>0</v>
      </c>
      <c r="AN290" s="278">
        <f t="shared" si="58"/>
        <v>5</v>
      </c>
      <c r="AP290" s="280"/>
      <c r="AQ290" s="1">
        <v>1.25</v>
      </c>
      <c r="AR290" s="1">
        <v>1.25</v>
      </c>
      <c r="AS290" s="1">
        <v>1.25</v>
      </c>
      <c r="AT290" s="1">
        <v>1.25</v>
      </c>
      <c r="AU290" s="281"/>
      <c r="AZ290" s="281"/>
      <c r="BG290" s="282">
        <f t="shared" si="69"/>
        <v>5</v>
      </c>
      <c r="BH290" s="282">
        <f t="shared" si="70"/>
        <v>5</v>
      </c>
      <c r="BI290" s="283">
        <f t="shared" si="71"/>
        <v>5</v>
      </c>
      <c r="BL290" s="1">
        <v>513356</v>
      </c>
      <c r="BM290" s="1">
        <v>173823</v>
      </c>
      <c r="BN290" s="1" t="s">
        <v>1391</v>
      </c>
      <c r="BO290" s="1" t="s">
        <v>1391</v>
      </c>
      <c r="BW290" s="284" t="s">
        <v>27</v>
      </c>
    </row>
    <row r="291" spans="1:76" ht="15" customHeight="1" x14ac:dyDescent="0.25">
      <c r="A291" s="275" t="s">
        <v>935</v>
      </c>
      <c r="B291" s="276" t="s">
        <v>21</v>
      </c>
      <c r="D291" s="277">
        <v>44806</v>
      </c>
      <c r="E291" s="277">
        <v>45902</v>
      </c>
      <c r="H291" s="275" t="s">
        <v>64</v>
      </c>
      <c r="I291" s="275" t="s">
        <v>1473</v>
      </c>
      <c r="J291" s="286"/>
      <c r="K291" s="275" t="s">
        <v>936</v>
      </c>
      <c r="L291" s="275" t="s">
        <v>937</v>
      </c>
      <c r="M291" s="275" t="s">
        <v>938</v>
      </c>
      <c r="V291" s="1">
        <f t="shared" si="59"/>
        <v>0</v>
      </c>
      <c r="X291" s="1">
        <v>1</v>
      </c>
      <c r="AE291" s="1">
        <f t="shared" si="60"/>
        <v>1</v>
      </c>
      <c r="AF291" s="1">
        <f t="shared" si="61"/>
        <v>0</v>
      </c>
      <c r="AG291" s="1">
        <f t="shared" si="62"/>
        <v>1</v>
      </c>
      <c r="AH291" s="1">
        <f t="shared" si="63"/>
        <v>0</v>
      </c>
      <c r="AI291" s="1">
        <f t="shared" si="64"/>
        <v>0</v>
      </c>
      <c r="AJ291" s="1">
        <f t="shared" si="65"/>
        <v>0</v>
      </c>
      <c r="AK291" s="1">
        <f t="shared" si="66"/>
        <v>0</v>
      </c>
      <c r="AL291" s="1">
        <f t="shared" si="67"/>
        <v>0</v>
      </c>
      <c r="AM291" s="1">
        <f t="shared" si="68"/>
        <v>0</v>
      </c>
      <c r="AN291" s="278">
        <f t="shared" si="58"/>
        <v>1</v>
      </c>
      <c r="AP291" s="280"/>
      <c r="AQ291" s="1">
        <v>0.25</v>
      </c>
      <c r="AR291" s="1">
        <v>0.25</v>
      </c>
      <c r="AS291" s="1">
        <v>0.25</v>
      </c>
      <c r="AT291" s="1">
        <v>0.25</v>
      </c>
      <c r="AU291" s="281"/>
      <c r="AZ291" s="281"/>
      <c r="BG291" s="282">
        <f t="shared" si="69"/>
        <v>1</v>
      </c>
      <c r="BH291" s="282">
        <f t="shared" si="70"/>
        <v>1</v>
      </c>
      <c r="BI291" s="283">
        <f t="shared" si="71"/>
        <v>1</v>
      </c>
      <c r="BL291" s="1">
        <v>516814</v>
      </c>
      <c r="BM291" s="1">
        <v>174186</v>
      </c>
      <c r="BN291" s="1" t="s">
        <v>1389</v>
      </c>
      <c r="BO291" s="1" t="s">
        <v>1561</v>
      </c>
      <c r="BW291" s="284" t="s">
        <v>27</v>
      </c>
    </row>
    <row r="292" spans="1:76" ht="15" customHeight="1" x14ac:dyDescent="0.25">
      <c r="A292" s="275" t="s">
        <v>1108</v>
      </c>
      <c r="B292" s="276" t="s">
        <v>21</v>
      </c>
      <c r="D292" s="277">
        <v>44809</v>
      </c>
      <c r="E292" s="277">
        <v>45905</v>
      </c>
      <c r="H292" s="275" t="s">
        <v>64</v>
      </c>
      <c r="I292" s="275" t="s">
        <v>1473</v>
      </c>
      <c r="J292" s="286"/>
      <c r="K292" s="275" t="s">
        <v>1109</v>
      </c>
      <c r="L292" s="275" t="s">
        <v>1110</v>
      </c>
      <c r="M292" s="275" t="s">
        <v>1111</v>
      </c>
      <c r="S292" s="1">
        <v>1</v>
      </c>
      <c r="V292" s="1">
        <f t="shared" si="59"/>
        <v>1</v>
      </c>
      <c r="AA292" s="1">
        <v>1</v>
      </c>
      <c r="AE292" s="1">
        <f t="shared" si="60"/>
        <v>1</v>
      </c>
      <c r="AF292" s="1">
        <f t="shared" si="61"/>
        <v>0</v>
      </c>
      <c r="AG292" s="1">
        <f t="shared" si="62"/>
        <v>0</v>
      </c>
      <c r="AH292" s="1">
        <f t="shared" si="63"/>
        <v>0</v>
      </c>
      <c r="AI292" s="1">
        <f t="shared" si="64"/>
        <v>0</v>
      </c>
      <c r="AJ292" s="1">
        <f t="shared" si="65"/>
        <v>0</v>
      </c>
      <c r="AK292" s="1">
        <f t="shared" si="66"/>
        <v>0</v>
      </c>
      <c r="AL292" s="1">
        <f t="shared" si="67"/>
        <v>0</v>
      </c>
      <c r="AM292" s="1">
        <f t="shared" si="68"/>
        <v>0</v>
      </c>
      <c r="AN292" s="278">
        <f t="shared" si="58"/>
        <v>0</v>
      </c>
      <c r="AP292" s="280"/>
      <c r="AQ292" s="1">
        <v>0</v>
      </c>
      <c r="AU292" s="281"/>
      <c r="AZ292" s="281"/>
      <c r="BG292" s="282">
        <f t="shared" si="69"/>
        <v>0</v>
      </c>
      <c r="BH292" s="282">
        <f t="shared" si="70"/>
        <v>0</v>
      </c>
      <c r="BI292" s="283">
        <f t="shared" si="71"/>
        <v>0</v>
      </c>
      <c r="BL292" s="1">
        <v>517672</v>
      </c>
      <c r="BM292" s="1">
        <v>170048</v>
      </c>
      <c r="BN292" s="1" t="s">
        <v>1600</v>
      </c>
      <c r="BO292" s="1" t="s">
        <v>1559</v>
      </c>
      <c r="BQ292" s="284" t="s">
        <v>1386</v>
      </c>
      <c r="BU292" s="284" t="s">
        <v>1691</v>
      </c>
      <c r="BV292" s="284" t="s">
        <v>27</v>
      </c>
      <c r="BW292" s="284" t="s">
        <v>27</v>
      </c>
      <c r="BX292" s="1" t="s">
        <v>27</v>
      </c>
    </row>
    <row r="293" spans="1:76" ht="15" customHeight="1" x14ac:dyDescent="0.25">
      <c r="A293" s="275" t="s">
        <v>850</v>
      </c>
      <c r="B293" s="276" t="s">
        <v>44</v>
      </c>
      <c r="D293" s="277">
        <v>44816</v>
      </c>
      <c r="E293" s="277">
        <v>45912</v>
      </c>
      <c r="H293" s="275" t="s">
        <v>64</v>
      </c>
      <c r="I293" s="275" t="s">
        <v>1473</v>
      </c>
      <c r="J293" s="286"/>
      <c r="K293" s="275" t="s">
        <v>851</v>
      </c>
      <c r="L293" s="275" t="s">
        <v>852</v>
      </c>
      <c r="M293" s="275" t="s">
        <v>853</v>
      </c>
      <c r="Q293" s="1">
        <v>1</v>
      </c>
      <c r="V293" s="1">
        <f t="shared" si="59"/>
        <v>1</v>
      </c>
      <c r="X293" s="1">
        <v>1</v>
      </c>
      <c r="Y293" s="1">
        <v>1</v>
      </c>
      <c r="AE293" s="1">
        <f t="shared" si="60"/>
        <v>2</v>
      </c>
      <c r="AF293" s="1">
        <f t="shared" si="61"/>
        <v>0</v>
      </c>
      <c r="AG293" s="1">
        <f t="shared" si="62"/>
        <v>1</v>
      </c>
      <c r="AH293" s="1">
        <f t="shared" si="63"/>
        <v>0</v>
      </c>
      <c r="AI293" s="1">
        <f t="shared" si="64"/>
        <v>0</v>
      </c>
      <c r="AJ293" s="1">
        <f t="shared" si="65"/>
        <v>0</v>
      </c>
      <c r="AK293" s="1">
        <f t="shared" si="66"/>
        <v>0</v>
      </c>
      <c r="AL293" s="1">
        <f t="shared" si="67"/>
        <v>0</v>
      </c>
      <c r="AM293" s="1">
        <f t="shared" si="68"/>
        <v>0</v>
      </c>
      <c r="AN293" s="278">
        <f t="shared" si="58"/>
        <v>1</v>
      </c>
      <c r="AP293" s="280"/>
      <c r="AQ293" s="1">
        <v>0.25</v>
      </c>
      <c r="AR293" s="1">
        <v>0.25</v>
      </c>
      <c r="AS293" s="1">
        <v>0.25</v>
      </c>
      <c r="AT293" s="1">
        <v>0.25</v>
      </c>
      <c r="AU293" s="281"/>
      <c r="AZ293" s="281"/>
      <c r="BG293" s="282">
        <f t="shared" si="69"/>
        <v>1</v>
      </c>
      <c r="BH293" s="282">
        <f t="shared" si="70"/>
        <v>1</v>
      </c>
      <c r="BI293" s="283">
        <f t="shared" si="71"/>
        <v>1</v>
      </c>
      <c r="BL293" s="1">
        <v>512618</v>
      </c>
      <c r="BM293" s="1">
        <v>170021</v>
      </c>
      <c r="BN293" s="1" t="s">
        <v>1600</v>
      </c>
      <c r="BO293" s="1" t="s">
        <v>1400</v>
      </c>
      <c r="BW293" s="284" t="s">
        <v>27</v>
      </c>
    </row>
    <row r="294" spans="1:76" ht="15" customHeight="1" x14ac:dyDescent="0.25">
      <c r="A294" s="275" t="s">
        <v>1001</v>
      </c>
      <c r="B294" s="276" t="s">
        <v>21</v>
      </c>
      <c r="D294" s="277">
        <v>44817</v>
      </c>
      <c r="E294" s="277">
        <v>45913</v>
      </c>
      <c r="H294" s="275" t="s">
        <v>64</v>
      </c>
      <c r="I294" s="275" t="s">
        <v>1473</v>
      </c>
      <c r="J294" s="286"/>
      <c r="K294" s="275" t="s">
        <v>1002</v>
      </c>
      <c r="L294" s="275" t="s">
        <v>1003</v>
      </c>
      <c r="M294" s="275" t="s">
        <v>1004</v>
      </c>
      <c r="Q294" s="1">
        <v>1</v>
      </c>
      <c r="V294" s="1">
        <f t="shared" si="59"/>
        <v>1</v>
      </c>
      <c r="AA294" s="1">
        <v>1</v>
      </c>
      <c r="AE294" s="1">
        <f t="shared" si="60"/>
        <v>1</v>
      </c>
      <c r="AF294" s="1">
        <f t="shared" si="61"/>
        <v>0</v>
      </c>
      <c r="AG294" s="1">
        <f t="shared" si="62"/>
        <v>0</v>
      </c>
      <c r="AH294" s="1">
        <f t="shared" si="63"/>
        <v>-1</v>
      </c>
      <c r="AI294" s="1">
        <f t="shared" si="64"/>
        <v>0</v>
      </c>
      <c r="AJ294" s="1">
        <f t="shared" si="65"/>
        <v>1</v>
      </c>
      <c r="AK294" s="1">
        <f t="shared" si="66"/>
        <v>0</v>
      </c>
      <c r="AL294" s="1">
        <f t="shared" si="67"/>
        <v>0</v>
      </c>
      <c r="AM294" s="1">
        <f t="shared" si="68"/>
        <v>0</v>
      </c>
      <c r="AN294" s="278">
        <f t="shared" si="58"/>
        <v>0</v>
      </c>
      <c r="AP294" s="280"/>
      <c r="AQ294" s="1">
        <v>0</v>
      </c>
      <c r="AU294" s="281"/>
      <c r="AZ294" s="281"/>
      <c r="BG294" s="282">
        <f t="shared" si="69"/>
        <v>0</v>
      </c>
      <c r="BH294" s="282">
        <f t="shared" si="70"/>
        <v>0</v>
      </c>
      <c r="BI294" s="283">
        <f t="shared" si="71"/>
        <v>0</v>
      </c>
      <c r="BL294" s="1">
        <v>513869</v>
      </c>
      <c r="BM294" s="1">
        <v>169984</v>
      </c>
      <c r="BN294" s="1" t="s">
        <v>1600</v>
      </c>
      <c r="BO294" s="1" t="s">
        <v>1400</v>
      </c>
      <c r="BW294" s="284" t="s">
        <v>27</v>
      </c>
    </row>
    <row r="295" spans="1:76" ht="15" customHeight="1" x14ac:dyDescent="0.25">
      <c r="A295" s="275" t="s">
        <v>919</v>
      </c>
      <c r="B295" s="276" t="s">
        <v>21</v>
      </c>
      <c r="D295" s="277">
        <v>44820</v>
      </c>
      <c r="E295" s="277">
        <v>45916</v>
      </c>
      <c r="H295" s="275" t="s">
        <v>64</v>
      </c>
      <c r="I295" s="275" t="s">
        <v>1473</v>
      </c>
      <c r="J295" s="286"/>
      <c r="K295" s="275" t="s">
        <v>920</v>
      </c>
      <c r="L295" s="275" t="s">
        <v>921</v>
      </c>
      <c r="M295" s="275" t="s">
        <v>922</v>
      </c>
      <c r="V295" s="1">
        <f t="shared" si="59"/>
        <v>0</v>
      </c>
      <c r="Z295" s="1">
        <v>1</v>
      </c>
      <c r="AE295" s="1">
        <f t="shared" si="60"/>
        <v>1</v>
      </c>
      <c r="AF295" s="1">
        <f t="shared" si="61"/>
        <v>0</v>
      </c>
      <c r="AG295" s="1">
        <f t="shared" si="62"/>
        <v>0</v>
      </c>
      <c r="AH295" s="1">
        <f t="shared" si="63"/>
        <v>0</v>
      </c>
      <c r="AI295" s="1">
        <f t="shared" si="64"/>
        <v>1</v>
      </c>
      <c r="AJ295" s="1">
        <f t="shared" si="65"/>
        <v>0</v>
      </c>
      <c r="AK295" s="1">
        <f t="shared" si="66"/>
        <v>0</v>
      </c>
      <c r="AL295" s="1">
        <f t="shared" si="67"/>
        <v>0</v>
      </c>
      <c r="AM295" s="1">
        <f t="shared" si="68"/>
        <v>0</v>
      </c>
      <c r="AN295" s="278">
        <f t="shared" si="58"/>
        <v>1</v>
      </c>
      <c r="AP295" s="280"/>
      <c r="AQ295" s="1">
        <v>0.25</v>
      </c>
      <c r="AR295" s="1">
        <v>0.25</v>
      </c>
      <c r="AS295" s="1">
        <v>0.25</v>
      </c>
      <c r="AT295" s="1">
        <v>0.25</v>
      </c>
      <c r="AU295" s="281"/>
      <c r="AZ295" s="281"/>
      <c r="BG295" s="282">
        <f t="shared" si="69"/>
        <v>1</v>
      </c>
      <c r="BH295" s="282">
        <f t="shared" si="70"/>
        <v>1</v>
      </c>
      <c r="BI295" s="283">
        <f t="shared" si="71"/>
        <v>1</v>
      </c>
      <c r="BL295" s="1">
        <v>512954</v>
      </c>
      <c r="BM295" s="1">
        <v>170628</v>
      </c>
      <c r="BN295" s="1" t="s">
        <v>1600</v>
      </c>
      <c r="BO295" s="1" t="s">
        <v>1401</v>
      </c>
    </row>
    <row r="296" spans="1:76" ht="15" customHeight="1" x14ac:dyDescent="0.25">
      <c r="A296" s="275" t="s">
        <v>954</v>
      </c>
      <c r="B296" s="276" t="s">
        <v>21</v>
      </c>
      <c r="D296" s="277">
        <v>44846</v>
      </c>
      <c r="E296" s="277">
        <v>45942</v>
      </c>
      <c r="H296" s="275" t="s">
        <v>64</v>
      </c>
      <c r="I296" s="275" t="s">
        <v>1473</v>
      </c>
      <c r="J296" s="286"/>
      <c r="K296" s="275" t="s">
        <v>955</v>
      </c>
      <c r="L296" s="275" t="s">
        <v>956</v>
      </c>
      <c r="M296" s="275" t="s">
        <v>957</v>
      </c>
      <c r="Q296" s="1">
        <v>1</v>
      </c>
      <c r="V296" s="1">
        <f t="shared" si="59"/>
        <v>1</v>
      </c>
      <c r="AA296" s="1">
        <v>1</v>
      </c>
      <c r="AE296" s="1">
        <f t="shared" si="60"/>
        <v>1</v>
      </c>
      <c r="AF296" s="1">
        <f t="shared" si="61"/>
        <v>0</v>
      </c>
      <c r="AG296" s="1">
        <f t="shared" si="62"/>
        <v>0</v>
      </c>
      <c r="AH296" s="1">
        <f t="shared" si="63"/>
        <v>-1</v>
      </c>
      <c r="AI296" s="1">
        <f t="shared" si="64"/>
        <v>0</v>
      </c>
      <c r="AJ296" s="1">
        <f t="shared" si="65"/>
        <v>1</v>
      </c>
      <c r="AK296" s="1">
        <f t="shared" si="66"/>
        <v>0</v>
      </c>
      <c r="AL296" s="1">
        <f t="shared" si="67"/>
        <v>0</v>
      </c>
      <c r="AM296" s="1">
        <f t="shared" si="68"/>
        <v>0</v>
      </c>
      <c r="AN296" s="278">
        <f t="shared" si="58"/>
        <v>0</v>
      </c>
      <c r="AP296" s="280"/>
      <c r="AQ296" s="1">
        <v>0</v>
      </c>
      <c r="AU296" s="281"/>
      <c r="AZ296" s="281"/>
      <c r="BG296" s="282">
        <f t="shared" si="69"/>
        <v>0</v>
      </c>
      <c r="BH296" s="282">
        <f t="shared" si="70"/>
        <v>0</v>
      </c>
      <c r="BI296" s="283">
        <f t="shared" si="71"/>
        <v>0</v>
      </c>
      <c r="BL296" s="1">
        <v>517779</v>
      </c>
      <c r="BM296" s="1">
        <v>172645</v>
      </c>
      <c r="BN296" s="1" t="s">
        <v>1601</v>
      </c>
      <c r="BO296" s="1" t="s">
        <v>1560</v>
      </c>
    </row>
    <row r="297" spans="1:76" ht="15" customHeight="1" x14ac:dyDescent="0.25">
      <c r="A297" s="275" t="s">
        <v>1173</v>
      </c>
      <c r="B297" s="276" t="s">
        <v>21</v>
      </c>
      <c r="D297" s="277">
        <v>44854</v>
      </c>
      <c r="E297" s="277">
        <v>45950</v>
      </c>
      <c r="H297" s="275" t="s">
        <v>64</v>
      </c>
      <c r="I297" s="275" t="s">
        <v>1473</v>
      </c>
      <c r="J297" s="286"/>
      <c r="K297" s="275" t="s">
        <v>1174</v>
      </c>
      <c r="L297" s="275" t="s">
        <v>1175</v>
      </c>
      <c r="M297" s="275" t="s">
        <v>30</v>
      </c>
      <c r="V297" s="1">
        <f t="shared" si="59"/>
        <v>0</v>
      </c>
      <c r="X297" s="1">
        <v>3</v>
      </c>
      <c r="AE297" s="1">
        <f t="shared" si="60"/>
        <v>3</v>
      </c>
      <c r="AF297" s="1">
        <f t="shared" si="61"/>
        <v>0</v>
      </c>
      <c r="AG297" s="1">
        <f t="shared" si="62"/>
        <v>3</v>
      </c>
      <c r="AH297" s="1">
        <f t="shared" si="63"/>
        <v>0</v>
      </c>
      <c r="AI297" s="1">
        <f t="shared" si="64"/>
        <v>0</v>
      </c>
      <c r="AJ297" s="1">
        <f t="shared" si="65"/>
        <v>0</v>
      </c>
      <c r="AK297" s="1">
        <f t="shared" si="66"/>
        <v>0</v>
      </c>
      <c r="AL297" s="1">
        <f t="shared" si="67"/>
        <v>0</v>
      </c>
      <c r="AM297" s="1">
        <f t="shared" si="68"/>
        <v>0</v>
      </c>
      <c r="AN297" s="278">
        <f t="shared" si="58"/>
        <v>3</v>
      </c>
      <c r="AP297" s="280"/>
      <c r="AQ297" s="1">
        <v>0.75</v>
      </c>
      <c r="AR297" s="1">
        <v>0.75</v>
      </c>
      <c r="AS297" s="1">
        <v>0.75</v>
      </c>
      <c r="AT297" s="1">
        <v>0.75</v>
      </c>
      <c r="AU297" s="281"/>
      <c r="AZ297" s="281"/>
      <c r="BG297" s="282">
        <f t="shared" si="69"/>
        <v>3</v>
      </c>
      <c r="BH297" s="282">
        <f t="shared" si="70"/>
        <v>3</v>
      </c>
      <c r="BI297" s="283">
        <f t="shared" si="71"/>
        <v>3</v>
      </c>
      <c r="BL297" s="1">
        <v>516900</v>
      </c>
      <c r="BM297" s="1">
        <v>170739</v>
      </c>
      <c r="BN297" s="1" t="s">
        <v>1600</v>
      </c>
      <c r="BO297" s="1" t="s">
        <v>1559</v>
      </c>
      <c r="BW297" s="284" t="s">
        <v>27</v>
      </c>
    </row>
    <row r="298" spans="1:76" ht="15" customHeight="1" x14ac:dyDescent="0.25">
      <c r="A298" s="275" t="s">
        <v>1032</v>
      </c>
      <c r="B298" s="276" t="s">
        <v>21</v>
      </c>
      <c r="D298" s="277">
        <v>44855</v>
      </c>
      <c r="E298" s="277">
        <v>45951</v>
      </c>
      <c r="H298" s="275" t="s">
        <v>64</v>
      </c>
      <c r="I298" s="275" t="s">
        <v>1473</v>
      </c>
      <c r="J298" s="286"/>
      <c r="K298" s="275" t="s">
        <v>1033</v>
      </c>
      <c r="L298" s="275" t="s">
        <v>1034</v>
      </c>
      <c r="M298" s="275" t="s">
        <v>1035</v>
      </c>
      <c r="Q298" s="1">
        <v>1</v>
      </c>
      <c r="V298" s="1">
        <f t="shared" si="59"/>
        <v>1</v>
      </c>
      <c r="Z298" s="1">
        <v>1</v>
      </c>
      <c r="AE298" s="1">
        <f t="shared" si="60"/>
        <v>1</v>
      </c>
      <c r="AF298" s="1">
        <f t="shared" si="61"/>
        <v>0</v>
      </c>
      <c r="AG298" s="1">
        <f t="shared" si="62"/>
        <v>0</v>
      </c>
      <c r="AH298" s="1">
        <f t="shared" si="63"/>
        <v>-1</v>
      </c>
      <c r="AI298" s="1">
        <f t="shared" si="64"/>
        <v>1</v>
      </c>
      <c r="AJ298" s="1">
        <f t="shared" si="65"/>
        <v>0</v>
      </c>
      <c r="AK298" s="1">
        <f t="shared" si="66"/>
        <v>0</v>
      </c>
      <c r="AL298" s="1">
        <f t="shared" si="67"/>
        <v>0</v>
      </c>
      <c r="AM298" s="1">
        <f t="shared" si="68"/>
        <v>0</v>
      </c>
      <c r="AN298" s="278">
        <f t="shared" si="58"/>
        <v>0</v>
      </c>
      <c r="AP298" s="280"/>
      <c r="AQ298" s="1">
        <v>0</v>
      </c>
      <c r="AU298" s="281"/>
      <c r="AZ298" s="281"/>
      <c r="BG298" s="282">
        <f t="shared" si="69"/>
        <v>0</v>
      </c>
      <c r="BH298" s="282">
        <f t="shared" si="70"/>
        <v>0</v>
      </c>
      <c r="BI298" s="283">
        <f t="shared" si="71"/>
        <v>0</v>
      </c>
      <c r="BL298" s="1">
        <v>517493</v>
      </c>
      <c r="BM298" s="1">
        <v>170091</v>
      </c>
      <c r="BN298" s="1" t="s">
        <v>1600</v>
      </c>
      <c r="BO298" s="1" t="s">
        <v>1559</v>
      </c>
      <c r="BW298" s="284" t="s">
        <v>27</v>
      </c>
    </row>
    <row r="299" spans="1:76" ht="15" customHeight="1" x14ac:dyDescent="0.25">
      <c r="A299" s="275" t="s">
        <v>912</v>
      </c>
      <c r="B299" s="276" t="s">
        <v>144</v>
      </c>
      <c r="D299" s="277">
        <v>44872</v>
      </c>
      <c r="E299" s="277">
        <v>45968</v>
      </c>
      <c r="H299" s="275" t="s">
        <v>64</v>
      </c>
      <c r="I299" s="275" t="s">
        <v>1473</v>
      </c>
      <c r="J299" s="286"/>
      <c r="K299" s="275" t="s">
        <v>913</v>
      </c>
      <c r="L299" s="275" t="s">
        <v>914</v>
      </c>
      <c r="M299" s="275" t="s">
        <v>915</v>
      </c>
      <c r="T299" s="1">
        <v>1</v>
      </c>
      <c r="V299" s="1">
        <f t="shared" si="59"/>
        <v>1</v>
      </c>
      <c r="X299" s="1">
        <v>1</v>
      </c>
      <c r="Z299" s="1">
        <v>1</v>
      </c>
      <c r="AE299" s="1">
        <f t="shared" si="60"/>
        <v>2</v>
      </c>
      <c r="AF299" s="1">
        <f t="shared" si="61"/>
        <v>0</v>
      </c>
      <c r="AG299" s="1">
        <f t="shared" si="62"/>
        <v>1</v>
      </c>
      <c r="AH299" s="1">
        <f t="shared" si="63"/>
        <v>0</v>
      </c>
      <c r="AI299" s="1">
        <f t="shared" si="64"/>
        <v>1</v>
      </c>
      <c r="AJ299" s="1">
        <f t="shared" si="65"/>
        <v>0</v>
      </c>
      <c r="AK299" s="1">
        <f t="shared" si="66"/>
        <v>-1</v>
      </c>
      <c r="AL299" s="1">
        <f t="shared" si="67"/>
        <v>0</v>
      </c>
      <c r="AM299" s="1">
        <f t="shared" si="68"/>
        <v>0</v>
      </c>
      <c r="AN299" s="278">
        <f t="shared" si="58"/>
        <v>1</v>
      </c>
      <c r="AP299" s="280"/>
      <c r="AQ299" s="1">
        <v>0.25</v>
      </c>
      <c r="AR299" s="1">
        <v>0.25</v>
      </c>
      <c r="AS299" s="1">
        <v>0.25</v>
      </c>
      <c r="AT299" s="1">
        <v>0.25</v>
      </c>
      <c r="AU299" s="281"/>
      <c r="AZ299" s="281"/>
      <c r="BG299" s="282">
        <f t="shared" si="69"/>
        <v>1</v>
      </c>
      <c r="BH299" s="282">
        <f t="shared" si="70"/>
        <v>1</v>
      </c>
      <c r="BI299" s="283">
        <f t="shared" si="71"/>
        <v>1</v>
      </c>
      <c r="BL299" s="1">
        <v>514221</v>
      </c>
      <c r="BM299" s="1">
        <v>172513</v>
      </c>
      <c r="BN299" s="1" t="s">
        <v>1389</v>
      </c>
      <c r="BO299" s="1" t="s">
        <v>1408</v>
      </c>
    </row>
    <row r="300" spans="1:76" ht="15" customHeight="1" x14ac:dyDescent="0.25">
      <c r="A300" s="275" t="s">
        <v>1016</v>
      </c>
      <c r="B300" s="276" t="s">
        <v>21</v>
      </c>
      <c r="D300" s="277">
        <v>44872</v>
      </c>
      <c r="E300" s="277">
        <v>45968</v>
      </c>
      <c r="H300" s="275" t="s">
        <v>64</v>
      </c>
      <c r="I300" s="275" t="s">
        <v>1019</v>
      </c>
      <c r="J300" s="286"/>
      <c r="K300" s="275" t="s">
        <v>1017</v>
      </c>
      <c r="L300" s="275" t="s">
        <v>1018</v>
      </c>
      <c r="M300" s="275" t="s">
        <v>1020</v>
      </c>
      <c r="V300" s="1">
        <f t="shared" si="59"/>
        <v>0</v>
      </c>
      <c r="W300" s="1">
        <v>14</v>
      </c>
      <c r="AE300" s="1">
        <f t="shared" si="60"/>
        <v>14</v>
      </c>
      <c r="AF300" s="1">
        <f t="shared" si="61"/>
        <v>14</v>
      </c>
      <c r="AG300" s="1">
        <f t="shared" si="62"/>
        <v>0</v>
      </c>
      <c r="AH300" s="1">
        <f t="shared" si="63"/>
        <v>0</v>
      </c>
      <c r="AI300" s="1">
        <f t="shared" si="64"/>
        <v>0</v>
      </c>
      <c r="AJ300" s="1">
        <f t="shared" si="65"/>
        <v>0</v>
      </c>
      <c r="AK300" s="1">
        <f t="shared" si="66"/>
        <v>0</v>
      </c>
      <c r="AL300" s="1">
        <f t="shared" si="67"/>
        <v>0</v>
      </c>
      <c r="AM300" s="1">
        <f t="shared" si="68"/>
        <v>0</v>
      </c>
      <c r="AN300" s="278">
        <f t="shared" si="58"/>
        <v>14</v>
      </c>
      <c r="AO300" s="279" t="s">
        <v>27</v>
      </c>
      <c r="AP300" s="280"/>
      <c r="AQ300" s="1">
        <v>3.5</v>
      </c>
      <c r="AR300" s="1">
        <v>3.5</v>
      </c>
      <c r="AS300" s="1">
        <v>3.5</v>
      </c>
      <c r="AT300" s="1">
        <v>3.5</v>
      </c>
      <c r="AU300" s="281"/>
      <c r="AZ300" s="281"/>
      <c r="BG300" s="282">
        <f t="shared" si="69"/>
        <v>14</v>
      </c>
      <c r="BH300" s="282">
        <f t="shared" si="70"/>
        <v>14</v>
      </c>
      <c r="BI300" s="283">
        <f t="shared" si="71"/>
        <v>14</v>
      </c>
      <c r="BL300" s="1">
        <v>518347</v>
      </c>
      <c r="BM300" s="1">
        <v>175427</v>
      </c>
      <c r="BN300" s="1" t="s">
        <v>1385</v>
      </c>
      <c r="BO300" s="1" t="s">
        <v>1404</v>
      </c>
      <c r="BW300" s="284" t="s">
        <v>27</v>
      </c>
    </row>
    <row r="301" spans="1:76" ht="15" customHeight="1" x14ac:dyDescent="0.25">
      <c r="A301" s="275" t="s">
        <v>88</v>
      </c>
      <c r="B301" s="276" t="s">
        <v>21</v>
      </c>
      <c r="D301" s="277">
        <v>44872</v>
      </c>
      <c r="E301" s="277">
        <v>45968</v>
      </c>
      <c r="H301" s="275" t="s">
        <v>64</v>
      </c>
      <c r="I301" s="275" t="s">
        <v>55</v>
      </c>
      <c r="J301" s="286"/>
      <c r="K301" s="275" t="s">
        <v>89</v>
      </c>
      <c r="L301" s="275" t="s">
        <v>90</v>
      </c>
      <c r="M301" s="275" t="s">
        <v>91</v>
      </c>
      <c r="Q301" s="1">
        <v>1</v>
      </c>
      <c r="V301" s="1">
        <f t="shared" si="59"/>
        <v>1</v>
      </c>
      <c r="W301" s="1">
        <v>3</v>
      </c>
      <c r="X301" s="1">
        <v>1</v>
      </c>
      <c r="AE301" s="1">
        <f t="shared" si="60"/>
        <v>4</v>
      </c>
      <c r="AF301" s="1">
        <f t="shared" si="61"/>
        <v>3</v>
      </c>
      <c r="AG301" s="1">
        <f t="shared" si="62"/>
        <v>1</v>
      </c>
      <c r="AH301" s="1">
        <f t="shared" si="63"/>
        <v>-1</v>
      </c>
      <c r="AI301" s="1">
        <f t="shared" si="64"/>
        <v>0</v>
      </c>
      <c r="AJ301" s="1">
        <f t="shared" si="65"/>
        <v>0</v>
      </c>
      <c r="AK301" s="1">
        <f t="shared" si="66"/>
        <v>0</v>
      </c>
      <c r="AL301" s="1">
        <f t="shared" si="67"/>
        <v>0</v>
      </c>
      <c r="AM301" s="1">
        <f t="shared" si="68"/>
        <v>0</v>
      </c>
      <c r="AN301" s="278">
        <f t="shared" si="58"/>
        <v>3</v>
      </c>
      <c r="AP301" s="280"/>
      <c r="AQ301" s="1">
        <v>0.75</v>
      </c>
      <c r="AR301" s="1">
        <v>0.75</v>
      </c>
      <c r="AS301" s="1">
        <v>0.75</v>
      </c>
      <c r="AT301" s="1">
        <v>0.75</v>
      </c>
      <c r="AU301" s="281"/>
      <c r="AZ301" s="281"/>
      <c r="BG301" s="282">
        <f t="shared" si="69"/>
        <v>3</v>
      </c>
      <c r="BH301" s="282">
        <f t="shared" si="70"/>
        <v>3</v>
      </c>
      <c r="BI301" s="283">
        <f t="shared" si="71"/>
        <v>3</v>
      </c>
      <c r="BL301" s="1">
        <v>516734</v>
      </c>
      <c r="BM301" s="1">
        <v>173647</v>
      </c>
      <c r="BN301" s="1" t="s">
        <v>1389</v>
      </c>
      <c r="BO301" s="1" t="s">
        <v>1407</v>
      </c>
      <c r="BT301" s="284" t="s">
        <v>1744</v>
      </c>
      <c r="BU301" s="284" t="s">
        <v>1689</v>
      </c>
      <c r="BV301" s="284" t="s">
        <v>27</v>
      </c>
      <c r="BW301" s="284" t="s">
        <v>27</v>
      </c>
    </row>
    <row r="302" spans="1:76" ht="15" customHeight="1" x14ac:dyDescent="0.25">
      <c r="A302" s="275" t="s">
        <v>1180</v>
      </c>
      <c r="B302" s="276" t="s">
        <v>21</v>
      </c>
      <c r="D302" s="277">
        <v>44875</v>
      </c>
      <c r="E302" s="277">
        <v>45971</v>
      </c>
      <c r="H302" s="275" t="s">
        <v>64</v>
      </c>
      <c r="I302" s="275" t="s">
        <v>1473</v>
      </c>
      <c r="J302" s="286"/>
      <c r="K302" s="275" t="s">
        <v>1181</v>
      </c>
      <c r="L302" s="275" t="s">
        <v>1182</v>
      </c>
      <c r="M302" s="275" t="s">
        <v>30</v>
      </c>
      <c r="V302" s="1">
        <f t="shared" si="59"/>
        <v>0</v>
      </c>
      <c r="X302" s="1">
        <v>2</v>
      </c>
      <c r="AE302" s="1">
        <f t="shared" si="60"/>
        <v>2</v>
      </c>
      <c r="AF302" s="1">
        <f t="shared" si="61"/>
        <v>0</v>
      </c>
      <c r="AG302" s="1">
        <f t="shared" si="62"/>
        <v>2</v>
      </c>
      <c r="AH302" s="1">
        <f t="shared" si="63"/>
        <v>0</v>
      </c>
      <c r="AI302" s="1">
        <f t="shared" si="64"/>
        <v>0</v>
      </c>
      <c r="AJ302" s="1">
        <f t="shared" si="65"/>
        <v>0</v>
      </c>
      <c r="AK302" s="1">
        <f t="shared" si="66"/>
        <v>0</v>
      </c>
      <c r="AL302" s="1">
        <f t="shared" si="67"/>
        <v>0</v>
      </c>
      <c r="AM302" s="1">
        <f t="shared" si="68"/>
        <v>0</v>
      </c>
      <c r="AN302" s="278">
        <f t="shared" si="58"/>
        <v>2</v>
      </c>
      <c r="AP302" s="280"/>
      <c r="AQ302" s="1">
        <v>0.5</v>
      </c>
      <c r="AR302" s="1">
        <v>0.5</v>
      </c>
      <c r="AS302" s="1">
        <v>0.5</v>
      </c>
      <c r="AT302" s="1">
        <v>0.5</v>
      </c>
      <c r="AU302" s="281"/>
      <c r="AZ302" s="281"/>
      <c r="BG302" s="282">
        <f t="shared" si="69"/>
        <v>2</v>
      </c>
      <c r="BH302" s="282">
        <f t="shared" si="70"/>
        <v>2</v>
      </c>
      <c r="BI302" s="283">
        <f t="shared" si="71"/>
        <v>2</v>
      </c>
      <c r="BL302" s="1">
        <v>517060</v>
      </c>
      <c r="BM302" s="1">
        <v>170217</v>
      </c>
      <c r="BN302" s="1" t="s">
        <v>1600</v>
      </c>
      <c r="BO302" s="1" t="s">
        <v>1559</v>
      </c>
      <c r="BU302" s="284" t="s">
        <v>1745</v>
      </c>
      <c r="BV302" s="284" t="s">
        <v>27</v>
      </c>
      <c r="BW302" s="284" t="s">
        <v>27</v>
      </c>
      <c r="BX302" s="1" t="s">
        <v>27</v>
      </c>
    </row>
    <row r="303" spans="1:76" ht="15" customHeight="1" x14ac:dyDescent="0.25">
      <c r="A303" s="275" t="s">
        <v>1093</v>
      </c>
      <c r="B303" s="276" t="s">
        <v>49</v>
      </c>
      <c r="C303" s="1" t="s">
        <v>1262</v>
      </c>
      <c r="D303" s="277">
        <v>44889</v>
      </c>
      <c r="E303" s="277">
        <v>45985</v>
      </c>
      <c r="H303" s="275" t="s">
        <v>64</v>
      </c>
      <c r="I303" s="275" t="s">
        <v>1473</v>
      </c>
      <c r="J303" s="286"/>
      <c r="K303" s="275" t="s">
        <v>1094</v>
      </c>
      <c r="L303" s="275" t="s">
        <v>1095</v>
      </c>
      <c r="M303" s="275" t="s">
        <v>1096</v>
      </c>
      <c r="V303" s="1">
        <f t="shared" si="59"/>
        <v>0</v>
      </c>
      <c r="W303" s="1">
        <v>1</v>
      </c>
      <c r="AE303" s="1">
        <f t="shared" si="60"/>
        <v>1</v>
      </c>
      <c r="AF303" s="1">
        <f t="shared" si="61"/>
        <v>1</v>
      </c>
      <c r="AG303" s="1">
        <f t="shared" si="62"/>
        <v>0</v>
      </c>
      <c r="AH303" s="1">
        <f t="shared" si="63"/>
        <v>0</v>
      </c>
      <c r="AI303" s="1">
        <f t="shared" si="64"/>
        <v>0</v>
      </c>
      <c r="AJ303" s="1">
        <f t="shared" si="65"/>
        <v>0</v>
      </c>
      <c r="AK303" s="1">
        <f t="shared" si="66"/>
        <v>0</v>
      </c>
      <c r="AL303" s="1">
        <f t="shared" si="67"/>
        <v>0</v>
      </c>
      <c r="AM303" s="1">
        <f t="shared" si="68"/>
        <v>0</v>
      </c>
      <c r="AN303" s="278">
        <f t="shared" si="58"/>
        <v>1</v>
      </c>
      <c r="AP303" s="280"/>
      <c r="AQ303" s="1">
        <v>0.25</v>
      </c>
      <c r="AR303" s="1">
        <v>0.25</v>
      </c>
      <c r="AS303" s="1">
        <v>0.25</v>
      </c>
      <c r="AT303" s="1">
        <v>0.25</v>
      </c>
      <c r="AU303" s="281"/>
      <c r="AZ303" s="281"/>
      <c r="BG303" s="282">
        <f t="shared" si="69"/>
        <v>1</v>
      </c>
      <c r="BH303" s="282">
        <f t="shared" si="70"/>
        <v>1</v>
      </c>
      <c r="BI303" s="283">
        <f t="shared" si="71"/>
        <v>1</v>
      </c>
      <c r="BL303" s="1">
        <v>512819</v>
      </c>
      <c r="BM303" s="1">
        <v>170921</v>
      </c>
      <c r="BN303" s="1" t="s">
        <v>1600</v>
      </c>
      <c r="BO303" s="1" t="s">
        <v>1401</v>
      </c>
    </row>
    <row r="304" spans="1:76" ht="15" customHeight="1" x14ac:dyDescent="0.25">
      <c r="A304" s="275" t="s">
        <v>1100</v>
      </c>
      <c r="B304" s="276" t="s">
        <v>224</v>
      </c>
      <c r="C304" s="1" t="s">
        <v>1262</v>
      </c>
      <c r="D304" s="277">
        <v>44894</v>
      </c>
      <c r="E304" s="277">
        <v>45990</v>
      </c>
      <c r="H304" s="275" t="s">
        <v>64</v>
      </c>
      <c r="I304" s="275" t="s">
        <v>1473</v>
      </c>
      <c r="J304" s="286"/>
      <c r="K304" s="275" t="s">
        <v>1101</v>
      </c>
      <c r="L304" s="275" t="s">
        <v>1102</v>
      </c>
      <c r="M304" s="275" t="s">
        <v>1103</v>
      </c>
      <c r="V304" s="1">
        <f t="shared" si="59"/>
        <v>0</v>
      </c>
      <c r="W304" s="1">
        <v>1</v>
      </c>
      <c r="X304" s="1">
        <v>2</v>
      </c>
      <c r="AE304" s="1">
        <f t="shared" si="60"/>
        <v>3</v>
      </c>
      <c r="AF304" s="1">
        <f t="shared" si="61"/>
        <v>1</v>
      </c>
      <c r="AG304" s="1">
        <f t="shared" si="62"/>
        <v>2</v>
      </c>
      <c r="AH304" s="1">
        <f t="shared" si="63"/>
        <v>0</v>
      </c>
      <c r="AI304" s="1">
        <f t="shared" si="64"/>
        <v>0</v>
      </c>
      <c r="AJ304" s="1">
        <f t="shared" si="65"/>
        <v>0</v>
      </c>
      <c r="AK304" s="1">
        <f t="shared" si="66"/>
        <v>0</v>
      </c>
      <c r="AL304" s="1">
        <f t="shared" si="67"/>
        <v>0</v>
      </c>
      <c r="AM304" s="1">
        <f t="shared" si="68"/>
        <v>0</v>
      </c>
      <c r="AN304" s="278">
        <f t="shared" si="58"/>
        <v>3</v>
      </c>
      <c r="AP304" s="280"/>
      <c r="AQ304" s="1">
        <v>0.75</v>
      </c>
      <c r="AR304" s="1">
        <v>0.75</v>
      </c>
      <c r="AS304" s="1">
        <v>0.75</v>
      </c>
      <c r="AT304" s="1">
        <v>0.75</v>
      </c>
      <c r="AU304" s="281"/>
      <c r="AZ304" s="281"/>
      <c r="BG304" s="282">
        <f t="shared" si="69"/>
        <v>3</v>
      </c>
      <c r="BH304" s="282">
        <f t="shared" si="70"/>
        <v>3</v>
      </c>
      <c r="BI304" s="283">
        <f t="shared" si="71"/>
        <v>3</v>
      </c>
      <c r="BL304" s="1">
        <v>516087</v>
      </c>
      <c r="BM304" s="1">
        <v>173122</v>
      </c>
      <c r="BN304" s="1" t="s">
        <v>1389</v>
      </c>
      <c r="BO304" s="1" t="s">
        <v>1406</v>
      </c>
      <c r="BP304" s="284" t="s">
        <v>1389</v>
      </c>
      <c r="BW304" s="284" t="s">
        <v>27</v>
      </c>
    </row>
    <row r="305" spans="1:75" ht="15" customHeight="1" x14ac:dyDescent="0.25">
      <c r="A305" s="275" t="s">
        <v>1040</v>
      </c>
      <c r="B305" s="276" t="s">
        <v>224</v>
      </c>
      <c r="D305" s="277">
        <v>44895</v>
      </c>
      <c r="E305" s="277">
        <v>45991</v>
      </c>
      <c r="H305" s="275" t="s">
        <v>64</v>
      </c>
      <c r="I305" s="275" t="s">
        <v>1473</v>
      </c>
      <c r="J305" s="286"/>
      <c r="K305" s="275" t="s">
        <v>1041</v>
      </c>
      <c r="L305" s="275" t="s">
        <v>1042</v>
      </c>
      <c r="M305" s="275" t="s">
        <v>1043</v>
      </c>
      <c r="V305" s="1">
        <f t="shared" si="59"/>
        <v>0</v>
      </c>
      <c r="W305" s="1">
        <v>1</v>
      </c>
      <c r="AE305" s="1">
        <f t="shared" si="60"/>
        <v>1</v>
      </c>
      <c r="AF305" s="1">
        <f t="shared" si="61"/>
        <v>1</v>
      </c>
      <c r="AG305" s="1">
        <f t="shared" si="62"/>
        <v>0</v>
      </c>
      <c r="AH305" s="1">
        <f t="shared" si="63"/>
        <v>0</v>
      </c>
      <c r="AI305" s="1">
        <f t="shared" si="64"/>
        <v>0</v>
      </c>
      <c r="AJ305" s="1">
        <f t="shared" si="65"/>
        <v>0</v>
      </c>
      <c r="AK305" s="1">
        <f t="shared" si="66"/>
        <v>0</v>
      </c>
      <c r="AL305" s="1">
        <f t="shared" si="67"/>
        <v>0</v>
      </c>
      <c r="AM305" s="1">
        <f t="shared" si="68"/>
        <v>0</v>
      </c>
      <c r="AN305" s="278">
        <f t="shared" si="58"/>
        <v>1</v>
      </c>
      <c r="AP305" s="280"/>
      <c r="AQ305" s="1">
        <v>0.25</v>
      </c>
      <c r="AR305" s="1">
        <v>0.25</v>
      </c>
      <c r="AS305" s="1">
        <v>0.25</v>
      </c>
      <c r="AT305" s="1">
        <v>0.25</v>
      </c>
      <c r="AU305" s="281"/>
      <c r="AZ305" s="281"/>
      <c r="BG305" s="282">
        <f t="shared" si="69"/>
        <v>1</v>
      </c>
      <c r="BH305" s="282">
        <f t="shared" si="70"/>
        <v>1</v>
      </c>
      <c r="BI305" s="283">
        <f t="shared" si="71"/>
        <v>1</v>
      </c>
      <c r="BL305" s="1">
        <v>520508</v>
      </c>
      <c r="BM305" s="1">
        <v>175676</v>
      </c>
      <c r="BN305" s="1" t="s">
        <v>1599</v>
      </c>
      <c r="BO305" s="1" t="s">
        <v>1384</v>
      </c>
      <c r="BP305" s="284" t="s">
        <v>1384</v>
      </c>
      <c r="BU305" s="284" t="s">
        <v>1720</v>
      </c>
      <c r="BV305" s="284" t="s">
        <v>27</v>
      </c>
      <c r="BW305" s="284" t="s">
        <v>27</v>
      </c>
    </row>
    <row r="306" spans="1:75" ht="15" customHeight="1" x14ac:dyDescent="0.25">
      <c r="A306" s="275" t="s">
        <v>973</v>
      </c>
      <c r="B306" s="276" t="s">
        <v>49</v>
      </c>
      <c r="C306" s="1" t="s">
        <v>1262</v>
      </c>
      <c r="D306" s="277">
        <v>44895</v>
      </c>
      <c r="E306" s="277">
        <v>45991</v>
      </c>
      <c r="H306" s="275" t="s">
        <v>64</v>
      </c>
      <c r="I306" s="275" t="s">
        <v>1473</v>
      </c>
      <c r="J306" s="286"/>
      <c r="K306" s="275" t="s">
        <v>974</v>
      </c>
      <c r="L306" s="275" t="s">
        <v>975</v>
      </c>
      <c r="M306" s="275" t="s">
        <v>258</v>
      </c>
      <c r="V306" s="1">
        <f t="shared" si="59"/>
        <v>0</v>
      </c>
      <c r="W306" s="1">
        <v>1</v>
      </c>
      <c r="AE306" s="1">
        <f t="shared" si="60"/>
        <v>1</v>
      </c>
      <c r="AF306" s="1">
        <f t="shared" si="61"/>
        <v>1</v>
      </c>
      <c r="AG306" s="1">
        <f t="shared" si="62"/>
        <v>0</v>
      </c>
      <c r="AH306" s="1">
        <f t="shared" si="63"/>
        <v>0</v>
      </c>
      <c r="AI306" s="1">
        <f t="shared" si="64"/>
        <v>0</v>
      </c>
      <c r="AJ306" s="1">
        <f t="shared" si="65"/>
        <v>0</v>
      </c>
      <c r="AK306" s="1">
        <f t="shared" si="66"/>
        <v>0</v>
      </c>
      <c r="AL306" s="1">
        <f t="shared" si="67"/>
        <v>0</v>
      </c>
      <c r="AM306" s="1">
        <f t="shared" si="68"/>
        <v>0</v>
      </c>
      <c r="AN306" s="278">
        <f t="shared" si="58"/>
        <v>1</v>
      </c>
      <c r="AP306" s="280"/>
      <c r="AQ306" s="1">
        <v>0.25</v>
      </c>
      <c r="AR306" s="1">
        <v>0.25</v>
      </c>
      <c r="AS306" s="1">
        <v>0.25</v>
      </c>
      <c r="AT306" s="1">
        <v>0.25</v>
      </c>
      <c r="AU306" s="281"/>
      <c r="AZ306" s="281"/>
      <c r="BG306" s="282">
        <f t="shared" si="69"/>
        <v>1</v>
      </c>
      <c r="BH306" s="282">
        <f t="shared" si="70"/>
        <v>1</v>
      </c>
      <c r="BI306" s="283">
        <f t="shared" si="71"/>
        <v>1</v>
      </c>
      <c r="BL306" s="1">
        <v>520553</v>
      </c>
      <c r="BM306" s="1">
        <v>175393</v>
      </c>
      <c r="BN306" s="1" t="s">
        <v>1599</v>
      </c>
      <c r="BO306" s="1" t="s">
        <v>1384</v>
      </c>
      <c r="BP306" s="284" t="s">
        <v>1384</v>
      </c>
      <c r="BW306" s="284" t="s">
        <v>27</v>
      </c>
    </row>
    <row r="307" spans="1:75" ht="15" customHeight="1" x14ac:dyDescent="0.25">
      <c r="A307" s="275" t="s">
        <v>966</v>
      </c>
      <c r="B307" s="276" t="s">
        <v>21</v>
      </c>
      <c r="D307" s="277">
        <v>44904</v>
      </c>
      <c r="E307" s="277">
        <v>46000</v>
      </c>
      <c r="H307" s="275" t="s">
        <v>64</v>
      </c>
      <c r="I307" s="275" t="s">
        <v>1473</v>
      </c>
      <c r="J307" s="286"/>
      <c r="K307" s="275" t="s">
        <v>967</v>
      </c>
      <c r="L307" s="275" t="s">
        <v>968</v>
      </c>
      <c r="M307" s="275" t="s">
        <v>969</v>
      </c>
      <c r="Q307" s="1">
        <v>1</v>
      </c>
      <c r="V307" s="1">
        <f t="shared" si="59"/>
        <v>1</v>
      </c>
      <c r="Z307" s="1">
        <v>2</v>
      </c>
      <c r="AE307" s="1">
        <f t="shared" si="60"/>
        <v>2</v>
      </c>
      <c r="AF307" s="1">
        <f t="shared" si="61"/>
        <v>0</v>
      </c>
      <c r="AG307" s="1">
        <f t="shared" si="62"/>
        <v>0</v>
      </c>
      <c r="AH307" s="1">
        <f t="shared" si="63"/>
        <v>-1</v>
      </c>
      <c r="AI307" s="1">
        <f t="shared" si="64"/>
        <v>2</v>
      </c>
      <c r="AJ307" s="1">
        <f t="shared" si="65"/>
        <v>0</v>
      </c>
      <c r="AK307" s="1">
        <f t="shared" si="66"/>
        <v>0</v>
      </c>
      <c r="AL307" s="1">
        <f t="shared" si="67"/>
        <v>0</v>
      </c>
      <c r="AM307" s="1">
        <f t="shared" si="68"/>
        <v>0</v>
      </c>
      <c r="AN307" s="278">
        <f t="shared" si="58"/>
        <v>1</v>
      </c>
      <c r="AP307" s="280"/>
      <c r="AQ307" s="1">
        <v>0.25</v>
      </c>
      <c r="AR307" s="1">
        <v>0.25</v>
      </c>
      <c r="AS307" s="1">
        <v>0.25</v>
      </c>
      <c r="AT307" s="1">
        <v>0.25</v>
      </c>
      <c r="AU307" s="281"/>
      <c r="AZ307" s="281"/>
      <c r="BG307" s="282">
        <f t="shared" si="69"/>
        <v>1</v>
      </c>
      <c r="BH307" s="282">
        <f t="shared" si="70"/>
        <v>1</v>
      </c>
      <c r="BI307" s="283">
        <f t="shared" si="71"/>
        <v>1</v>
      </c>
      <c r="BL307" s="1">
        <v>516303</v>
      </c>
      <c r="BM307" s="1">
        <v>170784</v>
      </c>
      <c r="BN307" s="1" t="s">
        <v>1600</v>
      </c>
      <c r="BO307" s="1" t="s">
        <v>1387</v>
      </c>
      <c r="BW307" s="284" t="s">
        <v>27</v>
      </c>
    </row>
    <row r="308" spans="1:75" ht="15" customHeight="1" x14ac:dyDescent="0.25">
      <c r="A308" s="275" t="s">
        <v>1200</v>
      </c>
      <c r="B308" s="276" t="s">
        <v>49</v>
      </c>
      <c r="C308" s="1" t="s">
        <v>1262</v>
      </c>
      <c r="D308" s="277">
        <v>44907</v>
      </c>
      <c r="E308" s="277">
        <v>46003</v>
      </c>
      <c r="H308" s="275" t="s">
        <v>64</v>
      </c>
      <c r="I308" s="275" t="s">
        <v>1473</v>
      </c>
      <c r="J308" s="286"/>
      <c r="K308" s="275" t="s">
        <v>1201</v>
      </c>
      <c r="L308" s="275" t="s">
        <v>1199</v>
      </c>
      <c r="M308" s="275" t="s">
        <v>1194</v>
      </c>
      <c r="V308" s="1">
        <f t="shared" si="59"/>
        <v>0</v>
      </c>
      <c r="X308" s="1">
        <v>2</v>
      </c>
      <c r="AE308" s="1">
        <f t="shared" si="60"/>
        <v>2</v>
      </c>
      <c r="AF308" s="1">
        <f t="shared" si="61"/>
        <v>0</v>
      </c>
      <c r="AG308" s="1">
        <f t="shared" si="62"/>
        <v>2</v>
      </c>
      <c r="AH308" s="1">
        <f t="shared" si="63"/>
        <v>0</v>
      </c>
      <c r="AI308" s="1">
        <f t="shared" si="64"/>
        <v>0</v>
      </c>
      <c r="AJ308" s="1">
        <f t="shared" si="65"/>
        <v>0</v>
      </c>
      <c r="AK308" s="1">
        <f t="shared" si="66"/>
        <v>0</v>
      </c>
      <c r="AL308" s="1">
        <f t="shared" si="67"/>
        <v>0</v>
      </c>
      <c r="AM308" s="1">
        <f t="shared" si="68"/>
        <v>0</v>
      </c>
      <c r="AN308" s="278">
        <f t="shared" si="58"/>
        <v>2</v>
      </c>
      <c r="AP308" s="280"/>
      <c r="AQ308" s="1">
        <v>0.5</v>
      </c>
      <c r="AR308" s="1">
        <v>0.5</v>
      </c>
      <c r="AS308" s="1">
        <v>0.5</v>
      </c>
      <c r="AT308" s="1">
        <v>0.5</v>
      </c>
      <c r="AU308" s="281"/>
      <c r="AZ308" s="281"/>
      <c r="BG308" s="282">
        <f t="shared" si="69"/>
        <v>2</v>
      </c>
      <c r="BH308" s="282">
        <f t="shared" si="70"/>
        <v>2</v>
      </c>
      <c r="BI308" s="283">
        <f t="shared" si="71"/>
        <v>2</v>
      </c>
      <c r="BL308" s="1">
        <v>514405</v>
      </c>
      <c r="BM308" s="1">
        <v>171101</v>
      </c>
      <c r="BN308" s="1" t="s">
        <v>1600</v>
      </c>
      <c r="BO308" s="1" t="s">
        <v>1563</v>
      </c>
      <c r="BR308" s="284" t="s">
        <v>1701</v>
      </c>
      <c r="BS308" s="284" t="s">
        <v>27</v>
      </c>
      <c r="BU308" s="284" t="s">
        <v>1702</v>
      </c>
      <c r="BV308" s="284" t="s">
        <v>27</v>
      </c>
    </row>
    <row r="309" spans="1:75" ht="15" customHeight="1" x14ac:dyDescent="0.25">
      <c r="A309" s="275" t="s">
        <v>1085</v>
      </c>
      <c r="B309" s="276" t="s">
        <v>144</v>
      </c>
      <c r="D309" s="277">
        <v>44908</v>
      </c>
      <c r="E309" s="277">
        <v>46004</v>
      </c>
      <c r="H309" s="275" t="s">
        <v>64</v>
      </c>
      <c r="I309" s="275" t="s">
        <v>1473</v>
      </c>
      <c r="J309" s="286"/>
      <c r="K309" s="275" t="s">
        <v>1086</v>
      </c>
      <c r="L309" s="275" t="s">
        <v>1087</v>
      </c>
      <c r="M309" s="275" t="s">
        <v>1088</v>
      </c>
      <c r="O309" s="1">
        <v>1</v>
      </c>
      <c r="P309" s="1">
        <v>1</v>
      </c>
      <c r="V309" s="1">
        <f t="shared" si="59"/>
        <v>2</v>
      </c>
      <c r="Z309" s="1">
        <v>1</v>
      </c>
      <c r="AE309" s="1">
        <f t="shared" si="60"/>
        <v>1</v>
      </c>
      <c r="AF309" s="1">
        <f t="shared" si="61"/>
        <v>-1</v>
      </c>
      <c r="AG309" s="1">
        <f t="shared" si="62"/>
        <v>-1</v>
      </c>
      <c r="AH309" s="1">
        <f t="shared" si="63"/>
        <v>0</v>
      </c>
      <c r="AI309" s="1">
        <f t="shared" si="64"/>
        <v>1</v>
      </c>
      <c r="AJ309" s="1">
        <f t="shared" si="65"/>
        <v>0</v>
      </c>
      <c r="AK309" s="1">
        <f t="shared" si="66"/>
        <v>0</v>
      </c>
      <c r="AL309" s="1">
        <f t="shared" si="67"/>
        <v>0</v>
      </c>
      <c r="AM309" s="1">
        <f t="shared" si="68"/>
        <v>0</v>
      </c>
      <c r="AN309" s="278">
        <f t="shared" si="58"/>
        <v>-1</v>
      </c>
      <c r="AP309" s="280"/>
      <c r="AQ309" s="1">
        <v>-0.25</v>
      </c>
      <c r="AR309" s="1">
        <v>-0.25</v>
      </c>
      <c r="AS309" s="1">
        <v>-0.25</v>
      </c>
      <c r="AT309" s="1">
        <v>-0.25</v>
      </c>
      <c r="AU309" s="281"/>
      <c r="AZ309" s="281"/>
      <c r="BG309" s="282">
        <f t="shared" si="69"/>
        <v>-1</v>
      </c>
      <c r="BH309" s="282">
        <f t="shared" si="70"/>
        <v>-1</v>
      </c>
      <c r="BI309" s="283">
        <f t="shared" si="71"/>
        <v>-1</v>
      </c>
      <c r="BL309" s="1">
        <v>520657</v>
      </c>
      <c r="BM309" s="1">
        <v>175094</v>
      </c>
      <c r="BN309" s="1" t="s">
        <v>1599</v>
      </c>
      <c r="BO309" s="1" t="s">
        <v>1384</v>
      </c>
      <c r="BW309" s="284" t="s">
        <v>27</v>
      </c>
    </row>
    <row r="310" spans="1:75" ht="15" customHeight="1" x14ac:dyDescent="0.25">
      <c r="A310" s="275" t="s">
        <v>962</v>
      </c>
      <c r="B310" s="276" t="s">
        <v>49</v>
      </c>
      <c r="C310" s="1" t="s">
        <v>1262</v>
      </c>
      <c r="D310" s="277">
        <v>44910</v>
      </c>
      <c r="E310" s="277">
        <v>46006</v>
      </c>
      <c r="H310" s="275" t="s">
        <v>64</v>
      </c>
      <c r="I310" s="275" t="s">
        <v>1473</v>
      </c>
      <c r="J310" s="286"/>
      <c r="K310" s="275" t="s">
        <v>963</v>
      </c>
      <c r="L310" s="275" t="s">
        <v>964</v>
      </c>
      <c r="M310" s="275" t="s">
        <v>965</v>
      </c>
      <c r="V310" s="1">
        <f t="shared" si="59"/>
        <v>0</v>
      </c>
      <c r="W310" s="1">
        <v>1</v>
      </c>
      <c r="AE310" s="1">
        <f t="shared" si="60"/>
        <v>1</v>
      </c>
      <c r="AF310" s="1">
        <f t="shared" si="61"/>
        <v>1</v>
      </c>
      <c r="AG310" s="1">
        <f t="shared" si="62"/>
        <v>0</v>
      </c>
      <c r="AH310" s="1">
        <f t="shared" si="63"/>
        <v>0</v>
      </c>
      <c r="AI310" s="1">
        <f t="shared" si="64"/>
        <v>0</v>
      </c>
      <c r="AJ310" s="1">
        <f t="shared" si="65"/>
        <v>0</v>
      </c>
      <c r="AK310" s="1">
        <f t="shared" si="66"/>
        <v>0</v>
      </c>
      <c r="AL310" s="1">
        <f t="shared" si="67"/>
        <v>0</v>
      </c>
      <c r="AM310" s="1">
        <f t="shared" si="68"/>
        <v>0</v>
      </c>
      <c r="AN310" s="278">
        <f t="shared" si="58"/>
        <v>1</v>
      </c>
      <c r="AP310" s="280"/>
      <c r="AQ310" s="1">
        <v>0.25</v>
      </c>
      <c r="AR310" s="1">
        <v>0.25</v>
      </c>
      <c r="AS310" s="1">
        <v>0.25</v>
      </c>
      <c r="AT310" s="1">
        <v>0.25</v>
      </c>
      <c r="AU310" s="281"/>
      <c r="AZ310" s="281"/>
      <c r="BG310" s="282">
        <f t="shared" si="69"/>
        <v>1</v>
      </c>
      <c r="BH310" s="282">
        <f t="shared" si="70"/>
        <v>1</v>
      </c>
      <c r="BI310" s="283">
        <f t="shared" si="71"/>
        <v>1</v>
      </c>
      <c r="BL310" s="1">
        <v>513402</v>
      </c>
      <c r="BM310" s="1">
        <v>169963</v>
      </c>
      <c r="BN310" s="1" t="s">
        <v>1600</v>
      </c>
      <c r="BO310" s="1" t="s">
        <v>1400</v>
      </c>
      <c r="BW310" s="284" t="s">
        <v>27</v>
      </c>
    </row>
    <row r="311" spans="1:75" ht="15" customHeight="1" x14ac:dyDescent="0.25">
      <c r="A311" s="275" t="s">
        <v>838</v>
      </c>
      <c r="B311" s="276" t="s">
        <v>144</v>
      </c>
      <c r="D311" s="277">
        <v>44551</v>
      </c>
      <c r="E311" s="277">
        <v>46007</v>
      </c>
      <c r="H311" s="275" t="s">
        <v>64</v>
      </c>
      <c r="I311" s="275" t="s">
        <v>1473</v>
      </c>
      <c r="J311" s="286"/>
      <c r="K311" s="275" t="s">
        <v>839</v>
      </c>
      <c r="L311" s="275" t="s">
        <v>840</v>
      </c>
      <c r="M311" s="275" t="s">
        <v>841</v>
      </c>
      <c r="O311" s="1">
        <v>9</v>
      </c>
      <c r="V311" s="1">
        <f t="shared" si="59"/>
        <v>9</v>
      </c>
      <c r="W311" s="1">
        <v>1</v>
      </c>
      <c r="X311" s="1">
        <v>3</v>
      </c>
      <c r="AE311" s="1">
        <f t="shared" si="60"/>
        <v>4</v>
      </c>
      <c r="AF311" s="1">
        <f t="shared" si="61"/>
        <v>-8</v>
      </c>
      <c r="AG311" s="1">
        <f t="shared" si="62"/>
        <v>3</v>
      </c>
      <c r="AH311" s="1">
        <f t="shared" si="63"/>
        <v>0</v>
      </c>
      <c r="AI311" s="1">
        <f t="shared" si="64"/>
        <v>0</v>
      </c>
      <c r="AJ311" s="1">
        <f t="shared" si="65"/>
        <v>0</v>
      </c>
      <c r="AK311" s="1">
        <f t="shared" si="66"/>
        <v>0</v>
      </c>
      <c r="AL311" s="1">
        <f t="shared" si="67"/>
        <v>0</v>
      </c>
      <c r="AM311" s="1">
        <f t="shared" si="68"/>
        <v>0</v>
      </c>
      <c r="AN311" s="278">
        <f t="shared" si="58"/>
        <v>-5</v>
      </c>
      <c r="AP311" s="280"/>
      <c r="AQ311" s="1">
        <v>-1.25</v>
      </c>
      <c r="AR311" s="1">
        <v>-1.25</v>
      </c>
      <c r="AS311" s="1">
        <v>-1.25</v>
      </c>
      <c r="AT311" s="1">
        <v>-1.25</v>
      </c>
      <c r="AU311" s="281"/>
      <c r="AZ311" s="281"/>
      <c r="BG311" s="282">
        <f t="shared" si="69"/>
        <v>-5</v>
      </c>
      <c r="BH311" s="282">
        <f t="shared" si="70"/>
        <v>-5</v>
      </c>
      <c r="BI311" s="283">
        <f t="shared" si="71"/>
        <v>-5</v>
      </c>
      <c r="BL311" s="1">
        <v>514541</v>
      </c>
      <c r="BM311" s="1">
        <v>172794</v>
      </c>
      <c r="BN311" s="1" t="s">
        <v>1389</v>
      </c>
      <c r="BO311" s="1" t="s">
        <v>1408</v>
      </c>
      <c r="BW311" s="284" t="s">
        <v>27</v>
      </c>
    </row>
    <row r="312" spans="1:75" ht="15" customHeight="1" x14ac:dyDescent="0.25">
      <c r="A312" s="275" t="s">
        <v>902</v>
      </c>
      <c r="B312" s="276" t="s">
        <v>144</v>
      </c>
      <c r="D312" s="277">
        <v>44914</v>
      </c>
      <c r="E312" s="277">
        <v>46010</v>
      </c>
      <c r="H312" s="275" t="s">
        <v>64</v>
      </c>
      <c r="I312" s="275" t="s">
        <v>1473</v>
      </c>
      <c r="J312" s="286"/>
      <c r="K312" s="275" t="s">
        <v>903</v>
      </c>
      <c r="L312" s="275" t="s">
        <v>904</v>
      </c>
      <c r="M312" s="275" t="s">
        <v>618</v>
      </c>
      <c r="P312" s="1">
        <v>1</v>
      </c>
      <c r="V312" s="1">
        <f t="shared" si="59"/>
        <v>1</v>
      </c>
      <c r="W312" s="1">
        <v>1</v>
      </c>
      <c r="X312" s="1">
        <v>1</v>
      </c>
      <c r="AE312" s="1">
        <f t="shared" si="60"/>
        <v>2</v>
      </c>
      <c r="AF312" s="1">
        <f t="shared" si="61"/>
        <v>1</v>
      </c>
      <c r="AG312" s="1">
        <f t="shared" si="62"/>
        <v>0</v>
      </c>
      <c r="AH312" s="1">
        <f t="shared" si="63"/>
        <v>0</v>
      </c>
      <c r="AI312" s="1">
        <f t="shared" si="64"/>
        <v>0</v>
      </c>
      <c r="AJ312" s="1">
        <f t="shared" si="65"/>
        <v>0</v>
      </c>
      <c r="AK312" s="1">
        <f t="shared" si="66"/>
        <v>0</v>
      </c>
      <c r="AL312" s="1">
        <f t="shared" si="67"/>
        <v>0</v>
      </c>
      <c r="AM312" s="1">
        <f t="shared" si="68"/>
        <v>0</v>
      </c>
      <c r="AN312" s="278">
        <f t="shared" si="58"/>
        <v>1</v>
      </c>
      <c r="AP312" s="280"/>
      <c r="AQ312" s="1">
        <v>0.25</v>
      </c>
      <c r="AR312" s="1">
        <v>0.25</v>
      </c>
      <c r="AS312" s="1">
        <v>0.25</v>
      </c>
      <c r="AT312" s="1">
        <v>0.25</v>
      </c>
      <c r="AU312" s="281"/>
      <c r="AZ312" s="281"/>
      <c r="BG312" s="282">
        <f t="shared" si="69"/>
        <v>1</v>
      </c>
      <c r="BH312" s="282">
        <f t="shared" si="70"/>
        <v>1</v>
      </c>
      <c r="BI312" s="283">
        <f t="shared" si="71"/>
        <v>1</v>
      </c>
      <c r="BL312" s="1">
        <v>520360</v>
      </c>
      <c r="BM312" s="1">
        <v>175325</v>
      </c>
      <c r="BN312" s="1" t="s">
        <v>1599</v>
      </c>
      <c r="BO312" s="1" t="s">
        <v>1384</v>
      </c>
      <c r="BP312" s="284" t="s">
        <v>1384</v>
      </c>
      <c r="BW312" s="284" t="s">
        <v>27</v>
      </c>
    </row>
    <row r="313" spans="1:75" ht="15" customHeight="1" x14ac:dyDescent="0.25">
      <c r="A313" s="275" t="s">
        <v>92</v>
      </c>
      <c r="B313" s="276" t="s">
        <v>21</v>
      </c>
      <c r="D313" s="277">
        <v>44916</v>
      </c>
      <c r="E313" s="277">
        <v>46012</v>
      </c>
      <c r="H313" s="269" t="s">
        <v>64</v>
      </c>
      <c r="I313" s="275" t="s">
        <v>50</v>
      </c>
      <c r="J313" s="286"/>
      <c r="K313" s="275" t="s">
        <v>93</v>
      </c>
      <c r="L313" s="275" t="s">
        <v>94</v>
      </c>
      <c r="M313" s="275" t="s">
        <v>95</v>
      </c>
      <c r="N313" s="1" t="s">
        <v>96</v>
      </c>
      <c r="V313" s="1">
        <f t="shared" si="59"/>
        <v>0</v>
      </c>
      <c r="W313" s="1">
        <v>9</v>
      </c>
      <c r="X313" s="1">
        <v>7</v>
      </c>
      <c r="Y313" s="1">
        <v>1</v>
      </c>
      <c r="AE313" s="1">
        <f t="shared" si="60"/>
        <v>17</v>
      </c>
      <c r="AF313" s="1">
        <f t="shared" si="61"/>
        <v>9</v>
      </c>
      <c r="AG313" s="1">
        <f t="shared" si="62"/>
        <v>7</v>
      </c>
      <c r="AH313" s="1">
        <f t="shared" si="63"/>
        <v>1</v>
      </c>
      <c r="AI313" s="1">
        <f t="shared" si="64"/>
        <v>0</v>
      </c>
      <c r="AJ313" s="1">
        <f t="shared" si="65"/>
        <v>0</v>
      </c>
      <c r="AK313" s="1">
        <f t="shared" si="66"/>
        <v>0</v>
      </c>
      <c r="AL313" s="1">
        <f t="shared" si="67"/>
        <v>0</v>
      </c>
      <c r="AM313" s="1">
        <f t="shared" si="68"/>
        <v>0</v>
      </c>
      <c r="AN313" s="278">
        <f t="shared" si="58"/>
        <v>17</v>
      </c>
      <c r="AO313" s="279" t="s">
        <v>27</v>
      </c>
      <c r="AP313" s="280"/>
      <c r="AQ313" s="1">
        <v>4.25</v>
      </c>
      <c r="AR313" s="1">
        <v>4.25</v>
      </c>
      <c r="AS313" s="1">
        <v>4.25</v>
      </c>
      <c r="AT313" s="1">
        <v>4.25</v>
      </c>
      <c r="AU313" s="281"/>
      <c r="AZ313" s="281"/>
      <c r="BG313" s="282">
        <f t="shared" si="69"/>
        <v>17</v>
      </c>
      <c r="BH313" s="282">
        <f t="shared" si="70"/>
        <v>17</v>
      </c>
      <c r="BI313" s="283">
        <f t="shared" si="71"/>
        <v>17</v>
      </c>
      <c r="BL313" s="1">
        <v>516311</v>
      </c>
      <c r="BM313" s="1">
        <v>173216</v>
      </c>
      <c r="BN313" s="1" t="s">
        <v>1389</v>
      </c>
      <c r="BO313" s="1" t="s">
        <v>1407</v>
      </c>
      <c r="BP313" s="284" t="s">
        <v>1389</v>
      </c>
      <c r="BU313" s="284" t="s">
        <v>1689</v>
      </c>
      <c r="BV313" s="284" t="s">
        <v>27</v>
      </c>
      <c r="BW313" s="284" t="s">
        <v>27</v>
      </c>
    </row>
    <row r="314" spans="1:75" ht="15" customHeight="1" x14ac:dyDescent="0.25">
      <c r="A314" s="275" t="s">
        <v>92</v>
      </c>
      <c r="B314" s="276" t="s">
        <v>21</v>
      </c>
      <c r="D314" s="277">
        <v>44916</v>
      </c>
      <c r="E314" s="277">
        <v>46012</v>
      </c>
      <c r="H314" s="269" t="s">
        <v>64</v>
      </c>
      <c r="I314" s="275" t="s">
        <v>36</v>
      </c>
      <c r="J314" s="286"/>
      <c r="K314" s="275" t="s">
        <v>93</v>
      </c>
      <c r="L314" s="275" t="s">
        <v>94</v>
      </c>
      <c r="M314" s="275" t="s">
        <v>95</v>
      </c>
      <c r="N314" s="1" t="s">
        <v>96</v>
      </c>
      <c r="V314" s="1">
        <f t="shared" si="59"/>
        <v>0</v>
      </c>
      <c r="W314" s="1">
        <v>2</v>
      </c>
      <c r="X314" s="1">
        <v>2</v>
      </c>
      <c r="AE314" s="1">
        <f t="shared" si="60"/>
        <v>4</v>
      </c>
      <c r="AF314" s="1">
        <f t="shared" si="61"/>
        <v>2</v>
      </c>
      <c r="AG314" s="1">
        <f t="shared" si="62"/>
        <v>2</v>
      </c>
      <c r="AH314" s="1">
        <f t="shared" si="63"/>
        <v>0</v>
      </c>
      <c r="AI314" s="1">
        <f t="shared" si="64"/>
        <v>0</v>
      </c>
      <c r="AJ314" s="1">
        <f t="shared" si="65"/>
        <v>0</v>
      </c>
      <c r="AK314" s="1">
        <f t="shared" si="66"/>
        <v>0</v>
      </c>
      <c r="AL314" s="1">
        <f t="shared" si="67"/>
        <v>0</v>
      </c>
      <c r="AM314" s="1">
        <f t="shared" si="68"/>
        <v>0</v>
      </c>
      <c r="AN314" s="278">
        <f t="shared" ref="AN314:AN346" si="72">AE314-V314</f>
        <v>4</v>
      </c>
      <c r="AO314" s="279" t="s">
        <v>27</v>
      </c>
      <c r="AP314" s="280"/>
      <c r="AQ314" s="1">
        <v>1</v>
      </c>
      <c r="AR314" s="1">
        <v>1</v>
      </c>
      <c r="AS314" s="1">
        <v>1</v>
      </c>
      <c r="AT314" s="1">
        <v>1</v>
      </c>
      <c r="AU314" s="281"/>
      <c r="AZ314" s="281"/>
      <c r="BG314" s="282">
        <f t="shared" si="69"/>
        <v>4</v>
      </c>
      <c r="BH314" s="282">
        <f t="shared" si="70"/>
        <v>4</v>
      </c>
      <c r="BI314" s="283">
        <f t="shared" si="71"/>
        <v>4</v>
      </c>
      <c r="BL314" s="1">
        <v>516311</v>
      </c>
      <c r="BM314" s="1">
        <v>173216</v>
      </c>
      <c r="BN314" s="1" t="s">
        <v>1389</v>
      </c>
      <c r="BO314" s="1" t="s">
        <v>1407</v>
      </c>
      <c r="BP314" s="284" t="s">
        <v>1389</v>
      </c>
      <c r="BU314" s="284" t="s">
        <v>1689</v>
      </c>
      <c r="BV314" s="284" t="s">
        <v>27</v>
      </c>
      <c r="BW314" s="284" t="s">
        <v>27</v>
      </c>
    </row>
    <row r="315" spans="1:75" ht="15" customHeight="1" x14ac:dyDescent="0.25">
      <c r="A315" s="275" t="s">
        <v>92</v>
      </c>
      <c r="B315" s="276" t="s">
        <v>21</v>
      </c>
      <c r="D315" s="277">
        <v>44916</v>
      </c>
      <c r="E315" s="277">
        <v>46012</v>
      </c>
      <c r="H315" s="269" t="s">
        <v>64</v>
      </c>
      <c r="I315" s="275" t="s">
        <v>1473</v>
      </c>
      <c r="J315" s="286"/>
      <c r="K315" s="275" t="s">
        <v>93</v>
      </c>
      <c r="L315" s="275" t="s">
        <v>94</v>
      </c>
      <c r="M315" s="275" t="s">
        <v>95</v>
      </c>
      <c r="N315" s="1" t="s">
        <v>824</v>
      </c>
      <c r="V315" s="1">
        <f t="shared" si="59"/>
        <v>0</v>
      </c>
      <c r="W315" s="1">
        <v>14</v>
      </c>
      <c r="X315" s="1">
        <v>10</v>
      </c>
      <c r="AE315" s="1">
        <f t="shared" si="60"/>
        <v>24</v>
      </c>
      <c r="AF315" s="1">
        <f t="shared" si="61"/>
        <v>14</v>
      </c>
      <c r="AG315" s="1">
        <f t="shared" si="62"/>
        <v>10</v>
      </c>
      <c r="AH315" s="1">
        <f t="shared" si="63"/>
        <v>0</v>
      </c>
      <c r="AI315" s="1">
        <f t="shared" si="64"/>
        <v>0</v>
      </c>
      <c r="AJ315" s="1">
        <f t="shared" si="65"/>
        <v>0</v>
      </c>
      <c r="AK315" s="1">
        <f t="shared" si="66"/>
        <v>0</v>
      </c>
      <c r="AL315" s="1">
        <f t="shared" si="67"/>
        <v>0</v>
      </c>
      <c r="AM315" s="1">
        <f t="shared" si="68"/>
        <v>0</v>
      </c>
      <c r="AN315" s="278">
        <f t="shared" si="72"/>
        <v>24</v>
      </c>
      <c r="AO315" s="279" t="s">
        <v>27</v>
      </c>
      <c r="AP315" s="280"/>
      <c r="AQ315" s="1">
        <v>6</v>
      </c>
      <c r="AR315" s="1">
        <v>6</v>
      </c>
      <c r="AS315" s="1">
        <v>6</v>
      </c>
      <c r="AT315" s="1">
        <v>6</v>
      </c>
      <c r="AU315" s="281"/>
      <c r="AZ315" s="281"/>
      <c r="BG315" s="282">
        <f t="shared" si="69"/>
        <v>24</v>
      </c>
      <c r="BH315" s="282">
        <f t="shared" si="70"/>
        <v>24</v>
      </c>
      <c r="BI315" s="283">
        <f t="shared" si="71"/>
        <v>24</v>
      </c>
      <c r="BL315" s="1">
        <v>516311</v>
      </c>
      <c r="BM315" s="1">
        <v>173216</v>
      </c>
      <c r="BN315" s="1" t="s">
        <v>1389</v>
      </c>
      <c r="BO315" s="1" t="s">
        <v>1407</v>
      </c>
      <c r="BP315" s="284" t="s">
        <v>1389</v>
      </c>
      <c r="BU315" s="284" t="s">
        <v>1689</v>
      </c>
      <c r="BV315" s="284" t="s">
        <v>27</v>
      </c>
      <c r="BW315" s="284" t="s">
        <v>27</v>
      </c>
    </row>
    <row r="316" spans="1:75" ht="15" customHeight="1" x14ac:dyDescent="0.25">
      <c r="A316" s="275" t="s">
        <v>1170</v>
      </c>
      <c r="B316" s="276" t="s">
        <v>49</v>
      </c>
      <c r="C316" s="1" t="s">
        <v>1262</v>
      </c>
      <c r="D316" s="277">
        <v>44931</v>
      </c>
      <c r="E316" s="277">
        <v>46027</v>
      </c>
      <c r="H316" s="275" t="s">
        <v>64</v>
      </c>
      <c r="I316" s="275" t="s">
        <v>1473</v>
      </c>
      <c r="J316" s="286"/>
      <c r="K316" s="275" t="s">
        <v>1171</v>
      </c>
      <c r="L316" s="275" t="s">
        <v>1172</v>
      </c>
      <c r="M316" s="275" t="s">
        <v>139</v>
      </c>
      <c r="V316" s="1">
        <f t="shared" si="59"/>
        <v>0</v>
      </c>
      <c r="W316" s="1">
        <v>4</v>
      </c>
      <c r="X316" s="1">
        <v>1</v>
      </c>
      <c r="AE316" s="1">
        <f t="shared" si="60"/>
        <v>5</v>
      </c>
      <c r="AF316" s="1">
        <f t="shared" si="61"/>
        <v>4</v>
      </c>
      <c r="AG316" s="1">
        <f t="shared" si="62"/>
        <v>1</v>
      </c>
      <c r="AH316" s="1">
        <f t="shared" si="63"/>
        <v>0</v>
      </c>
      <c r="AI316" s="1">
        <f t="shared" si="64"/>
        <v>0</v>
      </c>
      <c r="AJ316" s="1">
        <f t="shared" si="65"/>
        <v>0</v>
      </c>
      <c r="AK316" s="1">
        <f t="shared" si="66"/>
        <v>0</v>
      </c>
      <c r="AL316" s="1">
        <f t="shared" si="67"/>
        <v>0</v>
      </c>
      <c r="AM316" s="1">
        <f t="shared" si="68"/>
        <v>0</v>
      </c>
      <c r="AN316" s="278">
        <f t="shared" si="72"/>
        <v>5</v>
      </c>
      <c r="AP316" s="280"/>
      <c r="AQ316" s="1">
        <v>1.25</v>
      </c>
      <c r="AR316" s="1">
        <v>1.25</v>
      </c>
      <c r="AS316" s="1">
        <v>1.25</v>
      </c>
      <c r="AT316" s="1">
        <v>1.25</v>
      </c>
      <c r="AU316" s="281"/>
      <c r="AZ316" s="281"/>
      <c r="BG316" s="282">
        <f t="shared" si="69"/>
        <v>5</v>
      </c>
      <c r="BH316" s="282">
        <f t="shared" si="70"/>
        <v>5</v>
      </c>
      <c r="BI316" s="283">
        <f t="shared" si="71"/>
        <v>5</v>
      </c>
      <c r="BL316" s="1">
        <v>514122</v>
      </c>
      <c r="BM316" s="1">
        <v>170560</v>
      </c>
      <c r="BN316" s="1" t="s">
        <v>1600</v>
      </c>
      <c r="BO316" s="1" t="s">
        <v>1563</v>
      </c>
    </row>
    <row r="317" spans="1:75" ht="15" customHeight="1" x14ac:dyDescent="0.25">
      <c r="A317" s="275" t="s">
        <v>1191</v>
      </c>
      <c r="B317" s="276" t="s">
        <v>21</v>
      </c>
      <c r="D317" s="277">
        <v>44935</v>
      </c>
      <c r="E317" s="277">
        <v>46031</v>
      </c>
      <c r="H317" s="275" t="s">
        <v>64</v>
      </c>
      <c r="I317" s="275" t="s">
        <v>1473</v>
      </c>
      <c r="J317" s="286"/>
      <c r="K317" s="275" t="s">
        <v>1192</v>
      </c>
      <c r="L317" s="275" t="s">
        <v>1193</v>
      </c>
      <c r="M317" s="275" t="s">
        <v>1194</v>
      </c>
      <c r="V317" s="1">
        <f t="shared" si="59"/>
        <v>0</v>
      </c>
      <c r="X317" s="1">
        <v>1</v>
      </c>
      <c r="AE317" s="1">
        <f t="shared" si="60"/>
        <v>1</v>
      </c>
      <c r="AF317" s="1">
        <f t="shared" si="61"/>
        <v>0</v>
      </c>
      <c r="AG317" s="1">
        <f t="shared" si="62"/>
        <v>1</v>
      </c>
      <c r="AH317" s="1">
        <f t="shared" si="63"/>
        <v>0</v>
      </c>
      <c r="AI317" s="1">
        <f t="shared" si="64"/>
        <v>0</v>
      </c>
      <c r="AJ317" s="1">
        <f t="shared" si="65"/>
        <v>0</v>
      </c>
      <c r="AK317" s="1">
        <f t="shared" si="66"/>
        <v>0</v>
      </c>
      <c r="AL317" s="1">
        <f t="shared" si="67"/>
        <v>0</v>
      </c>
      <c r="AM317" s="1">
        <f t="shared" si="68"/>
        <v>0</v>
      </c>
      <c r="AN317" s="278">
        <f t="shared" si="72"/>
        <v>1</v>
      </c>
      <c r="AP317" s="280"/>
      <c r="AQ317" s="1">
        <v>0.25</v>
      </c>
      <c r="AR317" s="1">
        <v>0.25</v>
      </c>
      <c r="AS317" s="1">
        <v>0.25</v>
      </c>
      <c r="AT317" s="1">
        <v>0.25</v>
      </c>
      <c r="AU317" s="281"/>
      <c r="AZ317" s="281"/>
      <c r="BG317" s="282">
        <f t="shared" si="69"/>
        <v>1</v>
      </c>
      <c r="BH317" s="282">
        <f t="shared" si="70"/>
        <v>1</v>
      </c>
      <c r="BI317" s="283">
        <f t="shared" si="71"/>
        <v>1</v>
      </c>
      <c r="BL317" s="1">
        <v>514429</v>
      </c>
      <c r="BM317" s="1">
        <v>171230</v>
      </c>
      <c r="BN317" s="1" t="s">
        <v>1600</v>
      </c>
      <c r="BO317" s="1" t="s">
        <v>1563</v>
      </c>
      <c r="BW317" s="284" t="s">
        <v>27</v>
      </c>
    </row>
    <row r="318" spans="1:75" ht="15" customHeight="1" x14ac:dyDescent="0.25">
      <c r="A318" s="275" t="s">
        <v>1160</v>
      </c>
      <c r="B318" s="276" t="s">
        <v>224</v>
      </c>
      <c r="D318" s="277">
        <v>44939</v>
      </c>
      <c r="E318" s="277">
        <v>46035</v>
      </c>
      <c r="H318" s="275" t="s">
        <v>64</v>
      </c>
      <c r="I318" s="275" t="s">
        <v>1473</v>
      </c>
      <c r="J318" s="286"/>
      <c r="K318" s="275" t="s">
        <v>1161</v>
      </c>
      <c r="L318" s="275" t="s">
        <v>1162</v>
      </c>
      <c r="M318" s="275" t="s">
        <v>163</v>
      </c>
      <c r="V318" s="1">
        <f t="shared" si="59"/>
        <v>0</v>
      </c>
      <c r="W318" s="1">
        <v>1</v>
      </c>
      <c r="AE318" s="1">
        <f t="shared" si="60"/>
        <v>1</v>
      </c>
      <c r="AF318" s="1">
        <f t="shared" si="61"/>
        <v>1</v>
      </c>
      <c r="AG318" s="1">
        <f t="shared" si="62"/>
        <v>0</v>
      </c>
      <c r="AH318" s="1">
        <f t="shared" si="63"/>
        <v>0</v>
      </c>
      <c r="AI318" s="1">
        <f t="shared" si="64"/>
        <v>0</v>
      </c>
      <c r="AJ318" s="1">
        <f t="shared" si="65"/>
        <v>0</v>
      </c>
      <c r="AK318" s="1">
        <f t="shared" si="66"/>
        <v>0</v>
      </c>
      <c r="AL318" s="1">
        <f t="shared" si="67"/>
        <v>0</v>
      </c>
      <c r="AM318" s="1">
        <f t="shared" si="68"/>
        <v>0</v>
      </c>
      <c r="AN318" s="278">
        <f t="shared" si="72"/>
        <v>1</v>
      </c>
      <c r="AP318" s="280"/>
      <c r="AQ318" s="1">
        <v>0.25</v>
      </c>
      <c r="AR318" s="1">
        <v>0.25</v>
      </c>
      <c r="AS318" s="1">
        <v>0.25</v>
      </c>
      <c r="AT318" s="1">
        <v>0.25</v>
      </c>
      <c r="AU318" s="281"/>
      <c r="AZ318" s="281"/>
      <c r="BG318" s="282">
        <f t="shared" si="69"/>
        <v>1</v>
      </c>
      <c r="BH318" s="282">
        <f t="shared" si="70"/>
        <v>1</v>
      </c>
      <c r="BI318" s="283">
        <f t="shared" si="71"/>
        <v>1</v>
      </c>
      <c r="BL318" s="1">
        <v>513359</v>
      </c>
      <c r="BM318" s="1">
        <v>169765</v>
      </c>
      <c r="BN318" s="1" t="s">
        <v>1600</v>
      </c>
      <c r="BO318" s="1" t="s">
        <v>1400</v>
      </c>
      <c r="BW318" s="284" t="s">
        <v>27</v>
      </c>
    </row>
    <row r="319" spans="1:75" ht="15" customHeight="1" x14ac:dyDescent="0.25">
      <c r="A319" s="275" t="s">
        <v>97</v>
      </c>
      <c r="B319" s="276" t="s">
        <v>21</v>
      </c>
      <c r="D319" s="277">
        <v>44945</v>
      </c>
      <c r="E319" s="277">
        <v>46041</v>
      </c>
      <c r="F319" s="277">
        <v>45222</v>
      </c>
      <c r="H319" s="275" t="s">
        <v>64</v>
      </c>
      <c r="I319" s="275" t="s">
        <v>50</v>
      </c>
      <c r="J319" s="286"/>
      <c r="K319" s="275" t="s">
        <v>98</v>
      </c>
      <c r="L319" s="275" t="s">
        <v>99</v>
      </c>
      <c r="M319" s="275" t="s">
        <v>100</v>
      </c>
      <c r="V319" s="1">
        <f t="shared" si="59"/>
        <v>0</v>
      </c>
      <c r="W319" s="1">
        <v>5</v>
      </c>
      <c r="AE319" s="1">
        <f t="shared" si="60"/>
        <v>5</v>
      </c>
      <c r="AF319" s="1">
        <f t="shared" si="61"/>
        <v>5</v>
      </c>
      <c r="AG319" s="1">
        <f t="shared" si="62"/>
        <v>0</v>
      </c>
      <c r="AH319" s="1">
        <f t="shared" si="63"/>
        <v>0</v>
      </c>
      <c r="AI319" s="1">
        <f t="shared" si="64"/>
        <v>0</v>
      </c>
      <c r="AJ319" s="1">
        <f t="shared" si="65"/>
        <v>0</v>
      </c>
      <c r="AK319" s="1">
        <f t="shared" si="66"/>
        <v>0</v>
      </c>
      <c r="AL319" s="1">
        <f t="shared" si="67"/>
        <v>0</v>
      </c>
      <c r="AM319" s="1">
        <f t="shared" si="68"/>
        <v>0</v>
      </c>
      <c r="AN319" s="278">
        <f t="shared" si="72"/>
        <v>5</v>
      </c>
      <c r="AP319" s="280"/>
      <c r="AQ319" s="1">
        <v>2.5</v>
      </c>
      <c r="AR319" s="1">
        <v>2.5</v>
      </c>
      <c r="AU319" s="281"/>
      <c r="AZ319" s="281"/>
      <c r="BG319" s="282">
        <f t="shared" si="69"/>
        <v>5</v>
      </c>
      <c r="BH319" s="282">
        <f t="shared" si="70"/>
        <v>5</v>
      </c>
      <c r="BI319" s="283">
        <f t="shared" si="71"/>
        <v>5</v>
      </c>
      <c r="BJ319" s="1" t="s">
        <v>27</v>
      </c>
      <c r="BL319" s="1">
        <v>518758</v>
      </c>
      <c r="BM319" s="1">
        <v>175172</v>
      </c>
      <c r="BN319" s="1" t="s">
        <v>1385</v>
      </c>
      <c r="BO319" s="1" t="s">
        <v>1404</v>
      </c>
      <c r="BU319" s="284" t="s">
        <v>1705</v>
      </c>
      <c r="BV319" s="284" t="s">
        <v>27</v>
      </c>
      <c r="BW319" s="284" t="s">
        <v>27</v>
      </c>
    </row>
    <row r="320" spans="1:75" ht="15" customHeight="1" x14ac:dyDescent="0.25">
      <c r="A320" s="275" t="s">
        <v>835</v>
      </c>
      <c r="B320" s="276" t="s">
        <v>49</v>
      </c>
      <c r="C320" s="1" t="s">
        <v>1262</v>
      </c>
      <c r="D320" s="277">
        <v>44949</v>
      </c>
      <c r="E320" s="277">
        <v>46045</v>
      </c>
      <c r="H320" s="275" t="s">
        <v>64</v>
      </c>
      <c r="I320" s="275" t="s">
        <v>1473</v>
      </c>
      <c r="J320" s="286"/>
      <c r="K320" s="275" t="s">
        <v>836</v>
      </c>
      <c r="L320" s="275" t="s">
        <v>833</v>
      </c>
      <c r="M320" s="275" t="s">
        <v>834</v>
      </c>
      <c r="V320" s="1">
        <f t="shared" si="59"/>
        <v>0</v>
      </c>
      <c r="W320" s="1">
        <v>4</v>
      </c>
      <c r="X320" s="1">
        <v>1</v>
      </c>
      <c r="AE320" s="1">
        <f t="shared" si="60"/>
        <v>5</v>
      </c>
      <c r="AF320" s="1">
        <f t="shared" si="61"/>
        <v>4</v>
      </c>
      <c r="AG320" s="1">
        <f t="shared" si="62"/>
        <v>1</v>
      </c>
      <c r="AH320" s="1">
        <f t="shared" si="63"/>
        <v>0</v>
      </c>
      <c r="AI320" s="1">
        <f t="shared" si="64"/>
        <v>0</v>
      </c>
      <c r="AJ320" s="1">
        <f t="shared" si="65"/>
        <v>0</v>
      </c>
      <c r="AK320" s="1">
        <f t="shared" si="66"/>
        <v>0</v>
      </c>
      <c r="AL320" s="1">
        <f t="shared" si="67"/>
        <v>0</v>
      </c>
      <c r="AM320" s="1">
        <f t="shared" si="68"/>
        <v>0</v>
      </c>
      <c r="AN320" s="278">
        <f t="shared" si="72"/>
        <v>5</v>
      </c>
      <c r="AP320" s="280"/>
      <c r="AQ320" s="1">
        <v>1.25</v>
      </c>
      <c r="AR320" s="1">
        <v>1.25</v>
      </c>
      <c r="AS320" s="1">
        <v>1.25</v>
      </c>
      <c r="AT320" s="1">
        <v>1.25</v>
      </c>
      <c r="AU320" s="281"/>
      <c r="AZ320" s="281"/>
      <c r="BG320" s="282">
        <f t="shared" si="69"/>
        <v>5</v>
      </c>
      <c r="BH320" s="282">
        <f t="shared" si="70"/>
        <v>5</v>
      </c>
      <c r="BI320" s="283">
        <f t="shared" si="71"/>
        <v>5</v>
      </c>
      <c r="BL320" s="1">
        <v>517458</v>
      </c>
      <c r="BM320" s="1">
        <v>169588</v>
      </c>
      <c r="BN320" s="1" t="s">
        <v>1600</v>
      </c>
      <c r="BO320" s="1" t="s">
        <v>1559</v>
      </c>
      <c r="BR320" s="284" t="s">
        <v>1710</v>
      </c>
      <c r="BS320" s="284" t="s">
        <v>27</v>
      </c>
      <c r="BU320" s="284" t="s">
        <v>1691</v>
      </c>
      <c r="BV320" s="284" t="s">
        <v>27</v>
      </c>
      <c r="BW320" s="284" t="s">
        <v>27</v>
      </c>
    </row>
    <row r="321" spans="1:76" ht="15" customHeight="1" x14ac:dyDescent="0.25">
      <c r="A321" s="275" t="s">
        <v>101</v>
      </c>
      <c r="B321" s="276" t="s">
        <v>21</v>
      </c>
      <c r="D321" s="277">
        <v>44956</v>
      </c>
      <c r="E321" s="277">
        <v>46052</v>
      </c>
      <c r="H321" s="275" t="s">
        <v>64</v>
      </c>
      <c r="I321" s="275" t="s">
        <v>38</v>
      </c>
      <c r="J321" s="286"/>
      <c r="K321" s="275" t="s">
        <v>102</v>
      </c>
      <c r="L321" s="275" t="s">
        <v>103</v>
      </c>
      <c r="M321" s="275" t="s">
        <v>104</v>
      </c>
      <c r="V321" s="1">
        <f t="shared" si="59"/>
        <v>0</v>
      </c>
      <c r="W321" s="1">
        <v>4</v>
      </c>
      <c r="AE321" s="1">
        <f t="shared" si="60"/>
        <v>4</v>
      </c>
      <c r="AF321" s="1">
        <f t="shared" si="61"/>
        <v>4</v>
      </c>
      <c r="AG321" s="1">
        <f t="shared" si="62"/>
        <v>0</v>
      </c>
      <c r="AH321" s="1">
        <f t="shared" si="63"/>
        <v>0</v>
      </c>
      <c r="AI321" s="1">
        <f t="shared" si="64"/>
        <v>0</v>
      </c>
      <c r="AJ321" s="1">
        <f t="shared" si="65"/>
        <v>0</v>
      </c>
      <c r="AK321" s="1">
        <f t="shared" si="66"/>
        <v>0</v>
      </c>
      <c r="AL321" s="1">
        <f t="shared" si="67"/>
        <v>0</v>
      </c>
      <c r="AM321" s="1">
        <f t="shared" si="68"/>
        <v>0</v>
      </c>
      <c r="AN321" s="278">
        <f t="shared" si="72"/>
        <v>4</v>
      </c>
      <c r="AP321" s="280"/>
      <c r="AQ321" s="1">
        <v>1</v>
      </c>
      <c r="AR321" s="1">
        <v>1</v>
      </c>
      <c r="AS321" s="1">
        <v>1</v>
      </c>
      <c r="AT321" s="1">
        <v>1</v>
      </c>
      <c r="AU321" s="281"/>
      <c r="AZ321" s="281"/>
      <c r="BG321" s="282">
        <f t="shared" si="69"/>
        <v>4</v>
      </c>
      <c r="BH321" s="282">
        <f t="shared" si="70"/>
        <v>4</v>
      </c>
      <c r="BI321" s="283">
        <f t="shared" si="71"/>
        <v>4</v>
      </c>
      <c r="BL321" s="1">
        <v>521875</v>
      </c>
      <c r="BM321" s="1">
        <v>176053</v>
      </c>
      <c r="BN321" s="1" t="s">
        <v>1599</v>
      </c>
      <c r="BO321" s="1" t="s">
        <v>1562</v>
      </c>
      <c r="BW321" s="284" t="s">
        <v>27</v>
      </c>
    </row>
    <row r="322" spans="1:76" ht="15" customHeight="1" x14ac:dyDescent="0.25">
      <c r="A322" s="275" t="s">
        <v>1124</v>
      </c>
      <c r="B322" s="276" t="s">
        <v>49</v>
      </c>
      <c r="D322" s="277">
        <v>44964</v>
      </c>
      <c r="E322" s="277">
        <v>46060</v>
      </c>
      <c r="H322" s="275" t="s">
        <v>64</v>
      </c>
      <c r="I322" s="275" t="s">
        <v>1473</v>
      </c>
      <c r="J322" s="286"/>
      <c r="K322" s="275" t="s">
        <v>1125</v>
      </c>
      <c r="L322" s="275" t="s">
        <v>1126</v>
      </c>
      <c r="M322" s="275" t="s">
        <v>1127</v>
      </c>
      <c r="P322" s="1">
        <v>1</v>
      </c>
      <c r="V322" s="1">
        <f t="shared" ref="V322:V346" si="73">SUM(O322:U322)</f>
        <v>1</v>
      </c>
      <c r="AE322" s="1">
        <f t="shared" ref="AE322:AE346" si="74">SUM(W322:AD322)</f>
        <v>0</v>
      </c>
      <c r="AF322" s="1">
        <f t="shared" ref="AF322:AF346" si="75">W322-O322</f>
        <v>0</v>
      </c>
      <c r="AG322" s="1">
        <f t="shared" ref="AG322:AG346" si="76">X322-P322</f>
        <v>-1</v>
      </c>
      <c r="AH322" s="1">
        <f t="shared" ref="AH322:AH346" si="77">Y322-Q322</f>
        <v>0</v>
      </c>
      <c r="AI322" s="1">
        <f t="shared" ref="AI322:AI346" si="78">Z322-R322</f>
        <v>0</v>
      </c>
      <c r="AJ322" s="1">
        <f t="shared" ref="AJ322:AJ346" si="79">AA322-S322</f>
        <v>0</v>
      </c>
      <c r="AK322" s="1">
        <f t="shared" ref="AK322:AK346" si="80">AB322-T322</f>
        <v>0</v>
      </c>
      <c r="AL322" s="1">
        <f t="shared" ref="AL322:AL346" si="81">AC322-U322</f>
        <v>0</v>
      </c>
      <c r="AM322" s="1">
        <f t="shared" ref="AM322:AM346" si="82">AD322</f>
        <v>0</v>
      </c>
      <c r="AN322" s="278">
        <f t="shared" si="72"/>
        <v>-1</v>
      </c>
      <c r="AP322" s="280"/>
      <c r="AQ322" s="1">
        <v>-0.25</v>
      </c>
      <c r="AR322" s="1">
        <v>-0.25</v>
      </c>
      <c r="AS322" s="1">
        <v>-0.25</v>
      </c>
      <c r="AT322" s="1">
        <v>-0.25</v>
      </c>
      <c r="AU322" s="281"/>
      <c r="AZ322" s="281"/>
      <c r="BG322" s="282">
        <f t="shared" ref="BG322:BG356" si="83">SUBTOTAL(9,AQ322:AU322)</f>
        <v>-1</v>
      </c>
      <c r="BH322" s="282">
        <f t="shared" ref="BH322:BH356" si="84">SUBTOTAL(9,AQ322:AZ322)</f>
        <v>-1</v>
      </c>
      <c r="BI322" s="283">
        <f t="shared" ref="BI322:BI356" si="85">SUM(AQ322:BF322)</f>
        <v>-1</v>
      </c>
      <c r="BL322" s="1">
        <v>515895</v>
      </c>
      <c r="BM322" s="1">
        <v>171171</v>
      </c>
      <c r="BN322" s="1" t="s">
        <v>1600</v>
      </c>
      <c r="BO322" s="1" t="s">
        <v>1387</v>
      </c>
      <c r="BP322" s="284" t="s">
        <v>1387</v>
      </c>
      <c r="BU322" s="284" t="s">
        <v>1685</v>
      </c>
      <c r="BV322" s="284" t="s">
        <v>27</v>
      </c>
      <c r="BW322" s="284" t="s">
        <v>27</v>
      </c>
    </row>
    <row r="323" spans="1:76" ht="15" customHeight="1" x14ac:dyDescent="0.25">
      <c r="A323" s="275" t="s">
        <v>1012</v>
      </c>
      <c r="B323" s="276" t="s">
        <v>21</v>
      </c>
      <c r="D323" s="277">
        <v>44964</v>
      </c>
      <c r="E323" s="277">
        <v>46060</v>
      </c>
      <c r="H323" s="275" t="s">
        <v>64</v>
      </c>
      <c r="I323" s="275" t="s">
        <v>1473</v>
      </c>
      <c r="J323" s="286"/>
      <c r="K323" s="275" t="s">
        <v>1013</v>
      </c>
      <c r="L323" s="275" t="s">
        <v>1014</v>
      </c>
      <c r="M323" s="275" t="s">
        <v>1015</v>
      </c>
      <c r="V323" s="1">
        <f t="shared" si="73"/>
        <v>0</v>
      </c>
      <c r="Z323" s="1">
        <v>1</v>
      </c>
      <c r="AE323" s="1">
        <f t="shared" si="74"/>
        <v>1</v>
      </c>
      <c r="AF323" s="1">
        <f t="shared" si="75"/>
        <v>0</v>
      </c>
      <c r="AG323" s="1">
        <f t="shared" si="76"/>
        <v>0</v>
      </c>
      <c r="AH323" s="1">
        <f t="shared" si="77"/>
        <v>0</v>
      </c>
      <c r="AI323" s="1">
        <f t="shared" si="78"/>
        <v>1</v>
      </c>
      <c r="AJ323" s="1">
        <f t="shared" si="79"/>
        <v>0</v>
      </c>
      <c r="AK323" s="1">
        <f t="shared" si="80"/>
        <v>0</v>
      </c>
      <c r="AL323" s="1">
        <f t="shared" si="81"/>
        <v>0</v>
      </c>
      <c r="AM323" s="1">
        <f t="shared" si="82"/>
        <v>0</v>
      </c>
      <c r="AN323" s="278">
        <f t="shared" si="72"/>
        <v>1</v>
      </c>
      <c r="AP323" s="280"/>
      <c r="AQ323" s="1">
        <v>0.25</v>
      </c>
      <c r="AR323" s="1">
        <v>0.25</v>
      </c>
      <c r="AS323" s="1">
        <v>0.25</v>
      </c>
      <c r="AT323" s="1">
        <v>0.25</v>
      </c>
      <c r="AU323" s="281"/>
      <c r="AZ323" s="281"/>
      <c r="BG323" s="282">
        <f t="shared" si="83"/>
        <v>1</v>
      </c>
      <c r="BH323" s="282">
        <f t="shared" si="84"/>
        <v>1</v>
      </c>
      <c r="BI323" s="283">
        <f t="shared" si="85"/>
        <v>1</v>
      </c>
      <c r="BL323" s="1">
        <v>513293</v>
      </c>
      <c r="BM323" s="1">
        <v>170928</v>
      </c>
      <c r="BN323" s="1" t="s">
        <v>1600</v>
      </c>
      <c r="BO323" s="1" t="s">
        <v>1401</v>
      </c>
    </row>
    <row r="324" spans="1:76" ht="15" customHeight="1" x14ac:dyDescent="0.25">
      <c r="A324" s="275" t="s">
        <v>1052</v>
      </c>
      <c r="B324" s="276" t="s">
        <v>21</v>
      </c>
      <c r="D324" s="277">
        <v>44965</v>
      </c>
      <c r="E324" s="277">
        <v>46061</v>
      </c>
      <c r="H324" s="275" t="s">
        <v>64</v>
      </c>
      <c r="I324" s="275" t="s">
        <v>1473</v>
      </c>
      <c r="J324" s="286"/>
      <c r="K324" s="275" t="s">
        <v>1053</v>
      </c>
      <c r="L324" s="275" t="s">
        <v>1054</v>
      </c>
      <c r="M324" s="275" t="s">
        <v>1055</v>
      </c>
      <c r="R324" s="1">
        <v>1</v>
      </c>
      <c r="V324" s="1">
        <f t="shared" si="73"/>
        <v>1</v>
      </c>
      <c r="Y324" s="1">
        <v>2</v>
      </c>
      <c r="AE324" s="1">
        <f t="shared" si="74"/>
        <v>2</v>
      </c>
      <c r="AF324" s="1">
        <f t="shared" si="75"/>
        <v>0</v>
      </c>
      <c r="AG324" s="1">
        <f t="shared" si="76"/>
        <v>0</v>
      </c>
      <c r="AH324" s="1">
        <f t="shared" si="77"/>
        <v>2</v>
      </c>
      <c r="AI324" s="1">
        <f t="shared" si="78"/>
        <v>-1</v>
      </c>
      <c r="AJ324" s="1">
        <f t="shared" si="79"/>
        <v>0</v>
      </c>
      <c r="AK324" s="1">
        <f t="shared" si="80"/>
        <v>0</v>
      </c>
      <c r="AL324" s="1">
        <f t="shared" si="81"/>
        <v>0</v>
      </c>
      <c r="AM324" s="1">
        <f t="shared" si="82"/>
        <v>0</v>
      </c>
      <c r="AN324" s="278">
        <f t="shared" si="72"/>
        <v>1</v>
      </c>
      <c r="AP324" s="280"/>
      <c r="AQ324" s="1">
        <v>0.25</v>
      </c>
      <c r="AR324" s="1">
        <v>0.25</v>
      </c>
      <c r="AS324" s="1">
        <v>0.25</v>
      </c>
      <c r="AT324" s="1">
        <v>0.25</v>
      </c>
      <c r="AU324" s="281"/>
      <c r="AZ324" s="281"/>
      <c r="BG324" s="282">
        <f t="shared" si="83"/>
        <v>1</v>
      </c>
      <c r="BH324" s="282">
        <f t="shared" si="84"/>
        <v>1</v>
      </c>
      <c r="BI324" s="283">
        <f t="shared" si="85"/>
        <v>1</v>
      </c>
      <c r="BL324" s="1">
        <v>519780</v>
      </c>
      <c r="BM324" s="1">
        <v>175098</v>
      </c>
      <c r="BN324" s="1" t="s">
        <v>1599</v>
      </c>
      <c r="BO324" s="1" t="s">
        <v>1384</v>
      </c>
      <c r="BW324" s="284" t="s">
        <v>27</v>
      </c>
      <c r="BX324" s="1" t="s">
        <v>27</v>
      </c>
    </row>
    <row r="325" spans="1:76" ht="15" customHeight="1" x14ac:dyDescent="0.25">
      <c r="A325" s="275" t="s">
        <v>950</v>
      </c>
      <c r="B325" s="276" t="s">
        <v>21</v>
      </c>
      <c r="D325" s="277">
        <v>44967</v>
      </c>
      <c r="E325" s="277">
        <v>46063</v>
      </c>
      <c r="H325" s="275" t="s">
        <v>64</v>
      </c>
      <c r="I325" s="275" t="s">
        <v>1473</v>
      </c>
      <c r="J325" s="286"/>
      <c r="K325" s="275" t="s">
        <v>951</v>
      </c>
      <c r="L325" s="275" t="s">
        <v>952</v>
      </c>
      <c r="M325" s="275" t="s">
        <v>953</v>
      </c>
      <c r="R325" s="1">
        <v>1</v>
      </c>
      <c r="V325" s="1">
        <f t="shared" si="73"/>
        <v>1</v>
      </c>
      <c r="Y325" s="1">
        <v>5</v>
      </c>
      <c r="AE325" s="1">
        <f t="shared" si="74"/>
        <v>5</v>
      </c>
      <c r="AF325" s="1">
        <f t="shared" si="75"/>
        <v>0</v>
      </c>
      <c r="AG325" s="1">
        <f t="shared" si="76"/>
        <v>0</v>
      </c>
      <c r="AH325" s="1">
        <f t="shared" si="77"/>
        <v>5</v>
      </c>
      <c r="AI325" s="1">
        <f t="shared" si="78"/>
        <v>-1</v>
      </c>
      <c r="AJ325" s="1">
        <f t="shared" si="79"/>
        <v>0</v>
      </c>
      <c r="AK325" s="1">
        <f t="shared" si="80"/>
        <v>0</v>
      </c>
      <c r="AL325" s="1">
        <f t="shared" si="81"/>
        <v>0</v>
      </c>
      <c r="AM325" s="1">
        <f t="shared" si="82"/>
        <v>0</v>
      </c>
      <c r="AN325" s="278">
        <f t="shared" si="72"/>
        <v>4</v>
      </c>
      <c r="AP325" s="280"/>
      <c r="AQ325" s="1">
        <v>1</v>
      </c>
      <c r="AR325" s="1">
        <v>1</v>
      </c>
      <c r="AS325" s="1">
        <v>1</v>
      </c>
      <c r="AT325" s="1">
        <v>1</v>
      </c>
      <c r="AU325" s="281"/>
      <c r="AZ325" s="281"/>
      <c r="BG325" s="282">
        <f t="shared" si="83"/>
        <v>4</v>
      </c>
      <c r="BH325" s="282">
        <f t="shared" si="84"/>
        <v>4</v>
      </c>
      <c r="BI325" s="283">
        <f t="shared" si="85"/>
        <v>4</v>
      </c>
      <c r="BL325" s="1">
        <v>519166</v>
      </c>
      <c r="BM325" s="1">
        <v>177465</v>
      </c>
      <c r="BN325" s="1" t="s">
        <v>1385</v>
      </c>
      <c r="BO325" s="1" t="s">
        <v>1403</v>
      </c>
      <c r="BU325" s="284" t="s">
        <v>1746</v>
      </c>
      <c r="BV325" s="284" t="s">
        <v>27</v>
      </c>
      <c r="BW325" s="284" t="s">
        <v>27</v>
      </c>
    </row>
    <row r="326" spans="1:76" ht="15" customHeight="1" x14ac:dyDescent="0.25">
      <c r="A326" s="275" t="s">
        <v>105</v>
      </c>
      <c r="B326" s="276" t="s">
        <v>21</v>
      </c>
      <c r="D326" s="277">
        <v>44985</v>
      </c>
      <c r="E326" s="277">
        <v>46081</v>
      </c>
      <c r="H326" s="275" t="s">
        <v>64</v>
      </c>
      <c r="I326" s="275" t="s">
        <v>50</v>
      </c>
      <c r="J326" s="286"/>
      <c r="K326" s="275" t="s">
        <v>106</v>
      </c>
      <c r="L326" s="275" t="s">
        <v>107</v>
      </c>
      <c r="M326" s="275" t="s">
        <v>108</v>
      </c>
      <c r="V326" s="1">
        <f t="shared" si="73"/>
        <v>0</v>
      </c>
      <c r="W326" s="1">
        <v>8</v>
      </c>
      <c r="X326" s="1">
        <v>13</v>
      </c>
      <c r="Y326" s="1">
        <v>7</v>
      </c>
      <c r="AE326" s="1">
        <f t="shared" si="74"/>
        <v>28</v>
      </c>
      <c r="AF326" s="1">
        <f t="shared" si="75"/>
        <v>8</v>
      </c>
      <c r="AG326" s="1">
        <f t="shared" si="76"/>
        <v>13</v>
      </c>
      <c r="AH326" s="1">
        <f t="shared" si="77"/>
        <v>7</v>
      </c>
      <c r="AI326" s="1">
        <f t="shared" si="78"/>
        <v>0</v>
      </c>
      <c r="AJ326" s="1">
        <f t="shared" si="79"/>
        <v>0</v>
      </c>
      <c r="AK326" s="1">
        <f t="shared" si="80"/>
        <v>0</v>
      </c>
      <c r="AL326" s="1">
        <f t="shared" si="81"/>
        <v>0</v>
      </c>
      <c r="AM326" s="1">
        <f t="shared" si="82"/>
        <v>0</v>
      </c>
      <c r="AN326" s="278">
        <f t="shared" si="72"/>
        <v>28</v>
      </c>
      <c r="AO326" s="279" t="s">
        <v>27</v>
      </c>
      <c r="AP326" s="280"/>
      <c r="AS326" s="1">
        <v>28</v>
      </c>
      <c r="AU326" s="281"/>
      <c r="AZ326" s="281"/>
      <c r="BG326" s="282">
        <f t="shared" si="83"/>
        <v>28</v>
      </c>
      <c r="BH326" s="282">
        <f t="shared" si="84"/>
        <v>28</v>
      </c>
      <c r="BI326" s="283">
        <f t="shared" si="85"/>
        <v>28</v>
      </c>
      <c r="BL326" s="1">
        <v>515278</v>
      </c>
      <c r="BM326" s="1">
        <v>173797</v>
      </c>
      <c r="BN326" s="1" t="s">
        <v>1389</v>
      </c>
      <c r="BO326" s="1" t="s">
        <v>1561</v>
      </c>
      <c r="BW326" s="284" t="s">
        <v>27</v>
      </c>
    </row>
    <row r="327" spans="1:76" ht="15" customHeight="1" x14ac:dyDescent="0.25">
      <c r="A327" s="275" t="s">
        <v>105</v>
      </c>
      <c r="B327" s="276" t="s">
        <v>21</v>
      </c>
      <c r="D327" s="277">
        <v>44985</v>
      </c>
      <c r="E327" s="277">
        <v>46081</v>
      </c>
      <c r="H327" s="275" t="s">
        <v>64</v>
      </c>
      <c r="I327" s="275" t="s">
        <v>36</v>
      </c>
      <c r="J327" s="286"/>
      <c r="K327" s="275" t="s">
        <v>106</v>
      </c>
      <c r="L327" s="275" t="s">
        <v>107</v>
      </c>
      <c r="M327" s="275" t="s">
        <v>108</v>
      </c>
      <c r="V327" s="1">
        <f t="shared" si="73"/>
        <v>0</v>
      </c>
      <c r="W327" s="1">
        <v>29</v>
      </c>
      <c r="X327" s="1">
        <v>41</v>
      </c>
      <c r="Y327" s="1">
        <v>10</v>
      </c>
      <c r="AE327" s="1">
        <f t="shared" si="74"/>
        <v>80</v>
      </c>
      <c r="AF327" s="1">
        <f t="shared" si="75"/>
        <v>29</v>
      </c>
      <c r="AG327" s="1">
        <f t="shared" si="76"/>
        <v>41</v>
      </c>
      <c r="AH327" s="1">
        <f t="shared" si="77"/>
        <v>10</v>
      </c>
      <c r="AI327" s="1">
        <f t="shared" si="78"/>
        <v>0</v>
      </c>
      <c r="AJ327" s="1">
        <f t="shared" si="79"/>
        <v>0</v>
      </c>
      <c r="AK327" s="1">
        <f t="shared" si="80"/>
        <v>0</v>
      </c>
      <c r="AL327" s="1">
        <f t="shared" si="81"/>
        <v>0</v>
      </c>
      <c r="AM327" s="1">
        <f t="shared" si="82"/>
        <v>0</v>
      </c>
      <c r="AN327" s="278">
        <f t="shared" si="72"/>
        <v>80</v>
      </c>
      <c r="AO327" s="279" t="s">
        <v>27</v>
      </c>
      <c r="AP327" s="280"/>
      <c r="AS327" s="1">
        <v>80</v>
      </c>
      <c r="AU327" s="281"/>
      <c r="AZ327" s="281"/>
      <c r="BG327" s="282">
        <f t="shared" si="83"/>
        <v>80</v>
      </c>
      <c r="BH327" s="282">
        <f t="shared" si="84"/>
        <v>80</v>
      </c>
      <c r="BI327" s="283">
        <f t="shared" si="85"/>
        <v>80</v>
      </c>
      <c r="BL327" s="1">
        <v>515278</v>
      </c>
      <c r="BM327" s="1">
        <v>173797</v>
      </c>
      <c r="BN327" s="1" t="s">
        <v>1389</v>
      </c>
      <c r="BO327" s="1" t="s">
        <v>1561</v>
      </c>
      <c r="BW327" s="284" t="s">
        <v>27</v>
      </c>
    </row>
    <row r="328" spans="1:76" ht="15" customHeight="1" x14ac:dyDescent="0.25">
      <c r="A328" s="275" t="s">
        <v>105</v>
      </c>
      <c r="B328" s="276" t="s">
        <v>21</v>
      </c>
      <c r="D328" s="277">
        <v>44985</v>
      </c>
      <c r="E328" s="277">
        <v>46081</v>
      </c>
      <c r="H328" s="275" t="s">
        <v>64</v>
      </c>
      <c r="I328" s="275" t="s">
        <v>1473</v>
      </c>
      <c r="J328" s="286"/>
      <c r="K328" s="275" t="s">
        <v>106</v>
      </c>
      <c r="L328" s="275" t="s">
        <v>107</v>
      </c>
      <c r="M328" s="275" t="s">
        <v>108</v>
      </c>
      <c r="V328" s="1">
        <f t="shared" si="73"/>
        <v>0</v>
      </c>
      <c r="W328" s="1">
        <v>39</v>
      </c>
      <c r="X328" s="1">
        <v>31</v>
      </c>
      <c r="Y328" s="1">
        <v>26</v>
      </c>
      <c r="Z328" s="1">
        <v>8</v>
      </c>
      <c r="AE328" s="1">
        <f t="shared" si="74"/>
        <v>104</v>
      </c>
      <c r="AF328" s="1">
        <f t="shared" si="75"/>
        <v>39</v>
      </c>
      <c r="AG328" s="1">
        <f t="shared" si="76"/>
        <v>31</v>
      </c>
      <c r="AH328" s="1">
        <f t="shared" si="77"/>
        <v>26</v>
      </c>
      <c r="AI328" s="1">
        <f t="shared" si="78"/>
        <v>8</v>
      </c>
      <c r="AJ328" s="1">
        <f t="shared" si="79"/>
        <v>0</v>
      </c>
      <c r="AK328" s="1">
        <f t="shared" si="80"/>
        <v>0</v>
      </c>
      <c r="AL328" s="1">
        <f t="shared" si="81"/>
        <v>0</v>
      </c>
      <c r="AM328" s="1">
        <f t="shared" si="82"/>
        <v>0</v>
      </c>
      <c r="AN328" s="278">
        <f t="shared" si="72"/>
        <v>104</v>
      </c>
      <c r="AO328" s="279" t="s">
        <v>27</v>
      </c>
      <c r="AP328" s="280"/>
      <c r="AS328" s="1">
        <v>104</v>
      </c>
      <c r="AU328" s="281"/>
      <c r="AZ328" s="281"/>
      <c r="BG328" s="282">
        <f t="shared" si="83"/>
        <v>104</v>
      </c>
      <c r="BH328" s="282">
        <f t="shared" si="84"/>
        <v>104</v>
      </c>
      <c r="BI328" s="283">
        <f t="shared" si="85"/>
        <v>104</v>
      </c>
      <c r="BL328" s="1">
        <v>515278</v>
      </c>
      <c r="BM328" s="1">
        <v>173797</v>
      </c>
      <c r="BN328" s="1" t="s">
        <v>1389</v>
      </c>
      <c r="BO328" s="1" t="s">
        <v>1561</v>
      </c>
      <c r="BW328" s="284" t="s">
        <v>27</v>
      </c>
    </row>
    <row r="329" spans="1:76" ht="15" customHeight="1" x14ac:dyDescent="0.25">
      <c r="A329" s="275" t="s">
        <v>929</v>
      </c>
      <c r="B329" s="276" t="s">
        <v>49</v>
      </c>
      <c r="D329" s="277">
        <v>44992</v>
      </c>
      <c r="E329" s="277">
        <v>46088</v>
      </c>
      <c r="H329" s="275" t="s">
        <v>64</v>
      </c>
      <c r="I329" s="275" t="s">
        <v>1473</v>
      </c>
      <c r="J329" s="286"/>
      <c r="K329" s="275" t="s">
        <v>930</v>
      </c>
      <c r="L329" s="275" t="s">
        <v>925</v>
      </c>
      <c r="M329" s="275" t="s">
        <v>926</v>
      </c>
      <c r="V329" s="1">
        <f t="shared" si="73"/>
        <v>0</v>
      </c>
      <c r="W329" s="1">
        <v>2</v>
      </c>
      <c r="X329" s="1">
        <v>1</v>
      </c>
      <c r="AE329" s="1">
        <f t="shared" si="74"/>
        <v>3</v>
      </c>
      <c r="AF329" s="1">
        <f t="shared" si="75"/>
        <v>2</v>
      </c>
      <c r="AG329" s="1">
        <f t="shared" si="76"/>
        <v>1</v>
      </c>
      <c r="AH329" s="1">
        <f t="shared" si="77"/>
        <v>0</v>
      </c>
      <c r="AI329" s="1">
        <f t="shared" si="78"/>
        <v>0</v>
      </c>
      <c r="AJ329" s="1">
        <f t="shared" si="79"/>
        <v>0</v>
      </c>
      <c r="AK329" s="1">
        <f t="shared" si="80"/>
        <v>0</v>
      </c>
      <c r="AL329" s="1">
        <f t="shared" si="81"/>
        <v>0</v>
      </c>
      <c r="AM329" s="1">
        <f t="shared" si="82"/>
        <v>0</v>
      </c>
      <c r="AN329" s="278">
        <f t="shared" si="72"/>
        <v>3</v>
      </c>
      <c r="AP329" s="280"/>
      <c r="AQ329" s="1">
        <v>0.75</v>
      </c>
      <c r="AR329" s="1">
        <v>0.75</v>
      </c>
      <c r="AS329" s="1">
        <v>0.75</v>
      </c>
      <c r="AT329" s="1">
        <v>0.75</v>
      </c>
      <c r="AU329" s="281"/>
      <c r="AZ329" s="281"/>
      <c r="BG329" s="282">
        <f t="shared" si="83"/>
        <v>3</v>
      </c>
      <c r="BH329" s="282">
        <f t="shared" si="84"/>
        <v>3</v>
      </c>
      <c r="BI329" s="283">
        <f t="shared" si="85"/>
        <v>3</v>
      </c>
      <c r="BL329" s="1">
        <v>514554</v>
      </c>
      <c r="BM329" s="1">
        <v>171263</v>
      </c>
      <c r="BN329" s="1" t="s">
        <v>1600</v>
      </c>
      <c r="BO329" s="1" t="s">
        <v>1563</v>
      </c>
      <c r="BR329" s="284" t="s">
        <v>1701</v>
      </c>
      <c r="BS329" s="284" t="s">
        <v>27</v>
      </c>
      <c r="BW329" s="284" t="s">
        <v>27</v>
      </c>
    </row>
    <row r="330" spans="1:76" ht="15" customHeight="1" x14ac:dyDescent="0.25">
      <c r="A330" s="275" t="s">
        <v>997</v>
      </c>
      <c r="B330" s="276" t="s">
        <v>49</v>
      </c>
      <c r="D330" s="277">
        <v>44998</v>
      </c>
      <c r="E330" s="277">
        <v>46094</v>
      </c>
      <c r="H330" s="275" t="s">
        <v>64</v>
      </c>
      <c r="I330" s="275" t="s">
        <v>1473</v>
      </c>
      <c r="J330" s="286"/>
      <c r="K330" s="275" t="s">
        <v>998</v>
      </c>
      <c r="L330" s="275" t="s">
        <v>999</v>
      </c>
      <c r="M330" s="275" t="s">
        <v>1000</v>
      </c>
      <c r="V330" s="1">
        <f t="shared" si="73"/>
        <v>0</v>
      </c>
      <c r="W330" s="1">
        <v>1</v>
      </c>
      <c r="AE330" s="1">
        <f t="shared" si="74"/>
        <v>1</v>
      </c>
      <c r="AF330" s="1">
        <f t="shared" si="75"/>
        <v>1</v>
      </c>
      <c r="AG330" s="1">
        <f t="shared" si="76"/>
        <v>0</v>
      </c>
      <c r="AH330" s="1">
        <f t="shared" si="77"/>
        <v>0</v>
      </c>
      <c r="AI330" s="1">
        <f t="shared" si="78"/>
        <v>0</v>
      </c>
      <c r="AJ330" s="1">
        <f t="shared" si="79"/>
        <v>0</v>
      </c>
      <c r="AK330" s="1">
        <f t="shared" si="80"/>
        <v>0</v>
      </c>
      <c r="AL330" s="1">
        <f t="shared" si="81"/>
        <v>0</v>
      </c>
      <c r="AM330" s="1">
        <f t="shared" si="82"/>
        <v>0</v>
      </c>
      <c r="AN330" s="278">
        <f t="shared" si="72"/>
        <v>1</v>
      </c>
      <c r="AP330" s="280"/>
      <c r="AQ330" s="1">
        <v>0.25</v>
      </c>
      <c r="AR330" s="1">
        <v>0.25</v>
      </c>
      <c r="AS330" s="1">
        <v>0.25</v>
      </c>
      <c r="AT330" s="1">
        <v>0.25</v>
      </c>
      <c r="AU330" s="281"/>
      <c r="AZ330" s="281"/>
      <c r="BG330" s="282">
        <f t="shared" si="83"/>
        <v>1</v>
      </c>
      <c r="BH330" s="282">
        <f t="shared" si="84"/>
        <v>1</v>
      </c>
      <c r="BI330" s="283">
        <f t="shared" si="85"/>
        <v>1</v>
      </c>
      <c r="BL330" s="1">
        <v>521585</v>
      </c>
      <c r="BM330" s="1">
        <v>176415</v>
      </c>
      <c r="BN330" s="1" t="s">
        <v>1599</v>
      </c>
      <c r="BO330" s="1" t="s">
        <v>1399</v>
      </c>
      <c r="BQ330" s="284" t="s">
        <v>1386</v>
      </c>
      <c r="BR330" s="284" t="s">
        <v>1739</v>
      </c>
      <c r="BS330" s="284" t="s">
        <v>27</v>
      </c>
      <c r="BU330" s="284" t="s">
        <v>1688</v>
      </c>
      <c r="BV330" s="284" t="s">
        <v>27</v>
      </c>
      <c r="BW330" s="284" t="s">
        <v>27</v>
      </c>
      <c r="BX330" s="1" t="s">
        <v>27</v>
      </c>
    </row>
    <row r="331" spans="1:76" ht="15" customHeight="1" x14ac:dyDescent="0.25">
      <c r="A331" s="275" t="s">
        <v>905</v>
      </c>
      <c r="B331" s="276" t="s">
        <v>49</v>
      </c>
      <c r="C331" s="1" t="s">
        <v>1262</v>
      </c>
      <c r="D331" s="277">
        <v>44998</v>
      </c>
      <c r="E331" s="277">
        <v>46094</v>
      </c>
      <c r="H331" s="275" t="s">
        <v>64</v>
      </c>
      <c r="I331" s="275" t="s">
        <v>1473</v>
      </c>
      <c r="J331" s="286"/>
      <c r="K331" s="275" t="s">
        <v>906</v>
      </c>
      <c r="L331" s="275" t="s">
        <v>907</v>
      </c>
      <c r="M331" s="275" t="s">
        <v>234</v>
      </c>
      <c r="V331" s="1">
        <f t="shared" si="73"/>
        <v>0</v>
      </c>
      <c r="W331" s="1">
        <v>2</v>
      </c>
      <c r="AE331" s="1">
        <f t="shared" si="74"/>
        <v>2</v>
      </c>
      <c r="AF331" s="1">
        <f t="shared" si="75"/>
        <v>2</v>
      </c>
      <c r="AG331" s="1">
        <f t="shared" si="76"/>
        <v>0</v>
      </c>
      <c r="AH331" s="1">
        <f t="shared" si="77"/>
        <v>0</v>
      </c>
      <c r="AI331" s="1">
        <f t="shared" si="78"/>
        <v>0</v>
      </c>
      <c r="AJ331" s="1">
        <f t="shared" si="79"/>
        <v>0</v>
      </c>
      <c r="AK331" s="1">
        <f t="shared" si="80"/>
        <v>0</v>
      </c>
      <c r="AL331" s="1">
        <f t="shared" si="81"/>
        <v>0</v>
      </c>
      <c r="AM331" s="1">
        <f t="shared" si="82"/>
        <v>0</v>
      </c>
      <c r="AN331" s="278">
        <f t="shared" si="72"/>
        <v>2</v>
      </c>
      <c r="AP331" s="280"/>
      <c r="AQ331" s="1">
        <v>0.5</v>
      </c>
      <c r="AR331" s="1">
        <v>0.5</v>
      </c>
      <c r="AS331" s="1">
        <v>0.5</v>
      </c>
      <c r="AT331" s="1">
        <v>0.5</v>
      </c>
      <c r="AU331" s="281"/>
      <c r="AZ331" s="281"/>
      <c r="BG331" s="282">
        <f t="shared" si="83"/>
        <v>2</v>
      </c>
      <c r="BH331" s="282">
        <f t="shared" si="84"/>
        <v>2</v>
      </c>
      <c r="BI331" s="283">
        <f t="shared" si="85"/>
        <v>2</v>
      </c>
      <c r="BL331" s="1">
        <v>516335</v>
      </c>
      <c r="BM331" s="1">
        <v>173355</v>
      </c>
      <c r="BN331" s="1" t="s">
        <v>1389</v>
      </c>
      <c r="BO331" s="1" t="s">
        <v>1407</v>
      </c>
      <c r="BP331" s="284" t="s">
        <v>1389</v>
      </c>
      <c r="BU331" s="284" t="s">
        <v>1689</v>
      </c>
      <c r="BV331" s="284" t="s">
        <v>27</v>
      </c>
      <c r="BW331" s="284" t="s">
        <v>27</v>
      </c>
    </row>
    <row r="332" spans="1:76" ht="15" customHeight="1" x14ac:dyDescent="0.25">
      <c r="A332" s="275" t="s">
        <v>109</v>
      </c>
      <c r="B332" s="276" t="s">
        <v>21</v>
      </c>
      <c r="D332" s="277">
        <v>45007</v>
      </c>
      <c r="E332" s="277">
        <v>46103</v>
      </c>
      <c r="H332" s="269" t="s">
        <v>64</v>
      </c>
      <c r="I332" s="275" t="s">
        <v>1146</v>
      </c>
      <c r="J332" s="286" t="s">
        <v>1604</v>
      </c>
      <c r="K332" s="275" t="s">
        <v>110</v>
      </c>
      <c r="L332" s="275" t="s">
        <v>111</v>
      </c>
      <c r="M332" s="275" t="s">
        <v>112</v>
      </c>
      <c r="N332" s="1" t="s">
        <v>113</v>
      </c>
      <c r="O332" s="1">
        <v>6</v>
      </c>
      <c r="Q332" s="1">
        <v>5</v>
      </c>
      <c r="V332" s="1">
        <f t="shared" si="73"/>
        <v>11</v>
      </c>
      <c r="AE332" s="1">
        <f t="shared" si="74"/>
        <v>0</v>
      </c>
      <c r="AF332" s="1">
        <f t="shared" si="75"/>
        <v>-6</v>
      </c>
      <c r="AG332" s="1">
        <f t="shared" si="76"/>
        <v>0</v>
      </c>
      <c r="AH332" s="1">
        <f t="shared" si="77"/>
        <v>-5</v>
      </c>
      <c r="AI332" s="1">
        <f t="shared" si="78"/>
        <v>0</v>
      </c>
      <c r="AJ332" s="1">
        <f t="shared" si="79"/>
        <v>0</v>
      </c>
      <c r="AK332" s="1">
        <f t="shared" si="80"/>
        <v>0</v>
      </c>
      <c r="AL332" s="1">
        <f t="shared" si="81"/>
        <v>0</v>
      </c>
      <c r="AM332" s="1">
        <f t="shared" si="82"/>
        <v>0</v>
      </c>
      <c r="AN332" s="278">
        <f t="shared" si="72"/>
        <v>-11</v>
      </c>
      <c r="AO332" s="279" t="s">
        <v>27</v>
      </c>
      <c r="AP332" s="280"/>
      <c r="AS332" s="1">
        <v>-11</v>
      </c>
      <c r="AU332" s="281"/>
      <c r="AZ332" s="281"/>
      <c r="BG332" s="282">
        <f t="shared" si="83"/>
        <v>-11</v>
      </c>
      <c r="BH332" s="282">
        <f t="shared" si="84"/>
        <v>-11</v>
      </c>
      <c r="BI332" s="283">
        <f t="shared" si="85"/>
        <v>-11</v>
      </c>
      <c r="BL332" s="1">
        <v>517147</v>
      </c>
      <c r="BM332" s="1">
        <v>172448</v>
      </c>
      <c r="BN332" s="1" t="s">
        <v>1601</v>
      </c>
      <c r="BO332" s="1" t="s">
        <v>1560</v>
      </c>
    </row>
    <row r="333" spans="1:76" ht="15" customHeight="1" x14ac:dyDescent="0.25">
      <c r="A333" s="275" t="s">
        <v>109</v>
      </c>
      <c r="B333" s="276" t="s">
        <v>21</v>
      </c>
      <c r="D333" s="277">
        <v>45007</v>
      </c>
      <c r="E333" s="277">
        <v>46103</v>
      </c>
      <c r="H333" s="269" t="s">
        <v>64</v>
      </c>
      <c r="I333" s="275" t="s">
        <v>1146</v>
      </c>
      <c r="J333" s="286" t="s">
        <v>1604</v>
      </c>
      <c r="K333" s="275" t="s">
        <v>110</v>
      </c>
      <c r="L333" s="275" t="s">
        <v>111</v>
      </c>
      <c r="M333" s="275" t="s">
        <v>112</v>
      </c>
      <c r="N333" s="1" t="s">
        <v>115</v>
      </c>
      <c r="O333" s="1">
        <v>14</v>
      </c>
      <c r="P333" s="1">
        <v>20</v>
      </c>
      <c r="Q333" s="1">
        <v>3</v>
      </c>
      <c r="V333" s="1">
        <f t="shared" si="73"/>
        <v>37</v>
      </c>
      <c r="AE333" s="1">
        <f t="shared" si="74"/>
        <v>0</v>
      </c>
      <c r="AF333" s="1">
        <f t="shared" si="75"/>
        <v>-14</v>
      </c>
      <c r="AG333" s="1">
        <f t="shared" si="76"/>
        <v>-20</v>
      </c>
      <c r="AH333" s="1">
        <f t="shared" si="77"/>
        <v>-3</v>
      </c>
      <c r="AI333" s="1">
        <f t="shared" si="78"/>
        <v>0</v>
      </c>
      <c r="AJ333" s="1">
        <f t="shared" si="79"/>
        <v>0</v>
      </c>
      <c r="AK333" s="1">
        <f t="shared" si="80"/>
        <v>0</v>
      </c>
      <c r="AL333" s="1">
        <f t="shared" si="81"/>
        <v>0</v>
      </c>
      <c r="AM333" s="1">
        <f t="shared" si="82"/>
        <v>0</v>
      </c>
      <c r="AN333" s="278">
        <f t="shared" si="72"/>
        <v>-37</v>
      </c>
      <c r="AO333" s="279" t="s">
        <v>27</v>
      </c>
      <c r="AP333" s="280"/>
      <c r="AT333" s="1">
        <v>-37</v>
      </c>
      <c r="AU333" s="281"/>
      <c r="AZ333" s="281"/>
      <c r="BG333" s="282">
        <f t="shared" si="83"/>
        <v>-37</v>
      </c>
      <c r="BH333" s="282">
        <f t="shared" si="84"/>
        <v>-37</v>
      </c>
      <c r="BI333" s="283">
        <f t="shared" si="85"/>
        <v>-37</v>
      </c>
      <c r="BL333" s="1">
        <v>517147</v>
      </c>
      <c r="BM333" s="1">
        <v>172448</v>
      </c>
      <c r="BN333" s="1" t="s">
        <v>1601</v>
      </c>
      <c r="BO333" s="1" t="s">
        <v>1560</v>
      </c>
    </row>
    <row r="334" spans="1:76" ht="15" customHeight="1" x14ac:dyDescent="0.25">
      <c r="A334" s="275" t="s">
        <v>109</v>
      </c>
      <c r="B334" s="276" t="s">
        <v>21</v>
      </c>
      <c r="D334" s="277">
        <v>45007</v>
      </c>
      <c r="E334" s="277">
        <v>46103</v>
      </c>
      <c r="H334" s="269" t="s">
        <v>64</v>
      </c>
      <c r="I334" s="275" t="s">
        <v>1146</v>
      </c>
      <c r="J334" s="286" t="s">
        <v>1604</v>
      </c>
      <c r="K334" s="275" t="s">
        <v>110</v>
      </c>
      <c r="L334" s="275" t="s">
        <v>111</v>
      </c>
      <c r="M334" s="275" t="s">
        <v>112</v>
      </c>
      <c r="N334" s="1" t="s">
        <v>117</v>
      </c>
      <c r="O334" s="1">
        <v>70</v>
      </c>
      <c r="P334" s="1">
        <v>19</v>
      </c>
      <c r="Q334" s="1">
        <v>6</v>
      </c>
      <c r="V334" s="1">
        <f t="shared" si="73"/>
        <v>95</v>
      </c>
      <c r="AE334" s="1">
        <f t="shared" si="74"/>
        <v>0</v>
      </c>
      <c r="AF334" s="1">
        <f t="shared" si="75"/>
        <v>-70</v>
      </c>
      <c r="AG334" s="1">
        <f t="shared" si="76"/>
        <v>-19</v>
      </c>
      <c r="AH334" s="1">
        <f t="shared" si="77"/>
        <v>-6</v>
      </c>
      <c r="AI334" s="1">
        <f t="shared" si="78"/>
        <v>0</v>
      </c>
      <c r="AJ334" s="1">
        <f t="shared" si="79"/>
        <v>0</v>
      </c>
      <c r="AK334" s="1">
        <f t="shared" si="80"/>
        <v>0</v>
      </c>
      <c r="AL334" s="1">
        <f t="shared" si="81"/>
        <v>0</v>
      </c>
      <c r="AM334" s="1">
        <f t="shared" si="82"/>
        <v>0</v>
      </c>
      <c r="AN334" s="278">
        <f t="shared" si="72"/>
        <v>-95</v>
      </c>
      <c r="AO334" s="279" t="s">
        <v>27</v>
      </c>
      <c r="AP334" s="280"/>
      <c r="AU334" s="281"/>
      <c r="AV334" s="1">
        <v>-95</v>
      </c>
      <c r="AZ334" s="281"/>
      <c r="BG334" s="282">
        <f t="shared" si="83"/>
        <v>0</v>
      </c>
      <c r="BH334" s="282">
        <f t="shared" si="84"/>
        <v>-95</v>
      </c>
      <c r="BI334" s="283">
        <f t="shared" si="85"/>
        <v>-95</v>
      </c>
      <c r="BL334" s="1">
        <v>517147</v>
      </c>
      <c r="BM334" s="1">
        <v>172448</v>
      </c>
      <c r="BN334" s="1" t="s">
        <v>1601</v>
      </c>
      <c r="BO334" s="1" t="s">
        <v>1560</v>
      </c>
    </row>
    <row r="335" spans="1:76" ht="15" customHeight="1" x14ac:dyDescent="0.25">
      <c r="A335" s="275" t="s">
        <v>109</v>
      </c>
      <c r="B335" s="276" t="s">
        <v>21</v>
      </c>
      <c r="D335" s="277">
        <v>45007</v>
      </c>
      <c r="E335" s="277">
        <v>46103</v>
      </c>
      <c r="H335" s="269" t="s">
        <v>64</v>
      </c>
      <c r="I335" s="275" t="s">
        <v>23</v>
      </c>
      <c r="J335" s="286" t="s">
        <v>1604</v>
      </c>
      <c r="K335" s="275" t="s">
        <v>110</v>
      </c>
      <c r="L335" s="275" t="s">
        <v>111</v>
      </c>
      <c r="M335" s="275" t="s">
        <v>112</v>
      </c>
      <c r="N335" s="1" t="s">
        <v>116</v>
      </c>
      <c r="V335" s="1">
        <f t="shared" si="73"/>
        <v>0</v>
      </c>
      <c r="W335" s="1">
        <v>2</v>
      </c>
      <c r="AE335" s="1">
        <f t="shared" si="74"/>
        <v>2</v>
      </c>
      <c r="AF335" s="1">
        <f t="shared" si="75"/>
        <v>2</v>
      </c>
      <c r="AG335" s="1">
        <f t="shared" si="76"/>
        <v>0</v>
      </c>
      <c r="AH335" s="1">
        <f t="shared" si="77"/>
        <v>0</v>
      </c>
      <c r="AI335" s="1">
        <f t="shared" si="78"/>
        <v>0</v>
      </c>
      <c r="AJ335" s="1">
        <f t="shared" si="79"/>
        <v>0</v>
      </c>
      <c r="AK335" s="1">
        <f t="shared" si="80"/>
        <v>0</v>
      </c>
      <c r="AL335" s="1">
        <f t="shared" si="81"/>
        <v>0</v>
      </c>
      <c r="AM335" s="1">
        <f t="shared" si="82"/>
        <v>0</v>
      </c>
      <c r="AN335" s="278">
        <f t="shared" si="72"/>
        <v>2</v>
      </c>
      <c r="AO335" s="279" t="s">
        <v>27</v>
      </c>
      <c r="AP335" s="280"/>
      <c r="AU335" s="281">
        <v>2</v>
      </c>
      <c r="AZ335" s="281"/>
      <c r="BG335" s="282">
        <f t="shared" si="83"/>
        <v>2</v>
      </c>
      <c r="BH335" s="282">
        <f t="shared" si="84"/>
        <v>2</v>
      </c>
      <c r="BI335" s="283">
        <f t="shared" si="85"/>
        <v>2</v>
      </c>
      <c r="BL335" s="1">
        <v>517147</v>
      </c>
      <c r="BM335" s="1">
        <v>172448</v>
      </c>
      <c r="BN335" s="1" t="s">
        <v>1601</v>
      </c>
      <c r="BO335" s="1" t="s">
        <v>1560</v>
      </c>
    </row>
    <row r="336" spans="1:76" ht="15" customHeight="1" x14ac:dyDescent="0.25">
      <c r="A336" s="275" t="s">
        <v>109</v>
      </c>
      <c r="B336" s="276" t="s">
        <v>21</v>
      </c>
      <c r="D336" s="277">
        <v>45007</v>
      </c>
      <c r="E336" s="277">
        <v>46103</v>
      </c>
      <c r="H336" s="269" t="s">
        <v>64</v>
      </c>
      <c r="I336" s="275" t="s">
        <v>23</v>
      </c>
      <c r="J336" s="286" t="s">
        <v>1604</v>
      </c>
      <c r="K336" s="275" t="s">
        <v>110</v>
      </c>
      <c r="L336" s="275" t="s">
        <v>111</v>
      </c>
      <c r="M336" s="275" t="s">
        <v>112</v>
      </c>
      <c r="N336" s="1" t="s">
        <v>118</v>
      </c>
      <c r="V336" s="1">
        <f t="shared" si="73"/>
        <v>0</v>
      </c>
      <c r="W336" s="1">
        <v>6</v>
      </c>
      <c r="X336" s="1">
        <v>10</v>
      </c>
      <c r="Y336" s="1">
        <v>3</v>
      </c>
      <c r="AE336" s="1">
        <f t="shared" si="74"/>
        <v>19</v>
      </c>
      <c r="AF336" s="1">
        <f t="shared" si="75"/>
        <v>6</v>
      </c>
      <c r="AG336" s="1">
        <f t="shared" si="76"/>
        <v>10</v>
      </c>
      <c r="AH336" s="1">
        <f t="shared" si="77"/>
        <v>3</v>
      </c>
      <c r="AI336" s="1">
        <f t="shared" si="78"/>
        <v>0</v>
      </c>
      <c r="AJ336" s="1">
        <f t="shared" si="79"/>
        <v>0</v>
      </c>
      <c r="AK336" s="1">
        <f t="shared" si="80"/>
        <v>0</v>
      </c>
      <c r="AL336" s="1">
        <f t="shared" si="81"/>
        <v>0</v>
      </c>
      <c r="AM336" s="1">
        <f t="shared" si="82"/>
        <v>0</v>
      </c>
      <c r="AN336" s="278">
        <f t="shared" si="72"/>
        <v>19</v>
      </c>
      <c r="AO336" s="279" t="s">
        <v>27</v>
      </c>
      <c r="AP336" s="280"/>
      <c r="AU336" s="281"/>
      <c r="AX336" s="1">
        <v>19</v>
      </c>
      <c r="AZ336" s="281"/>
      <c r="BG336" s="282">
        <f t="shared" si="83"/>
        <v>0</v>
      </c>
      <c r="BH336" s="282">
        <f t="shared" si="84"/>
        <v>19</v>
      </c>
      <c r="BI336" s="283">
        <f t="shared" si="85"/>
        <v>19</v>
      </c>
      <c r="BL336" s="1">
        <v>517147</v>
      </c>
      <c r="BM336" s="1">
        <v>172448</v>
      </c>
      <c r="BN336" s="1" t="s">
        <v>1601</v>
      </c>
      <c r="BO336" s="1" t="s">
        <v>1560</v>
      </c>
    </row>
    <row r="337" spans="1:75" ht="15" customHeight="1" x14ac:dyDescent="0.25">
      <c r="A337" s="275" t="s">
        <v>109</v>
      </c>
      <c r="B337" s="276" t="s">
        <v>21</v>
      </c>
      <c r="D337" s="277">
        <v>45007</v>
      </c>
      <c r="E337" s="277">
        <v>46103</v>
      </c>
      <c r="H337" s="269" t="s">
        <v>64</v>
      </c>
      <c r="I337" s="275" t="s">
        <v>1147</v>
      </c>
      <c r="J337" s="286" t="s">
        <v>1604</v>
      </c>
      <c r="K337" s="275" t="s">
        <v>110</v>
      </c>
      <c r="L337" s="275" t="s">
        <v>111</v>
      </c>
      <c r="M337" s="275" t="s">
        <v>112</v>
      </c>
      <c r="N337" s="1" t="s">
        <v>118</v>
      </c>
      <c r="V337" s="1">
        <f t="shared" si="73"/>
        <v>0</v>
      </c>
      <c r="W337" s="1">
        <v>7</v>
      </c>
      <c r="X337" s="1">
        <v>3</v>
      </c>
      <c r="AE337" s="1">
        <f t="shared" si="74"/>
        <v>10</v>
      </c>
      <c r="AF337" s="1">
        <f t="shared" si="75"/>
        <v>7</v>
      </c>
      <c r="AG337" s="1">
        <f t="shared" si="76"/>
        <v>3</v>
      </c>
      <c r="AH337" s="1">
        <f t="shared" si="77"/>
        <v>0</v>
      </c>
      <c r="AI337" s="1">
        <f t="shared" si="78"/>
        <v>0</v>
      </c>
      <c r="AJ337" s="1">
        <f t="shared" si="79"/>
        <v>0</v>
      </c>
      <c r="AK337" s="1">
        <f t="shared" si="80"/>
        <v>0</v>
      </c>
      <c r="AL337" s="1">
        <f t="shared" si="81"/>
        <v>0</v>
      </c>
      <c r="AM337" s="1">
        <f t="shared" si="82"/>
        <v>0</v>
      </c>
      <c r="AN337" s="278">
        <f t="shared" si="72"/>
        <v>10</v>
      </c>
      <c r="AO337" s="279" t="s">
        <v>27</v>
      </c>
      <c r="AP337" s="280"/>
      <c r="AU337" s="281"/>
      <c r="AX337" s="1">
        <v>10</v>
      </c>
      <c r="AZ337" s="281"/>
      <c r="BG337" s="282">
        <f t="shared" si="83"/>
        <v>0</v>
      </c>
      <c r="BH337" s="282">
        <f t="shared" si="84"/>
        <v>10</v>
      </c>
      <c r="BI337" s="283">
        <f t="shared" si="85"/>
        <v>10</v>
      </c>
      <c r="BL337" s="1">
        <v>517147</v>
      </c>
      <c r="BM337" s="1">
        <v>172448</v>
      </c>
      <c r="BN337" s="1" t="s">
        <v>1601</v>
      </c>
      <c r="BO337" s="1" t="s">
        <v>1560</v>
      </c>
    </row>
    <row r="338" spans="1:75" ht="15" customHeight="1" x14ac:dyDescent="0.25">
      <c r="A338" s="275" t="s">
        <v>109</v>
      </c>
      <c r="B338" s="276" t="s">
        <v>21</v>
      </c>
      <c r="D338" s="277">
        <v>45007</v>
      </c>
      <c r="E338" s="277">
        <v>46103</v>
      </c>
      <c r="H338" s="269" t="s">
        <v>64</v>
      </c>
      <c r="I338" s="275" t="s">
        <v>1473</v>
      </c>
      <c r="J338" s="286" t="s">
        <v>1604</v>
      </c>
      <c r="K338" s="275" t="s">
        <v>110</v>
      </c>
      <c r="L338" s="275" t="s">
        <v>111</v>
      </c>
      <c r="M338" s="275" t="s">
        <v>112</v>
      </c>
      <c r="N338" s="1" t="s">
        <v>113</v>
      </c>
      <c r="Q338" s="1">
        <v>1</v>
      </c>
      <c r="V338" s="1">
        <f t="shared" si="73"/>
        <v>1</v>
      </c>
      <c r="AE338" s="1">
        <f t="shared" si="74"/>
        <v>0</v>
      </c>
      <c r="AF338" s="1">
        <f t="shared" si="75"/>
        <v>0</v>
      </c>
      <c r="AG338" s="1">
        <f t="shared" si="76"/>
        <v>0</v>
      </c>
      <c r="AH338" s="1">
        <f t="shared" si="77"/>
        <v>-1</v>
      </c>
      <c r="AI338" s="1">
        <f t="shared" si="78"/>
        <v>0</v>
      </c>
      <c r="AJ338" s="1">
        <f t="shared" si="79"/>
        <v>0</v>
      </c>
      <c r="AK338" s="1">
        <f t="shared" si="80"/>
        <v>0</v>
      </c>
      <c r="AL338" s="1">
        <f t="shared" si="81"/>
        <v>0</v>
      </c>
      <c r="AM338" s="1">
        <f t="shared" si="82"/>
        <v>0</v>
      </c>
      <c r="AN338" s="278">
        <f t="shared" si="72"/>
        <v>-1</v>
      </c>
      <c r="AO338" s="279" t="s">
        <v>27</v>
      </c>
      <c r="AP338" s="280"/>
      <c r="AS338" s="1">
        <v>-1</v>
      </c>
      <c r="AU338" s="281"/>
      <c r="AZ338" s="281"/>
      <c r="BG338" s="282">
        <f t="shared" si="83"/>
        <v>-1</v>
      </c>
      <c r="BH338" s="282">
        <f t="shared" si="84"/>
        <v>-1</v>
      </c>
      <c r="BI338" s="283">
        <f t="shared" si="85"/>
        <v>-1</v>
      </c>
      <c r="BL338" s="1">
        <v>517147</v>
      </c>
      <c r="BM338" s="1">
        <v>172448</v>
      </c>
      <c r="BN338" s="1" t="s">
        <v>1601</v>
      </c>
      <c r="BO338" s="1" t="s">
        <v>1560</v>
      </c>
    </row>
    <row r="339" spans="1:75" ht="15" customHeight="1" x14ac:dyDescent="0.25">
      <c r="A339" s="275" t="s">
        <v>109</v>
      </c>
      <c r="B339" s="276" t="s">
        <v>21</v>
      </c>
      <c r="D339" s="277">
        <v>45007</v>
      </c>
      <c r="E339" s="277">
        <v>46103</v>
      </c>
      <c r="H339" s="269" t="s">
        <v>64</v>
      </c>
      <c r="I339" s="275" t="s">
        <v>1473</v>
      </c>
      <c r="J339" s="286" t="s">
        <v>1604</v>
      </c>
      <c r="K339" s="275" t="s">
        <v>110</v>
      </c>
      <c r="L339" s="275" t="s">
        <v>111</v>
      </c>
      <c r="M339" s="275" t="s">
        <v>112</v>
      </c>
      <c r="N339" s="1" t="s">
        <v>115</v>
      </c>
      <c r="O339" s="1">
        <v>2</v>
      </c>
      <c r="P339" s="1">
        <v>8</v>
      </c>
      <c r="Q339" s="1">
        <v>1</v>
      </c>
      <c r="V339" s="1">
        <f t="shared" si="73"/>
        <v>11</v>
      </c>
      <c r="AE339" s="1">
        <f t="shared" si="74"/>
        <v>0</v>
      </c>
      <c r="AF339" s="1">
        <f t="shared" si="75"/>
        <v>-2</v>
      </c>
      <c r="AG339" s="1">
        <f t="shared" si="76"/>
        <v>-8</v>
      </c>
      <c r="AH339" s="1">
        <f t="shared" si="77"/>
        <v>-1</v>
      </c>
      <c r="AI339" s="1">
        <f t="shared" si="78"/>
        <v>0</v>
      </c>
      <c r="AJ339" s="1">
        <f t="shared" si="79"/>
        <v>0</v>
      </c>
      <c r="AK339" s="1">
        <f t="shared" si="80"/>
        <v>0</v>
      </c>
      <c r="AL339" s="1">
        <f t="shared" si="81"/>
        <v>0</v>
      </c>
      <c r="AM339" s="1">
        <f t="shared" si="82"/>
        <v>0</v>
      </c>
      <c r="AN339" s="278">
        <f t="shared" si="72"/>
        <v>-11</v>
      </c>
      <c r="AO339" s="279" t="s">
        <v>27</v>
      </c>
      <c r="AP339" s="280"/>
      <c r="AT339" s="1">
        <v>-11</v>
      </c>
      <c r="AU339" s="281"/>
      <c r="AZ339" s="281"/>
      <c r="BG339" s="282">
        <f t="shared" si="83"/>
        <v>-11</v>
      </c>
      <c r="BH339" s="282">
        <f t="shared" si="84"/>
        <v>-11</v>
      </c>
      <c r="BI339" s="283">
        <f t="shared" si="85"/>
        <v>-11</v>
      </c>
      <c r="BL339" s="1">
        <v>517147</v>
      </c>
      <c r="BM339" s="1">
        <v>172448</v>
      </c>
      <c r="BN339" s="1" t="s">
        <v>1601</v>
      </c>
      <c r="BO339" s="1" t="s">
        <v>1560</v>
      </c>
    </row>
    <row r="340" spans="1:75" ht="15" customHeight="1" x14ac:dyDescent="0.25">
      <c r="A340" s="275" t="s">
        <v>109</v>
      </c>
      <c r="B340" s="276" t="s">
        <v>21</v>
      </c>
      <c r="D340" s="277">
        <v>45007</v>
      </c>
      <c r="E340" s="277">
        <v>46103</v>
      </c>
      <c r="H340" s="269" t="s">
        <v>64</v>
      </c>
      <c r="I340" s="275" t="s">
        <v>1473</v>
      </c>
      <c r="J340" s="286" t="s">
        <v>1604</v>
      </c>
      <c r="K340" s="275" t="s">
        <v>110</v>
      </c>
      <c r="L340" s="275" t="s">
        <v>111</v>
      </c>
      <c r="M340" s="275" t="s">
        <v>112</v>
      </c>
      <c r="N340" s="1" t="s">
        <v>117</v>
      </c>
      <c r="O340" s="1">
        <v>16</v>
      </c>
      <c r="P340" s="1">
        <v>16</v>
      </c>
      <c r="Q340" s="1">
        <v>5</v>
      </c>
      <c r="V340" s="1">
        <f t="shared" si="73"/>
        <v>37</v>
      </c>
      <c r="AE340" s="1">
        <f t="shared" si="74"/>
        <v>0</v>
      </c>
      <c r="AF340" s="1">
        <f t="shared" si="75"/>
        <v>-16</v>
      </c>
      <c r="AG340" s="1">
        <f t="shared" si="76"/>
        <v>-16</v>
      </c>
      <c r="AH340" s="1">
        <f t="shared" si="77"/>
        <v>-5</v>
      </c>
      <c r="AI340" s="1">
        <f t="shared" si="78"/>
        <v>0</v>
      </c>
      <c r="AJ340" s="1">
        <f t="shared" si="79"/>
        <v>0</v>
      </c>
      <c r="AK340" s="1">
        <f t="shared" si="80"/>
        <v>0</v>
      </c>
      <c r="AL340" s="1">
        <f t="shared" si="81"/>
        <v>0</v>
      </c>
      <c r="AM340" s="1">
        <f t="shared" si="82"/>
        <v>0</v>
      </c>
      <c r="AN340" s="278">
        <f t="shared" si="72"/>
        <v>-37</v>
      </c>
      <c r="AO340" s="279" t="s">
        <v>27</v>
      </c>
      <c r="AP340" s="280"/>
      <c r="AU340" s="281"/>
      <c r="AV340" s="1">
        <v>-37</v>
      </c>
      <c r="AZ340" s="281"/>
      <c r="BG340" s="282">
        <f t="shared" si="83"/>
        <v>0</v>
      </c>
      <c r="BH340" s="282">
        <f t="shared" si="84"/>
        <v>-37</v>
      </c>
      <c r="BI340" s="283">
        <f t="shared" si="85"/>
        <v>-37</v>
      </c>
      <c r="BL340" s="1">
        <v>517147</v>
      </c>
      <c r="BM340" s="1">
        <v>172448</v>
      </c>
      <c r="BN340" s="1" t="s">
        <v>1601</v>
      </c>
      <c r="BO340" s="1" t="s">
        <v>1560</v>
      </c>
    </row>
    <row r="341" spans="1:75" ht="15" customHeight="1" x14ac:dyDescent="0.25">
      <c r="A341" s="275" t="s">
        <v>109</v>
      </c>
      <c r="B341" s="276" t="s">
        <v>21</v>
      </c>
      <c r="D341" s="277">
        <v>45007</v>
      </c>
      <c r="E341" s="277">
        <v>46103</v>
      </c>
      <c r="H341" s="269" t="s">
        <v>64</v>
      </c>
      <c r="I341" s="275" t="s">
        <v>1473</v>
      </c>
      <c r="J341" s="286" t="s">
        <v>1604</v>
      </c>
      <c r="K341" s="275" t="s">
        <v>110</v>
      </c>
      <c r="L341" s="275" t="s">
        <v>111</v>
      </c>
      <c r="M341" s="275" t="s">
        <v>112</v>
      </c>
      <c r="N341" s="1" t="s">
        <v>114</v>
      </c>
      <c r="V341" s="1">
        <f t="shared" si="73"/>
        <v>0</v>
      </c>
      <c r="W341" s="1">
        <v>2</v>
      </c>
      <c r="X341" s="1">
        <v>3</v>
      </c>
      <c r="Y341" s="1">
        <v>2</v>
      </c>
      <c r="AE341" s="1">
        <f t="shared" si="74"/>
        <v>7</v>
      </c>
      <c r="AF341" s="1">
        <f t="shared" si="75"/>
        <v>2</v>
      </c>
      <c r="AG341" s="1">
        <f t="shared" si="76"/>
        <v>3</v>
      </c>
      <c r="AH341" s="1">
        <f t="shared" si="77"/>
        <v>2</v>
      </c>
      <c r="AI341" s="1">
        <f t="shared" si="78"/>
        <v>0</v>
      </c>
      <c r="AJ341" s="1">
        <f t="shared" si="79"/>
        <v>0</v>
      </c>
      <c r="AK341" s="1">
        <f t="shared" si="80"/>
        <v>0</v>
      </c>
      <c r="AL341" s="1">
        <f t="shared" si="81"/>
        <v>0</v>
      </c>
      <c r="AM341" s="1">
        <f t="shared" si="82"/>
        <v>0</v>
      </c>
      <c r="AN341" s="278">
        <f t="shared" si="72"/>
        <v>7</v>
      </c>
      <c r="AO341" s="279" t="s">
        <v>27</v>
      </c>
      <c r="AP341" s="280"/>
      <c r="AS341" s="1">
        <v>7</v>
      </c>
      <c r="AU341" s="281"/>
      <c r="AZ341" s="281"/>
      <c r="BG341" s="282">
        <f t="shared" si="83"/>
        <v>7</v>
      </c>
      <c r="BH341" s="282">
        <f t="shared" si="84"/>
        <v>7</v>
      </c>
      <c r="BI341" s="283">
        <f t="shared" si="85"/>
        <v>7</v>
      </c>
      <c r="BL341" s="1">
        <v>517147</v>
      </c>
      <c r="BM341" s="1">
        <v>172448</v>
      </c>
      <c r="BN341" s="1" t="s">
        <v>1601</v>
      </c>
      <c r="BO341" s="1" t="s">
        <v>1560</v>
      </c>
    </row>
    <row r="342" spans="1:75" ht="15" customHeight="1" x14ac:dyDescent="0.25">
      <c r="A342" s="275" t="s">
        <v>109</v>
      </c>
      <c r="B342" s="276" t="s">
        <v>21</v>
      </c>
      <c r="D342" s="277">
        <v>45007</v>
      </c>
      <c r="E342" s="277">
        <v>46103</v>
      </c>
      <c r="H342" s="269" t="s">
        <v>64</v>
      </c>
      <c r="I342" s="275" t="s">
        <v>1473</v>
      </c>
      <c r="J342" s="286" t="s">
        <v>1604</v>
      </c>
      <c r="K342" s="275" t="s">
        <v>110</v>
      </c>
      <c r="L342" s="275" t="s">
        <v>111</v>
      </c>
      <c r="M342" s="275" t="s">
        <v>112</v>
      </c>
      <c r="N342" s="1" t="s">
        <v>116</v>
      </c>
      <c r="V342" s="1">
        <f t="shared" si="73"/>
        <v>0</v>
      </c>
      <c r="W342" s="1">
        <v>50</v>
      </c>
      <c r="X342" s="1">
        <v>26</v>
      </c>
      <c r="Y342" s="1">
        <v>2</v>
      </c>
      <c r="AE342" s="1">
        <f t="shared" si="74"/>
        <v>78</v>
      </c>
      <c r="AF342" s="1">
        <f t="shared" si="75"/>
        <v>50</v>
      </c>
      <c r="AG342" s="1">
        <f t="shared" si="76"/>
        <v>26</v>
      </c>
      <c r="AH342" s="1">
        <f t="shared" si="77"/>
        <v>2</v>
      </c>
      <c r="AI342" s="1">
        <f t="shared" si="78"/>
        <v>0</v>
      </c>
      <c r="AJ342" s="1">
        <f t="shared" si="79"/>
        <v>0</v>
      </c>
      <c r="AK342" s="1">
        <f t="shared" si="80"/>
        <v>0</v>
      </c>
      <c r="AL342" s="1">
        <f t="shared" si="81"/>
        <v>0</v>
      </c>
      <c r="AM342" s="1">
        <f t="shared" si="82"/>
        <v>0</v>
      </c>
      <c r="AN342" s="278">
        <f t="shared" si="72"/>
        <v>78</v>
      </c>
      <c r="AO342" s="279" t="s">
        <v>27</v>
      </c>
      <c r="AP342" s="280"/>
      <c r="AU342" s="281">
        <v>78</v>
      </c>
      <c r="AZ342" s="281"/>
      <c r="BG342" s="282">
        <f t="shared" si="83"/>
        <v>78</v>
      </c>
      <c r="BH342" s="282">
        <f t="shared" si="84"/>
        <v>78</v>
      </c>
      <c r="BI342" s="283">
        <f t="shared" si="85"/>
        <v>78</v>
      </c>
      <c r="BL342" s="1">
        <v>517147</v>
      </c>
      <c r="BM342" s="1">
        <v>172448</v>
      </c>
      <c r="BN342" s="1" t="s">
        <v>1601</v>
      </c>
      <c r="BO342" s="1" t="s">
        <v>1560</v>
      </c>
    </row>
    <row r="343" spans="1:75" ht="15" customHeight="1" x14ac:dyDescent="0.25">
      <c r="A343" s="275" t="s">
        <v>109</v>
      </c>
      <c r="B343" s="276" t="s">
        <v>21</v>
      </c>
      <c r="D343" s="277">
        <v>45007</v>
      </c>
      <c r="E343" s="277">
        <v>46103</v>
      </c>
      <c r="H343" s="269" t="s">
        <v>64</v>
      </c>
      <c r="I343" s="269" t="s">
        <v>1473</v>
      </c>
      <c r="J343" s="286" t="s">
        <v>1604</v>
      </c>
      <c r="K343" s="275" t="s">
        <v>110</v>
      </c>
      <c r="L343" s="275" t="s">
        <v>111</v>
      </c>
      <c r="M343" s="275" t="s">
        <v>112</v>
      </c>
      <c r="N343" s="1" t="s">
        <v>118</v>
      </c>
      <c r="V343" s="1">
        <f t="shared" si="73"/>
        <v>0</v>
      </c>
      <c r="W343" s="1">
        <v>42</v>
      </c>
      <c r="X343" s="1">
        <v>62</v>
      </c>
      <c r="Z343" s="1">
        <v>34</v>
      </c>
      <c r="AA343" s="1">
        <v>8</v>
      </c>
      <c r="AE343" s="1">
        <f t="shared" si="74"/>
        <v>146</v>
      </c>
      <c r="AF343" s="1">
        <f t="shared" si="75"/>
        <v>42</v>
      </c>
      <c r="AG343" s="1">
        <f t="shared" si="76"/>
        <v>62</v>
      </c>
      <c r="AH343" s="1">
        <f t="shared" si="77"/>
        <v>0</v>
      </c>
      <c r="AI343" s="1">
        <f t="shared" si="78"/>
        <v>34</v>
      </c>
      <c r="AJ343" s="1">
        <f t="shared" si="79"/>
        <v>8</v>
      </c>
      <c r="AK343" s="1">
        <f t="shared" si="80"/>
        <v>0</v>
      </c>
      <c r="AL343" s="1">
        <f t="shared" si="81"/>
        <v>0</v>
      </c>
      <c r="AM343" s="1">
        <f t="shared" si="82"/>
        <v>0</v>
      </c>
      <c r="AN343" s="278">
        <f t="shared" si="72"/>
        <v>146</v>
      </c>
      <c r="AO343" s="279" t="s">
        <v>27</v>
      </c>
      <c r="AP343" s="280"/>
      <c r="AU343" s="281"/>
      <c r="AX343" s="1">
        <v>146</v>
      </c>
      <c r="AZ343" s="281"/>
      <c r="BG343" s="282">
        <f t="shared" si="83"/>
        <v>0</v>
      </c>
      <c r="BH343" s="282">
        <f t="shared" si="84"/>
        <v>146</v>
      </c>
      <c r="BI343" s="283">
        <f t="shared" si="85"/>
        <v>146</v>
      </c>
      <c r="BL343" s="1">
        <v>517147</v>
      </c>
      <c r="BM343" s="1">
        <v>172448</v>
      </c>
      <c r="BN343" s="1" t="s">
        <v>1601</v>
      </c>
      <c r="BO343" s="1" t="s">
        <v>1560</v>
      </c>
    </row>
    <row r="344" spans="1:75" ht="15" customHeight="1" x14ac:dyDescent="0.25">
      <c r="A344" s="275" t="s">
        <v>109</v>
      </c>
      <c r="B344" s="276" t="s">
        <v>21</v>
      </c>
      <c r="D344" s="277">
        <v>45007</v>
      </c>
      <c r="E344" s="277">
        <v>46103</v>
      </c>
      <c r="H344" s="269" t="s">
        <v>64</v>
      </c>
      <c r="I344" s="269" t="s">
        <v>1148</v>
      </c>
      <c r="J344" s="286" t="s">
        <v>1604</v>
      </c>
      <c r="K344" s="275" t="s">
        <v>110</v>
      </c>
      <c r="L344" s="275" t="s">
        <v>111</v>
      </c>
      <c r="M344" s="275" t="s">
        <v>112</v>
      </c>
      <c r="N344" s="1" t="s">
        <v>118</v>
      </c>
      <c r="V344" s="1">
        <f t="shared" si="73"/>
        <v>0</v>
      </c>
      <c r="W344" s="1">
        <v>22</v>
      </c>
      <c r="X344" s="1">
        <v>24</v>
      </c>
      <c r="Y344" s="1">
        <v>1</v>
      </c>
      <c r="AE344" s="1">
        <f t="shared" si="74"/>
        <v>47</v>
      </c>
      <c r="AF344" s="1">
        <f t="shared" si="75"/>
        <v>22</v>
      </c>
      <c r="AG344" s="1">
        <f t="shared" si="76"/>
        <v>24</v>
      </c>
      <c r="AH344" s="1">
        <f t="shared" si="77"/>
        <v>1</v>
      </c>
      <c r="AI344" s="1">
        <f t="shared" si="78"/>
        <v>0</v>
      </c>
      <c r="AJ344" s="1">
        <f t="shared" si="79"/>
        <v>0</v>
      </c>
      <c r="AK344" s="1">
        <f t="shared" si="80"/>
        <v>0</v>
      </c>
      <c r="AL344" s="1">
        <f t="shared" si="81"/>
        <v>0</v>
      </c>
      <c r="AM344" s="1">
        <f t="shared" si="82"/>
        <v>0</v>
      </c>
      <c r="AN344" s="278">
        <f t="shared" si="72"/>
        <v>47</v>
      </c>
      <c r="AO344" s="279" t="s">
        <v>27</v>
      </c>
      <c r="AP344" s="280"/>
      <c r="AU344" s="281"/>
      <c r="AX344" s="1">
        <v>47</v>
      </c>
      <c r="AZ344" s="281"/>
      <c r="BG344" s="282">
        <f t="shared" si="83"/>
        <v>0</v>
      </c>
      <c r="BH344" s="282">
        <f t="shared" si="84"/>
        <v>47</v>
      </c>
      <c r="BI344" s="283">
        <f t="shared" si="85"/>
        <v>47</v>
      </c>
      <c r="BL344" s="1">
        <v>517147</v>
      </c>
      <c r="BM344" s="1">
        <v>172448</v>
      </c>
      <c r="BN344" s="1" t="s">
        <v>1601</v>
      </c>
      <c r="BO344" s="1" t="s">
        <v>1560</v>
      </c>
    </row>
    <row r="345" spans="1:75" ht="15" customHeight="1" x14ac:dyDescent="0.25">
      <c r="A345" s="275" t="s">
        <v>109</v>
      </c>
      <c r="B345" s="276" t="s">
        <v>21</v>
      </c>
      <c r="D345" s="277">
        <v>45007</v>
      </c>
      <c r="E345" s="277">
        <v>46103</v>
      </c>
      <c r="H345" s="269" t="s">
        <v>64</v>
      </c>
      <c r="I345" s="269" t="s">
        <v>55</v>
      </c>
      <c r="J345" s="286" t="s">
        <v>1604</v>
      </c>
      <c r="K345" s="275" t="s">
        <v>110</v>
      </c>
      <c r="L345" s="275" t="s">
        <v>111</v>
      </c>
      <c r="M345" s="275" t="s">
        <v>112</v>
      </c>
      <c r="N345" s="1" t="s">
        <v>114</v>
      </c>
      <c r="V345" s="1">
        <f t="shared" si="73"/>
        <v>0</v>
      </c>
      <c r="W345" s="1">
        <v>35</v>
      </c>
      <c r="X345" s="1">
        <v>18</v>
      </c>
      <c r="Y345" s="1">
        <v>10</v>
      </c>
      <c r="AE345" s="1">
        <f t="shared" si="74"/>
        <v>63</v>
      </c>
      <c r="AF345" s="1">
        <f t="shared" si="75"/>
        <v>35</v>
      </c>
      <c r="AG345" s="1">
        <f t="shared" si="76"/>
        <v>18</v>
      </c>
      <c r="AH345" s="1">
        <f t="shared" si="77"/>
        <v>10</v>
      </c>
      <c r="AI345" s="1">
        <f t="shared" si="78"/>
        <v>0</v>
      </c>
      <c r="AJ345" s="1">
        <f t="shared" si="79"/>
        <v>0</v>
      </c>
      <c r="AK345" s="1">
        <f t="shared" si="80"/>
        <v>0</v>
      </c>
      <c r="AL345" s="1">
        <f t="shared" si="81"/>
        <v>0</v>
      </c>
      <c r="AM345" s="1">
        <f t="shared" si="82"/>
        <v>0</v>
      </c>
      <c r="AN345" s="278">
        <f t="shared" si="72"/>
        <v>63</v>
      </c>
      <c r="AO345" s="279" t="s">
        <v>27</v>
      </c>
      <c r="AP345" s="280"/>
      <c r="AS345" s="1">
        <v>63</v>
      </c>
      <c r="AU345" s="281"/>
      <c r="AZ345" s="281"/>
      <c r="BG345" s="282">
        <f t="shared" si="83"/>
        <v>63</v>
      </c>
      <c r="BH345" s="282">
        <f t="shared" si="84"/>
        <v>63</v>
      </c>
      <c r="BI345" s="283">
        <f t="shared" si="85"/>
        <v>63</v>
      </c>
      <c r="BL345" s="1">
        <v>517147</v>
      </c>
      <c r="BM345" s="1">
        <v>172448</v>
      </c>
      <c r="BN345" s="1" t="s">
        <v>1601</v>
      </c>
      <c r="BO345" s="1" t="s">
        <v>1560</v>
      </c>
    </row>
    <row r="346" spans="1:75" ht="15" customHeight="1" x14ac:dyDescent="0.25">
      <c r="A346" s="275" t="s">
        <v>109</v>
      </c>
      <c r="B346" s="276" t="s">
        <v>21</v>
      </c>
      <c r="D346" s="277">
        <v>45007</v>
      </c>
      <c r="E346" s="277">
        <v>46103</v>
      </c>
      <c r="H346" s="269" t="s">
        <v>64</v>
      </c>
      <c r="I346" s="269" t="s">
        <v>55</v>
      </c>
      <c r="J346" s="286" t="s">
        <v>1604</v>
      </c>
      <c r="K346" s="275" t="s">
        <v>110</v>
      </c>
      <c r="L346" s="275" t="s">
        <v>111</v>
      </c>
      <c r="M346" s="275" t="s">
        <v>112</v>
      </c>
      <c r="N346" s="1" t="s">
        <v>116</v>
      </c>
      <c r="V346" s="1">
        <f t="shared" si="73"/>
        <v>0</v>
      </c>
      <c r="W346" s="1">
        <v>58</v>
      </c>
      <c r="X346" s="1">
        <v>19</v>
      </c>
      <c r="Y346" s="1">
        <v>3</v>
      </c>
      <c r="AE346" s="1">
        <f t="shared" si="74"/>
        <v>80</v>
      </c>
      <c r="AF346" s="1">
        <f t="shared" si="75"/>
        <v>58</v>
      </c>
      <c r="AG346" s="1">
        <f t="shared" si="76"/>
        <v>19</v>
      </c>
      <c r="AH346" s="1">
        <f t="shared" si="77"/>
        <v>3</v>
      </c>
      <c r="AI346" s="1">
        <f t="shared" si="78"/>
        <v>0</v>
      </c>
      <c r="AJ346" s="1">
        <f t="shared" si="79"/>
        <v>0</v>
      </c>
      <c r="AK346" s="1">
        <f t="shared" si="80"/>
        <v>0</v>
      </c>
      <c r="AL346" s="1">
        <f t="shared" si="81"/>
        <v>0</v>
      </c>
      <c r="AM346" s="1">
        <f t="shared" si="82"/>
        <v>0</v>
      </c>
      <c r="AN346" s="278">
        <f t="shared" si="72"/>
        <v>80</v>
      </c>
      <c r="AO346" s="279" t="s">
        <v>27</v>
      </c>
      <c r="AP346" s="280"/>
      <c r="AU346" s="281">
        <v>80</v>
      </c>
      <c r="AZ346" s="281"/>
      <c r="BG346" s="282">
        <f t="shared" si="83"/>
        <v>80</v>
      </c>
      <c r="BH346" s="282">
        <f t="shared" si="84"/>
        <v>80</v>
      </c>
      <c r="BI346" s="283">
        <f t="shared" si="85"/>
        <v>80</v>
      </c>
      <c r="BL346" s="1">
        <v>517147</v>
      </c>
      <c r="BM346" s="1">
        <v>172448</v>
      </c>
      <c r="BN346" s="1" t="s">
        <v>1601</v>
      </c>
      <c r="BO346" s="1" t="s">
        <v>1560</v>
      </c>
    </row>
    <row r="347" spans="1:75" ht="15" customHeight="1" x14ac:dyDescent="0.25">
      <c r="A347" s="269" t="s">
        <v>1527</v>
      </c>
      <c r="B347" s="276" t="s">
        <v>21</v>
      </c>
      <c r="D347" s="269"/>
      <c r="F347" s="269"/>
      <c r="G347" s="289"/>
      <c r="H347" s="289" t="s">
        <v>1522</v>
      </c>
      <c r="I347" s="289" t="s">
        <v>1528</v>
      </c>
      <c r="J347" s="289" t="s">
        <v>1529</v>
      </c>
      <c r="L347" s="269" t="s">
        <v>1755</v>
      </c>
      <c r="M347" s="290"/>
      <c r="N347" s="290"/>
      <c r="O347" s="290"/>
      <c r="P347" s="290"/>
      <c r="Q347" s="290"/>
      <c r="R347" s="290"/>
      <c r="S347" s="290"/>
      <c r="T347" s="290"/>
      <c r="U347" s="290"/>
      <c r="V347" s="290"/>
      <c r="W347" s="290"/>
      <c r="X347" s="290"/>
      <c r="Y347" s="290"/>
      <c r="Z347" s="290"/>
      <c r="AA347" s="290"/>
      <c r="AB347" s="290"/>
      <c r="AC347" s="290"/>
      <c r="AD347" s="290"/>
      <c r="AE347" s="290"/>
      <c r="AF347" s="290"/>
      <c r="AG347" s="290"/>
      <c r="AH347" s="290"/>
      <c r="AI347" s="290"/>
      <c r="AJ347" s="290"/>
      <c r="AK347" s="290"/>
      <c r="AL347" s="290"/>
      <c r="AM347" s="290"/>
      <c r="AN347" s="291">
        <v>250</v>
      </c>
      <c r="AO347" s="290" t="s">
        <v>27</v>
      </c>
      <c r="AP347" s="292"/>
      <c r="AQ347" s="291">
        <v>0</v>
      </c>
      <c r="AR347" s="291">
        <v>0</v>
      </c>
      <c r="AS347" s="291">
        <v>0</v>
      </c>
      <c r="AT347" s="291">
        <v>0</v>
      </c>
      <c r="AU347" s="293">
        <v>0</v>
      </c>
      <c r="AV347" s="291">
        <v>50</v>
      </c>
      <c r="AW347" s="291">
        <v>50</v>
      </c>
      <c r="AX347" s="291">
        <v>50</v>
      </c>
      <c r="AY347" s="291">
        <v>50</v>
      </c>
      <c r="AZ347" s="293">
        <v>50</v>
      </c>
      <c r="BA347" s="291"/>
      <c r="BB347" s="291"/>
      <c r="BC347" s="291"/>
      <c r="BD347" s="291"/>
      <c r="BE347" s="291"/>
      <c r="BF347" s="291"/>
      <c r="BG347" s="283">
        <f t="shared" si="83"/>
        <v>0</v>
      </c>
      <c r="BH347" s="283">
        <f t="shared" si="84"/>
        <v>250</v>
      </c>
      <c r="BI347" s="283">
        <f t="shared" si="85"/>
        <v>250</v>
      </c>
      <c r="BL347" s="1">
        <v>519125</v>
      </c>
      <c r="BM347" s="1">
        <v>175579</v>
      </c>
      <c r="BN347" s="1" t="s">
        <v>1385</v>
      </c>
      <c r="BO347" s="1" t="s">
        <v>1404</v>
      </c>
      <c r="BW347" s="284" t="s">
        <v>27</v>
      </c>
    </row>
    <row r="348" spans="1:75" ht="15" customHeight="1" x14ac:dyDescent="0.25">
      <c r="A348" s="269" t="s">
        <v>1527</v>
      </c>
      <c r="B348" s="276" t="s">
        <v>21</v>
      </c>
      <c r="D348" s="294"/>
      <c r="F348" s="269"/>
      <c r="G348" s="289"/>
      <c r="H348" s="289" t="s">
        <v>1522</v>
      </c>
      <c r="I348" s="289" t="s">
        <v>1528</v>
      </c>
      <c r="J348" s="289" t="s">
        <v>1532</v>
      </c>
      <c r="L348" s="269" t="s">
        <v>1533</v>
      </c>
      <c r="M348" s="290"/>
      <c r="N348" s="290"/>
      <c r="O348" s="290"/>
      <c r="P348" s="290"/>
      <c r="Q348" s="290"/>
      <c r="R348" s="290"/>
      <c r="S348" s="290"/>
      <c r="T348" s="290"/>
      <c r="U348" s="290"/>
      <c r="V348" s="290"/>
      <c r="W348" s="290"/>
      <c r="X348" s="290"/>
      <c r="Y348" s="290"/>
      <c r="Z348" s="290"/>
      <c r="AA348" s="290"/>
      <c r="AB348" s="290"/>
      <c r="AC348" s="290"/>
      <c r="AD348" s="290"/>
      <c r="AE348" s="290"/>
      <c r="AF348" s="290"/>
      <c r="AG348" s="290"/>
      <c r="AH348" s="290"/>
      <c r="AI348" s="290"/>
      <c r="AJ348" s="290"/>
      <c r="AK348" s="290"/>
      <c r="AL348" s="290"/>
      <c r="AM348" s="290"/>
      <c r="AN348" s="291">
        <v>20</v>
      </c>
      <c r="AO348" s="290" t="s">
        <v>27</v>
      </c>
      <c r="AP348" s="292"/>
      <c r="AQ348" s="291">
        <v>0</v>
      </c>
      <c r="AR348" s="291">
        <v>0</v>
      </c>
      <c r="AS348" s="291">
        <v>0</v>
      </c>
      <c r="AT348" s="291">
        <v>0</v>
      </c>
      <c r="AU348" s="293">
        <v>0</v>
      </c>
      <c r="AV348" s="291">
        <v>0</v>
      </c>
      <c r="AW348" s="291">
        <v>5</v>
      </c>
      <c r="AX348" s="291">
        <v>5</v>
      </c>
      <c r="AY348" s="291">
        <v>5</v>
      </c>
      <c r="AZ348" s="293">
        <v>5</v>
      </c>
      <c r="BA348" s="291"/>
      <c r="BB348" s="291"/>
      <c r="BC348" s="291"/>
      <c r="BD348" s="291"/>
      <c r="BE348" s="291"/>
      <c r="BF348" s="291"/>
      <c r="BG348" s="283">
        <f t="shared" si="83"/>
        <v>0</v>
      </c>
      <c r="BH348" s="283">
        <f t="shared" si="84"/>
        <v>20</v>
      </c>
      <c r="BI348" s="283">
        <f t="shared" si="85"/>
        <v>20</v>
      </c>
      <c r="BL348" s="1">
        <v>516258</v>
      </c>
      <c r="BM348" s="1">
        <v>171100</v>
      </c>
      <c r="BN348" s="1" t="s">
        <v>1600</v>
      </c>
      <c r="BO348" s="1" t="s">
        <v>1387</v>
      </c>
      <c r="BP348" s="284" t="s">
        <v>1387</v>
      </c>
      <c r="BU348" s="284" t="s">
        <v>1685</v>
      </c>
      <c r="BV348" s="284" t="s">
        <v>27</v>
      </c>
      <c r="BW348" s="284" t="s">
        <v>27</v>
      </c>
    </row>
    <row r="349" spans="1:75" ht="15" customHeight="1" x14ac:dyDescent="0.25">
      <c r="A349" s="269" t="s">
        <v>1669</v>
      </c>
      <c r="B349" s="276" t="s">
        <v>21</v>
      </c>
      <c r="D349" s="294"/>
      <c r="F349" s="269"/>
      <c r="H349" s="275" t="s">
        <v>1756</v>
      </c>
      <c r="I349" s="289" t="s">
        <v>1528</v>
      </c>
      <c r="J349" s="289" t="s">
        <v>1668</v>
      </c>
      <c r="K349" s="275" t="s">
        <v>1671</v>
      </c>
      <c r="L349" s="269" t="s">
        <v>1670</v>
      </c>
      <c r="M349" s="290"/>
      <c r="N349" s="290"/>
      <c r="O349" s="290"/>
      <c r="P349" s="290"/>
      <c r="Q349" s="290"/>
      <c r="R349" s="290"/>
      <c r="S349" s="290"/>
      <c r="T349" s="290"/>
      <c r="U349" s="290"/>
      <c r="V349" s="290"/>
      <c r="W349" s="290"/>
      <c r="X349" s="290"/>
      <c r="Y349" s="290"/>
      <c r="Z349" s="290"/>
      <c r="AA349" s="290"/>
      <c r="AB349" s="290"/>
      <c r="AC349" s="290"/>
      <c r="AD349" s="290"/>
      <c r="AE349" s="290"/>
      <c r="AF349" s="290"/>
      <c r="AG349" s="290"/>
      <c r="AH349" s="290"/>
      <c r="AI349" s="290"/>
      <c r="AJ349" s="290"/>
      <c r="AK349" s="290"/>
      <c r="AL349" s="290"/>
      <c r="AM349" s="290"/>
      <c r="AN349" s="291">
        <v>100</v>
      </c>
      <c r="AO349" s="290" t="s">
        <v>27</v>
      </c>
      <c r="AP349" s="292"/>
      <c r="AQ349" s="291"/>
      <c r="AR349" s="291"/>
      <c r="AS349" s="291"/>
      <c r="AT349" s="291">
        <v>50</v>
      </c>
      <c r="AU349" s="293">
        <v>50</v>
      </c>
      <c r="AV349" s="291"/>
      <c r="AW349" s="291"/>
      <c r="AX349" s="291"/>
      <c r="AY349" s="291"/>
      <c r="AZ349" s="293"/>
      <c r="BA349" s="291"/>
      <c r="BB349" s="291"/>
      <c r="BC349" s="291"/>
      <c r="BD349" s="291"/>
      <c r="BE349" s="291"/>
      <c r="BF349" s="291"/>
      <c r="BG349" s="283">
        <f t="shared" si="83"/>
        <v>100</v>
      </c>
      <c r="BH349" s="283">
        <f t="shared" si="84"/>
        <v>100</v>
      </c>
      <c r="BI349" s="283">
        <f t="shared" si="85"/>
        <v>100</v>
      </c>
      <c r="BL349" s="1">
        <v>514199</v>
      </c>
      <c r="BM349" s="1">
        <v>170906</v>
      </c>
      <c r="BN349" s="1" t="s">
        <v>1600</v>
      </c>
      <c r="BO349" s="1" t="s">
        <v>1563</v>
      </c>
      <c r="BR349" s="284" t="s">
        <v>1701</v>
      </c>
      <c r="BS349" s="284" t="s">
        <v>27</v>
      </c>
    </row>
    <row r="350" spans="1:75" ht="15" customHeight="1" x14ac:dyDescent="0.25">
      <c r="A350" s="269" t="s">
        <v>1554</v>
      </c>
      <c r="B350" s="276" t="s">
        <v>21</v>
      </c>
      <c r="D350" s="269"/>
      <c r="F350" s="269"/>
      <c r="H350" s="275" t="s">
        <v>1756</v>
      </c>
      <c r="I350" s="289" t="s">
        <v>1528</v>
      </c>
      <c r="J350" s="289" t="s">
        <v>1530</v>
      </c>
      <c r="K350" s="275" t="s">
        <v>1672</v>
      </c>
      <c r="L350" s="269" t="s">
        <v>1531</v>
      </c>
      <c r="M350" s="290"/>
      <c r="N350" s="290"/>
      <c r="O350" s="290"/>
      <c r="P350" s="290"/>
      <c r="Q350" s="290"/>
      <c r="R350" s="290"/>
      <c r="S350" s="290"/>
      <c r="T350" s="290"/>
      <c r="U350" s="290"/>
      <c r="V350" s="290"/>
      <c r="W350" s="290"/>
      <c r="X350" s="290"/>
      <c r="Y350" s="290"/>
      <c r="Z350" s="290"/>
      <c r="AA350" s="290"/>
      <c r="AB350" s="290"/>
      <c r="AC350" s="290"/>
      <c r="AD350" s="290"/>
      <c r="AE350" s="290"/>
      <c r="AF350" s="290"/>
      <c r="AG350" s="290"/>
      <c r="AH350" s="290"/>
      <c r="AI350" s="290"/>
      <c r="AJ350" s="290"/>
      <c r="AK350" s="290"/>
      <c r="AL350" s="290"/>
      <c r="AM350" s="290"/>
      <c r="AN350" s="291">
        <v>7</v>
      </c>
      <c r="AO350" s="290"/>
      <c r="AP350" s="292"/>
      <c r="AQ350" s="291"/>
      <c r="AR350" s="291"/>
      <c r="AS350" s="291">
        <v>7</v>
      </c>
      <c r="AT350" s="291"/>
      <c r="AU350" s="293"/>
      <c r="AV350" s="291"/>
      <c r="AW350" s="291"/>
      <c r="AX350" s="291"/>
      <c r="AY350" s="291"/>
      <c r="AZ350" s="293"/>
      <c r="BA350" s="291"/>
      <c r="BB350" s="291"/>
      <c r="BC350" s="291"/>
      <c r="BD350" s="291"/>
      <c r="BE350" s="291"/>
      <c r="BF350" s="291"/>
      <c r="BG350" s="283">
        <f t="shared" si="83"/>
        <v>7</v>
      </c>
      <c r="BH350" s="283">
        <f t="shared" si="84"/>
        <v>7</v>
      </c>
      <c r="BI350" s="283">
        <f t="shared" si="85"/>
        <v>7</v>
      </c>
      <c r="BL350" s="1">
        <v>515032</v>
      </c>
      <c r="BM350" s="1">
        <v>173280</v>
      </c>
      <c r="BN350" s="1" t="s">
        <v>1389</v>
      </c>
      <c r="BO350" s="1" t="s">
        <v>1406</v>
      </c>
      <c r="BW350" s="284" t="s">
        <v>27</v>
      </c>
    </row>
    <row r="351" spans="1:75" ht="15" customHeight="1" x14ac:dyDescent="0.25">
      <c r="A351" s="269" t="s">
        <v>1534</v>
      </c>
      <c r="B351" s="276" t="s">
        <v>21</v>
      </c>
      <c r="D351" s="269"/>
      <c r="F351" s="269"/>
      <c r="H351" s="275" t="s">
        <v>1756</v>
      </c>
      <c r="I351" s="289" t="s">
        <v>1528</v>
      </c>
      <c r="J351" s="289" t="s">
        <v>1448</v>
      </c>
      <c r="K351" s="275" t="s">
        <v>1673</v>
      </c>
      <c r="L351" s="269" t="s">
        <v>1535</v>
      </c>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0"/>
      <c r="AN351" s="291">
        <v>385</v>
      </c>
      <c r="AO351" s="290" t="s">
        <v>27</v>
      </c>
      <c r="AP351" s="292"/>
      <c r="AQ351" s="291">
        <v>0</v>
      </c>
      <c r="AR351" s="291">
        <v>0</v>
      </c>
      <c r="AS351" s="291">
        <v>0</v>
      </c>
      <c r="AT351" s="291">
        <v>0</v>
      </c>
      <c r="AU351" s="293">
        <v>96.25</v>
      </c>
      <c r="AV351" s="291">
        <v>96.25</v>
      </c>
      <c r="AW351" s="291">
        <v>96.25</v>
      </c>
      <c r="AX351" s="291">
        <v>96.25</v>
      </c>
      <c r="AY351" s="291">
        <v>0</v>
      </c>
      <c r="AZ351" s="293">
        <v>0</v>
      </c>
      <c r="BA351" s="291"/>
      <c r="BB351" s="291"/>
      <c r="BC351" s="291"/>
      <c r="BD351" s="291"/>
      <c r="BE351" s="291"/>
      <c r="BF351" s="291"/>
      <c r="BG351" s="283">
        <f t="shared" si="83"/>
        <v>96.25</v>
      </c>
      <c r="BH351" s="283">
        <f t="shared" si="84"/>
        <v>385</v>
      </c>
      <c r="BI351" s="283">
        <f t="shared" si="85"/>
        <v>385</v>
      </c>
      <c r="BL351" s="1">
        <v>518920</v>
      </c>
      <c r="BM351" s="1">
        <v>175418</v>
      </c>
      <c r="BN351" s="1" t="s">
        <v>1385</v>
      </c>
      <c r="BO351" s="1" t="s">
        <v>1404</v>
      </c>
      <c r="BW351" s="284" t="s">
        <v>27</v>
      </c>
    </row>
    <row r="352" spans="1:75" ht="15" customHeight="1" x14ac:dyDescent="0.25">
      <c r="A352" s="269" t="s">
        <v>1536</v>
      </c>
      <c r="B352" s="276" t="s">
        <v>21</v>
      </c>
      <c r="D352" s="269"/>
      <c r="F352" s="269"/>
      <c r="H352" s="275" t="s">
        <v>1756</v>
      </c>
      <c r="I352" s="289" t="s">
        <v>10</v>
      </c>
      <c r="J352" s="289" t="s">
        <v>1447</v>
      </c>
      <c r="K352" s="275" t="s">
        <v>1674</v>
      </c>
      <c r="L352" s="269" t="s">
        <v>1537</v>
      </c>
      <c r="M352" s="290"/>
      <c r="N352" s="290"/>
      <c r="O352" s="290"/>
      <c r="P352" s="290"/>
      <c r="Q352" s="290"/>
      <c r="R352" s="290"/>
      <c r="S352" s="290"/>
      <c r="T352" s="290"/>
      <c r="U352" s="290"/>
      <c r="V352" s="290"/>
      <c r="W352" s="290"/>
      <c r="X352" s="290"/>
      <c r="Y352" s="290"/>
      <c r="Z352" s="290"/>
      <c r="AA352" s="290"/>
      <c r="AB352" s="290"/>
      <c r="AC352" s="290"/>
      <c r="AD352" s="290"/>
      <c r="AE352" s="290"/>
      <c r="AF352" s="290"/>
      <c r="AG352" s="290"/>
      <c r="AH352" s="290"/>
      <c r="AI352" s="290"/>
      <c r="AJ352" s="290"/>
      <c r="AK352" s="290"/>
      <c r="AL352" s="290"/>
      <c r="AM352" s="290"/>
      <c r="AN352" s="291">
        <v>12</v>
      </c>
      <c r="AO352" s="290" t="s">
        <v>27</v>
      </c>
      <c r="AP352" s="292"/>
      <c r="AQ352" s="291">
        <v>0</v>
      </c>
      <c r="AR352" s="291">
        <v>0</v>
      </c>
      <c r="AS352" s="291">
        <v>12</v>
      </c>
      <c r="AT352" s="291">
        <v>0</v>
      </c>
      <c r="AU352" s="293">
        <v>0</v>
      </c>
      <c r="AV352" s="291">
        <v>0</v>
      </c>
      <c r="AW352" s="291">
        <v>0</v>
      </c>
      <c r="AX352" s="291">
        <v>0</v>
      </c>
      <c r="AY352" s="291">
        <v>0</v>
      </c>
      <c r="AZ352" s="293">
        <v>0</v>
      </c>
      <c r="BA352" s="291"/>
      <c r="BB352" s="291"/>
      <c r="BC352" s="291"/>
      <c r="BD352" s="291"/>
      <c r="BE352" s="291"/>
      <c r="BF352" s="291"/>
      <c r="BG352" s="283">
        <f t="shared" si="83"/>
        <v>12</v>
      </c>
      <c r="BH352" s="283">
        <f t="shared" si="84"/>
        <v>12</v>
      </c>
      <c r="BI352" s="283">
        <f t="shared" si="85"/>
        <v>12</v>
      </c>
      <c r="BL352" s="1">
        <v>518385</v>
      </c>
      <c r="BM352" s="1">
        <v>174928</v>
      </c>
      <c r="BN352" s="1" t="s">
        <v>1385</v>
      </c>
      <c r="BO352" s="1" t="s">
        <v>1405</v>
      </c>
      <c r="BU352" s="284" t="s">
        <v>1692</v>
      </c>
      <c r="BV352" s="284" t="s">
        <v>27</v>
      </c>
      <c r="BW352" s="284" t="s">
        <v>27</v>
      </c>
    </row>
    <row r="353" spans="1:75" ht="15" customHeight="1" x14ac:dyDescent="0.25">
      <c r="A353" s="269" t="s">
        <v>1757</v>
      </c>
      <c r="B353" s="276" t="s">
        <v>44</v>
      </c>
      <c r="D353" s="269"/>
      <c r="F353" s="269"/>
      <c r="H353" s="275" t="s">
        <v>1756</v>
      </c>
      <c r="I353" s="289" t="s">
        <v>1528</v>
      </c>
      <c r="J353" s="289" t="s">
        <v>1442</v>
      </c>
      <c r="L353" s="269" t="s">
        <v>1538</v>
      </c>
      <c r="M353" s="290"/>
      <c r="N353" s="290"/>
      <c r="O353" s="290"/>
      <c r="P353" s="290"/>
      <c r="Q353" s="290"/>
      <c r="R353" s="290"/>
      <c r="S353" s="290"/>
      <c r="T353" s="290"/>
      <c r="U353" s="290"/>
      <c r="V353" s="290"/>
      <c r="W353" s="290"/>
      <c r="X353" s="290"/>
      <c r="Y353" s="290"/>
      <c r="Z353" s="290"/>
      <c r="AA353" s="290"/>
      <c r="AB353" s="290"/>
      <c r="AC353" s="290"/>
      <c r="AD353" s="290"/>
      <c r="AE353" s="290"/>
      <c r="AF353" s="290"/>
      <c r="AG353" s="290"/>
      <c r="AH353" s="290"/>
      <c r="AI353" s="290"/>
      <c r="AJ353" s="290"/>
      <c r="AK353" s="290"/>
      <c r="AL353" s="290"/>
      <c r="AM353" s="290"/>
      <c r="AN353" s="291">
        <v>550</v>
      </c>
      <c r="AO353" s="290" t="s">
        <v>27</v>
      </c>
      <c r="AP353" s="292"/>
      <c r="AQ353" s="291">
        <v>0</v>
      </c>
      <c r="AR353" s="291">
        <v>0</v>
      </c>
      <c r="AS353" s="291">
        <v>0</v>
      </c>
      <c r="AT353" s="291">
        <v>0</v>
      </c>
      <c r="AU353" s="293">
        <v>150</v>
      </c>
      <c r="AV353" s="291">
        <v>80</v>
      </c>
      <c r="AW353" s="291">
        <v>80</v>
      </c>
      <c r="AX353" s="291">
        <v>80</v>
      </c>
      <c r="AY353" s="291">
        <v>80</v>
      </c>
      <c r="AZ353" s="293">
        <v>80</v>
      </c>
      <c r="BA353" s="291">
        <v>87</v>
      </c>
      <c r="BB353" s="291">
        <v>87</v>
      </c>
      <c r="BC353" s="291">
        <v>87</v>
      </c>
      <c r="BD353" s="291">
        <v>87</v>
      </c>
      <c r="BE353" s="291">
        <v>87</v>
      </c>
      <c r="BF353" s="291">
        <v>87</v>
      </c>
      <c r="BG353" s="283">
        <f t="shared" si="83"/>
        <v>150</v>
      </c>
      <c r="BH353" s="283">
        <f t="shared" si="84"/>
        <v>550</v>
      </c>
      <c r="BI353" s="283">
        <f t="shared" si="85"/>
        <v>1072</v>
      </c>
      <c r="BL353" s="1">
        <v>520502</v>
      </c>
      <c r="BM353" s="1">
        <v>175950</v>
      </c>
      <c r="BN353" s="1" t="s">
        <v>1599</v>
      </c>
      <c r="BO353" s="1" t="s">
        <v>1562</v>
      </c>
      <c r="BR353" s="284" t="s">
        <v>1747</v>
      </c>
      <c r="BS353" s="284" t="s">
        <v>27</v>
      </c>
      <c r="BU353" s="284" t="s">
        <v>1690</v>
      </c>
      <c r="BV353" s="284" t="s">
        <v>27</v>
      </c>
      <c r="BW353" s="284" t="s">
        <v>27</v>
      </c>
    </row>
    <row r="354" spans="1:75" ht="15" customHeight="1" x14ac:dyDescent="0.25">
      <c r="A354" s="269" t="s">
        <v>1527</v>
      </c>
      <c r="B354" s="276" t="s">
        <v>44</v>
      </c>
      <c r="D354" s="269"/>
      <c r="F354" s="269"/>
      <c r="H354" s="275" t="s">
        <v>1758</v>
      </c>
      <c r="I354" s="289" t="s">
        <v>1528</v>
      </c>
      <c r="J354" s="289" t="s">
        <v>1444</v>
      </c>
      <c r="L354" s="269" t="s">
        <v>1444</v>
      </c>
      <c r="M354" s="290"/>
      <c r="N354" s="290"/>
      <c r="O354" s="290"/>
      <c r="P354" s="290"/>
      <c r="Q354" s="290"/>
      <c r="R354" s="290"/>
      <c r="S354" s="290"/>
      <c r="T354" s="290"/>
      <c r="U354" s="290"/>
      <c r="V354" s="290"/>
      <c r="W354" s="290"/>
      <c r="X354" s="290"/>
      <c r="Y354" s="290"/>
      <c r="Z354" s="290"/>
      <c r="AA354" s="290"/>
      <c r="AB354" s="290"/>
      <c r="AC354" s="290"/>
      <c r="AD354" s="290"/>
      <c r="AE354" s="290"/>
      <c r="AF354" s="290"/>
      <c r="AG354" s="290"/>
      <c r="AH354" s="290"/>
      <c r="AI354" s="290"/>
      <c r="AJ354" s="290"/>
      <c r="AK354" s="290"/>
      <c r="AL354" s="290"/>
      <c r="AM354" s="290"/>
      <c r="AN354" s="291">
        <v>20</v>
      </c>
      <c r="AO354" s="290" t="s">
        <v>27</v>
      </c>
      <c r="AP354" s="292"/>
      <c r="AQ354" s="291">
        <v>0</v>
      </c>
      <c r="AR354" s="291">
        <v>0</v>
      </c>
      <c r="AS354" s="291">
        <v>0</v>
      </c>
      <c r="AT354" s="291">
        <v>0</v>
      </c>
      <c r="AU354" s="293">
        <v>20</v>
      </c>
      <c r="AV354" s="291">
        <v>0</v>
      </c>
      <c r="AW354" s="291">
        <v>0</v>
      </c>
      <c r="AX354" s="291">
        <v>0</v>
      </c>
      <c r="AY354" s="291">
        <v>0</v>
      </c>
      <c r="AZ354" s="293">
        <v>0</v>
      </c>
      <c r="BA354" s="291"/>
      <c r="BB354" s="291"/>
      <c r="BC354" s="291"/>
      <c r="BD354" s="291"/>
      <c r="BE354" s="291"/>
      <c r="BF354" s="291"/>
      <c r="BG354" s="283">
        <f t="shared" si="83"/>
        <v>20</v>
      </c>
      <c r="BH354" s="283">
        <f t="shared" si="84"/>
        <v>20</v>
      </c>
      <c r="BI354" s="283">
        <f t="shared" si="85"/>
        <v>20</v>
      </c>
      <c r="BL354" s="1">
        <v>515852</v>
      </c>
      <c r="BM354" s="1">
        <v>170855</v>
      </c>
      <c r="BN354" s="1" t="s">
        <v>1600</v>
      </c>
      <c r="BO354" s="1" t="s">
        <v>1387</v>
      </c>
      <c r="BP354" s="284" t="s">
        <v>1387</v>
      </c>
      <c r="BU354" s="284" t="s">
        <v>1748</v>
      </c>
      <c r="BV354" s="284" t="s">
        <v>27</v>
      </c>
      <c r="BW354" s="284" t="s">
        <v>27</v>
      </c>
    </row>
    <row r="355" spans="1:75" ht="15" customHeight="1" x14ac:dyDescent="0.25">
      <c r="A355" s="269" t="s">
        <v>1527</v>
      </c>
      <c r="B355" s="276" t="s">
        <v>21</v>
      </c>
      <c r="D355" s="269"/>
      <c r="F355" s="269"/>
      <c r="H355" s="275" t="s">
        <v>1758</v>
      </c>
      <c r="I355" s="289" t="s">
        <v>1528</v>
      </c>
      <c r="J355" s="289" t="s">
        <v>1445</v>
      </c>
      <c r="L355" s="269" t="s">
        <v>1539</v>
      </c>
      <c r="M355" s="290"/>
      <c r="N355" s="290"/>
      <c r="O355" s="290"/>
      <c r="P355" s="290"/>
      <c r="Q355" s="290"/>
      <c r="R355" s="290"/>
      <c r="S355" s="290"/>
      <c r="T355" s="290"/>
      <c r="U355" s="290"/>
      <c r="V355" s="290"/>
      <c r="W355" s="290"/>
      <c r="X355" s="290"/>
      <c r="Y355" s="290"/>
      <c r="Z355" s="290"/>
      <c r="AA355" s="290"/>
      <c r="AB355" s="290"/>
      <c r="AC355" s="290"/>
      <c r="AD355" s="290"/>
      <c r="AE355" s="290"/>
      <c r="AF355" s="290"/>
      <c r="AG355" s="290"/>
      <c r="AH355" s="290"/>
      <c r="AI355" s="290"/>
      <c r="AJ355" s="290"/>
      <c r="AK355" s="290"/>
      <c r="AL355" s="290"/>
      <c r="AM355" s="290"/>
      <c r="AN355" s="291">
        <v>20</v>
      </c>
      <c r="AO355" s="290" t="s">
        <v>27</v>
      </c>
      <c r="AP355" s="292"/>
      <c r="AQ355" s="291">
        <v>0</v>
      </c>
      <c r="AR355" s="291">
        <v>0</v>
      </c>
      <c r="AS355" s="291">
        <v>0</v>
      </c>
      <c r="AT355" s="291">
        <v>10</v>
      </c>
      <c r="AU355" s="293">
        <v>10</v>
      </c>
      <c r="AV355" s="291">
        <v>0</v>
      </c>
      <c r="AW355" s="291">
        <v>0</v>
      </c>
      <c r="AX355" s="291">
        <v>0</v>
      </c>
      <c r="AY355" s="291">
        <v>0</v>
      </c>
      <c r="AZ355" s="293">
        <v>0</v>
      </c>
      <c r="BA355" s="291"/>
      <c r="BB355" s="291"/>
      <c r="BC355" s="291"/>
      <c r="BD355" s="291"/>
      <c r="BE355" s="291"/>
      <c r="BF355" s="291"/>
      <c r="BG355" s="283">
        <f t="shared" si="83"/>
        <v>20</v>
      </c>
      <c r="BH355" s="283">
        <f t="shared" si="84"/>
        <v>20</v>
      </c>
      <c r="BI355" s="283">
        <f t="shared" si="85"/>
        <v>20</v>
      </c>
      <c r="BL355" s="1">
        <v>516325</v>
      </c>
      <c r="BM355" s="1">
        <v>173426</v>
      </c>
      <c r="BN355" s="1" t="s">
        <v>1389</v>
      </c>
      <c r="BO355" s="1" t="s">
        <v>1407</v>
      </c>
      <c r="BP355" s="284" t="s">
        <v>1389</v>
      </c>
      <c r="BW355" s="284" t="s">
        <v>27</v>
      </c>
    </row>
    <row r="356" spans="1:75" ht="15" customHeight="1" x14ac:dyDescent="0.25">
      <c r="A356" s="269" t="s">
        <v>1527</v>
      </c>
      <c r="B356" s="276" t="s">
        <v>21</v>
      </c>
      <c r="D356" s="269"/>
      <c r="F356" s="269"/>
      <c r="H356" s="275" t="s">
        <v>1758</v>
      </c>
      <c r="I356" s="289" t="s">
        <v>1528</v>
      </c>
      <c r="J356" s="289" t="s">
        <v>1446</v>
      </c>
      <c r="L356" s="269" t="s">
        <v>1540</v>
      </c>
      <c r="M356" s="290"/>
      <c r="N356" s="290"/>
      <c r="O356" s="290"/>
      <c r="P356" s="290"/>
      <c r="Q356" s="290"/>
      <c r="R356" s="290"/>
      <c r="S356" s="290"/>
      <c r="T356" s="290"/>
      <c r="U356" s="290"/>
      <c r="V356" s="290"/>
      <c r="W356" s="290"/>
      <c r="X356" s="290"/>
      <c r="Y356" s="290"/>
      <c r="Z356" s="290"/>
      <c r="AA356" s="290"/>
      <c r="AB356" s="290"/>
      <c r="AC356" s="290"/>
      <c r="AD356" s="290"/>
      <c r="AE356" s="290"/>
      <c r="AF356" s="290"/>
      <c r="AG356" s="290"/>
      <c r="AH356" s="290"/>
      <c r="AI356" s="290"/>
      <c r="AJ356" s="290"/>
      <c r="AK356" s="290"/>
      <c r="AL356" s="290"/>
      <c r="AM356" s="290"/>
      <c r="AN356" s="291">
        <v>20</v>
      </c>
      <c r="AO356" s="290" t="s">
        <v>27</v>
      </c>
      <c r="AP356" s="292"/>
      <c r="AQ356" s="291">
        <v>0</v>
      </c>
      <c r="AR356" s="291">
        <v>0</v>
      </c>
      <c r="AS356" s="291">
        <v>0</v>
      </c>
      <c r="AT356" s="291">
        <v>10</v>
      </c>
      <c r="AU356" s="293">
        <v>10</v>
      </c>
      <c r="AV356" s="291">
        <v>0</v>
      </c>
      <c r="AW356" s="291">
        <v>0</v>
      </c>
      <c r="AX356" s="291">
        <v>0</v>
      </c>
      <c r="AY356" s="291">
        <v>0</v>
      </c>
      <c r="AZ356" s="293">
        <v>0</v>
      </c>
      <c r="BA356" s="291"/>
      <c r="BB356" s="291"/>
      <c r="BC356" s="291"/>
      <c r="BD356" s="291"/>
      <c r="BE356" s="291"/>
      <c r="BF356" s="291"/>
      <c r="BG356" s="283">
        <f t="shared" si="83"/>
        <v>20</v>
      </c>
      <c r="BH356" s="283">
        <f t="shared" si="84"/>
        <v>20</v>
      </c>
      <c r="BI356" s="283">
        <f t="shared" si="85"/>
        <v>20</v>
      </c>
      <c r="BL356" s="1">
        <v>514055</v>
      </c>
      <c r="BM356" s="1">
        <v>173847</v>
      </c>
      <c r="BN356" s="1" t="s">
        <v>1391</v>
      </c>
      <c r="BO356" s="1" t="s">
        <v>1391</v>
      </c>
      <c r="BP356" s="284" t="s">
        <v>1391</v>
      </c>
      <c r="BW356" s="284" t="s">
        <v>27</v>
      </c>
    </row>
    <row r="357" spans="1:75" ht="15" customHeight="1" x14ac:dyDescent="0.25">
      <c r="A357" s="269" t="s">
        <v>1760</v>
      </c>
      <c r="B357" s="276" t="s">
        <v>44</v>
      </c>
      <c r="H357" s="289" t="s">
        <v>1439</v>
      </c>
      <c r="I357" s="289" t="s">
        <v>1528</v>
      </c>
      <c r="J357" s="269" t="s">
        <v>1760</v>
      </c>
      <c r="AN357" s="291"/>
      <c r="AO357" s="290"/>
      <c r="AP357" s="292"/>
      <c r="AQ357" s="291"/>
      <c r="AR357" s="291"/>
      <c r="AS357" s="291"/>
      <c r="AT357" s="291"/>
      <c r="AU357" s="293"/>
      <c r="AV357" s="291"/>
      <c r="AW357" s="291"/>
      <c r="AX357" s="291"/>
      <c r="AY357" s="291">
        <v>72</v>
      </c>
      <c r="AZ357" s="293">
        <v>72</v>
      </c>
      <c r="BA357" s="291">
        <v>72</v>
      </c>
      <c r="BB357" s="291">
        <v>72</v>
      </c>
      <c r="BC357" s="291">
        <v>72</v>
      </c>
      <c r="BD357" s="291">
        <v>72</v>
      </c>
      <c r="BE357" s="291">
        <v>72</v>
      </c>
      <c r="BF357" s="291">
        <v>72</v>
      </c>
      <c r="BG357" s="283">
        <f>SUBTOTAL(9,AQ357:AU357)</f>
        <v>0</v>
      </c>
      <c r="BH357" s="283">
        <f>SUBTOTAL(9,AQ357:AZ357)</f>
        <v>144</v>
      </c>
      <c r="BI357" s="283">
        <f>SUM(AQ357:BF357)</f>
        <v>576</v>
      </c>
      <c r="BO357" s="1" t="s">
        <v>400</v>
      </c>
    </row>
    <row r="358" spans="1:75" ht="15" customHeight="1" x14ac:dyDescent="0.25">
      <c r="A358" s="269" t="s">
        <v>1438</v>
      </c>
      <c r="B358" s="276" t="s">
        <v>44</v>
      </c>
      <c r="D358" s="269"/>
      <c r="F358" s="269"/>
      <c r="H358" s="289" t="s">
        <v>1439</v>
      </c>
      <c r="I358" s="289" t="s">
        <v>1528</v>
      </c>
      <c r="J358" s="289" t="s">
        <v>1438</v>
      </c>
      <c r="L358" s="269" t="s">
        <v>1438</v>
      </c>
      <c r="M358" s="290"/>
      <c r="N358" s="290"/>
      <c r="O358" s="290"/>
      <c r="P358" s="290"/>
      <c r="Q358" s="290"/>
      <c r="R358" s="290"/>
      <c r="S358" s="290"/>
      <c r="T358" s="290"/>
      <c r="U358" s="290"/>
      <c r="V358" s="290"/>
      <c r="W358" s="290"/>
      <c r="X358" s="290"/>
      <c r="Y358" s="290"/>
      <c r="Z358" s="290"/>
      <c r="AA358" s="290"/>
      <c r="AB358" s="290"/>
      <c r="AC358" s="290"/>
      <c r="AD358" s="290"/>
      <c r="AE358" s="290"/>
      <c r="AF358" s="290"/>
      <c r="AG358" s="290"/>
      <c r="AH358" s="290"/>
      <c r="AI358" s="290"/>
      <c r="AJ358" s="290"/>
      <c r="AK358" s="290"/>
      <c r="AL358" s="290"/>
      <c r="AM358" s="290"/>
      <c r="AN358" s="291">
        <v>742</v>
      </c>
      <c r="AO358" s="290"/>
      <c r="AP358" s="292"/>
      <c r="AQ358" s="291">
        <v>20</v>
      </c>
      <c r="AR358" s="291">
        <v>20</v>
      </c>
      <c r="AS358" s="291">
        <v>234</v>
      </c>
      <c r="AT358" s="291">
        <v>234</v>
      </c>
      <c r="AU358" s="293">
        <v>234</v>
      </c>
      <c r="AV358" s="291">
        <v>234</v>
      </c>
      <c r="AW358" s="291">
        <v>234</v>
      </c>
      <c r="AX358" s="291">
        <v>234</v>
      </c>
      <c r="AY358" s="291">
        <v>234</v>
      </c>
      <c r="AZ358" s="293">
        <v>234</v>
      </c>
      <c r="BA358" s="291">
        <v>234</v>
      </c>
      <c r="BB358" s="291">
        <v>234</v>
      </c>
      <c r="BC358" s="291">
        <v>234</v>
      </c>
      <c r="BD358" s="291">
        <v>234</v>
      </c>
      <c r="BE358" s="291">
        <v>234</v>
      </c>
      <c r="BF358" s="291">
        <v>234</v>
      </c>
      <c r="BG358" s="283">
        <f>SUBTOTAL(9,AQ358:AU358)</f>
        <v>742</v>
      </c>
      <c r="BH358" s="283">
        <f>SUBTOTAL(9,AQ358:AZ358)</f>
        <v>1912</v>
      </c>
      <c r="BI358" s="283">
        <f>SUM(AQ358:BF358)</f>
        <v>3316</v>
      </c>
      <c r="BO358" s="1" t="s">
        <v>400</v>
      </c>
    </row>
  </sheetData>
  <autoFilter ref="A1:BX358" xr:uid="{00000000-0001-0000-0000-000000000000}"/>
  <phoneticPr fontId="45" type="noConversion"/>
  <pageMargins left="0.23622047244094491" right="0.23622047244094491" top="0.35433070866141736" bottom="0.55118110236220474" header="0.31496062992125984" footer="0.31496062992125984"/>
  <pageSetup paperSize="9" scale="56" fitToHeight="0" orientation="landscape" r:id="rId1"/>
  <headerFooter>
    <oddHeader>&amp;L&amp;"Calibri"&amp;10&amp;K000000 Official&amp;1#_x000D_</oddHeader>
  </headerFooter>
  <ignoredErrors>
    <ignoredError sqref="BG2:BI62 BG212:BG214 BG63:BI211 BG215:BI356 BH212:BI214 BG358 BH357:BH35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A56E0-F946-4697-BF11-950A0C96D0E2}">
  <dimension ref="A1:AR8"/>
  <sheetViews>
    <sheetView zoomScaleNormal="100" workbookViewId="0">
      <pane ySplit="1" topLeftCell="A2" activePane="bottomLeft" state="frozen"/>
      <selection pane="bottomLeft"/>
    </sheetView>
  </sheetViews>
  <sheetFormatPr defaultColWidth="9.140625" defaultRowHeight="12.75" x14ac:dyDescent="0.2"/>
  <cols>
    <col min="1" max="1" width="17.85546875" style="141" customWidth="1"/>
    <col min="2" max="2" width="14.140625" style="141" customWidth="1"/>
    <col min="3" max="3" width="17.7109375" style="141" bestFit="1" customWidth="1"/>
    <col min="4" max="5" width="12" style="141" customWidth="1"/>
    <col min="6" max="6" width="12.5703125" style="141" bestFit="1" customWidth="1"/>
    <col min="7" max="7" width="13.5703125" style="141" customWidth="1"/>
    <col min="8" max="8" width="21.5703125" style="141" bestFit="1" customWidth="1"/>
    <col min="9" max="9" width="12.5703125" style="141" customWidth="1"/>
    <col min="10" max="10" width="36.28515625" style="141" customWidth="1"/>
    <col min="11" max="11" width="44" style="141" customWidth="1"/>
    <col min="12" max="12" width="10.42578125" style="141" customWidth="1"/>
    <col min="13" max="22" width="12.28515625" style="141" customWidth="1"/>
    <col min="23" max="23" width="12.7109375" style="141" customWidth="1"/>
    <col min="24" max="24" width="13" style="141" customWidth="1"/>
    <col min="25" max="25" width="13.85546875" style="141" customWidth="1"/>
    <col min="26" max="31" width="12.28515625" style="141" customWidth="1"/>
    <col min="32" max="37" width="9.140625" style="141"/>
    <col min="38" max="42" width="9.140625" style="141" customWidth="1"/>
    <col min="43" max="43" width="10.7109375" style="141" customWidth="1"/>
    <col min="44" max="44" width="13.5703125" style="141" customWidth="1"/>
    <col min="45" max="16384" width="9.140625" style="141"/>
  </cols>
  <sheetData>
    <row r="1" spans="1:44" s="297" customFormat="1" ht="63.75" x14ac:dyDescent="0.25">
      <c r="A1" s="295" t="s">
        <v>1259</v>
      </c>
      <c r="B1" s="295" t="s">
        <v>1260</v>
      </c>
      <c r="C1" s="295" t="s">
        <v>1261</v>
      </c>
      <c r="D1" s="296" t="s">
        <v>1263</v>
      </c>
      <c r="E1" s="296" t="s">
        <v>1264</v>
      </c>
      <c r="F1" s="296" t="s">
        <v>1265</v>
      </c>
      <c r="G1" s="295" t="s">
        <v>1266</v>
      </c>
      <c r="H1" s="296" t="s">
        <v>1267</v>
      </c>
      <c r="I1" s="296" t="s">
        <v>1268</v>
      </c>
      <c r="J1" s="295" t="s">
        <v>1558</v>
      </c>
      <c r="K1" s="295" t="s">
        <v>1605</v>
      </c>
      <c r="L1" s="295" t="s">
        <v>2</v>
      </c>
      <c r="M1" s="295" t="s">
        <v>1606</v>
      </c>
      <c r="N1" s="295" t="s">
        <v>1607</v>
      </c>
      <c r="O1" s="295" t="s">
        <v>1608</v>
      </c>
      <c r="P1" s="295" t="s">
        <v>1609</v>
      </c>
      <c r="Q1" s="295" t="s">
        <v>1610</v>
      </c>
      <c r="R1" s="295" t="s">
        <v>1611</v>
      </c>
      <c r="S1" s="295" t="s">
        <v>1612</v>
      </c>
      <c r="T1" s="295" t="s">
        <v>1613</v>
      </c>
      <c r="U1" s="295" t="s">
        <v>1614</v>
      </c>
      <c r="V1" s="295" t="s">
        <v>1615</v>
      </c>
      <c r="W1" s="295" t="s">
        <v>1616</v>
      </c>
      <c r="X1" s="295" t="s">
        <v>1617</v>
      </c>
      <c r="Y1" s="295" t="s">
        <v>1618</v>
      </c>
      <c r="Z1" s="295" t="s">
        <v>1619</v>
      </c>
      <c r="AA1" s="295" t="s">
        <v>1620</v>
      </c>
      <c r="AB1" s="295" t="s">
        <v>1621</v>
      </c>
      <c r="AC1" s="295" t="s">
        <v>1622</v>
      </c>
      <c r="AD1" s="295" t="s">
        <v>1602</v>
      </c>
      <c r="AE1" s="295" t="s">
        <v>1623</v>
      </c>
      <c r="AF1" s="295" t="s">
        <v>1541</v>
      </c>
      <c r="AG1" s="295" t="s">
        <v>1542</v>
      </c>
      <c r="AH1" s="295" t="s">
        <v>1543</v>
      </c>
      <c r="AI1" s="295" t="s">
        <v>1544</v>
      </c>
      <c r="AJ1" s="295" t="s">
        <v>1545</v>
      </c>
      <c r="AK1" s="295" t="s">
        <v>1546</v>
      </c>
      <c r="AL1" s="295" t="s">
        <v>1547</v>
      </c>
      <c r="AM1" s="295" t="s">
        <v>1548</v>
      </c>
      <c r="AN1" s="295" t="s">
        <v>1549</v>
      </c>
      <c r="AO1" s="295" t="s">
        <v>1550</v>
      </c>
      <c r="AP1" s="295" t="s">
        <v>1551</v>
      </c>
      <c r="AQ1" s="295" t="s">
        <v>1552</v>
      </c>
      <c r="AR1" s="295" t="s">
        <v>1553</v>
      </c>
    </row>
    <row r="2" spans="1:44" x14ac:dyDescent="0.2">
      <c r="A2" s="298" t="s">
        <v>359</v>
      </c>
      <c r="B2" s="298" t="s">
        <v>224</v>
      </c>
      <c r="C2" s="298" t="s">
        <v>1624</v>
      </c>
      <c r="D2" s="299">
        <v>44022</v>
      </c>
      <c r="E2" s="299">
        <v>45117</v>
      </c>
      <c r="F2" s="299">
        <v>44501</v>
      </c>
      <c r="G2" s="300">
        <v>44879</v>
      </c>
      <c r="H2" s="298" t="s">
        <v>22</v>
      </c>
      <c r="I2" s="301" t="s">
        <v>1473</v>
      </c>
      <c r="J2" s="298" t="s">
        <v>360</v>
      </c>
      <c r="K2" s="298" t="s">
        <v>1252</v>
      </c>
      <c r="L2" s="298" t="s">
        <v>361</v>
      </c>
      <c r="M2" s="302"/>
      <c r="N2" s="302">
        <v>38</v>
      </c>
      <c r="O2" s="302">
        <v>30</v>
      </c>
      <c r="P2" s="302">
        <f>O2-N2</f>
        <v>-8</v>
      </c>
      <c r="Q2" s="302"/>
      <c r="R2" s="302"/>
      <c r="S2" s="302"/>
      <c r="T2" s="302"/>
      <c r="U2" s="302"/>
      <c r="V2" s="302"/>
      <c r="W2" s="302"/>
      <c r="X2" s="302"/>
      <c r="Y2" s="302"/>
      <c r="Z2" s="302"/>
      <c r="AA2" s="303"/>
      <c r="AB2" s="302"/>
      <c r="AC2" s="302"/>
      <c r="AD2" s="304" t="s">
        <v>1389</v>
      </c>
      <c r="AE2" s="303">
        <f>P2</f>
        <v>-8</v>
      </c>
      <c r="AF2" s="298"/>
      <c r="AG2" s="298"/>
      <c r="AH2" s="298"/>
      <c r="AI2" s="298"/>
      <c r="AJ2" s="298"/>
      <c r="AK2" s="298"/>
      <c r="AL2" s="298"/>
      <c r="AM2" s="298"/>
      <c r="AN2" s="298"/>
      <c r="AO2" s="298"/>
      <c r="AP2" s="298"/>
      <c r="AQ2" s="298">
        <f>SUM(AG2:AK2)</f>
        <v>0</v>
      </c>
      <c r="AR2" s="298">
        <f>SUM(AG2:AP2)</f>
        <v>0</v>
      </c>
    </row>
    <row r="3" spans="1:44" x14ac:dyDescent="0.2">
      <c r="A3" s="305" t="s">
        <v>169</v>
      </c>
      <c r="B3" s="298" t="s">
        <v>49</v>
      </c>
      <c r="C3" s="305" t="s">
        <v>1651</v>
      </c>
      <c r="D3" s="306">
        <v>44777</v>
      </c>
      <c r="E3" s="306">
        <v>45873</v>
      </c>
      <c r="F3" s="306">
        <v>44777</v>
      </c>
      <c r="G3" s="306">
        <v>44777</v>
      </c>
      <c r="H3" s="298" t="s">
        <v>22</v>
      </c>
      <c r="I3" s="298" t="s">
        <v>1473</v>
      </c>
      <c r="J3" s="298" t="s">
        <v>170</v>
      </c>
      <c r="K3" s="298" t="s">
        <v>171</v>
      </c>
      <c r="L3" s="298" t="s">
        <v>172</v>
      </c>
      <c r="M3" s="298"/>
      <c r="N3" s="298"/>
      <c r="O3" s="298">
        <v>7</v>
      </c>
      <c r="P3" s="302">
        <f t="shared" ref="P3" si="0">O3-N3</f>
        <v>7</v>
      </c>
      <c r="Q3" s="298"/>
      <c r="R3" s="298"/>
      <c r="S3" s="298"/>
      <c r="T3" s="298"/>
      <c r="U3" s="298"/>
      <c r="V3" s="298"/>
      <c r="W3" s="298"/>
      <c r="X3" s="298"/>
      <c r="Y3" s="298"/>
      <c r="Z3" s="307">
        <f>P3/1.8</f>
        <v>3.8888888888888888</v>
      </c>
      <c r="AA3" s="298"/>
      <c r="AB3" s="298"/>
      <c r="AC3" s="298"/>
      <c r="AD3" s="298" t="s">
        <v>1391</v>
      </c>
      <c r="AE3" s="308">
        <v>3.8888888888888888</v>
      </c>
      <c r="AF3" s="308">
        <v>3.8888888888888888</v>
      </c>
      <c r="AG3" s="298"/>
      <c r="AH3" s="298"/>
      <c r="AI3" s="298"/>
      <c r="AJ3" s="298"/>
      <c r="AK3" s="298"/>
      <c r="AL3" s="298"/>
      <c r="AM3" s="298"/>
      <c r="AN3" s="298"/>
      <c r="AO3" s="298"/>
      <c r="AP3" s="298"/>
      <c r="AQ3" s="298"/>
      <c r="AR3" s="298"/>
    </row>
    <row r="4" spans="1:44" ht="15" customHeight="1" x14ac:dyDescent="0.2">
      <c r="A4" s="298" t="s">
        <v>43</v>
      </c>
      <c r="B4" s="298" t="s">
        <v>44</v>
      </c>
      <c r="C4" s="298" t="s">
        <v>1256</v>
      </c>
      <c r="D4" s="299">
        <v>43811</v>
      </c>
      <c r="E4" s="299">
        <v>44907</v>
      </c>
      <c r="F4" s="299">
        <v>43920</v>
      </c>
      <c r="G4" s="298"/>
      <c r="H4" s="298" t="s">
        <v>32</v>
      </c>
      <c r="I4" s="301" t="s">
        <v>1473</v>
      </c>
      <c r="J4" s="298" t="s">
        <v>1254</v>
      </c>
      <c r="K4" s="298" t="s">
        <v>445</v>
      </c>
      <c r="L4" s="298" t="s">
        <v>47</v>
      </c>
      <c r="M4" s="302"/>
      <c r="N4" s="302"/>
      <c r="O4" s="302"/>
      <c r="P4" s="302"/>
      <c r="Q4" s="302">
        <v>14</v>
      </c>
      <c r="R4" s="302">
        <v>0</v>
      </c>
      <c r="S4" s="302">
        <f>R4-Q4</f>
        <v>-14</v>
      </c>
      <c r="T4" s="302"/>
      <c r="U4" s="302"/>
      <c r="V4" s="302"/>
      <c r="W4" s="302"/>
      <c r="X4" s="302"/>
      <c r="Y4" s="302"/>
      <c r="Z4" s="303">
        <f>S4/1.8</f>
        <v>-7.7777777777777777</v>
      </c>
      <c r="AA4" s="303"/>
      <c r="AB4" s="302"/>
      <c r="AC4" s="302"/>
      <c r="AD4" s="304" t="s">
        <v>1600</v>
      </c>
      <c r="AE4" s="303">
        <f>Z4</f>
        <v>-7.7777777777777777</v>
      </c>
      <c r="AF4" s="298"/>
      <c r="AG4" s="298"/>
      <c r="AH4" s="309">
        <f>AE4</f>
        <v>-7.7777777777777777</v>
      </c>
      <c r="AI4" s="298"/>
      <c r="AJ4" s="298"/>
      <c r="AK4" s="298"/>
      <c r="AL4" s="298"/>
      <c r="AM4" s="298"/>
      <c r="AN4" s="298"/>
      <c r="AO4" s="298"/>
      <c r="AP4" s="298"/>
      <c r="AQ4" s="309">
        <f>SUM(AG4:AK4)</f>
        <v>-7.7777777777777777</v>
      </c>
      <c r="AR4" s="309">
        <f t="shared" ref="AR4:AR8" si="1">SUM(AG4:AP4)</f>
        <v>-7.7777777777777777</v>
      </c>
    </row>
    <row r="5" spans="1:44" x14ac:dyDescent="0.2">
      <c r="A5" s="298" t="s">
        <v>43</v>
      </c>
      <c r="B5" s="298" t="s">
        <v>44</v>
      </c>
      <c r="C5" s="298" t="s">
        <v>1625</v>
      </c>
      <c r="D5" s="299">
        <v>43811</v>
      </c>
      <c r="E5" s="299">
        <v>44907</v>
      </c>
      <c r="F5" s="310">
        <v>43920</v>
      </c>
      <c r="G5" s="298"/>
      <c r="H5" s="298" t="s">
        <v>32</v>
      </c>
      <c r="I5" s="301" t="s">
        <v>1473</v>
      </c>
      <c r="J5" s="298" t="s">
        <v>1254</v>
      </c>
      <c r="K5" s="298" t="s">
        <v>446</v>
      </c>
      <c r="L5" s="298" t="s">
        <v>47</v>
      </c>
      <c r="M5" s="302"/>
      <c r="N5" s="302"/>
      <c r="O5" s="302"/>
      <c r="P5" s="302"/>
      <c r="Q5" s="302"/>
      <c r="R5" s="302"/>
      <c r="S5" s="302"/>
      <c r="T5" s="302">
        <v>0</v>
      </c>
      <c r="U5" s="302">
        <v>10</v>
      </c>
      <c r="V5" s="302">
        <v>10</v>
      </c>
      <c r="W5" s="302"/>
      <c r="X5" s="302"/>
      <c r="Y5" s="302"/>
      <c r="Z5" s="302"/>
      <c r="AA5" s="303">
        <f>V5/2.5</f>
        <v>4</v>
      </c>
      <c r="AB5" s="302"/>
      <c r="AC5" s="302"/>
      <c r="AD5" s="304" t="s">
        <v>1600</v>
      </c>
      <c r="AE5" s="303">
        <f>AA5</f>
        <v>4</v>
      </c>
      <c r="AF5" s="298"/>
      <c r="AG5" s="298"/>
      <c r="AH5" s="309">
        <f>AE5</f>
        <v>4</v>
      </c>
      <c r="AI5" s="298"/>
      <c r="AJ5" s="298"/>
      <c r="AK5" s="298"/>
      <c r="AL5" s="298"/>
      <c r="AM5" s="298"/>
      <c r="AN5" s="298"/>
      <c r="AO5" s="298"/>
      <c r="AP5" s="298"/>
      <c r="AQ5" s="298">
        <f>SUM(AG5:AK5)</f>
        <v>4</v>
      </c>
      <c r="AR5" s="298">
        <f t="shared" si="1"/>
        <v>4</v>
      </c>
    </row>
    <row r="6" spans="1:44" x14ac:dyDescent="0.2">
      <c r="A6" s="298" t="s">
        <v>1224</v>
      </c>
      <c r="B6" s="298" t="s">
        <v>224</v>
      </c>
      <c r="C6" s="298" t="s">
        <v>1625</v>
      </c>
      <c r="D6" s="299">
        <v>44554</v>
      </c>
      <c r="E6" s="299">
        <v>45650</v>
      </c>
      <c r="F6" s="299"/>
      <c r="G6" s="298"/>
      <c r="H6" s="298" t="s">
        <v>64</v>
      </c>
      <c r="I6" s="301" t="s">
        <v>1473</v>
      </c>
      <c r="J6" s="298" t="s">
        <v>1225</v>
      </c>
      <c r="K6" s="298" t="s">
        <v>1255</v>
      </c>
      <c r="L6" s="298" t="s">
        <v>1226</v>
      </c>
      <c r="M6" s="302"/>
      <c r="N6" s="302"/>
      <c r="O6" s="302"/>
      <c r="P6" s="302"/>
      <c r="Q6" s="302"/>
      <c r="R6" s="302"/>
      <c r="S6" s="302"/>
      <c r="T6" s="302">
        <v>86</v>
      </c>
      <c r="U6" s="302">
        <v>124</v>
      </c>
      <c r="V6" s="302">
        <f>U6-T6</f>
        <v>38</v>
      </c>
      <c r="W6" s="302"/>
      <c r="X6" s="302"/>
      <c r="Y6" s="302"/>
      <c r="Z6" s="302"/>
      <c r="AA6" s="303">
        <f>V6/2.5</f>
        <v>15.2</v>
      </c>
      <c r="AB6" s="302"/>
      <c r="AC6" s="302"/>
      <c r="AD6" s="304" t="s">
        <v>1385</v>
      </c>
      <c r="AE6" s="303">
        <f>AA6</f>
        <v>15.2</v>
      </c>
      <c r="AF6" s="298"/>
      <c r="AG6" s="298"/>
      <c r="AH6" s="298"/>
      <c r="AI6" s="309">
        <f>$AE$6/3</f>
        <v>5.0666666666666664</v>
      </c>
      <c r="AJ6" s="309">
        <f>$AE$6/3</f>
        <v>5.0666666666666664</v>
      </c>
      <c r="AK6" s="309">
        <f>$AE$6/3</f>
        <v>5.0666666666666664</v>
      </c>
      <c r="AL6" s="298"/>
      <c r="AM6" s="298"/>
      <c r="AN6" s="298"/>
      <c r="AO6" s="298"/>
      <c r="AP6" s="298"/>
      <c r="AQ6" s="308">
        <f>SUM(AG6:AK6)</f>
        <v>15.2</v>
      </c>
      <c r="AR6" s="308">
        <f t="shared" si="1"/>
        <v>15.2</v>
      </c>
    </row>
    <row r="7" spans="1:44" x14ac:dyDescent="0.2">
      <c r="A7" s="298" t="s">
        <v>1206</v>
      </c>
      <c r="B7" s="298" t="s">
        <v>44</v>
      </c>
      <c r="C7" s="298" t="s">
        <v>1624</v>
      </c>
      <c r="D7" s="299">
        <v>45008</v>
      </c>
      <c r="E7" s="299">
        <v>46104</v>
      </c>
      <c r="F7" s="300">
        <v>45135</v>
      </c>
      <c r="G7" s="298"/>
      <c r="H7" s="298" t="s">
        <v>64</v>
      </c>
      <c r="I7" s="301" t="s">
        <v>1473</v>
      </c>
      <c r="J7" s="298" t="s">
        <v>1634</v>
      </c>
      <c r="K7" s="298" t="s">
        <v>1207</v>
      </c>
      <c r="L7" s="298" t="s">
        <v>1208</v>
      </c>
      <c r="M7" s="302"/>
      <c r="N7" s="302"/>
      <c r="O7" s="302">
        <v>57</v>
      </c>
      <c r="P7" s="302">
        <v>57</v>
      </c>
      <c r="Q7" s="302"/>
      <c r="R7" s="302"/>
      <c r="S7" s="302"/>
      <c r="T7" s="302"/>
      <c r="U7" s="302"/>
      <c r="V7" s="302"/>
      <c r="W7" s="302"/>
      <c r="X7" s="302"/>
      <c r="Y7" s="302"/>
      <c r="Z7" s="302"/>
      <c r="AA7" s="303"/>
      <c r="AB7" s="302"/>
      <c r="AC7" s="302"/>
      <c r="AD7" s="304" t="s">
        <v>1385</v>
      </c>
      <c r="AE7" s="303">
        <v>57</v>
      </c>
      <c r="AF7" s="298"/>
      <c r="AG7" s="298"/>
      <c r="AH7" s="298">
        <f>$AE$7/2</f>
        <v>28.5</v>
      </c>
      <c r="AI7" s="298">
        <f>$AE$7/2</f>
        <v>28.5</v>
      </c>
      <c r="AJ7" s="309"/>
      <c r="AK7" s="309"/>
      <c r="AL7" s="298"/>
      <c r="AM7" s="298"/>
      <c r="AN7" s="298"/>
      <c r="AO7" s="298"/>
      <c r="AP7" s="298"/>
      <c r="AQ7" s="298">
        <f>SUM(AG7:AK7)</f>
        <v>57</v>
      </c>
      <c r="AR7" s="298">
        <f t="shared" si="1"/>
        <v>57</v>
      </c>
    </row>
    <row r="8" spans="1:44" x14ac:dyDescent="0.2">
      <c r="A8" s="298" t="s">
        <v>1628</v>
      </c>
      <c r="B8" s="298" t="s">
        <v>44</v>
      </c>
      <c r="C8" s="298" t="s">
        <v>1624</v>
      </c>
      <c r="D8" s="299">
        <v>45058</v>
      </c>
      <c r="E8" s="299">
        <v>46154</v>
      </c>
      <c r="F8" s="299"/>
      <c r="G8" s="298"/>
      <c r="H8" s="298" t="s">
        <v>1439</v>
      </c>
      <c r="I8" s="301" t="s">
        <v>1473</v>
      </c>
      <c r="J8" s="298" t="s">
        <v>1629</v>
      </c>
      <c r="K8" s="298" t="s">
        <v>1630</v>
      </c>
      <c r="L8" s="298" t="s">
        <v>759</v>
      </c>
      <c r="M8" s="302"/>
      <c r="N8" s="302"/>
      <c r="O8" s="302">
        <v>88</v>
      </c>
      <c r="P8" s="302">
        <v>88</v>
      </c>
      <c r="Q8" s="302"/>
      <c r="R8" s="302"/>
      <c r="S8" s="302"/>
      <c r="T8" s="302"/>
      <c r="U8" s="302"/>
      <c r="V8" s="302"/>
      <c r="W8" s="302"/>
      <c r="X8" s="302"/>
      <c r="Y8" s="302"/>
      <c r="Z8" s="302"/>
      <c r="AA8" s="303"/>
      <c r="AB8" s="302"/>
      <c r="AC8" s="302"/>
      <c r="AD8" s="304" t="s">
        <v>1600</v>
      </c>
      <c r="AE8" s="303">
        <v>88</v>
      </c>
      <c r="AF8" s="298"/>
      <c r="AG8" s="298"/>
      <c r="AH8" s="298"/>
      <c r="AI8" s="308">
        <f>$AE$8/3</f>
        <v>29.333333333333332</v>
      </c>
      <c r="AJ8" s="308">
        <f>$AE$8/3</f>
        <v>29.333333333333332</v>
      </c>
      <c r="AK8" s="308">
        <f>$AE$8/3</f>
        <v>29.333333333333332</v>
      </c>
      <c r="AL8" s="298"/>
      <c r="AM8" s="298"/>
      <c r="AN8" s="298"/>
      <c r="AO8" s="298"/>
      <c r="AP8" s="298"/>
      <c r="AQ8" s="309">
        <f>SUM(AG8:AK8)</f>
        <v>88</v>
      </c>
      <c r="AR8" s="309">
        <f t="shared" si="1"/>
        <v>88</v>
      </c>
    </row>
  </sheetData>
  <autoFilter ref="A1:AR7" xr:uid="{9A8A56E0-F946-4697-BF11-950A0C96D0E2}">
    <sortState xmlns:xlrd2="http://schemas.microsoft.com/office/spreadsheetml/2017/richdata2" ref="A2:AR8">
      <sortCondition ref="H1:H7"/>
    </sortState>
  </autoFilter>
  <conditionalFormatting sqref="K8">
    <cfRule type="duplicateValues" dxfId="0" priority="1"/>
  </conditionalFormatting>
  <pageMargins left="0.7" right="0.7" top="0.75" bottom="0.75" header="0.3" footer="0.3"/>
  <pageSetup paperSize="9" orientation="portrait" r:id="rId1"/>
  <headerFooter>
    <oddHeader>&amp;L&amp;"Calibri"&amp;10&amp;K000000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80D0-6D97-49AA-B341-2A15AD5923EE}">
  <dimension ref="B3:AC477"/>
  <sheetViews>
    <sheetView zoomScale="50" zoomScaleNormal="50" workbookViewId="0"/>
  </sheetViews>
  <sheetFormatPr defaultColWidth="9.140625" defaultRowHeight="12.75" x14ac:dyDescent="0.2"/>
  <cols>
    <col min="1" max="1" width="16.85546875" style="141" bestFit="1" customWidth="1"/>
    <col min="2" max="12" width="30.7109375" style="141" customWidth="1"/>
    <col min="13" max="22" width="22.85546875" style="141" customWidth="1"/>
    <col min="23" max="23" width="14.85546875" style="141" bestFit="1" customWidth="1"/>
    <col min="24" max="24" width="9.5703125" style="141" bestFit="1" customWidth="1"/>
    <col min="25" max="25" width="15" style="141" bestFit="1" customWidth="1"/>
    <col min="26" max="27" width="16" style="141" bestFit="1" customWidth="1"/>
    <col min="28" max="28" width="4.140625" style="141" bestFit="1" customWidth="1"/>
    <col min="29" max="31" width="3.140625" style="141" bestFit="1" customWidth="1"/>
    <col min="32" max="32" width="11.28515625" style="141" bestFit="1" customWidth="1"/>
    <col min="33" max="35" width="9.140625" style="141"/>
    <col min="36" max="36" width="26.28515625" style="141" bestFit="1" customWidth="1"/>
    <col min="37" max="37" width="9.140625" style="141" customWidth="1"/>
    <col min="38" max="16384" width="9.140625" style="141"/>
  </cols>
  <sheetData>
    <row r="3" spans="2:29" ht="13.5" thickBot="1" x14ac:dyDescent="0.25">
      <c r="B3" s="142"/>
    </row>
    <row r="4" spans="2:29" ht="13.5" thickBot="1" x14ac:dyDescent="0.25">
      <c r="B4" s="243" t="s">
        <v>1267</v>
      </c>
      <c r="C4" s="244" t="s">
        <v>22</v>
      </c>
    </row>
    <row r="5" spans="2:29" ht="13.5" thickBot="1" x14ac:dyDescent="0.25">
      <c r="E5" s="243" t="s">
        <v>1267</v>
      </c>
      <c r="F5" s="244" t="s">
        <v>1257</v>
      </c>
      <c r="H5" s="142" t="s">
        <v>1639</v>
      </c>
    </row>
    <row r="6" spans="2:29" ht="15.75" thickBot="1" x14ac:dyDescent="0.3">
      <c r="B6" s="255" t="s">
        <v>1440</v>
      </c>
      <c r="H6" s="1"/>
      <c r="I6" s="1"/>
    </row>
    <row r="7" spans="2:29" ht="13.5" thickBot="1" x14ac:dyDescent="0.25">
      <c r="B7" s="259">
        <v>141</v>
      </c>
      <c r="E7" s="245" t="s">
        <v>1441</v>
      </c>
      <c r="F7" s="259" t="s">
        <v>1555</v>
      </c>
      <c r="H7" s="243" t="s">
        <v>1260</v>
      </c>
      <c r="I7" s="244" t="s">
        <v>1257</v>
      </c>
    </row>
    <row r="8" spans="2:29" ht="13.5" thickBot="1" x14ac:dyDescent="0.25">
      <c r="E8" s="251" t="s">
        <v>1448</v>
      </c>
      <c r="F8" s="255">
        <v>96.25</v>
      </c>
      <c r="H8" s="243" t="s">
        <v>1267</v>
      </c>
      <c r="I8" s="244" t="s">
        <v>64</v>
      </c>
    </row>
    <row r="9" spans="2:29" ht="15.75" thickBot="1" x14ac:dyDescent="0.3">
      <c r="E9" s="251" t="s">
        <v>1447</v>
      </c>
      <c r="F9" s="256">
        <v>12</v>
      </c>
      <c r="X9" s="1"/>
      <c r="Y9" s="1"/>
      <c r="Z9" s="1"/>
      <c r="AA9" s="1"/>
      <c r="AB9" s="1"/>
      <c r="AC9" s="1"/>
    </row>
    <row r="10" spans="2:29" ht="15.75" customHeight="1" thickBot="1" x14ac:dyDescent="0.3">
      <c r="B10" s="142" t="s">
        <v>1443</v>
      </c>
      <c r="E10" s="251" t="s">
        <v>1530</v>
      </c>
      <c r="F10" s="256">
        <v>7</v>
      </c>
      <c r="H10" s="245" t="s">
        <v>1567</v>
      </c>
      <c r="I10" s="246" t="s">
        <v>1568</v>
      </c>
      <c r="J10" s="246" t="s">
        <v>1569</v>
      </c>
      <c r="K10" s="246" t="s">
        <v>1570</v>
      </c>
      <c r="L10" s="246" t="s">
        <v>1571</v>
      </c>
      <c r="M10" s="246" t="s">
        <v>1573</v>
      </c>
      <c r="N10" s="246" t="s">
        <v>1574</v>
      </c>
      <c r="O10" s="246" t="s">
        <v>1575</v>
      </c>
      <c r="P10" s="246" t="s">
        <v>1576</v>
      </c>
      <c r="Q10" s="247" t="s">
        <v>1577</v>
      </c>
      <c r="R10" s="1"/>
      <c r="X10" s="1"/>
      <c r="Y10" s="1"/>
      <c r="Z10" s="1"/>
      <c r="AA10" s="1"/>
      <c r="AB10" s="1"/>
      <c r="AC10" s="1"/>
    </row>
    <row r="11" spans="2:29" ht="15.75" thickBot="1" x14ac:dyDescent="0.3">
      <c r="B11" s="243" t="s">
        <v>1267</v>
      </c>
      <c r="C11" s="244" t="s">
        <v>32</v>
      </c>
      <c r="E11" s="251" t="s">
        <v>1438</v>
      </c>
      <c r="F11" s="256">
        <v>742</v>
      </c>
      <c r="H11" s="265">
        <v>33.25</v>
      </c>
      <c r="I11" s="260">
        <v>44.75</v>
      </c>
      <c r="J11" s="260">
        <v>348.75</v>
      </c>
      <c r="K11" s="260">
        <v>71.25</v>
      </c>
      <c r="L11" s="260">
        <v>245.5</v>
      </c>
      <c r="M11" s="260">
        <v>-90.5</v>
      </c>
      <c r="N11" s="260"/>
      <c r="O11" s="260">
        <v>222</v>
      </c>
      <c r="P11" s="260"/>
      <c r="Q11" s="254"/>
      <c r="R11" s="1"/>
      <c r="X11" s="1"/>
      <c r="Y11" s="1"/>
      <c r="Z11" s="1"/>
      <c r="AA11" s="1"/>
      <c r="AB11" s="1"/>
      <c r="AC11" s="1"/>
    </row>
    <row r="12" spans="2:29" ht="15.75" thickBot="1" x14ac:dyDescent="0.3">
      <c r="B12" s="243" t="s">
        <v>1260</v>
      </c>
      <c r="C12" s="244" t="s">
        <v>1257</v>
      </c>
      <c r="E12" s="251" t="s">
        <v>1668</v>
      </c>
      <c r="F12" s="256">
        <v>100</v>
      </c>
      <c r="H12" s="1"/>
      <c r="I12" s="1"/>
      <c r="J12" s="1"/>
      <c r="K12" s="1"/>
      <c r="L12" s="1"/>
      <c r="M12" s="1"/>
      <c r="N12" s="1"/>
      <c r="O12" s="1"/>
      <c r="P12" s="1"/>
      <c r="Q12" s="1"/>
      <c r="R12" s="1"/>
    </row>
    <row r="13" spans="2:29" ht="15.75" thickBot="1" x14ac:dyDescent="0.3">
      <c r="E13" s="251" t="s">
        <v>1442</v>
      </c>
      <c r="F13" s="256">
        <v>150</v>
      </c>
      <c r="H13" s="1"/>
      <c r="I13" s="1"/>
    </row>
    <row r="14" spans="2:29" ht="15" x14ac:dyDescent="0.25">
      <c r="B14" s="255" t="s">
        <v>1440</v>
      </c>
      <c r="E14" s="251" t="s">
        <v>1444</v>
      </c>
      <c r="F14" s="256">
        <v>20</v>
      </c>
      <c r="H14" s="1"/>
      <c r="I14" s="1"/>
    </row>
    <row r="15" spans="2:29" ht="13.5" thickBot="1" x14ac:dyDescent="0.25">
      <c r="B15" s="257">
        <v>140</v>
      </c>
      <c r="E15" s="251" t="s">
        <v>1445</v>
      </c>
      <c r="F15" s="256">
        <v>20</v>
      </c>
      <c r="H15" s="142" t="s">
        <v>1644</v>
      </c>
    </row>
    <row r="16" spans="2:29" ht="15.75" thickBot="1" x14ac:dyDescent="0.3">
      <c r="E16" s="251" t="s">
        <v>1446</v>
      </c>
      <c r="F16" s="256">
        <v>20</v>
      </c>
      <c r="H16" s="1"/>
      <c r="I16" s="1"/>
    </row>
    <row r="17" spans="2:17" ht="13.5" thickBot="1" x14ac:dyDescent="0.25">
      <c r="E17" s="258" t="s">
        <v>1246</v>
      </c>
      <c r="F17" s="257">
        <v>1167.25</v>
      </c>
      <c r="H17" s="243" t="s">
        <v>1260</v>
      </c>
      <c r="I17" s="244" t="s">
        <v>1257</v>
      </c>
    </row>
    <row r="18" spans="2:17" ht="15.75" customHeight="1" thickBot="1" x14ac:dyDescent="0.3">
      <c r="B18" s="142" t="s">
        <v>1642</v>
      </c>
      <c r="E18" s="1"/>
      <c r="F18" s="1"/>
      <c r="H18" s="243" t="s">
        <v>1267</v>
      </c>
      <c r="I18" s="244" t="s">
        <v>64</v>
      </c>
    </row>
    <row r="19" spans="2:17" ht="15.75" customHeight="1" thickBot="1" x14ac:dyDescent="0.3">
      <c r="B19" s="243" t="s">
        <v>1260</v>
      </c>
      <c r="C19" s="244" t="s">
        <v>1257</v>
      </c>
      <c r="E19" s="1"/>
      <c r="F19" s="1"/>
    </row>
    <row r="20" spans="2:17" ht="15.75" thickBot="1" x14ac:dyDescent="0.3">
      <c r="B20" s="243" t="s">
        <v>1267</v>
      </c>
      <c r="C20" s="244" t="s">
        <v>64</v>
      </c>
      <c r="E20" s="1"/>
      <c r="F20" s="1"/>
      <c r="H20" s="255" t="s">
        <v>1556</v>
      </c>
      <c r="I20" s="1"/>
      <c r="J20" s="1"/>
      <c r="K20" s="1"/>
      <c r="L20" s="1"/>
      <c r="M20" s="1"/>
      <c r="N20" s="1"/>
      <c r="O20" s="1"/>
      <c r="P20" s="1"/>
      <c r="Q20" s="1"/>
    </row>
    <row r="21" spans="2:17" ht="15.75" thickBot="1" x14ac:dyDescent="0.3">
      <c r="B21" s="243" t="s">
        <v>1268</v>
      </c>
      <c r="C21" s="244" t="s">
        <v>1450</v>
      </c>
      <c r="H21" s="257">
        <v>875</v>
      </c>
      <c r="I21" s="1"/>
      <c r="J21" s="1"/>
      <c r="K21" s="1"/>
      <c r="L21" s="1"/>
      <c r="M21" s="1"/>
      <c r="N21" s="1"/>
      <c r="O21" s="1"/>
      <c r="P21" s="1"/>
      <c r="Q21" s="1"/>
    </row>
    <row r="22" spans="2:17" ht="15.75" thickBot="1" x14ac:dyDescent="0.3">
      <c r="E22" s="243" t="s">
        <v>1267</v>
      </c>
      <c r="F22" s="244" t="s">
        <v>1257</v>
      </c>
      <c r="H22" s="1"/>
      <c r="I22" s="1"/>
    </row>
    <row r="23" spans="2:17" ht="15.75" thickBot="1" x14ac:dyDescent="0.3">
      <c r="B23" s="255" t="s">
        <v>1440</v>
      </c>
      <c r="H23" s="1"/>
      <c r="I23" s="1"/>
    </row>
    <row r="24" spans="2:17" ht="15.75" thickBot="1" x14ac:dyDescent="0.3">
      <c r="B24" s="264">
        <v>875</v>
      </c>
      <c r="E24" s="245" t="s">
        <v>1441</v>
      </c>
      <c r="F24" s="259" t="s">
        <v>1556</v>
      </c>
      <c r="H24" s="142" t="s">
        <v>1639</v>
      </c>
      <c r="I24" s="1"/>
    </row>
    <row r="25" spans="2:17" ht="13.5" thickBot="1" x14ac:dyDescent="0.25">
      <c r="E25" s="251" t="s">
        <v>1448</v>
      </c>
      <c r="F25" s="255">
        <v>385</v>
      </c>
      <c r="H25" s="243" t="s">
        <v>1260</v>
      </c>
      <c r="I25" s="244" t="s">
        <v>1257</v>
      </c>
    </row>
    <row r="26" spans="2:17" ht="13.5" thickBot="1" x14ac:dyDescent="0.25">
      <c r="E26" s="251" t="s">
        <v>1760</v>
      </c>
      <c r="F26" s="256">
        <v>144</v>
      </c>
      <c r="H26" s="243" t="s">
        <v>1267</v>
      </c>
      <c r="I26" s="244" t="s">
        <v>64</v>
      </c>
    </row>
    <row r="27" spans="2:17" ht="13.5" thickBot="1" x14ac:dyDescent="0.25">
      <c r="E27" s="251" t="s">
        <v>1447</v>
      </c>
      <c r="F27" s="256">
        <v>12</v>
      </c>
    </row>
    <row r="28" spans="2:17" ht="15.75" thickBot="1" x14ac:dyDescent="0.3">
      <c r="B28" s="142" t="s">
        <v>1318</v>
      </c>
      <c r="E28" s="251" t="s">
        <v>1530</v>
      </c>
      <c r="F28" s="256">
        <v>7</v>
      </c>
      <c r="H28" s="255" t="s">
        <v>1555</v>
      </c>
      <c r="I28" s="1"/>
    </row>
    <row r="29" spans="2:17" ht="15.75" thickBot="1" x14ac:dyDescent="0.3">
      <c r="B29" s="243" t="s">
        <v>1260</v>
      </c>
      <c r="C29" s="244" t="s">
        <v>1257</v>
      </c>
      <c r="E29" s="251" t="s">
        <v>1438</v>
      </c>
      <c r="F29" s="256">
        <v>1912</v>
      </c>
      <c r="H29" s="257">
        <v>743.5</v>
      </c>
      <c r="I29" s="1"/>
    </row>
    <row r="30" spans="2:17" ht="13.5" thickBot="1" x14ac:dyDescent="0.25">
      <c r="B30" s="243" t="s">
        <v>1267</v>
      </c>
      <c r="C30" s="244" t="s">
        <v>32</v>
      </c>
      <c r="E30" s="251" t="s">
        <v>1668</v>
      </c>
      <c r="F30" s="256">
        <v>100</v>
      </c>
    </row>
    <row r="31" spans="2:17" ht="13.5" thickBot="1" x14ac:dyDescent="0.25">
      <c r="E31" s="251" t="s">
        <v>1442</v>
      </c>
      <c r="F31" s="256">
        <v>550</v>
      </c>
    </row>
    <row r="32" spans="2:17" x14ac:dyDescent="0.2">
      <c r="B32" s="255" t="s">
        <v>1440</v>
      </c>
      <c r="E32" s="251" t="s">
        <v>1444</v>
      </c>
      <c r="F32" s="256">
        <v>20</v>
      </c>
    </row>
    <row r="33" spans="2:11" ht="13.5" thickBot="1" x14ac:dyDescent="0.25">
      <c r="B33" s="257">
        <v>169</v>
      </c>
      <c r="E33" s="251" t="s">
        <v>1445</v>
      </c>
      <c r="F33" s="256">
        <v>20</v>
      </c>
    </row>
    <row r="34" spans="2:11" ht="13.5" thickBot="1" x14ac:dyDescent="0.25">
      <c r="E34" s="251" t="s">
        <v>1446</v>
      </c>
      <c r="F34" s="256">
        <v>20</v>
      </c>
      <c r="H34" s="142"/>
    </row>
    <row r="35" spans="2:11" ht="15.75" thickBot="1" x14ac:dyDescent="0.3">
      <c r="B35" s="142" t="s">
        <v>1319</v>
      </c>
      <c r="E35" s="258" t="s">
        <v>1246</v>
      </c>
      <c r="F35" s="264">
        <v>3170</v>
      </c>
      <c r="H35" s="1"/>
      <c r="I35" s="1"/>
    </row>
    <row r="36" spans="2:11" ht="15.75" thickBot="1" x14ac:dyDescent="0.3">
      <c r="B36" s="243" t="s">
        <v>1260</v>
      </c>
      <c r="C36" s="244" t="s">
        <v>1257</v>
      </c>
      <c r="H36" s="1"/>
      <c r="I36" s="1"/>
    </row>
    <row r="37" spans="2:11" ht="13.5" thickBot="1" x14ac:dyDescent="0.25">
      <c r="B37" s="243" t="s">
        <v>1261</v>
      </c>
      <c r="C37" s="244" t="s">
        <v>1245</v>
      </c>
    </row>
    <row r="38" spans="2:11" ht="13.5" thickBot="1" x14ac:dyDescent="0.25">
      <c r="B38" s="243" t="s">
        <v>1267</v>
      </c>
      <c r="C38" s="244" t="s">
        <v>64</v>
      </c>
    </row>
    <row r="39" spans="2:11" ht="15.75" thickBot="1" x14ac:dyDescent="0.3">
      <c r="H39" s="1"/>
      <c r="I39" s="1"/>
    </row>
    <row r="40" spans="2:11" ht="15" x14ac:dyDescent="0.25">
      <c r="B40" s="255" t="s">
        <v>1440</v>
      </c>
      <c r="H40" s="1"/>
      <c r="I40" s="1"/>
    </row>
    <row r="41" spans="2:11" ht="13.5" thickBot="1" x14ac:dyDescent="0.25">
      <c r="B41" s="257">
        <v>42</v>
      </c>
    </row>
    <row r="43" spans="2:11" ht="15.75" thickBot="1" x14ac:dyDescent="0.3">
      <c r="B43" s="142" t="s">
        <v>1320</v>
      </c>
      <c r="E43" s="1"/>
      <c r="F43" s="1"/>
    </row>
    <row r="44" spans="2:11" ht="13.5" thickBot="1" x14ac:dyDescent="0.25">
      <c r="B44" s="243" t="s">
        <v>1260</v>
      </c>
      <c r="C44" s="244" t="s">
        <v>1257</v>
      </c>
      <c r="E44" s="243" t="s">
        <v>1267</v>
      </c>
      <c r="F44" s="244" t="s">
        <v>1522</v>
      </c>
    </row>
    <row r="45" spans="2:11" ht="13.5" thickBot="1" x14ac:dyDescent="0.25">
      <c r="B45" s="243" t="s">
        <v>1261</v>
      </c>
      <c r="C45" s="244" t="s">
        <v>1262</v>
      </c>
    </row>
    <row r="46" spans="2:11" ht="13.5" thickBot="1" x14ac:dyDescent="0.25">
      <c r="B46" s="243" t="s">
        <v>1267</v>
      </c>
      <c r="C46" s="244" t="s">
        <v>64</v>
      </c>
      <c r="E46" s="245" t="s">
        <v>1441</v>
      </c>
      <c r="F46" s="259" t="s">
        <v>1556</v>
      </c>
    </row>
    <row r="47" spans="2:11" ht="15.75" thickBot="1" x14ac:dyDescent="0.3">
      <c r="B47" s="243" t="s">
        <v>1449</v>
      </c>
      <c r="C47" s="244" t="s">
        <v>1450</v>
      </c>
      <c r="E47" s="251" t="s">
        <v>1529</v>
      </c>
      <c r="F47" s="255">
        <v>250</v>
      </c>
      <c r="J47" s="1"/>
      <c r="K47" s="1"/>
    </row>
    <row r="48" spans="2:11" ht="13.5" thickBot="1" x14ac:dyDescent="0.25">
      <c r="E48" s="251" t="s">
        <v>1532</v>
      </c>
      <c r="F48" s="256">
        <v>20</v>
      </c>
    </row>
    <row r="49" spans="2:14" ht="16.5" thickBot="1" x14ac:dyDescent="0.3">
      <c r="B49" s="255" t="s">
        <v>1440</v>
      </c>
      <c r="E49" s="258" t="s">
        <v>1246</v>
      </c>
      <c r="F49" s="257">
        <v>270</v>
      </c>
      <c r="M49" s="224"/>
    </row>
    <row r="50" spans="2:14" ht="15.75" thickBot="1" x14ac:dyDescent="0.3">
      <c r="B50" s="257">
        <v>111</v>
      </c>
      <c r="M50" s="1"/>
      <c r="N50" s="1"/>
    </row>
    <row r="54" spans="2:14" ht="15" x14ac:dyDescent="0.25">
      <c r="M54" s="1"/>
    </row>
    <row r="55" spans="2:14" ht="15" x14ac:dyDescent="0.25">
      <c r="M55" s="1"/>
    </row>
    <row r="56" spans="2:14" x14ac:dyDescent="0.2">
      <c r="B56" s="142"/>
    </row>
    <row r="58" spans="2:14" ht="13.5" thickBot="1" x14ac:dyDescent="0.25">
      <c r="B58" s="142" t="s">
        <v>1451</v>
      </c>
      <c r="E58" s="142" t="s">
        <v>1452</v>
      </c>
      <c r="H58" s="142" t="s">
        <v>1453</v>
      </c>
    </row>
    <row r="59" spans="2:14" ht="15.75" thickBot="1" x14ac:dyDescent="0.3">
      <c r="B59" s="243" t="s">
        <v>1267</v>
      </c>
      <c r="C59" s="244" t="s">
        <v>22</v>
      </c>
      <c r="E59" s="243" t="s">
        <v>1267</v>
      </c>
      <c r="F59" s="244" t="s">
        <v>32</v>
      </c>
      <c r="H59" s="243" t="s">
        <v>1267</v>
      </c>
      <c r="I59" s="244" t="s">
        <v>64</v>
      </c>
      <c r="M59" s="1"/>
      <c r="N59" s="1"/>
    </row>
    <row r="60" spans="2:14" ht="13.5" thickBot="1" x14ac:dyDescent="0.25">
      <c r="B60" s="243" t="s">
        <v>1260</v>
      </c>
      <c r="C60" s="244" t="s">
        <v>1257</v>
      </c>
      <c r="E60" s="243" t="s">
        <v>1260</v>
      </c>
      <c r="F60" s="244" t="s">
        <v>1257</v>
      </c>
      <c r="H60" s="243" t="s">
        <v>1260</v>
      </c>
      <c r="I60" s="244" t="s">
        <v>1257</v>
      </c>
    </row>
    <row r="61" spans="2:14" ht="13.5" thickBot="1" x14ac:dyDescent="0.25"/>
    <row r="62" spans="2:14" x14ac:dyDescent="0.2">
      <c r="B62" s="255" t="s">
        <v>1440</v>
      </c>
      <c r="E62" s="255" t="s">
        <v>1440</v>
      </c>
      <c r="H62" s="255" t="s">
        <v>1440</v>
      </c>
    </row>
    <row r="63" spans="2:14" ht="15.75" thickBot="1" x14ac:dyDescent="0.3">
      <c r="B63" s="257">
        <v>74</v>
      </c>
      <c r="E63" s="257">
        <v>140</v>
      </c>
      <c r="H63" s="257">
        <v>875</v>
      </c>
      <c r="M63" s="1"/>
    </row>
    <row r="64" spans="2:14" ht="15" x14ac:dyDescent="0.25">
      <c r="M64" s="1"/>
    </row>
    <row r="67" spans="2:9" ht="13.5" thickBot="1" x14ac:dyDescent="0.25">
      <c r="B67" s="142" t="s">
        <v>1454</v>
      </c>
      <c r="E67" s="142" t="s">
        <v>1455</v>
      </c>
      <c r="H67" s="142" t="s">
        <v>1456</v>
      </c>
    </row>
    <row r="68" spans="2:9" ht="13.5" thickBot="1" x14ac:dyDescent="0.25">
      <c r="B68" s="243" t="s">
        <v>1267</v>
      </c>
      <c r="C68" s="244" t="s">
        <v>22</v>
      </c>
      <c r="E68" s="243" t="s">
        <v>1267</v>
      </c>
      <c r="F68" s="244" t="s">
        <v>32</v>
      </c>
      <c r="H68" s="243" t="s">
        <v>1267</v>
      </c>
      <c r="I68" s="244" t="s">
        <v>64</v>
      </c>
    </row>
    <row r="69" spans="2:9" ht="13.5" thickBot="1" x14ac:dyDescent="0.25">
      <c r="B69" s="243" t="s">
        <v>1260</v>
      </c>
      <c r="C69" s="244" t="s">
        <v>1257</v>
      </c>
      <c r="E69" s="243" t="s">
        <v>1260</v>
      </c>
      <c r="F69" s="244" t="s">
        <v>1257</v>
      </c>
      <c r="H69" s="243" t="s">
        <v>1260</v>
      </c>
      <c r="I69" s="244" t="s">
        <v>1257</v>
      </c>
    </row>
    <row r="70" spans="2:9" ht="13.5" thickBot="1" x14ac:dyDescent="0.25"/>
    <row r="71" spans="2:9" x14ac:dyDescent="0.2">
      <c r="B71" s="255" t="s">
        <v>1457</v>
      </c>
      <c r="E71" s="255" t="s">
        <v>1457</v>
      </c>
      <c r="H71" s="255" t="s">
        <v>1457</v>
      </c>
    </row>
    <row r="72" spans="2:9" ht="13.5" thickBot="1" x14ac:dyDescent="0.25">
      <c r="B72" s="257">
        <v>87</v>
      </c>
      <c r="E72" s="257">
        <v>250</v>
      </c>
      <c r="H72" s="257">
        <v>1089</v>
      </c>
    </row>
    <row r="76" spans="2:9" ht="13.5" thickBot="1" x14ac:dyDescent="0.25">
      <c r="B76" s="142" t="s">
        <v>1458</v>
      </c>
      <c r="E76" s="142" t="s">
        <v>1459</v>
      </c>
      <c r="H76" s="142" t="s">
        <v>1460</v>
      </c>
    </row>
    <row r="77" spans="2:9" ht="13.5" thickBot="1" x14ac:dyDescent="0.25">
      <c r="B77" s="243" t="s">
        <v>1267</v>
      </c>
      <c r="C77" s="244" t="s">
        <v>22</v>
      </c>
      <c r="E77" s="243" t="s">
        <v>1267</v>
      </c>
      <c r="F77" s="244" t="s">
        <v>32</v>
      </c>
      <c r="H77" s="243" t="s">
        <v>1267</v>
      </c>
      <c r="I77" s="244" t="s">
        <v>64</v>
      </c>
    </row>
    <row r="78" spans="2:9" ht="13.5" thickBot="1" x14ac:dyDescent="0.25">
      <c r="B78" s="243" t="s">
        <v>1260</v>
      </c>
      <c r="C78" s="244" t="s">
        <v>1257</v>
      </c>
      <c r="E78" s="243" t="s">
        <v>1260</v>
      </c>
      <c r="F78" s="244" t="s">
        <v>1257</v>
      </c>
      <c r="H78" s="243" t="s">
        <v>1260</v>
      </c>
      <c r="I78" s="244" t="s">
        <v>1257</v>
      </c>
    </row>
    <row r="79" spans="2:9" ht="13.5" thickBot="1" x14ac:dyDescent="0.25"/>
    <row r="80" spans="2:9" x14ac:dyDescent="0.2">
      <c r="B80" s="255" t="s">
        <v>1440</v>
      </c>
      <c r="E80" s="255" t="s">
        <v>1440</v>
      </c>
      <c r="H80" s="255" t="s">
        <v>1440</v>
      </c>
    </row>
    <row r="81" spans="2:9" ht="13.5" thickBot="1" x14ac:dyDescent="0.25">
      <c r="B81" s="257">
        <v>67</v>
      </c>
      <c r="E81" s="257">
        <v>169</v>
      </c>
      <c r="H81" s="257">
        <v>153</v>
      </c>
    </row>
    <row r="84" spans="2:9" x14ac:dyDescent="0.2">
      <c r="B84" s="142"/>
      <c r="E84" s="142"/>
      <c r="H84" s="142"/>
    </row>
    <row r="85" spans="2:9" ht="13.5" thickBot="1" x14ac:dyDescent="0.25">
      <c r="B85" s="142" t="s">
        <v>1461</v>
      </c>
      <c r="E85" s="142" t="s">
        <v>1462</v>
      </c>
      <c r="H85" s="142" t="s">
        <v>1463</v>
      </c>
    </row>
    <row r="86" spans="2:9" ht="13.5" thickBot="1" x14ac:dyDescent="0.25">
      <c r="B86" s="243" t="s">
        <v>1267</v>
      </c>
      <c r="C86" s="244" t="s">
        <v>22</v>
      </c>
      <c r="E86" s="243" t="s">
        <v>1267</v>
      </c>
      <c r="F86" s="244" t="s">
        <v>32</v>
      </c>
      <c r="H86" s="243" t="s">
        <v>1267</v>
      </c>
      <c r="I86" s="244" t="s">
        <v>64</v>
      </c>
    </row>
    <row r="87" spans="2:9" ht="13.5" thickBot="1" x14ac:dyDescent="0.25">
      <c r="B87" s="243" t="s">
        <v>1260</v>
      </c>
      <c r="C87" s="244" t="s">
        <v>1257</v>
      </c>
      <c r="E87" s="243" t="s">
        <v>1260</v>
      </c>
      <c r="F87" s="244" t="s">
        <v>1257</v>
      </c>
      <c r="H87" s="243" t="s">
        <v>1260</v>
      </c>
      <c r="I87" s="244" t="s">
        <v>1257</v>
      </c>
    </row>
    <row r="88" spans="2:9" ht="13.5" thickBot="1" x14ac:dyDescent="0.25"/>
    <row r="89" spans="2:9" x14ac:dyDescent="0.2">
      <c r="B89" s="255" t="s">
        <v>1457</v>
      </c>
      <c r="E89" s="255" t="s">
        <v>1457</v>
      </c>
      <c r="H89" s="255" t="s">
        <v>1457</v>
      </c>
    </row>
    <row r="90" spans="2:9" ht="13.5" thickBot="1" x14ac:dyDescent="0.25">
      <c r="B90" s="257">
        <v>104</v>
      </c>
      <c r="E90" s="257">
        <v>197</v>
      </c>
      <c r="H90" s="257">
        <v>179</v>
      </c>
    </row>
    <row r="93" spans="2:9" x14ac:dyDescent="0.2">
      <c r="B93" s="142"/>
    </row>
    <row r="94" spans="2:9" x14ac:dyDescent="0.2">
      <c r="B94" s="142"/>
      <c r="G94" s="142"/>
    </row>
    <row r="95" spans="2:9" ht="13.5" thickBot="1" x14ac:dyDescent="0.25">
      <c r="B95" s="143" t="s">
        <v>1464</v>
      </c>
      <c r="C95" s="143"/>
      <c r="E95" s="143" t="s">
        <v>1465</v>
      </c>
      <c r="F95" s="143"/>
      <c r="H95" s="143" t="s">
        <v>1466</v>
      </c>
      <c r="I95" s="143"/>
    </row>
    <row r="96" spans="2:9" ht="13.5" thickBot="1" x14ac:dyDescent="0.25">
      <c r="B96" s="243" t="s">
        <v>1267</v>
      </c>
      <c r="C96" s="244" t="s">
        <v>22</v>
      </c>
      <c r="E96" s="243" t="s">
        <v>1267</v>
      </c>
      <c r="F96" s="244" t="s">
        <v>32</v>
      </c>
      <c r="H96" s="243" t="s">
        <v>1267</v>
      </c>
      <c r="I96" s="244" t="s">
        <v>64</v>
      </c>
    </row>
    <row r="97" spans="2:9" ht="13.5" thickBot="1" x14ac:dyDescent="0.25">
      <c r="B97" s="243" t="s">
        <v>1268</v>
      </c>
      <c r="C97" s="244" t="s">
        <v>36</v>
      </c>
      <c r="E97" s="243" t="s">
        <v>1268</v>
      </c>
      <c r="F97" s="244" t="s">
        <v>36</v>
      </c>
      <c r="H97" s="243" t="s">
        <v>1268</v>
      </c>
      <c r="I97" s="244" t="s">
        <v>36</v>
      </c>
    </row>
    <row r="98" spans="2:9" ht="13.5" thickBot="1" x14ac:dyDescent="0.25"/>
    <row r="99" spans="2:9" x14ac:dyDescent="0.2">
      <c r="B99" s="255" t="s">
        <v>1440</v>
      </c>
      <c r="E99" s="255" t="s">
        <v>1440</v>
      </c>
      <c r="H99" s="255" t="s">
        <v>1440</v>
      </c>
    </row>
    <row r="100" spans="2:9" ht="13.5" thickBot="1" x14ac:dyDescent="0.25">
      <c r="B100" s="257"/>
      <c r="E100" s="257">
        <v>10</v>
      </c>
      <c r="H100" s="257">
        <v>87</v>
      </c>
    </row>
    <row r="103" spans="2:9" ht="13.5" thickBot="1" x14ac:dyDescent="0.25">
      <c r="B103" s="143" t="s">
        <v>1467</v>
      </c>
      <c r="C103" s="143"/>
      <c r="E103" s="143" t="s">
        <v>1468</v>
      </c>
      <c r="F103" s="143"/>
      <c r="H103" s="143" t="s">
        <v>1469</v>
      </c>
      <c r="I103" s="143"/>
    </row>
    <row r="104" spans="2:9" ht="13.5" thickBot="1" x14ac:dyDescent="0.25">
      <c r="B104" s="243" t="s">
        <v>1267</v>
      </c>
      <c r="C104" s="244" t="s">
        <v>22</v>
      </c>
      <c r="E104" s="243" t="s">
        <v>1267</v>
      </c>
      <c r="F104" s="244" t="s">
        <v>32</v>
      </c>
      <c r="H104" s="243" t="s">
        <v>1267</v>
      </c>
      <c r="I104" s="244" t="s">
        <v>64</v>
      </c>
    </row>
    <row r="105" spans="2:9" ht="13.5" thickBot="1" x14ac:dyDescent="0.25">
      <c r="B105" s="243" t="s">
        <v>1268</v>
      </c>
      <c r="C105" s="244" t="s">
        <v>1257</v>
      </c>
      <c r="E105" s="243" t="s">
        <v>1268</v>
      </c>
      <c r="F105" s="244" t="s">
        <v>50</v>
      </c>
      <c r="H105" s="243" t="s">
        <v>1268</v>
      </c>
      <c r="I105" s="244" t="s">
        <v>50</v>
      </c>
    </row>
    <row r="106" spans="2:9" ht="13.5" thickBot="1" x14ac:dyDescent="0.25"/>
    <row r="107" spans="2:9" x14ac:dyDescent="0.2">
      <c r="B107" s="255" t="s">
        <v>1440</v>
      </c>
      <c r="E107" s="255" t="s">
        <v>1440</v>
      </c>
      <c r="H107" s="255" t="s">
        <v>1440</v>
      </c>
    </row>
    <row r="108" spans="2:9" ht="13.5" thickBot="1" x14ac:dyDescent="0.25">
      <c r="B108" s="257">
        <v>14</v>
      </c>
      <c r="E108" s="257">
        <v>30</v>
      </c>
      <c r="H108" s="257">
        <v>-81</v>
      </c>
    </row>
    <row r="111" spans="2:9" ht="13.5" thickBot="1" x14ac:dyDescent="0.25">
      <c r="B111" s="143" t="s">
        <v>1470</v>
      </c>
      <c r="C111" s="143"/>
      <c r="E111" s="143" t="s">
        <v>1471</v>
      </c>
      <c r="F111" s="143"/>
      <c r="H111" s="143" t="s">
        <v>1472</v>
      </c>
      <c r="I111" s="143"/>
    </row>
    <row r="112" spans="2:9" ht="13.5" thickBot="1" x14ac:dyDescent="0.25">
      <c r="B112" s="243" t="s">
        <v>1267</v>
      </c>
      <c r="C112" s="244" t="s">
        <v>22</v>
      </c>
      <c r="E112" s="243" t="s">
        <v>1267</v>
      </c>
      <c r="F112" s="244" t="s">
        <v>32</v>
      </c>
      <c r="H112" s="243" t="s">
        <v>1267</v>
      </c>
      <c r="I112" s="244" t="s">
        <v>64</v>
      </c>
    </row>
    <row r="113" spans="2:9" ht="13.5" thickBot="1" x14ac:dyDescent="0.25">
      <c r="B113" s="243" t="s">
        <v>1268</v>
      </c>
      <c r="C113" s="244" t="s">
        <v>1257</v>
      </c>
      <c r="E113" s="243" t="s">
        <v>1268</v>
      </c>
      <c r="F113" s="244" t="s">
        <v>1473</v>
      </c>
      <c r="H113" s="243" t="s">
        <v>1268</v>
      </c>
      <c r="I113" s="244" t="s">
        <v>1473</v>
      </c>
    </row>
    <row r="114" spans="2:9" ht="13.5" thickBot="1" x14ac:dyDescent="0.25"/>
    <row r="115" spans="2:9" x14ac:dyDescent="0.2">
      <c r="B115" s="255" t="s">
        <v>1440</v>
      </c>
      <c r="E115" s="255" t="s">
        <v>1440</v>
      </c>
      <c r="H115" s="255" t="s">
        <v>1440</v>
      </c>
    </row>
    <row r="116" spans="2:9" ht="13.5" thickBot="1" x14ac:dyDescent="0.25">
      <c r="B116" s="257">
        <v>127</v>
      </c>
      <c r="E116" s="257">
        <v>248</v>
      </c>
      <c r="H116" s="257">
        <v>720</v>
      </c>
    </row>
    <row r="120" spans="2:9" x14ac:dyDescent="0.2">
      <c r="B120" s="142"/>
      <c r="E120" s="142"/>
      <c r="H120" s="142"/>
    </row>
    <row r="121" spans="2:9" ht="13.5" thickBot="1" x14ac:dyDescent="0.25">
      <c r="B121" s="143" t="s">
        <v>1474</v>
      </c>
      <c r="C121" s="143"/>
      <c r="E121" s="143" t="s">
        <v>1475</v>
      </c>
      <c r="F121" s="143"/>
      <c r="H121" s="143" t="s">
        <v>1476</v>
      </c>
      <c r="I121" s="143"/>
    </row>
    <row r="122" spans="2:9" ht="13.5" thickBot="1" x14ac:dyDescent="0.25">
      <c r="B122" s="243" t="s">
        <v>1267</v>
      </c>
      <c r="C122" s="244" t="s">
        <v>22</v>
      </c>
      <c r="E122" s="243" t="s">
        <v>1267</v>
      </c>
      <c r="F122" s="244" t="s">
        <v>32</v>
      </c>
      <c r="H122" s="243" t="s">
        <v>1267</v>
      </c>
      <c r="I122" s="244" t="s">
        <v>64</v>
      </c>
    </row>
    <row r="123" spans="2:9" ht="13.5" thickBot="1" x14ac:dyDescent="0.25">
      <c r="B123" s="243" t="s">
        <v>1268</v>
      </c>
      <c r="C123" s="244" t="s">
        <v>36</v>
      </c>
      <c r="E123" s="243" t="s">
        <v>1268</v>
      </c>
      <c r="F123" s="244" t="s">
        <v>36</v>
      </c>
      <c r="H123" s="243" t="s">
        <v>1268</v>
      </c>
      <c r="I123" s="244" t="s">
        <v>36</v>
      </c>
    </row>
    <row r="124" spans="2:9" ht="13.5" thickBot="1" x14ac:dyDescent="0.25"/>
    <row r="125" spans="2:9" x14ac:dyDescent="0.2">
      <c r="B125" s="255" t="s">
        <v>1457</v>
      </c>
      <c r="E125" s="255" t="s">
        <v>1457</v>
      </c>
      <c r="H125" s="255" t="s">
        <v>1457</v>
      </c>
    </row>
    <row r="126" spans="2:9" ht="13.5" thickBot="1" x14ac:dyDescent="0.25">
      <c r="B126" s="257"/>
      <c r="E126" s="257">
        <v>10</v>
      </c>
      <c r="H126" s="257">
        <v>87</v>
      </c>
    </row>
    <row r="129" spans="2:9" ht="13.5" thickBot="1" x14ac:dyDescent="0.25">
      <c r="B129" s="143" t="s">
        <v>1477</v>
      </c>
      <c r="C129" s="143"/>
      <c r="E129" s="143" t="s">
        <v>1478</v>
      </c>
      <c r="F129" s="143"/>
      <c r="H129" s="143" t="s">
        <v>1479</v>
      </c>
      <c r="I129" s="143"/>
    </row>
    <row r="130" spans="2:9" ht="13.5" thickBot="1" x14ac:dyDescent="0.25">
      <c r="B130" s="243" t="s">
        <v>1267</v>
      </c>
      <c r="C130" s="244" t="s">
        <v>22</v>
      </c>
      <c r="E130" s="243" t="s">
        <v>1267</v>
      </c>
      <c r="F130" s="244" t="s">
        <v>32</v>
      </c>
      <c r="H130" s="243" t="s">
        <v>1267</v>
      </c>
      <c r="I130" s="244" t="s">
        <v>64</v>
      </c>
    </row>
    <row r="131" spans="2:9" ht="13.5" thickBot="1" x14ac:dyDescent="0.25">
      <c r="B131" s="243" t="s">
        <v>1268</v>
      </c>
      <c r="C131" s="244" t="s">
        <v>1257</v>
      </c>
      <c r="E131" s="243" t="s">
        <v>1268</v>
      </c>
      <c r="F131" s="244" t="s">
        <v>1257</v>
      </c>
      <c r="H131" s="243" t="s">
        <v>1268</v>
      </c>
      <c r="I131" s="244" t="s">
        <v>1257</v>
      </c>
    </row>
    <row r="132" spans="2:9" ht="13.5" thickBot="1" x14ac:dyDescent="0.25"/>
    <row r="133" spans="2:9" x14ac:dyDescent="0.2">
      <c r="B133" s="255" t="s">
        <v>1457</v>
      </c>
      <c r="E133" s="255" t="s">
        <v>1457</v>
      </c>
      <c r="H133" s="255" t="s">
        <v>1457</v>
      </c>
    </row>
    <row r="134" spans="2:9" ht="13.5" thickBot="1" x14ac:dyDescent="0.25">
      <c r="B134" s="257">
        <v>14</v>
      </c>
      <c r="E134" s="257">
        <v>62</v>
      </c>
      <c r="H134" s="257">
        <v>91</v>
      </c>
    </row>
    <row r="137" spans="2:9" ht="13.5" thickBot="1" x14ac:dyDescent="0.25">
      <c r="B137" s="143" t="s">
        <v>1480</v>
      </c>
      <c r="C137" s="143"/>
      <c r="E137" s="143" t="s">
        <v>1481</v>
      </c>
      <c r="F137" s="143"/>
      <c r="H137" s="143" t="s">
        <v>1482</v>
      </c>
      <c r="I137" s="143"/>
    </row>
    <row r="138" spans="2:9" ht="13.5" thickBot="1" x14ac:dyDescent="0.25">
      <c r="B138" s="243" t="s">
        <v>1267</v>
      </c>
      <c r="C138" s="244" t="s">
        <v>22</v>
      </c>
      <c r="E138" s="243" t="s">
        <v>1267</v>
      </c>
      <c r="F138" s="244" t="s">
        <v>32</v>
      </c>
      <c r="H138" s="243" t="s">
        <v>1267</v>
      </c>
      <c r="I138" s="244" t="s">
        <v>64</v>
      </c>
    </row>
    <row r="139" spans="2:9" ht="13.5" thickBot="1" x14ac:dyDescent="0.25">
      <c r="B139" s="243" t="s">
        <v>1268</v>
      </c>
      <c r="C139" s="244" t="s">
        <v>1473</v>
      </c>
      <c r="E139" s="243" t="s">
        <v>1268</v>
      </c>
      <c r="F139" s="244" t="s">
        <v>1473</v>
      </c>
      <c r="H139" s="243" t="s">
        <v>1268</v>
      </c>
      <c r="I139" s="244" t="s">
        <v>1473</v>
      </c>
    </row>
    <row r="140" spans="2:9" ht="13.5" thickBot="1" x14ac:dyDescent="0.25"/>
    <row r="141" spans="2:9" x14ac:dyDescent="0.2">
      <c r="B141" s="255" t="s">
        <v>1457</v>
      </c>
      <c r="E141" s="255" t="s">
        <v>1457</v>
      </c>
      <c r="H141" s="255" t="s">
        <v>1457</v>
      </c>
    </row>
    <row r="142" spans="2:9" ht="13.5" thickBot="1" x14ac:dyDescent="0.25">
      <c r="B142" s="257">
        <v>177</v>
      </c>
      <c r="E142" s="257">
        <v>356</v>
      </c>
      <c r="H142" s="257">
        <v>816</v>
      </c>
    </row>
    <row r="149" spans="2:11" x14ac:dyDescent="0.2">
      <c r="B149" s="142"/>
      <c r="C149" s="142"/>
      <c r="E149" s="142"/>
    </row>
    <row r="150" spans="2:11" ht="13.5" thickBot="1" x14ac:dyDescent="0.25">
      <c r="B150" s="142" t="s">
        <v>1483</v>
      </c>
      <c r="E150" s="142" t="s">
        <v>1484</v>
      </c>
      <c r="H150" s="142" t="s">
        <v>1485</v>
      </c>
      <c r="K150" s="142"/>
    </row>
    <row r="151" spans="2:11" ht="13.5" thickBot="1" x14ac:dyDescent="0.25">
      <c r="B151" s="243" t="s">
        <v>1267</v>
      </c>
      <c r="C151" s="244" t="s">
        <v>22</v>
      </c>
      <c r="E151" s="243" t="s">
        <v>1267</v>
      </c>
      <c r="F151" s="244" t="s">
        <v>32</v>
      </c>
      <c r="H151" s="243" t="s">
        <v>1267</v>
      </c>
      <c r="I151" s="244" t="s">
        <v>64</v>
      </c>
    </row>
    <row r="152" spans="2:11" ht="13.5" thickBot="1" x14ac:dyDescent="0.25">
      <c r="B152" s="243" t="s">
        <v>1260</v>
      </c>
      <c r="C152" s="244" t="s">
        <v>1257</v>
      </c>
      <c r="E152" s="243" t="s">
        <v>1260</v>
      </c>
      <c r="F152" s="244" t="s">
        <v>1257</v>
      </c>
      <c r="H152" s="243" t="s">
        <v>1260</v>
      </c>
      <c r="I152" s="244" t="s">
        <v>1257</v>
      </c>
    </row>
    <row r="153" spans="2:11" ht="13.5" thickBot="1" x14ac:dyDescent="0.25">
      <c r="B153" s="243" t="s">
        <v>1268</v>
      </c>
      <c r="C153" s="244" t="s">
        <v>1473</v>
      </c>
      <c r="E153" s="243" t="s">
        <v>1268</v>
      </c>
      <c r="F153" s="244" t="s">
        <v>1473</v>
      </c>
      <c r="H153" s="243" t="s">
        <v>1268</v>
      </c>
      <c r="I153" s="244" t="s">
        <v>1473</v>
      </c>
    </row>
    <row r="154" spans="2:11" ht="13.5" thickBot="1" x14ac:dyDescent="0.25"/>
    <row r="155" spans="2:11" x14ac:dyDescent="0.2">
      <c r="B155" s="255" t="s">
        <v>1440</v>
      </c>
      <c r="E155" s="255" t="s">
        <v>1440</v>
      </c>
      <c r="H155" s="255" t="s">
        <v>1440</v>
      </c>
    </row>
    <row r="156" spans="2:11" ht="13.5" thickBot="1" x14ac:dyDescent="0.25">
      <c r="B156" s="257">
        <v>60</v>
      </c>
      <c r="E156" s="257">
        <v>94</v>
      </c>
      <c r="H156" s="257">
        <v>571</v>
      </c>
    </row>
    <row r="159" spans="2:11" ht="13.5" thickBot="1" x14ac:dyDescent="0.25">
      <c r="B159" s="142" t="s">
        <v>1486</v>
      </c>
      <c r="E159" s="142" t="s">
        <v>1487</v>
      </c>
      <c r="H159" s="142" t="s">
        <v>1488</v>
      </c>
      <c r="K159" s="142"/>
    </row>
    <row r="160" spans="2:11" ht="13.5" thickBot="1" x14ac:dyDescent="0.25">
      <c r="B160" s="243" t="s">
        <v>1267</v>
      </c>
      <c r="C160" s="244" t="s">
        <v>22</v>
      </c>
      <c r="E160" s="243" t="s">
        <v>1267</v>
      </c>
      <c r="F160" s="244" t="s">
        <v>32</v>
      </c>
      <c r="H160" s="243" t="s">
        <v>1267</v>
      </c>
      <c r="I160" s="244" t="s">
        <v>64</v>
      </c>
    </row>
    <row r="161" spans="2:11" ht="13.5" thickBot="1" x14ac:dyDescent="0.25">
      <c r="B161" s="243" t="s">
        <v>1260</v>
      </c>
      <c r="C161" s="244" t="s">
        <v>1257</v>
      </c>
      <c r="E161" s="243" t="s">
        <v>1260</v>
      </c>
      <c r="F161" s="244" t="s">
        <v>1257</v>
      </c>
      <c r="H161" s="243" t="s">
        <v>1260</v>
      </c>
      <c r="I161" s="244" t="s">
        <v>1257</v>
      </c>
    </row>
    <row r="162" spans="2:11" ht="13.5" thickBot="1" x14ac:dyDescent="0.25">
      <c r="B162" s="243" t="s">
        <v>1268</v>
      </c>
      <c r="C162" s="244" t="s">
        <v>1473</v>
      </c>
      <c r="E162" s="243" t="s">
        <v>1268</v>
      </c>
      <c r="F162" s="244" t="s">
        <v>1473</v>
      </c>
      <c r="H162" s="243" t="s">
        <v>1268</v>
      </c>
      <c r="I162" s="244" t="s">
        <v>1473</v>
      </c>
    </row>
    <row r="163" spans="2:11" ht="13.5" thickBot="1" x14ac:dyDescent="0.25"/>
    <row r="164" spans="2:11" x14ac:dyDescent="0.2">
      <c r="B164" s="255" t="s">
        <v>1457</v>
      </c>
      <c r="E164" s="255" t="s">
        <v>1457</v>
      </c>
      <c r="H164" s="255" t="s">
        <v>1457</v>
      </c>
    </row>
    <row r="165" spans="2:11" ht="13.5" thickBot="1" x14ac:dyDescent="0.25">
      <c r="B165" s="257">
        <v>73</v>
      </c>
      <c r="E165" s="257">
        <v>174</v>
      </c>
      <c r="H165" s="257">
        <v>641</v>
      </c>
    </row>
    <row r="168" spans="2:11" ht="13.5" thickBot="1" x14ac:dyDescent="0.25">
      <c r="B168" s="142" t="s">
        <v>1489</v>
      </c>
      <c r="E168" s="142" t="s">
        <v>1490</v>
      </c>
      <c r="H168" s="142" t="s">
        <v>1491</v>
      </c>
      <c r="K168" s="142"/>
    </row>
    <row r="169" spans="2:11" ht="13.5" thickBot="1" x14ac:dyDescent="0.25">
      <c r="B169" s="243" t="s">
        <v>1267</v>
      </c>
      <c r="C169" s="244" t="s">
        <v>22</v>
      </c>
      <c r="E169" s="243" t="s">
        <v>1267</v>
      </c>
      <c r="F169" s="244" t="s">
        <v>32</v>
      </c>
      <c r="H169" s="243" t="s">
        <v>1267</v>
      </c>
      <c r="I169" s="244" t="s">
        <v>64</v>
      </c>
    </row>
    <row r="170" spans="2:11" ht="13.5" thickBot="1" x14ac:dyDescent="0.25">
      <c r="B170" s="243" t="s">
        <v>1260</v>
      </c>
      <c r="C170" s="244" t="s">
        <v>1257</v>
      </c>
      <c r="E170" s="243" t="s">
        <v>1260</v>
      </c>
      <c r="F170" s="244" t="s">
        <v>1257</v>
      </c>
      <c r="H170" s="243" t="s">
        <v>1260</v>
      </c>
      <c r="I170" s="244" t="s">
        <v>1257</v>
      </c>
    </row>
    <row r="171" spans="2:11" ht="13.5" thickBot="1" x14ac:dyDescent="0.25">
      <c r="B171" s="243" t="s">
        <v>1268</v>
      </c>
      <c r="C171" s="244" t="s">
        <v>36</v>
      </c>
      <c r="E171" s="243" t="s">
        <v>1268</v>
      </c>
      <c r="F171" s="244" t="s">
        <v>36</v>
      </c>
      <c r="H171" s="243" t="s">
        <v>1268</v>
      </c>
      <c r="I171" s="244" t="s">
        <v>36</v>
      </c>
    </row>
    <row r="172" spans="2:11" ht="13.5" thickBot="1" x14ac:dyDescent="0.25"/>
    <row r="173" spans="2:11" x14ac:dyDescent="0.2">
      <c r="B173" s="255" t="s">
        <v>1440</v>
      </c>
      <c r="E173" s="255" t="s">
        <v>1440</v>
      </c>
      <c r="H173" s="255" t="s">
        <v>1440</v>
      </c>
    </row>
    <row r="174" spans="2:11" ht="13.5" thickBot="1" x14ac:dyDescent="0.25">
      <c r="B174" s="257"/>
      <c r="E174" s="257">
        <v>6</v>
      </c>
      <c r="H174" s="257">
        <v>87</v>
      </c>
    </row>
    <row r="177" spans="2:11" ht="13.5" thickBot="1" x14ac:dyDescent="0.25">
      <c r="B177" s="142" t="s">
        <v>1492</v>
      </c>
      <c r="E177" s="142" t="s">
        <v>1493</v>
      </c>
      <c r="H177" s="142" t="s">
        <v>1494</v>
      </c>
      <c r="K177" s="142"/>
    </row>
    <row r="178" spans="2:11" ht="13.5" thickBot="1" x14ac:dyDescent="0.25">
      <c r="B178" s="243" t="s">
        <v>1267</v>
      </c>
      <c r="C178" s="244" t="s">
        <v>22</v>
      </c>
      <c r="E178" s="243" t="s">
        <v>1267</v>
      </c>
      <c r="F178" s="244" t="s">
        <v>32</v>
      </c>
      <c r="H178" s="243" t="s">
        <v>1267</v>
      </c>
      <c r="I178" s="244" t="s">
        <v>64</v>
      </c>
    </row>
    <row r="179" spans="2:11" ht="13.5" thickBot="1" x14ac:dyDescent="0.25">
      <c r="B179" s="243" t="s">
        <v>1260</v>
      </c>
      <c r="C179" s="244" t="s">
        <v>1257</v>
      </c>
      <c r="E179" s="243" t="s">
        <v>1260</v>
      </c>
      <c r="F179" s="244" t="s">
        <v>1257</v>
      </c>
      <c r="H179" s="243" t="s">
        <v>1260</v>
      </c>
      <c r="I179" s="244" t="s">
        <v>1257</v>
      </c>
    </row>
    <row r="180" spans="2:11" ht="13.5" thickBot="1" x14ac:dyDescent="0.25">
      <c r="B180" s="243" t="s">
        <v>1268</v>
      </c>
      <c r="C180" s="244" t="s">
        <v>36</v>
      </c>
      <c r="E180" s="243" t="s">
        <v>1268</v>
      </c>
      <c r="F180" s="244" t="s">
        <v>36</v>
      </c>
      <c r="H180" s="243" t="s">
        <v>1268</v>
      </c>
      <c r="I180" s="244" t="s">
        <v>36</v>
      </c>
    </row>
    <row r="181" spans="2:11" ht="13.5" thickBot="1" x14ac:dyDescent="0.25"/>
    <row r="182" spans="2:11" x14ac:dyDescent="0.2">
      <c r="B182" s="255" t="s">
        <v>1457</v>
      </c>
      <c r="E182" s="255" t="s">
        <v>1457</v>
      </c>
      <c r="H182" s="255" t="s">
        <v>1457</v>
      </c>
    </row>
    <row r="183" spans="2:11" ht="13.5" thickBot="1" x14ac:dyDescent="0.25">
      <c r="B183" s="257"/>
      <c r="E183" s="257">
        <v>6</v>
      </c>
      <c r="H183" s="257">
        <v>87</v>
      </c>
    </row>
    <row r="187" spans="2:11" ht="13.5" thickBot="1" x14ac:dyDescent="0.25">
      <c r="B187" s="142" t="s">
        <v>1495</v>
      </c>
      <c r="E187" s="142" t="s">
        <v>1496</v>
      </c>
      <c r="H187" s="142" t="s">
        <v>1497</v>
      </c>
      <c r="K187" s="142"/>
    </row>
    <row r="188" spans="2:11" ht="13.5" thickBot="1" x14ac:dyDescent="0.25">
      <c r="B188" s="243" t="s">
        <v>1267</v>
      </c>
      <c r="C188" s="244" t="s">
        <v>22</v>
      </c>
      <c r="E188" s="243" t="s">
        <v>1267</v>
      </c>
      <c r="F188" s="244" t="s">
        <v>32</v>
      </c>
      <c r="H188" s="243" t="s">
        <v>1267</v>
      </c>
      <c r="I188" s="244" t="s">
        <v>64</v>
      </c>
    </row>
    <row r="189" spans="2:11" ht="13.5" thickBot="1" x14ac:dyDescent="0.25">
      <c r="B189" s="243" t="s">
        <v>1260</v>
      </c>
      <c r="C189" s="244" t="s">
        <v>1257</v>
      </c>
      <c r="E189" s="243" t="s">
        <v>1260</v>
      </c>
      <c r="F189" s="244" t="s">
        <v>1257</v>
      </c>
      <c r="H189" s="243" t="s">
        <v>1260</v>
      </c>
      <c r="I189" s="244" t="s">
        <v>1257</v>
      </c>
    </row>
    <row r="190" spans="2:11" ht="13.5" thickBot="1" x14ac:dyDescent="0.25">
      <c r="B190" s="243" t="s">
        <v>1268</v>
      </c>
      <c r="C190" s="244" t="s">
        <v>50</v>
      </c>
      <c r="E190" s="243" t="s">
        <v>1268</v>
      </c>
      <c r="F190" s="244" t="s">
        <v>1257</v>
      </c>
      <c r="H190" s="243" t="s">
        <v>1268</v>
      </c>
      <c r="I190" s="244" t="s">
        <v>50</v>
      </c>
    </row>
    <row r="191" spans="2:11" ht="13.5" thickBot="1" x14ac:dyDescent="0.25"/>
    <row r="192" spans="2:11" x14ac:dyDescent="0.2">
      <c r="B192" s="255" t="s">
        <v>1440</v>
      </c>
      <c r="E192" s="255" t="s">
        <v>1440</v>
      </c>
      <c r="H192" s="255" t="s">
        <v>1440</v>
      </c>
    </row>
    <row r="193" spans="2:11" ht="13.5" thickBot="1" x14ac:dyDescent="0.25">
      <c r="B193" s="257"/>
      <c r="E193" s="257">
        <v>51</v>
      </c>
      <c r="H193" s="257">
        <v>-85</v>
      </c>
    </row>
    <row r="196" spans="2:11" ht="13.5" thickBot="1" x14ac:dyDescent="0.25">
      <c r="B196" s="142" t="s">
        <v>1498</v>
      </c>
      <c r="E196" s="142" t="s">
        <v>1499</v>
      </c>
      <c r="H196" s="142" t="s">
        <v>1500</v>
      </c>
      <c r="K196" s="142"/>
    </row>
    <row r="197" spans="2:11" ht="13.5" thickBot="1" x14ac:dyDescent="0.25">
      <c r="B197" s="243" t="s">
        <v>1267</v>
      </c>
      <c r="C197" s="244" t="s">
        <v>22</v>
      </c>
      <c r="E197" s="243" t="s">
        <v>1267</v>
      </c>
      <c r="F197" s="244" t="s">
        <v>32</v>
      </c>
      <c r="H197" s="243" t="s">
        <v>1267</v>
      </c>
      <c r="I197" s="244" t="s">
        <v>64</v>
      </c>
    </row>
    <row r="198" spans="2:11" ht="13.5" thickBot="1" x14ac:dyDescent="0.25">
      <c r="B198" s="243" t="s">
        <v>1260</v>
      </c>
      <c r="C198" s="244" t="s">
        <v>1257</v>
      </c>
      <c r="E198" s="243" t="s">
        <v>1260</v>
      </c>
      <c r="F198" s="244" t="s">
        <v>1257</v>
      </c>
      <c r="H198" s="243" t="s">
        <v>1260</v>
      </c>
      <c r="I198" s="244" t="s">
        <v>1257</v>
      </c>
    </row>
    <row r="199" spans="2:11" ht="13.5" thickBot="1" x14ac:dyDescent="0.25">
      <c r="B199" s="243" t="s">
        <v>1268</v>
      </c>
      <c r="C199" s="244" t="s">
        <v>50</v>
      </c>
      <c r="E199" s="243" t="s">
        <v>1268</v>
      </c>
      <c r="F199" s="244" t="s">
        <v>1257</v>
      </c>
      <c r="H199" s="243" t="s">
        <v>1268</v>
      </c>
      <c r="I199" s="244" t="s">
        <v>1257</v>
      </c>
    </row>
    <row r="200" spans="2:11" ht="13.5" thickBot="1" x14ac:dyDescent="0.25"/>
    <row r="201" spans="2:11" x14ac:dyDescent="0.2">
      <c r="B201" s="255" t="s">
        <v>1457</v>
      </c>
      <c r="E201" s="255" t="s">
        <v>1457</v>
      </c>
      <c r="H201" s="255" t="s">
        <v>1457</v>
      </c>
    </row>
    <row r="202" spans="2:11" ht="13.5" thickBot="1" x14ac:dyDescent="0.25">
      <c r="B202" s="257"/>
      <c r="E202" s="257">
        <v>51</v>
      </c>
      <c r="H202" s="257">
        <v>87</v>
      </c>
    </row>
    <row r="207" spans="2:11" x14ac:dyDescent="0.2">
      <c r="B207" s="142"/>
      <c r="E207" s="142"/>
    </row>
    <row r="208" spans="2:11" ht="13.5" thickBot="1" x14ac:dyDescent="0.25">
      <c r="B208" s="142" t="s">
        <v>1501</v>
      </c>
      <c r="E208" s="142" t="s">
        <v>1502</v>
      </c>
      <c r="H208" s="142" t="s">
        <v>1503</v>
      </c>
    </row>
    <row r="209" spans="2:9" ht="13.5" thickBot="1" x14ac:dyDescent="0.25">
      <c r="B209" s="243" t="s">
        <v>1267</v>
      </c>
      <c r="C209" s="244" t="s">
        <v>22</v>
      </c>
      <c r="E209" s="243" t="s">
        <v>1267</v>
      </c>
      <c r="F209" s="244" t="s">
        <v>32</v>
      </c>
      <c r="H209" s="243" t="s">
        <v>1267</v>
      </c>
      <c r="I209" s="244" t="s">
        <v>64</v>
      </c>
    </row>
    <row r="210" spans="2:9" ht="13.5" thickBot="1" x14ac:dyDescent="0.25">
      <c r="B210" s="243" t="s">
        <v>1260</v>
      </c>
      <c r="C210" s="244" t="s">
        <v>1257</v>
      </c>
      <c r="E210" s="243" t="s">
        <v>1260</v>
      </c>
      <c r="F210" s="244" t="s">
        <v>1257</v>
      </c>
      <c r="H210" s="243" t="s">
        <v>1260</v>
      </c>
      <c r="I210" s="244" t="s">
        <v>1257</v>
      </c>
    </row>
    <row r="211" spans="2:9" ht="13.5" thickBot="1" x14ac:dyDescent="0.25">
      <c r="B211" s="243" t="s">
        <v>1268</v>
      </c>
      <c r="C211" s="244" t="s">
        <v>1450</v>
      </c>
      <c r="E211" s="243" t="s">
        <v>1268</v>
      </c>
      <c r="F211" s="244" t="s">
        <v>1450</v>
      </c>
      <c r="H211" s="243" t="s">
        <v>1268</v>
      </c>
      <c r="I211" s="244" t="s">
        <v>1450</v>
      </c>
    </row>
    <row r="212" spans="2:9" ht="13.5" thickBot="1" x14ac:dyDescent="0.25"/>
    <row r="213" spans="2:9" x14ac:dyDescent="0.2">
      <c r="B213" s="255" t="s">
        <v>1440</v>
      </c>
      <c r="E213" s="255" t="s">
        <v>1440</v>
      </c>
      <c r="H213" s="255" t="s">
        <v>1440</v>
      </c>
    </row>
    <row r="214" spans="2:9" ht="13.5" thickBot="1" x14ac:dyDescent="0.25">
      <c r="B214" s="257">
        <v>74</v>
      </c>
      <c r="E214" s="257">
        <v>140</v>
      </c>
      <c r="H214" s="257">
        <v>875</v>
      </c>
    </row>
    <row r="217" spans="2:9" ht="13.5" thickBot="1" x14ac:dyDescent="0.25">
      <c r="B217" s="142" t="s">
        <v>1504</v>
      </c>
      <c r="E217" s="142" t="s">
        <v>1505</v>
      </c>
      <c r="H217" s="142" t="s">
        <v>1506</v>
      </c>
    </row>
    <row r="218" spans="2:9" ht="13.5" thickBot="1" x14ac:dyDescent="0.25">
      <c r="B218" s="243" t="s">
        <v>1267</v>
      </c>
      <c r="C218" s="244" t="s">
        <v>22</v>
      </c>
      <c r="E218" s="243" t="s">
        <v>1267</v>
      </c>
      <c r="F218" s="244" t="s">
        <v>32</v>
      </c>
      <c r="H218" s="243" t="s">
        <v>1267</v>
      </c>
      <c r="I218" s="244" t="s">
        <v>64</v>
      </c>
    </row>
    <row r="219" spans="2:9" ht="13.5" thickBot="1" x14ac:dyDescent="0.25">
      <c r="B219" s="243" t="s">
        <v>1260</v>
      </c>
      <c r="C219" s="244" t="s">
        <v>1257</v>
      </c>
      <c r="E219" s="243" t="s">
        <v>1260</v>
      </c>
      <c r="F219" s="244" t="s">
        <v>1257</v>
      </c>
      <c r="H219" s="243" t="s">
        <v>1260</v>
      </c>
      <c r="I219" s="244" t="s">
        <v>1257</v>
      </c>
    </row>
    <row r="220" spans="2:9" ht="13.5" thickBot="1" x14ac:dyDescent="0.25">
      <c r="B220" s="243" t="s">
        <v>1268</v>
      </c>
      <c r="C220" s="244" t="s">
        <v>1450</v>
      </c>
      <c r="E220" s="243" t="s">
        <v>1268</v>
      </c>
      <c r="F220" s="244" t="s">
        <v>1450</v>
      </c>
      <c r="H220" s="243" t="s">
        <v>1268</v>
      </c>
      <c r="I220" s="244" t="s">
        <v>1450</v>
      </c>
    </row>
    <row r="221" spans="2:9" ht="13.5" thickBot="1" x14ac:dyDescent="0.25"/>
    <row r="222" spans="2:9" x14ac:dyDescent="0.2">
      <c r="B222" s="255" t="s">
        <v>1440</v>
      </c>
      <c r="E222" s="255" t="s">
        <v>1440</v>
      </c>
      <c r="H222" s="255" t="s">
        <v>1440</v>
      </c>
    </row>
    <row r="223" spans="2:9" ht="13.5" thickBot="1" x14ac:dyDescent="0.25">
      <c r="B223" s="257">
        <v>67</v>
      </c>
      <c r="E223" s="257">
        <v>169</v>
      </c>
      <c r="H223" s="257">
        <v>153</v>
      </c>
    </row>
    <row r="229" spans="2:11" x14ac:dyDescent="0.2">
      <c r="B229" s="142"/>
      <c r="E229" s="142"/>
    </row>
    <row r="230" spans="2:11" x14ac:dyDescent="0.2">
      <c r="B230" s="142" t="s">
        <v>1507</v>
      </c>
      <c r="E230" s="142"/>
      <c r="H230" s="142"/>
    </row>
    <row r="232" spans="2:11" ht="13.5" thickBot="1" x14ac:dyDescent="0.25"/>
    <row r="233" spans="2:11" ht="13.5" thickBot="1" x14ac:dyDescent="0.25">
      <c r="B233" s="243" t="s">
        <v>1267</v>
      </c>
      <c r="C233" s="244" t="s">
        <v>22</v>
      </c>
    </row>
    <row r="234" spans="2:11" ht="13.5" thickBot="1" x14ac:dyDescent="0.25"/>
    <row r="235" spans="2:11" ht="15" x14ac:dyDescent="0.25">
      <c r="B235" s="245" t="s">
        <v>1244</v>
      </c>
      <c r="C235" s="246" t="s">
        <v>1508</v>
      </c>
      <c r="D235" s="246" t="s">
        <v>1509</v>
      </c>
      <c r="E235" s="246" t="s">
        <v>1510</v>
      </c>
      <c r="F235" s="246" t="s">
        <v>1511</v>
      </c>
      <c r="G235" s="246" t="s">
        <v>1512</v>
      </c>
      <c r="H235" s="246" t="s">
        <v>1513</v>
      </c>
      <c r="I235" s="246" t="s">
        <v>1514</v>
      </c>
      <c r="J235" s="247" t="s">
        <v>1515</v>
      </c>
      <c r="K235" s="1"/>
    </row>
    <row r="236" spans="2:11" ht="15" x14ac:dyDescent="0.25">
      <c r="B236" s="251" t="s">
        <v>1262</v>
      </c>
      <c r="C236" s="141">
        <v>26</v>
      </c>
      <c r="D236" s="141">
        <v>10</v>
      </c>
      <c r="E236" s="141">
        <v>0</v>
      </c>
      <c r="F236" s="141">
        <v>2</v>
      </c>
      <c r="G236" s="141">
        <v>0</v>
      </c>
      <c r="H236" s="141">
        <v>0</v>
      </c>
      <c r="I236" s="141">
        <v>0</v>
      </c>
      <c r="J236" s="252">
        <v>0</v>
      </c>
      <c r="K236" s="1"/>
    </row>
    <row r="237" spans="2:11" ht="15" x14ac:dyDescent="0.25">
      <c r="B237" s="251" t="s">
        <v>1245</v>
      </c>
      <c r="C237" s="141">
        <v>39</v>
      </c>
      <c r="D237" s="141">
        <v>35</v>
      </c>
      <c r="E237" s="141">
        <v>15</v>
      </c>
      <c r="F237" s="141">
        <v>11</v>
      </c>
      <c r="G237" s="141">
        <v>3</v>
      </c>
      <c r="H237" s="141">
        <v>0</v>
      </c>
      <c r="I237" s="141">
        <v>0</v>
      </c>
      <c r="J237" s="252">
        <v>0</v>
      </c>
      <c r="K237" s="1"/>
    </row>
    <row r="238" spans="2:11" ht="15.75" thickBot="1" x14ac:dyDescent="0.3">
      <c r="B238" s="253" t="s">
        <v>1246</v>
      </c>
      <c r="C238" s="260">
        <v>65</v>
      </c>
      <c r="D238" s="260">
        <v>45</v>
      </c>
      <c r="E238" s="260">
        <v>15</v>
      </c>
      <c r="F238" s="260">
        <v>13</v>
      </c>
      <c r="G238" s="260">
        <v>3</v>
      </c>
      <c r="H238" s="260">
        <v>0</v>
      </c>
      <c r="I238" s="260">
        <v>0</v>
      </c>
      <c r="J238" s="254">
        <v>0</v>
      </c>
      <c r="K238" s="1"/>
    </row>
    <row r="241" spans="2:9" x14ac:dyDescent="0.2">
      <c r="B241" s="142"/>
      <c r="E241" s="142"/>
      <c r="H241" s="142"/>
    </row>
    <row r="242" spans="2:9" x14ac:dyDescent="0.2">
      <c r="B242" s="141" t="s">
        <v>1379</v>
      </c>
      <c r="E242" s="141" t="s">
        <v>1381</v>
      </c>
      <c r="H242" s="141" t="s">
        <v>1381</v>
      </c>
    </row>
    <row r="243" spans="2:9" ht="13.5" thickBot="1" x14ac:dyDescent="0.25">
      <c r="E243" s="141" t="s">
        <v>1395</v>
      </c>
      <c r="H243" s="141" t="s">
        <v>1386</v>
      </c>
    </row>
    <row r="244" spans="2:9" ht="13.5" thickBot="1" x14ac:dyDescent="0.25">
      <c r="B244" s="243" t="s">
        <v>1267</v>
      </c>
      <c r="C244" s="244" t="s">
        <v>22</v>
      </c>
    </row>
    <row r="245" spans="2:9" ht="13.5" thickBot="1" x14ac:dyDescent="0.25">
      <c r="E245" s="243" t="s">
        <v>1267</v>
      </c>
      <c r="F245" s="244" t="s">
        <v>22</v>
      </c>
      <c r="H245" s="243" t="s">
        <v>1267</v>
      </c>
      <c r="I245" s="244" t="s">
        <v>22</v>
      </c>
    </row>
    <row r="246" spans="2:9" ht="13.5" thickBot="1" x14ac:dyDescent="0.25">
      <c r="B246" s="245" t="s">
        <v>1244</v>
      </c>
      <c r="C246" s="247" t="s">
        <v>1440</v>
      </c>
    </row>
    <row r="247" spans="2:9" x14ac:dyDescent="0.2">
      <c r="B247" s="251" t="s">
        <v>1384</v>
      </c>
      <c r="C247" s="252">
        <v>6</v>
      </c>
      <c r="E247" s="245" t="s">
        <v>1244</v>
      </c>
      <c r="F247" s="247" t="s">
        <v>1440</v>
      </c>
      <c r="H247" s="245" t="s">
        <v>1244</v>
      </c>
      <c r="I247" s="247" t="s">
        <v>1440</v>
      </c>
    </row>
    <row r="248" spans="2:9" x14ac:dyDescent="0.2">
      <c r="B248" s="251" t="s">
        <v>1385</v>
      </c>
      <c r="C248" s="252">
        <v>14</v>
      </c>
      <c r="E248" s="251" t="s">
        <v>27</v>
      </c>
      <c r="F248" s="252">
        <v>63</v>
      </c>
      <c r="H248" s="251" t="s">
        <v>1386</v>
      </c>
      <c r="I248" s="252">
        <v>-4</v>
      </c>
    </row>
    <row r="249" spans="2:9" x14ac:dyDescent="0.2">
      <c r="B249" s="251" t="s">
        <v>1387</v>
      </c>
      <c r="C249" s="252">
        <v>6</v>
      </c>
      <c r="E249" s="251" t="s">
        <v>1245</v>
      </c>
      <c r="F249" s="252">
        <v>78</v>
      </c>
      <c r="H249" s="251" t="s">
        <v>1245</v>
      </c>
      <c r="I249" s="252">
        <v>145</v>
      </c>
    </row>
    <row r="250" spans="2:9" ht="13.5" thickBot="1" x14ac:dyDescent="0.25">
      <c r="B250" s="251" t="s">
        <v>1389</v>
      </c>
      <c r="C250" s="252">
        <v>8</v>
      </c>
      <c r="E250" s="253" t="s">
        <v>1246</v>
      </c>
      <c r="F250" s="254">
        <v>141</v>
      </c>
      <c r="H250" s="253" t="s">
        <v>1246</v>
      </c>
      <c r="I250" s="254">
        <v>141</v>
      </c>
    </row>
    <row r="251" spans="2:9" x14ac:dyDescent="0.2">
      <c r="B251" s="251" t="s">
        <v>1245</v>
      </c>
      <c r="C251" s="252">
        <v>107</v>
      </c>
    </row>
    <row r="252" spans="2:9" ht="13.5" thickBot="1" x14ac:dyDescent="0.25">
      <c r="B252" s="253" t="s">
        <v>1246</v>
      </c>
      <c r="C252" s="254">
        <v>141</v>
      </c>
    </row>
    <row r="255" spans="2:9" x14ac:dyDescent="0.2">
      <c r="B255" s="142"/>
      <c r="E255" s="142"/>
      <c r="H255" s="142"/>
    </row>
    <row r="256" spans="2:9" x14ac:dyDescent="0.2">
      <c r="B256" s="141" t="s">
        <v>1369</v>
      </c>
      <c r="E256" s="141" t="s">
        <v>1381</v>
      </c>
      <c r="H256" s="141" t="s">
        <v>1381</v>
      </c>
    </row>
    <row r="257" spans="2:9" x14ac:dyDescent="0.2">
      <c r="E257" s="141" t="s">
        <v>1388</v>
      </c>
      <c r="H257" s="141" t="s">
        <v>1394</v>
      </c>
    </row>
    <row r="258" spans="2:9" ht="13.5" thickBot="1" x14ac:dyDescent="0.25"/>
    <row r="259" spans="2:9" ht="13.5" thickBot="1" x14ac:dyDescent="0.25">
      <c r="B259" s="243" t="s">
        <v>1267</v>
      </c>
      <c r="C259" s="244" t="s">
        <v>22</v>
      </c>
      <c r="E259" s="243" t="s">
        <v>1267</v>
      </c>
      <c r="F259" s="244" t="s">
        <v>22</v>
      </c>
      <c r="H259" s="243" t="s">
        <v>1267</v>
      </c>
      <c r="I259" s="244" t="s">
        <v>22</v>
      </c>
    </row>
    <row r="260" spans="2:9" ht="13.5" thickBot="1" x14ac:dyDescent="0.25"/>
    <row r="261" spans="2:9" x14ac:dyDescent="0.2">
      <c r="B261" s="245" t="s">
        <v>1244</v>
      </c>
      <c r="C261" s="247" t="s">
        <v>1440</v>
      </c>
      <c r="E261" s="245" t="s">
        <v>1244</v>
      </c>
      <c r="F261" s="247" t="s">
        <v>1440</v>
      </c>
      <c r="H261" s="245" t="s">
        <v>1244</v>
      </c>
      <c r="I261" s="247" t="s">
        <v>1440</v>
      </c>
    </row>
    <row r="262" spans="2:9" x14ac:dyDescent="0.2">
      <c r="B262" s="251" t="s">
        <v>27</v>
      </c>
      <c r="C262" s="252">
        <v>20</v>
      </c>
      <c r="E262" s="251" t="s">
        <v>27</v>
      </c>
      <c r="F262" s="252">
        <v>11</v>
      </c>
      <c r="H262" s="251" t="s">
        <v>27</v>
      </c>
      <c r="I262" s="252">
        <v>0</v>
      </c>
    </row>
    <row r="263" spans="2:9" x14ac:dyDescent="0.2">
      <c r="B263" s="251" t="s">
        <v>1245</v>
      </c>
      <c r="C263" s="252">
        <v>121</v>
      </c>
      <c r="E263" s="251" t="s">
        <v>1245</v>
      </c>
      <c r="F263" s="252">
        <v>130</v>
      </c>
      <c r="H263" s="251" t="s">
        <v>1245</v>
      </c>
      <c r="I263" s="252">
        <v>141</v>
      </c>
    </row>
    <row r="264" spans="2:9" ht="13.5" thickBot="1" x14ac:dyDescent="0.25">
      <c r="B264" s="253" t="s">
        <v>1246</v>
      </c>
      <c r="C264" s="254">
        <v>141</v>
      </c>
      <c r="E264" s="253" t="s">
        <v>1246</v>
      </c>
      <c r="F264" s="254">
        <v>141</v>
      </c>
      <c r="H264" s="253" t="s">
        <v>1246</v>
      </c>
      <c r="I264" s="254">
        <v>141</v>
      </c>
    </row>
    <row r="269" spans="2:9" x14ac:dyDescent="0.2">
      <c r="B269" s="142"/>
      <c r="E269" s="142"/>
      <c r="H269" s="142"/>
    </row>
    <row r="270" spans="2:9" ht="13.5" thickBot="1" x14ac:dyDescent="0.25">
      <c r="B270" s="142" t="s">
        <v>1516</v>
      </c>
      <c r="E270" s="142" t="s">
        <v>1517</v>
      </c>
      <c r="H270" s="142" t="s">
        <v>1518</v>
      </c>
    </row>
    <row r="271" spans="2:9" ht="13.5" thickBot="1" x14ac:dyDescent="0.25">
      <c r="B271" s="243" t="s">
        <v>1267</v>
      </c>
      <c r="C271" s="244" t="s">
        <v>64</v>
      </c>
      <c r="E271" s="243" t="s">
        <v>1267</v>
      </c>
      <c r="F271" s="244" t="s">
        <v>32</v>
      </c>
      <c r="H271" s="243" t="s">
        <v>1267</v>
      </c>
      <c r="I271" s="244" t="s">
        <v>22</v>
      </c>
    </row>
    <row r="272" spans="2:9" ht="13.5" thickBot="1" x14ac:dyDescent="0.25"/>
    <row r="273" spans="2:9" x14ac:dyDescent="0.2">
      <c r="B273" s="245" t="s">
        <v>1244</v>
      </c>
      <c r="C273" s="247" t="s">
        <v>1440</v>
      </c>
      <c r="E273" s="245" t="s">
        <v>1244</v>
      </c>
      <c r="F273" s="247" t="s">
        <v>1440</v>
      </c>
      <c r="H273" s="245" t="s">
        <v>1244</v>
      </c>
      <c r="I273" s="247" t="s">
        <v>1440</v>
      </c>
    </row>
    <row r="274" spans="2:9" x14ac:dyDescent="0.2">
      <c r="B274" s="251" t="s">
        <v>1399</v>
      </c>
      <c r="C274" s="252">
        <v>1</v>
      </c>
      <c r="E274" s="251" t="s">
        <v>1399</v>
      </c>
      <c r="F274" s="252">
        <v>1</v>
      </c>
      <c r="H274" s="251" t="s">
        <v>1399</v>
      </c>
      <c r="I274" s="252">
        <v>2</v>
      </c>
    </row>
    <row r="275" spans="2:9" x14ac:dyDescent="0.2">
      <c r="B275" s="251" t="s">
        <v>1384</v>
      </c>
      <c r="C275" s="252">
        <v>9</v>
      </c>
      <c r="E275" s="251" t="s">
        <v>1384</v>
      </c>
      <c r="F275" s="252">
        <v>11</v>
      </c>
      <c r="H275" s="251" t="s">
        <v>1384</v>
      </c>
      <c r="I275" s="252">
        <v>5</v>
      </c>
    </row>
    <row r="276" spans="2:9" x14ac:dyDescent="0.2">
      <c r="B276" s="251" t="s">
        <v>1563</v>
      </c>
      <c r="C276" s="252">
        <v>35</v>
      </c>
      <c r="E276" s="251" t="s">
        <v>1563</v>
      </c>
      <c r="F276" s="252">
        <v>64</v>
      </c>
      <c r="H276" s="251" t="s">
        <v>1563</v>
      </c>
      <c r="I276" s="252">
        <v>7</v>
      </c>
    </row>
    <row r="277" spans="2:9" x14ac:dyDescent="0.2">
      <c r="B277" s="251" t="s">
        <v>1560</v>
      </c>
      <c r="C277" s="252">
        <v>264</v>
      </c>
      <c r="E277" s="251" t="s">
        <v>1560</v>
      </c>
      <c r="F277" s="252">
        <v>1</v>
      </c>
      <c r="H277" s="251" t="s">
        <v>1560</v>
      </c>
      <c r="I277" s="252">
        <v>-3</v>
      </c>
    </row>
    <row r="278" spans="2:9" x14ac:dyDescent="0.2">
      <c r="B278" s="251" t="s">
        <v>1400</v>
      </c>
      <c r="C278" s="252">
        <v>13</v>
      </c>
      <c r="E278" s="251" t="s">
        <v>1400</v>
      </c>
      <c r="F278" s="252">
        <v>8</v>
      </c>
      <c r="H278" s="251" t="s">
        <v>1400</v>
      </c>
      <c r="I278" s="252">
        <v>19</v>
      </c>
    </row>
    <row r="279" spans="2:9" x14ac:dyDescent="0.2">
      <c r="B279" s="251" t="s">
        <v>1401</v>
      </c>
      <c r="C279" s="252">
        <v>4</v>
      </c>
      <c r="E279" s="251" t="s">
        <v>1401</v>
      </c>
      <c r="F279" s="252">
        <v>11</v>
      </c>
      <c r="H279" s="251" t="s">
        <v>1401</v>
      </c>
      <c r="I279" s="252">
        <v>1</v>
      </c>
    </row>
    <row r="280" spans="2:9" x14ac:dyDescent="0.2">
      <c r="B280" s="251" t="s">
        <v>1559</v>
      </c>
      <c r="C280" s="252">
        <v>13</v>
      </c>
      <c r="E280" s="251" t="s">
        <v>1559</v>
      </c>
      <c r="F280" s="252">
        <v>32</v>
      </c>
      <c r="H280" s="251" t="s">
        <v>1559</v>
      </c>
      <c r="I280" s="252">
        <v>11</v>
      </c>
    </row>
    <row r="281" spans="2:9" x14ac:dyDescent="0.2">
      <c r="B281" s="251" t="s">
        <v>1402</v>
      </c>
      <c r="C281" s="252">
        <v>4</v>
      </c>
      <c r="E281" s="251" t="s">
        <v>1402</v>
      </c>
      <c r="F281" s="252">
        <v>18</v>
      </c>
      <c r="H281" s="251" t="s">
        <v>1402</v>
      </c>
      <c r="I281" s="252">
        <v>10</v>
      </c>
    </row>
    <row r="282" spans="2:9" x14ac:dyDescent="0.2">
      <c r="B282" s="251" t="s">
        <v>1403</v>
      </c>
      <c r="C282" s="252">
        <v>123</v>
      </c>
      <c r="E282" s="251" t="s">
        <v>1403</v>
      </c>
      <c r="F282" s="252">
        <v>9</v>
      </c>
      <c r="H282" s="251" t="s">
        <v>1403</v>
      </c>
      <c r="I282" s="252">
        <v>37</v>
      </c>
    </row>
    <row r="283" spans="2:9" x14ac:dyDescent="0.2">
      <c r="B283" s="251" t="s">
        <v>1562</v>
      </c>
      <c r="C283" s="252">
        <v>96</v>
      </c>
      <c r="E283" s="251" t="s">
        <v>1562</v>
      </c>
      <c r="F283" s="252">
        <v>10</v>
      </c>
      <c r="H283" s="251" t="s">
        <v>1562</v>
      </c>
      <c r="I283" s="252">
        <v>5</v>
      </c>
    </row>
    <row r="284" spans="2:9" x14ac:dyDescent="0.2">
      <c r="B284" s="251" t="s">
        <v>1404</v>
      </c>
      <c r="C284" s="252">
        <v>24</v>
      </c>
      <c r="E284" s="251" t="s">
        <v>1404</v>
      </c>
      <c r="F284" s="252">
        <v>85</v>
      </c>
      <c r="H284" s="251" t="s">
        <v>1404</v>
      </c>
      <c r="I284" s="252">
        <v>-1</v>
      </c>
    </row>
    <row r="285" spans="2:9" x14ac:dyDescent="0.2">
      <c r="B285" s="251" t="s">
        <v>1405</v>
      </c>
      <c r="C285" s="252">
        <v>25</v>
      </c>
      <c r="E285" s="251" t="s">
        <v>1405</v>
      </c>
      <c r="F285" s="252">
        <v>24</v>
      </c>
      <c r="H285" s="251" t="s">
        <v>1405</v>
      </c>
      <c r="I285" s="252">
        <v>11</v>
      </c>
    </row>
    <row r="286" spans="2:9" x14ac:dyDescent="0.2">
      <c r="B286" s="251" t="s">
        <v>1406</v>
      </c>
      <c r="C286" s="252">
        <v>30</v>
      </c>
      <c r="E286" s="251" t="s">
        <v>1406</v>
      </c>
      <c r="F286" s="252">
        <v>7</v>
      </c>
      <c r="H286" s="251" t="s">
        <v>1406</v>
      </c>
      <c r="I286" s="252">
        <v>5</v>
      </c>
    </row>
    <row r="287" spans="2:9" x14ac:dyDescent="0.2">
      <c r="B287" s="251" t="s">
        <v>1561</v>
      </c>
      <c r="C287" s="252">
        <v>223</v>
      </c>
      <c r="E287" s="251" t="s">
        <v>1561</v>
      </c>
      <c r="F287" s="252">
        <v>17</v>
      </c>
      <c r="H287" s="251" t="s">
        <v>1561</v>
      </c>
      <c r="I287" s="252">
        <v>7</v>
      </c>
    </row>
    <row r="288" spans="2:9" x14ac:dyDescent="0.2">
      <c r="B288" s="251" t="s">
        <v>1387</v>
      </c>
      <c r="C288" s="252">
        <v>41</v>
      </c>
      <c r="E288" s="251" t="s">
        <v>1387</v>
      </c>
      <c r="F288" s="252">
        <v>3</v>
      </c>
      <c r="H288" s="251" t="s">
        <v>1387</v>
      </c>
      <c r="I288" s="252">
        <v>12</v>
      </c>
    </row>
    <row r="289" spans="2:9" x14ac:dyDescent="0.2">
      <c r="B289" s="251" t="s">
        <v>1407</v>
      </c>
      <c r="C289" s="252">
        <v>112</v>
      </c>
      <c r="E289" s="251" t="s">
        <v>1407</v>
      </c>
      <c r="F289" s="252">
        <v>9</v>
      </c>
      <c r="H289" s="251" t="s">
        <v>1407</v>
      </c>
      <c r="I289" s="252">
        <v>5</v>
      </c>
    </row>
    <row r="290" spans="2:9" x14ac:dyDescent="0.2">
      <c r="B290" s="251" t="s">
        <v>1408</v>
      </c>
      <c r="C290" s="252">
        <v>-1</v>
      </c>
      <c r="E290" s="251" t="s">
        <v>1408</v>
      </c>
      <c r="F290" s="252">
        <v>2</v>
      </c>
      <c r="H290" s="251" t="s">
        <v>1408</v>
      </c>
      <c r="I290" s="252">
        <v>6</v>
      </c>
    </row>
    <row r="291" spans="2:9" x14ac:dyDescent="0.2">
      <c r="B291" s="251" t="s">
        <v>1391</v>
      </c>
      <c r="C291" s="252">
        <v>12</v>
      </c>
      <c r="E291" s="251" t="s">
        <v>1391</v>
      </c>
      <c r="F291" s="252">
        <v>-3</v>
      </c>
      <c r="H291" s="251" t="s">
        <v>1391</v>
      </c>
      <c r="I291" s="252">
        <v>2</v>
      </c>
    </row>
    <row r="292" spans="2:9" ht="13.5" thickBot="1" x14ac:dyDescent="0.25">
      <c r="B292" s="253" t="s">
        <v>1246</v>
      </c>
      <c r="C292" s="254">
        <v>1028</v>
      </c>
      <c r="E292" s="253" t="s">
        <v>1246</v>
      </c>
      <c r="F292" s="254">
        <v>309</v>
      </c>
      <c r="H292" s="253" t="s">
        <v>1246</v>
      </c>
      <c r="I292" s="254">
        <v>141</v>
      </c>
    </row>
    <row r="297" spans="2:9" x14ac:dyDescent="0.2">
      <c r="B297" s="142"/>
    </row>
    <row r="298" spans="2:9" ht="13.5" thickBot="1" x14ac:dyDescent="0.25">
      <c r="B298" s="142" t="s">
        <v>1519</v>
      </c>
    </row>
    <row r="299" spans="2:9" ht="13.5" thickBot="1" x14ac:dyDescent="0.25">
      <c r="B299" s="243" t="s">
        <v>1267</v>
      </c>
      <c r="C299" s="244" t="s">
        <v>22</v>
      </c>
    </row>
    <row r="300" spans="2:9" ht="13.5" thickBot="1" x14ac:dyDescent="0.25"/>
    <row r="301" spans="2:9" x14ac:dyDescent="0.2">
      <c r="B301" s="245" t="s">
        <v>1244</v>
      </c>
      <c r="C301" s="266" t="s">
        <v>1457</v>
      </c>
      <c r="D301" s="246" t="s">
        <v>1520</v>
      </c>
      <c r="E301" s="267" t="s">
        <v>1440</v>
      </c>
    </row>
    <row r="302" spans="2:9" x14ac:dyDescent="0.2">
      <c r="B302" s="251" t="s">
        <v>1399</v>
      </c>
      <c r="C302" s="141">
        <v>8</v>
      </c>
      <c r="D302" s="141">
        <v>6</v>
      </c>
      <c r="E302" s="252">
        <v>2</v>
      </c>
    </row>
    <row r="303" spans="2:9" x14ac:dyDescent="0.2">
      <c r="B303" s="251" t="s">
        <v>1384</v>
      </c>
      <c r="C303" s="141">
        <v>7</v>
      </c>
      <c r="D303" s="141">
        <v>2</v>
      </c>
      <c r="E303" s="252">
        <v>5</v>
      </c>
    </row>
    <row r="304" spans="2:9" x14ac:dyDescent="0.2">
      <c r="B304" s="251" t="s">
        <v>1563</v>
      </c>
      <c r="C304" s="141">
        <v>8</v>
      </c>
      <c r="D304" s="141">
        <v>1</v>
      </c>
      <c r="E304" s="252">
        <v>7</v>
      </c>
    </row>
    <row r="305" spans="2:5" x14ac:dyDescent="0.2">
      <c r="B305" s="251" t="s">
        <v>1560</v>
      </c>
      <c r="C305" s="141">
        <v>3</v>
      </c>
      <c r="D305" s="141">
        <v>6</v>
      </c>
      <c r="E305" s="252">
        <v>-3</v>
      </c>
    </row>
    <row r="306" spans="2:5" x14ac:dyDescent="0.2">
      <c r="B306" s="251" t="s">
        <v>1400</v>
      </c>
      <c r="C306" s="141">
        <v>20</v>
      </c>
      <c r="D306" s="141">
        <v>1</v>
      </c>
      <c r="E306" s="252">
        <v>19</v>
      </c>
    </row>
    <row r="307" spans="2:5" x14ac:dyDescent="0.2">
      <c r="B307" s="251" t="s">
        <v>1401</v>
      </c>
      <c r="C307" s="141">
        <v>1</v>
      </c>
      <c r="D307" s="141">
        <v>0</v>
      </c>
      <c r="E307" s="252">
        <v>1</v>
      </c>
    </row>
    <row r="308" spans="2:5" x14ac:dyDescent="0.2">
      <c r="B308" s="251" t="s">
        <v>1559</v>
      </c>
      <c r="C308" s="141">
        <v>16</v>
      </c>
      <c r="D308" s="141">
        <v>5</v>
      </c>
      <c r="E308" s="252">
        <v>11</v>
      </c>
    </row>
    <row r="309" spans="2:5" x14ac:dyDescent="0.2">
      <c r="B309" s="251" t="s">
        <v>1402</v>
      </c>
      <c r="C309" s="141">
        <v>13</v>
      </c>
      <c r="D309" s="141">
        <v>3</v>
      </c>
      <c r="E309" s="252">
        <v>10</v>
      </c>
    </row>
    <row r="310" spans="2:5" x14ac:dyDescent="0.2">
      <c r="B310" s="251" t="s">
        <v>1403</v>
      </c>
      <c r="C310" s="141">
        <v>37</v>
      </c>
      <c r="D310" s="141">
        <v>0</v>
      </c>
      <c r="E310" s="252">
        <v>37</v>
      </c>
    </row>
    <row r="311" spans="2:5" x14ac:dyDescent="0.2">
      <c r="B311" s="251" t="s">
        <v>1562</v>
      </c>
      <c r="C311" s="141">
        <v>6</v>
      </c>
      <c r="D311" s="141">
        <v>1</v>
      </c>
      <c r="E311" s="252">
        <v>5</v>
      </c>
    </row>
    <row r="312" spans="2:5" x14ac:dyDescent="0.2">
      <c r="B312" s="251" t="s">
        <v>1404</v>
      </c>
      <c r="C312" s="141">
        <v>1</v>
      </c>
      <c r="D312" s="141">
        <v>2</v>
      </c>
      <c r="E312" s="252">
        <v>-1</v>
      </c>
    </row>
    <row r="313" spans="2:5" x14ac:dyDescent="0.2">
      <c r="B313" s="251" t="s">
        <v>1405</v>
      </c>
      <c r="C313" s="141">
        <v>20</v>
      </c>
      <c r="D313" s="141">
        <v>9</v>
      </c>
      <c r="E313" s="252">
        <v>11</v>
      </c>
    </row>
    <row r="314" spans="2:5" x14ac:dyDescent="0.2">
      <c r="B314" s="251" t="s">
        <v>1406</v>
      </c>
      <c r="C314" s="141">
        <v>7</v>
      </c>
      <c r="D314" s="141">
        <v>2</v>
      </c>
      <c r="E314" s="252">
        <v>5</v>
      </c>
    </row>
    <row r="315" spans="2:5" x14ac:dyDescent="0.2">
      <c r="B315" s="251" t="s">
        <v>1561</v>
      </c>
      <c r="C315" s="141">
        <v>8</v>
      </c>
      <c r="D315" s="141">
        <v>1</v>
      </c>
      <c r="E315" s="252">
        <v>7</v>
      </c>
    </row>
    <row r="316" spans="2:5" x14ac:dyDescent="0.2">
      <c r="B316" s="251" t="s">
        <v>1387</v>
      </c>
      <c r="C316" s="141">
        <v>19</v>
      </c>
      <c r="D316" s="141">
        <v>7</v>
      </c>
      <c r="E316" s="252">
        <v>12</v>
      </c>
    </row>
    <row r="317" spans="2:5" x14ac:dyDescent="0.2">
      <c r="B317" s="251" t="s">
        <v>1407</v>
      </c>
      <c r="C317" s="141">
        <v>6</v>
      </c>
      <c r="D317" s="141">
        <v>1</v>
      </c>
      <c r="E317" s="252">
        <v>5</v>
      </c>
    </row>
    <row r="318" spans="2:5" x14ac:dyDescent="0.2">
      <c r="B318" s="251" t="s">
        <v>1408</v>
      </c>
      <c r="C318" s="141">
        <v>6</v>
      </c>
      <c r="D318" s="141">
        <v>0</v>
      </c>
      <c r="E318" s="252">
        <v>6</v>
      </c>
    </row>
    <row r="319" spans="2:5" x14ac:dyDescent="0.2">
      <c r="B319" s="251" t="s">
        <v>1391</v>
      </c>
      <c r="C319" s="141">
        <v>5</v>
      </c>
      <c r="D319" s="141">
        <v>3</v>
      </c>
      <c r="E319" s="252">
        <v>2</v>
      </c>
    </row>
    <row r="320" spans="2:5" ht="13.5" thickBot="1" x14ac:dyDescent="0.25">
      <c r="B320" s="253" t="s">
        <v>1246</v>
      </c>
      <c r="C320" s="260">
        <v>191</v>
      </c>
      <c r="D320" s="260">
        <v>50</v>
      </c>
      <c r="E320" s="254">
        <v>141</v>
      </c>
    </row>
    <row r="324" spans="2:11" ht="13.5" thickBot="1" x14ac:dyDescent="0.25">
      <c r="B324" s="142" t="s">
        <v>1501</v>
      </c>
    </row>
    <row r="325" spans="2:11" ht="13.5" thickBot="1" x14ac:dyDescent="0.25">
      <c r="B325" s="243" t="s">
        <v>1267</v>
      </c>
      <c r="C325" s="244" t="s">
        <v>22</v>
      </c>
    </row>
    <row r="326" spans="2:11" ht="13.5" thickBot="1" x14ac:dyDescent="0.25">
      <c r="B326" s="243" t="s">
        <v>1260</v>
      </c>
      <c r="C326" s="244" t="s">
        <v>1257</v>
      </c>
    </row>
    <row r="327" spans="2:11" ht="13.5" thickBot="1" x14ac:dyDescent="0.25"/>
    <row r="328" spans="2:11" ht="15" x14ac:dyDescent="0.25">
      <c r="B328" s="245" t="s">
        <v>1244</v>
      </c>
      <c r="C328" s="246" t="s">
        <v>1508</v>
      </c>
      <c r="D328" s="246" t="s">
        <v>1509</v>
      </c>
      <c r="E328" s="246" t="s">
        <v>1510</v>
      </c>
      <c r="F328" s="246" t="s">
        <v>1511</v>
      </c>
      <c r="G328" s="246" t="s">
        <v>1512</v>
      </c>
      <c r="H328" s="246" t="s">
        <v>1513</v>
      </c>
      <c r="I328" s="246" t="s">
        <v>1514</v>
      </c>
      <c r="J328" s="247" t="s">
        <v>1515</v>
      </c>
      <c r="K328" s="1"/>
    </row>
    <row r="329" spans="2:11" ht="15" x14ac:dyDescent="0.25">
      <c r="B329" s="251" t="s">
        <v>1473</v>
      </c>
      <c r="C329" s="141">
        <v>27</v>
      </c>
      <c r="D329" s="141">
        <v>19</v>
      </c>
      <c r="E329" s="141">
        <v>5</v>
      </c>
      <c r="F329" s="141">
        <v>7</v>
      </c>
      <c r="G329" s="141">
        <v>2</v>
      </c>
      <c r="H329" s="141">
        <v>0</v>
      </c>
      <c r="I329" s="141">
        <v>0</v>
      </c>
      <c r="J329" s="252">
        <v>0</v>
      </c>
      <c r="K329" s="1"/>
    </row>
    <row r="330" spans="2:11" ht="15" x14ac:dyDescent="0.25">
      <c r="B330" s="251" t="s">
        <v>23</v>
      </c>
      <c r="C330" s="141">
        <v>0</v>
      </c>
      <c r="D330" s="141">
        <v>5</v>
      </c>
      <c r="E330" s="141">
        <v>7</v>
      </c>
      <c r="F330" s="141">
        <v>2</v>
      </c>
      <c r="G330" s="141">
        <v>0</v>
      </c>
      <c r="H330" s="141">
        <v>0</v>
      </c>
      <c r="I330" s="141">
        <v>0</v>
      </c>
      <c r="J330" s="252">
        <v>0</v>
      </c>
      <c r="K330" s="1"/>
    </row>
    <row r="331" spans="2:11" ht="15.75" thickBot="1" x14ac:dyDescent="0.3">
      <c r="B331" s="253" t="s">
        <v>1246</v>
      </c>
      <c r="C331" s="260">
        <v>27</v>
      </c>
      <c r="D331" s="260">
        <v>24</v>
      </c>
      <c r="E331" s="260">
        <v>12</v>
      </c>
      <c r="F331" s="260">
        <v>9</v>
      </c>
      <c r="G331" s="260">
        <v>2</v>
      </c>
      <c r="H331" s="260">
        <v>0</v>
      </c>
      <c r="I331" s="260">
        <v>0</v>
      </c>
      <c r="J331" s="254">
        <v>0</v>
      </c>
      <c r="K331" s="1"/>
    </row>
    <row r="332" spans="2:11" ht="15" x14ac:dyDescent="0.25">
      <c r="B332" s="1"/>
      <c r="C332" s="1"/>
      <c r="D332" s="1"/>
      <c r="E332" s="1"/>
      <c r="F332" s="1"/>
      <c r="G332" s="1"/>
      <c r="H332" s="1"/>
      <c r="I332" s="1"/>
      <c r="J332" s="1"/>
    </row>
    <row r="335" spans="2:11" ht="13.5" thickBot="1" x14ac:dyDescent="0.25">
      <c r="B335" s="142" t="s">
        <v>1502</v>
      </c>
    </row>
    <row r="336" spans="2:11" ht="13.5" thickBot="1" x14ac:dyDescent="0.25">
      <c r="B336" s="243" t="s">
        <v>1267</v>
      </c>
      <c r="C336" s="244" t="s">
        <v>32</v>
      </c>
    </row>
    <row r="337" spans="2:9" ht="13.5" thickBot="1" x14ac:dyDescent="0.25">
      <c r="B337" s="243" t="s">
        <v>1260</v>
      </c>
      <c r="C337" s="244" t="s">
        <v>1257</v>
      </c>
    </row>
    <row r="338" spans="2:9" ht="13.5" thickBot="1" x14ac:dyDescent="0.25"/>
    <row r="339" spans="2:9" x14ac:dyDescent="0.2">
      <c r="B339" s="245" t="s">
        <v>1244</v>
      </c>
      <c r="C339" s="246" t="s">
        <v>1508</v>
      </c>
      <c r="D339" s="246" t="s">
        <v>1509</v>
      </c>
      <c r="E339" s="246" t="s">
        <v>1510</v>
      </c>
      <c r="F339" s="246" t="s">
        <v>1511</v>
      </c>
      <c r="G339" s="246" t="s">
        <v>1512</v>
      </c>
      <c r="H339" s="246" t="s">
        <v>1513</v>
      </c>
      <c r="I339" s="247" t="s">
        <v>1514</v>
      </c>
    </row>
    <row r="340" spans="2:9" x14ac:dyDescent="0.2">
      <c r="B340" s="251" t="s">
        <v>1473</v>
      </c>
      <c r="C340" s="141">
        <v>20</v>
      </c>
      <c r="D340" s="141">
        <v>64</v>
      </c>
      <c r="E340" s="141">
        <v>14</v>
      </c>
      <c r="F340" s="141">
        <v>15</v>
      </c>
      <c r="G340" s="141">
        <v>10</v>
      </c>
      <c r="H340" s="141">
        <v>-1</v>
      </c>
      <c r="I340" s="252">
        <v>0</v>
      </c>
    </row>
    <row r="341" spans="2:9" x14ac:dyDescent="0.2">
      <c r="B341" s="251" t="s">
        <v>50</v>
      </c>
      <c r="C341" s="141">
        <v>19</v>
      </c>
      <c r="D341" s="141">
        <v>0</v>
      </c>
      <c r="E341" s="141">
        <v>0</v>
      </c>
      <c r="F341" s="141">
        <v>0</v>
      </c>
      <c r="G341" s="141">
        <v>0</v>
      </c>
      <c r="H341" s="141">
        <v>0</v>
      </c>
      <c r="I341" s="252">
        <v>0</v>
      </c>
    </row>
    <row r="342" spans="2:9" x14ac:dyDescent="0.2">
      <c r="B342" s="251" t="s">
        <v>36</v>
      </c>
      <c r="C342" s="141">
        <v>2</v>
      </c>
      <c r="D342" s="141">
        <v>4</v>
      </c>
      <c r="E342" s="141">
        <v>0</v>
      </c>
      <c r="F342" s="141">
        <v>0</v>
      </c>
      <c r="G342" s="141">
        <v>0</v>
      </c>
      <c r="H342" s="141">
        <v>0</v>
      </c>
      <c r="I342" s="252">
        <v>0</v>
      </c>
    </row>
    <row r="343" spans="2:9" x14ac:dyDescent="0.2">
      <c r="B343" s="251" t="s">
        <v>55</v>
      </c>
      <c r="C343" s="141">
        <v>-29</v>
      </c>
      <c r="D343" s="141">
        <v>-1</v>
      </c>
      <c r="E343" s="141">
        <v>0</v>
      </c>
      <c r="F343" s="141">
        <v>0</v>
      </c>
      <c r="G343" s="141">
        <v>0</v>
      </c>
      <c r="H343" s="141">
        <v>0</v>
      </c>
      <c r="I343" s="252">
        <v>0</v>
      </c>
    </row>
    <row r="344" spans="2:9" x14ac:dyDescent="0.2">
      <c r="B344" s="251" t="s">
        <v>42</v>
      </c>
      <c r="C344" s="141">
        <v>10</v>
      </c>
      <c r="D344" s="141">
        <v>3</v>
      </c>
      <c r="E344" s="141">
        <v>0</v>
      </c>
      <c r="F344" s="141">
        <v>0</v>
      </c>
      <c r="G344" s="141">
        <v>0</v>
      </c>
      <c r="H344" s="141">
        <v>0</v>
      </c>
      <c r="I344" s="252">
        <v>0</v>
      </c>
    </row>
    <row r="345" spans="2:9" x14ac:dyDescent="0.2">
      <c r="B345" s="251" t="s">
        <v>23</v>
      </c>
      <c r="C345" s="141">
        <v>7</v>
      </c>
      <c r="D345" s="141">
        <v>16</v>
      </c>
      <c r="E345" s="141">
        <v>7</v>
      </c>
      <c r="F345" s="141">
        <v>2</v>
      </c>
      <c r="G345" s="141">
        <v>0</v>
      </c>
      <c r="H345" s="141">
        <v>0</v>
      </c>
      <c r="I345" s="252">
        <v>0</v>
      </c>
    </row>
    <row r="346" spans="2:9" x14ac:dyDescent="0.2">
      <c r="B346" s="251" t="s">
        <v>38</v>
      </c>
      <c r="C346" s="141">
        <v>6</v>
      </c>
      <c r="D346" s="141">
        <v>0</v>
      </c>
      <c r="E346" s="141">
        <v>0</v>
      </c>
      <c r="F346" s="141">
        <v>0</v>
      </c>
      <c r="G346" s="141">
        <v>0</v>
      </c>
      <c r="H346" s="141">
        <v>0</v>
      </c>
      <c r="I346" s="252">
        <v>0</v>
      </c>
    </row>
    <row r="347" spans="2:9" ht="13.5" thickBot="1" x14ac:dyDescent="0.25">
      <c r="B347" s="253" t="s">
        <v>1246</v>
      </c>
      <c r="C347" s="260">
        <v>35</v>
      </c>
      <c r="D347" s="260">
        <v>86</v>
      </c>
      <c r="E347" s="260">
        <v>21</v>
      </c>
      <c r="F347" s="260">
        <v>17</v>
      </c>
      <c r="G347" s="260">
        <v>10</v>
      </c>
      <c r="H347" s="260">
        <v>-1</v>
      </c>
      <c r="I347" s="254">
        <v>0</v>
      </c>
    </row>
    <row r="348" spans="2:9" ht="15" x14ac:dyDescent="0.25">
      <c r="B348" s="1"/>
      <c r="C348" s="1"/>
      <c r="D348" s="1"/>
      <c r="E348" s="1"/>
      <c r="F348" s="1"/>
      <c r="G348" s="1"/>
      <c r="H348" s="1"/>
      <c r="I348" s="1"/>
    </row>
    <row r="349" spans="2:9" x14ac:dyDescent="0.2">
      <c r="B349" s="146"/>
    </row>
    <row r="350" spans="2:9" x14ac:dyDescent="0.2">
      <c r="B350" s="146"/>
    </row>
    <row r="351" spans="2:9" x14ac:dyDescent="0.2">
      <c r="B351" s="142"/>
    </row>
    <row r="352" spans="2:9" ht="13.5" thickBot="1" x14ac:dyDescent="0.25">
      <c r="B352" s="142" t="s">
        <v>1503</v>
      </c>
    </row>
    <row r="353" spans="2:9" ht="13.5" thickBot="1" x14ac:dyDescent="0.25">
      <c r="B353" s="243" t="s">
        <v>1267</v>
      </c>
      <c r="C353" s="244" t="s">
        <v>64</v>
      </c>
    </row>
    <row r="354" spans="2:9" ht="13.5" thickBot="1" x14ac:dyDescent="0.25">
      <c r="B354" s="243" t="s">
        <v>1260</v>
      </c>
      <c r="C354" s="244" t="s">
        <v>1257</v>
      </c>
    </row>
    <row r="355" spans="2:9" ht="13.5" thickBot="1" x14ac:dyDescent="0.25"/>
    <row r="356" spans="2:9" x14ac:dyDescent="0.2">
      <c r="B356" s="245" t="s">
        <v>1244</v>
      </c>
      <c r="C356" s="246" t="s">
        <v>1508</v>
      </c>
      <c r="D356" s="246" t="s">
        <v>1509</v>
      </c>
      <c r="E356" s="246" t="s">
        <v>1510</v>
      </c>
      <c r="F356" s="246" t="s">
        <v>1511</v>
      </c>
      <c r="G356" s="246" t="s">
        <v>1512</v>
      </c>
      <c r="H356" s="246" t="s">
        <v>1513</v>
      </c>
      <c r="I356" s="247" t="s">
        <v>1514</v>
      </c>
    </row>
    <row r="357" spans="2:9" x14ac:dyDescent="0.2">
      <c r="B357" s="251" t="s">
        <v>1473</v>
      </c>
      <c r="C357" s="141">
        <v>209</v>
      </c>
      <c r="D357" s="141">
        <v>247</v>
      </c>
      <c r="E357" s="141">
        <v>60</v>
      </c>
      <c r="F357" s="141">
        <v>43</v>
      </c>
      <c r="G357" s="141">
        <v>11</v>
      </c>
      <c r="H357" s="141">
        <v>1</v>
      </c>
      <c r="I357" s="252">
        <v>0</v>
      </c>
    </row>
    <row r="358" spans="2:9" x14ac:dyDescent="0.2">
      <c r="B358" s="251" t="s">
        <v>50</v>
      </c>
      <c r="C358" s="141">
        <v>-61</v>
      </c>
      <c r="D358" s="141">
        <v>-18</v>
      </c>
      <c r="E358" s="141">
        <v>-6</v>
      </c>
      <c r="F358" s="141">
        <v>0</v>
      </c>
      <c r="G358" s="141">
        <v>0</v>
      </c>
      <c r="H358" s="141">
        <v>0</v>
      </c>
      <c r="I358" s="252">
        <v>0</v>
      </c>
    </row>
    <row r="359" spans="2:9" x14ac:dyDescent="0.2">
      <c r="B359" s="251" t="s">
        <v>36</v>
      </c>
      <c r="C359" s="141">
        <v>32</v>
      </c>
      <c r="D359" s="141">
        <v>45</v>
      </c>
      <c r="E359" s="141">
        <v>10</v>
      </c>
      <c r="F359" s="141">
        <v>0</v>
      </c>
      <c r="G359" s="141">
        <v>0</v>
      </c>
      <c r="H359" s="141">
        <v>0</v>
      </c>
      <c r="I359" s="252">
        <v>0</v>
      </c>
    </row>
    <row r="360" spans="2:9" x14ac:dyDescent="0.2">
      <c r="B360" s="251" t="s">
        <v>55</v>
      </c>
      <c r="C360" s="141">
        <v>98</v>
      </c>
      <c r="D360" s="141">
        <v>49</v>
      </c>
      <c r="E360" s="141">
        <v>12</v>
      </c>
      <c r="F360" s="141">
        <v>0</v>
      </c>
      <c r="G360" s="141">
        <v>0</v>
      </c>
      <c r="H360" s="141">
        <v>0</v>
      </c>
      <c r="I360" s="252">
        <v>0</v>
      </c>
    </row>
    <row r="361" spans="2:9" x14ac:dyDescent="0.2">
      <c r="B361" s="251" t="s">
        <v>42</v>
      </c>
      <c r="C361" s="141">
        <v>33</v>
      </c>
      <c r="D361" s="141">
        <v>37</v>
      </c>
      <c r="E361" s="141">
        <v>6</v>
      </c>
      <c r="F361" s="141">
        <v>0</v>
      </c>
      <c r="G361" s="141">
        <v>0</v>
      </c>
      <c r="H361" s="141">
        <v>0</v>
      </c>
      <c r="I361" s="252">
        <v>0</v>
      </c>
    </row>
    <row r="362" spans="2:9" x14ac:dyDescent="0.2">
      <c r="B362" s="251" t="s">
        <v>23</v>
      </c>
      <c r="C362" s="141">
        <v>15</v>
      </c>
      <c r="D362" s="141">
        <v>11</v>
      </c>
      <c r="E362" s="141">
        <v>3</v>
      </c>
      <c r="F362" s="141">
        <v>0</v>
      </c>
      <c r="G362" s="141">
        <v>0</v>
      </c>
      <c r="H362" s="141">
        <v>0</v>
      </c>
      <c r="I362" s="252">
        <v>0</v>
      </c>
    </row>
    <row r="363" spans="2:9" x14ac:dyDescent="0.2">
      <c r="B363" s="251" t="s">
        <v>38</v>
      </c>
      <c r="C363" s="141">
        <v>21</v>
      </c>
      <c r="D363" s="141">
        <v>3</v>
      </c>
      <c r="E363" s="141">
        <v>0</v>
      </c>
      <c r="F363" s="141">
        <v>0</v>
      </c>
      <c r="G363" s="141">
        <v>0</v>
      </c>
      <c r="H363" s="141">
        <v>0</v>
      </c>
      <c r="I363" s="252">
        <v>0</v>
      </c>
    </row>
    <row r="364" spans="2:9" ht="13.5" thickBot="1" x14ac:dyDescent="0.25">
      <c r="B364" s="253" t="s">
        <v>1246</v>
      </c>
      <c r="C364" s="260">
        <v>347</v>
      </c>
      <c r="D364" s="260">
        <v>374</v>
      </c>
      <c r="E364" s="260">
        <v>85</v>
      </c>
      <c r="F364" s="260">
        <v>43</v>
      </c>
      <c r="G364" s="260">
        <v>11</v>
      </c>
      <c r="H364" s="260">
        <v>1</v>
      </c>
      <c r="I364" s="254">
        <v>0</v>
      </c>
    </row>
    <row r="365" spans="2:9" ht="15" x14ac:dyDescent="0.25">
      <c r="B365" s="1"/>
      <c r="C365" s="1"/>
      <c r="D365" s="1"/>
      <c r="E365" s="1"/>
      <c r="F365" s="1"/>
      <c r="G365" s="1"/>
      <c r="H365" s="1"/>
      <c r="I365" s="1"/>
    </row>
    <row r="366" spans="2:9" ht="15" x14ac:dyDescent="0.25">
      <c r="B366" s="1"/>
      <c r="C366" s="1"/>
      <c r="D366" s="1"/>
      <c r="E366" s="1"/>
      <c r="F366" s="1"/>
      <c r="G366" s="1"/>
      <c r="H366" s="1"/>
      <c r="I366" s="1"/>
    </row>
    <row r="367" spans="2:9" x14ac:dyDescent="0.2">
      <c r="B367" s="146"/>
    </row>
    <row r="368" spans="2:9" x14ac:dyDescent="0.2">
      <c r="B368" s="146"/>
    </row>
    <row r="369" spans="2:9" x14ac:dyDescent="0.2">
      <c r="B369" s="146"/>
    </row>
    <row r="370" spans="2:9" ht="13.5" thickBot="1" x14ac:dyDescent="0.25">
      <c r="B370" s="141" t="s">
        <v>1433</v>
      </c>
      <c r="E370" s="141" t="s">
        <v>1317</v>
      </c>
      <c r="H370" s="141" t="s">
        <v>1434</v>
      </c>
    </row>
    <row r="371" spans="2:9" ht="13.5" thickBot="1" x14ac:dyDescent="0.25">
      <c r="B371" s="243" t="s">
        <v>1267</v>
      </c>
      <c r="C371" s="244" t="s">
        <v>32</v>
      </c>
      <c r="E371" s="243" t="s">
        <v>1267</v>
      </c>
      <c r="F371" s="244" t="s">
        <v>64</v>
      </c>
      <c r="H371" s="243" t="s">
        <v>1267</v>
      </c>
      <c r="I371" s="244" t="s">
        <v>32</v>
      </c>
    </row>
    <row r="372" spans="2:9" ht="13.5" thickBot="1" x14ac:dyDescent="0.25">
      <c r="B372" s="243" t="s">
        <v>1261</v>
      </c>
      <c r="C372" s="244" t="s">
        <v>1450</v>
      </c>
      <c r="E372" s="243" t="s">
        <v>1261</v>
      </c>
      <c r="F372" s="244" t="s">
        <v>1450</v>
      </c>
      <c r="H372" s="243" t="s">
        <v>1261</v>
      </c>
      <c r="I372" s="244" t="s">
        <v>1450</v>
      </c>
    </row>
    <row r="373" spans="2:9" ht="13.5" thickBot="1" x14ac:dyDescent="0.25">
      <c r="B373" s="243" t="s">
        <v>1260</v>
      </c>
      <c r="C373" s="244" t="s">
        <v>1257</v>
      </c>
      <c r="E373" s="243" t="s">
        <v>1260</v>
      </c>
      <c r="F373" s="244" t="s">
        <v>1257</v>
      </c>
      <c r="H373" s="243" t="s">
        <v>1260</v>
      </c>
      <c r="I373" s="244" t="s">
        <v>1257</v>
      </c>
    </row>
    <row r="374" spans="2:9" ht="13.5" thickBot="1" x14ac:dyDescent="0.25"/>
    <row r="375" spans="2:9" x14ac:dyDescent="0.2">
      <c r="B375" s="245" t="s">
        <v>1244</v>
      </c>
      <c r="C375" s="247" t="s">
        <v>1440</v>
      </c>
      <c r="E375" s="245" t="s">
        <v>1244</v>
      </c>
      <c r="F375" s="247" t="s">
        <v>1440</v>
      </c>
      <c r="H375" s="245" t="s">
        <v>1244</v>
      </c>
      <c r="I375" s="247" t="s">
        <v>1440</v>
      </c>
    </row>
    <row r="376" spans="2:9" x14ac:dyDescent="0.2">
      <c r="B376" s="251" t="s">
        <v>1399</v>
      </c>
      <c r="C376" s="252">
        <v>2</v>
      </c>
      <c r="E376" s="251" t="s">
        <v>1399</v>
      </c>
      <c r="F376" s="252">
        <v>1</v>
      </c>
      <c r="H376" s="251" t="s">
        <v>1399</v>
      </c>
      <c r="I376" s="252">
        <v>-1</v>
      </c>
    </row>
    <row r="377" spans="2:9" x14ac:dyDescent="0.2">
      <c r="B377" s="251" t="s">
        <v>1384</v>
      </c>
      <c r="C377" s="252">
        <v>6</v>
      </c>
      <c r="E377" s="251" t="s">
        <v>1384</v>
      </c>
      <c r="F377" s="252">
        <v>3</v>
      </c>
      <c r="H377" s="251" t="s">
        <v>1384</v>
      </c>
      <c r="I377" s="252">
        <v>5</v>
      </c>
    </row>
    <row r="378" spans="2:9" x14ac:dyDescent="0.2">
      <c r="B378" s="251" t="s">
        <v>1563</v>
      </c>
      <c r="C378" s="252">
        <v>50</v>
      </c>
      <c r="E378" s="251" t="s">
        <v>1400</v>
      </c>
      <c r="F378" s="252">
        <v>7</v>
      </c>
      <c r="H378" s="251" t="s">
        <v>1563</v>
      </c>
      <c r="I378" s="252">
        <v>14</v>
      </c>
    </row>
    <row r="379" spans="2:9" x14ac:dyDescent="0.2">
      <c r="B379" s="251" t="s">
        <v>1560</v>
      </c>
      <c r="C379" s="252">
        <v>1</v>
      </c>
      <c r="E379" s="251" t="s">
        <v>1401</v>
      </c>
      <c r="F379" s="252">
        <v>3</v>
      </c>
      <c r="H379" s="251" t="s">
        <v>1560</v>
      </c>
      <c r="I379" s="252">
        <v>0</v>
      </c>
    </row>
    <row r="380" spans="2:9" x14ac:dyDescent="0.2">
      <c r="B380" s="251" t="s">
        <v>1400</v>
      </c>
      <c r="C380" s="252">
        <v>5</v>
      </c>
      <c r="E380" s="251" t="s">
        <v>1402</v>
      </c>
      <c r="F380" s="252">
        <v>2</v>
      </c>
      <c r="H380" s="251" t="s">
        <v>1400</v>
      </c>
      <c r="I380" s="252">
        <v>3</v>
      </c>
    </row>
    <row r="381" spans="2:9" x14ac:dyDescent="0.2">
      <c r="B381" s="251" t="s">
        <v>1401</v>
      </c>
      <c r="C381" s="252">
        <v>11</v>
      </c>
      <c r="E381" s="251" t="s">
        <v>1403</v>
      </c>
      <c r="F381" s="252">
        <v>92</v>
      </c>
      <c r="H381" s="251" t="s">
        <v>1559</v>
      </c>
      <c r="I381" s="252">
        <v>8</v>
      </c>
    </row>
    <row r="382" spans="2:9" x14ac:dyDescent="0.2">
      <c r="B382" s="251" t="s">
        <v>1559</v>
      </c>
      <c r="C382" s="252">
        <v>24</v>
      </c>
      <c r="E382" s="251" t="s">
        <v>1404</v>
      </c>
      <c r="F382" s="252">
        <v>20</v>
      </c>
      <c r="H382" s="251" t="s">
        <v>1403</v>
      </c>
      <c r="I382" s="252">
        <v>2</v>
      </c>
    </row>
    <row r="383" spans="2:9" x14ac:dyDescent="0.2">
      <c r="B383" s="251" t="s">
        <v>1402</v>
      </c>
      <c r="C383" s="252">
        <v>18</v>
      </c>
      <c r="E383" s="251" t="s">
        <v>1405</v>
      </c>
      <c r="F383" s="252">
        <v>15</v>
      </c>
      <c r="H383" s="251" t="s">
        <v>1562</v>
      </c>
      <c r="I383" s="252">
        <v>2</v>
      </c>
    </row>
    <row r="384" spans="2:9" x14ac:dyDescent="0.2">
      <c r="B384" s="251" t="s">
        <v>1403</v>
      </c>
      <c r="C384" s="252">
        <v>7</v>
      </c>
      <c r="E384" s="251" t="s">
        <v>1406</v>
      </c>
      <c r="F384" s="252">
        <v>15</v>
      </c>
      <c r="H384" s="251" t="s">
        <v>1404</v>
      </c>
      <c r="I384" s="252">
        <v>84</v>
      </c>
    </row>
    <row r="385" spans="2:9" x14ac:dyDescent="0.2">
      <c r="B385" s="251" t="s">
        <v>1562</v>
      </c>
      <c r="C385" s="252">
        <v>8</v>
      </c>
      <c r="E385" s="251" t="s">
        <v>1387</v>
      </c>
      <c r="F385" s="252">
        <v>17</v>
      </c>
      <c r="H385" s="251" t="s">
        <v>1405</v>
      </c>
      <c r="I385" s="252">
        <v>20</v>
      </c>
    </row>
    <row r="386" spans="2:9" x14ac:dyDescent="0.2">
      <c r="B386" s="251" t="s">
        <v>1404</v>
      </c>
      <c r="C386" s="252">
        <v>1</v>
      </c>
      <c r="E386" s="251" t="s">
        <v>1407</v>
      </c>
      <c r="F386" s="252">
        <v>104</v>
      </c>
      <c r="H386" s="251" t="s">
        <v>1406</v>
      </c>
      <c r="I386" s="252">
        <v>7</v>
      </c>
    </row>
    <row r="387" spans="2:9" x14ac:dyDescent="0.2">
      <c r="B387" s="251" t="s">
        <v>1405</v>
      </c>
      <c r="C387" s="252">
        <v>4</v>
      </c>
      <c r="E387" s="251" t="s">
        <v>1408</v>
      </c>
      <c r="F387" s="252">
        <v>3</v>
      </c>
      <c r="H387" s="251" t="s">
        <v>1561</v>
      </c>
      <c r="I387" s="252">
        <v>14</v>
      </c>
    </row>
    <row r="388" spans="2:9" x14ac:dyDescent="0.2">
      <c r="B388" s="251" t="s">
        <v>1406</v>
      </c>
      <c r="C388" s="252">
        <v>0</v>
      </c>
      <c r="E388" s="251" t="s">
        <v>1391</v>
      </c>
      <c r="F388" s="252">
        <v>12</v>
      </c>
      <c r="H388" s="251" t="s">
        <v>1387</v>
      </c>
      <c r="I388" s="252">
        <v>2</v>
      </c>
    </row>
    <row r="389" spans="2:9" x14ac:dyDescent="0.2">
      <c r="B389" s="251" t="s">
        <v>1561</v>
      </c>
      <c r="C389" s="252">
        <v>3</v>
      </c>
      <c r="E389" s="251" t="s">
        <v>1563</v>
      </c>
      <c r="F389" s="252">
        <v>7</v>
      </c>
      <c r="H389" s="251" t="s">
        <v>1407</v>
      </c>
      <c r="I389" s="252">
        <v>6</v>
      </c>
    </row>
    <row r="390" spans="2:9" x14ac:dyDescent="0.2">
      <c r="B390" s="251" t="s">
        <v>1387</v>
      </c>
      <c r="C390" s="252">
        <v>1</v>
      </c>
      <c r="E390" s="251" t="s">
        <v>1559</v>
      </c>
      <c r="F390" s="252">
        <v>5</v>
      </c>
      <c r="H390" s="251" t="s">
        <v>1408</v>
      </c>
      <c r="I390" s="252">
        <v>1</v>
      </c>
    </row>
    <row r="391" spans="2:9" x14ac:dyDescent="0.2">
      <c r="B391" s="251" t="s">
        <v>1407</v>
      </c>
      <c r="C391" s="252">
        <v>3</v>
      </c>
      <c r="E391" s="251" t="s">
        <v>1560</v>
      </c>
      <c r="F391" s="252">
        <v>261</v>
      </c>
      <c r="H391" s="251" t="s">
        <v>1391</v>
      </c>
      <c r="I391" s="252">
        <v>2</v>
      </c>
    </row>
    <row r="392" spans="2:9" ht="13.5" thickBot="1" x14ac:dyDescent="0.25">
      <c r="B392" s="251" t="s">
        <v>1408</v>
      </c>
      <c r="C392" s="252">
        <v>1</v>
      </c>
      <c r="E392" s="251" t="s">
        <v>1562</v>
      </c>
      <c r="F392" s="252">
        <v>95</v>
      </c>
      <c r="H392" s="253" t="s">
        <v>1246</v>
      </c>
      <c r="I392" s="254">
        <v>169</v>
      </c>
    </row>
    <row r="393" spans="2:9" x14ac:dyDescent="0.2">
      <c r="B393" s="251" t="s">
        <v>1391</v>
      </c>
      <c r="C393" s="252">
        <v>-5</v>
      </c>
      <c r="E393" s="251" t="s">
        <v>1561</v>
      </c>
      <c r="F393" s="252">
        <v>213</v>
      </c>
    </row>
    <row r="394" spans="2:9" ht="13.5" thickBot="1" x14ac:dyDescent="0.25">
      <c r="B394" s="253" t="s">
        <v>1246</v>
      </c>
      <c r="C394" s="254">
        <v>140</v>
      </c>
      <c r="E394" s="253" t="s">
        <v>1246</v>
      </c>
      <c r="F394" s="254">
        <v>875</v>
      </c>
    </row>
    <row r="401" spans="2:9" x14ac:dyDescent="0.2">
      <c r="B401" s="142"/>
      <c r="E401" s="142"/>
      <c r="H401" s="142"/>
    </row>
    <row r="402" spans="2:9" ht="13.5" thickBot="1" x14ac:dyDescent="0.25">
      <c r="B402" s="141" t="s">
        <v>1435</v>
      </c>
      <c r="E402" s="141" t="s">
        <v>1521</v>
      </c>
      <c r="H402" s="141" t="s">
        <v>1435</v>
      </c>
    </row>
    <row r="403" spans="2:9" ht="13.5" thickBot="1" x14ac:dyDescent="0.25">
      <c r="B403" s="243" t="s">
        <v>1267</v>
      </c>
      <c r="C403" s="244" t="s">
        <v>64</v>
      </c>
      <c r="E403" s="243" t="s">
        <v>1267</v>
      </c>
      <c r="F403" s="244" t="s">
        <v>32</v>
      </c>
      <c r="H403" s="243" t="s">
        <v>1267</v>
      </c>
      <c r="I403" s="244" t="s">
        <v>64</v>
      </c>
    </row>
    <row r="404" spans="2:9" ht="13.5" thickBot="1" x14ac:dyDescent="0.25">
      <c r="B404" s="243" t="s">
        <v>1261</v>
      </c>
      <c r="C404" s="244" t="s">
        <v>1245</v>
      </c>
      <c r="E404" s="243" t="s">
        <v>1261</v>
      </c>
      <c r="F404" s="244" t="s">
        <v>1262</v>
      </c>
      <c r="H404" s="243" t="s">
        <v>1261</v>
      </c>
      <c r="I404" s="244" t="s">
        <v>1262</v>
      </c>
    </row>
    <row r="405" spans="2:9" ht="13.5" thickBot="1" x14ac:dyDescent="0.25">
      <c r="B405" s="243" t="s">
        <v>1260</v>
      </c>
      <c r="C405" s="244" t="s">
        <v>1257</v>
      </c>
      <c r="E405" s="243" t="s">
        <v>1260</v>
      </c>
      <c r="F405" s="244" t="s">
        <v>1450</v>
      </c>
      <c r="H405" s="243" t="s">
        <v>1260</v>
      </c>
      <c r="I405" s="244" t="s">
        <v>1450</v>
      </c>
    </row>
    <row r="406" spans="2:9" ht="13.5" thickBot="1" x14ac:dyDescent="0.25"/>
    <row r="407" spans="2:9" x14ac:dyDescent="0.2">
      <c r="B407" s="245" t="s">
        <v>1244</v>
      </c>
      <c r="C407" s="247" t="s">
        <v>1440</v>
      </c>
      <c r="E407" s="245" t="s">
        <v>1244</v>
      </c>
      <c r="F407" s="247" t="s">
        <v>1440</v>
      </c>
      <c r="H407" s="245" t="s">
        <v>1244</v>
      </c>
      <c r="I407" s="247" t="s">
        <v>1440</v>
      </c>
    </row>
    <row r="408" spans="2:9" x14ac:dyDescent="0.2">
      <c r="B408" s="251" t="s">
        <v>1399</v>
      </c>
      <c r="C408" s="252">
        <v>0</v>
      </c>
      <c r="E408" s="251" t="s">
        <v>1384</v>
      </c>
      <c r="F408" s="252">
        <v>1</v>
      </c>
      <c r="H408" s="251" t="s">
        <v>1384</v>
      </c>
      <c r="I408" s="252">
        <v>2</v>
      </c>
    </row>
    <row r="409" spans="2:9" x14ac:dyDescent="0.2">
      <c r="B409" s="251" t="s">
        <v>1384</v>
      </c>
      <c r="C409" s="252">
        <v>4</v>
      </c>
      <c r="E409" s="251" t="s">
        <v>1403</v>
      </c>
      <c r="F409" s="252">
        <v>1</v>
      </c>
      <c r="H409" s="251" t="s">
        <v>1400</v>
      </c>
      <c r="I409" s="252">
        <v>4</v>
      </c>
    </row>
    <row r="410" spans="2:9" x14ac:dyDescent="0.2">
      <c r="B410" s="251" t="s">
        <v>1563</v>
      </c>
      <c r="C410" s="252">
        <v>8</v>
      </c>
      <c r="E410" s="251" t="s">
        <v>1405</v>
      </c>
      <c r="F410" s="252">
        <v>10</v>
      </c>
      <c r="H410" s="251" t="s">
        <v>1401</v>
      </c>
      <c r="I410" s="252">
        <v>1</v>
      </c>
    </row>
    <row r="411" spans="2:9" x14ac:dyDescent="0.2">
      <c r="B411" s="251" t="s">
        <v>1560</v>
      </c>
      <c r="C411" s="252">
        <v>3</v>
      </c>
      <c r="E411" s="251" t="s">
        <v>1387</v>
      </c>
      <c r="F411" s="252">
        <v>4</v>
      </c>
      <c r="H411" s="251" t="s">
        <v>1403</v>
      </c>
      <c r="I411" s="252">
        <v>31</v>
      </c>
    </row>
    <row r="412" spans="2:9" x14ac:dyDescent="0.2">
      <c r="B412" s="251" t="s">
        <v>1400</v>
      </c>
      <c r="C412" s="252">
        <v>2</v>
      </c>
      <c r="E412" s="251" t="s">
        <v>1407</v>
      </c>
      <c r="F412" s="252">
        <v>5</v>
      </c>
      <c r="H412" s="251" t="s">
        <v>1404</v>
      </c>
      <c r="I412" s="252">
        <v>3</v>
      </c>
    </row>
    <row r="413" spans="2:9" x14ac:dyDescent="0.2">
      <c r="B413" s="251" t="s">
        <v>1559</v>
      </c>
      <c r="C413" s="252">
        <v>2</v>
      </c>
      <c r="E413" s="251" t="s">
        <v>1563</v>
      </c>
      <c r="F413" s="252">
        <v>12</v>
      </c>
      <c r="H413" s="251" t="s">
        <v>1405</v>
      </c>
      <c r="I413" s="252">
        <v>9</v>
      </c>
    </row>
    <row r="414" spans="2:9" x14ac:dyDescent="0.2">
      <c r="B414" s="251" t="s">
        <v>1402</v>
      </c>
      <c r="C414" s="252">
        <v>2</v>
      </c>
      <c r="E414" s="251" t="s">
        <v>1562</v>
      </c>
      <c r="F414" s="252">
        <v>2</v>
      </c>
      <c r="H414" s="251" t="s">
        <v>1406</v>
      </c>
      <c r="I414" s="252">
        <v>7</v>
      </c>
    </row>
    <row r="415" spans="2:9" x14ac:dyDescent="0.2">
      <c r="B415" s="251" t="s">
        <v>1562</v>
      </c>
      <c r="C415" s="252">
        <v>1</v>
      </c>
      <c r="E415" s="251" t="s">
        <v>1561</v>
      </c>
      <c r="F415" s="252">
        <v>6</v>
      </c>
      <c r="H415" s="251" t="s">
        <v>1387</v>
      </c>
      <c r="I415" s="252">
        <v>20</v>
      </c>
    </row>
    <row r="416" spans="2:9" ht="13.5" thickBot="1" x14ac:dyDescent="0.25">
      <c r="B416" s="251" t="s">
        <v>1404</v>
      </c>
      <c r="C416" s="252">
        <v>1</v>
      </c>
      <c r="E416" s="253" t="s">
        <v>1246</v>
      </c>
      <c r="F416" s="254">
        <v>41</v>
      </c>
      <c r="H416" s="251" t="s">
        <v>1407</v>
      </c>
      <c r="I416" s="252">
        <v>3</v>
      </c>
    </row>
    <row r="417" spans="2:9" ht="15" x14ac:dyDescent="0.25">
      <c r="B417" s="251" t="s">
        <v>1405</v>
      </c>
      <c r="C417" s="252">
        <v>1</v>
      </c>
      <c r="E417" s="1"/>
      <c r="F417" s="1"/>
      <c r="H417" s="251" t="s">
        <v>1563</v>
      </c>
      <c r="I417" s="252">
        <v>20</v>
      </c>
    </row>
    <row r="418" spans="2:9" ht="15" x14ac:dyDescent="0.25">
      <c r="B418" s="251" t="s">
        <v>1406</v>
      </c>
      <c r="C418" s="252">
        <v>8</v>
      </c>
      <c r="E418" s="1"/>
      <c r="F418" s="1"/>
      <c r="H418" s="251" t="s">
        <v>1559</v>
      </c>
      <c r="I418" s="252">
        <v>6</v>
      </c>
    </row>
    <row r="419" spans="2:9" ht="15" x14ac:dyDescent="0.25">
      <c r="B419" s="251" t="s">
        <v>1561</v>
      </c>
      <c r="C419" s="252">
        <v>5</v>
      </c>
      <c r="E419" s="1"/>
      <c r="F419" s="1"/>
      <c r="H419" s="251" t="s">
        <v>1561</v>
      </c>
      <c r="I419" s="252">
        <v>5</v>
      </c>
    </row>
    <row r="420" spans="2:9" ht="13.5" thickBot="1" x14ac:dyDescent="0.25">
      <c r="B420" s="251" t="s">
        <v>1387</v>
      </c>
      <c r="C420" s="252">
        <v>4</v>
      </c>
      <c r="H420" s="253" t="s">
        <v>1246</v>
      </c>
      <c r="I420" s="254">
        <v>111</v>
      </c>
    </row>
    <row r="421" spans="2:9" ht="15" x14ac:dyDescent="0.25">
      <c r="B421" s="251" t="s">
        <v>1407</v>
      </c>
      <c r="C421" s="252">
        <v>5</v>
      </c>
      <c r="H421" s="1"/>
      <c r="I421" s="1"/>
    </row>
    <row r="422" spans="2:9" x14ac:dyDescent="0.2">
      <c r="B422" s="251" t="s">
        <v>1408</v>
      </c>
      <c r="C422" s="252">
        <v>-4</v>
      </c>
    </row>
    <row r="423" spans="2:9" ht="13.5" thickBot="1" x14ac:dyDescent="0.25">
      <c r="B423" s="253" t="s">
        <v>1246</v>
      </c>
      <c r="C423" s="254">
        <v>42</v>
      </c>
    </row>
    <row r="424" spans="2:9" ht="15" x14ac:dyDescent="0.25">
      <c r="B424" s="1"/>
      <c r="C424" s="1"/>
    </row>
    <row r="425" spans="2:9" ht="15" x14ac:dyDescent="0.25">
      <c r="B425" s="1"/>
      <c r="C425" s="1"/>
    </row>
    <row r="426" spans="2:9" ht="15.75" thickBot="1" x14ac:dyDescent="0.3">
      <c r="B426" s="1"/>
      <c r="C426" s="1"/>
    </row>
    <row r="428" spans="2:9" ht="13.5" thickBot="1" x14ac:dyDescent="0.25">
      <c r="B428" s="144" t="s">
        <v>1626</v>
      </c>
    </row>
    <row r="429" spans="2:9" ht="15.75" thickBot="1" x14ac:dyDescent="0.3">
      <c r="B429" s="1"/>
      <c r="C429" s="1"/>
    </row>
    <row r="430" spans="2:9" ht="13.5" thickBot="1" x14ac:dyDescent="0.25">
      <c r="B430" s="243" t="s">
        <v>1267</v>
      </c>
      <c r="C430" s="244" t="s">
        <v>1257</v>
      </c>
    </row>
    <row r="431" spans="2:9" ht="13.5" thickBot="1" x14ac:dyDescent="0.25">
      <c r="B431" s="243" t="s">
        <v>1449</v>
      </c>
      <c r="C431" s="244" t="s">
        <v>1450</v>
      </c>
    </row>
    <row r="432" spans="2:9" ht="13.5" thickBot="1" x14ac:dyDescent="0.25"/>
    <row r="433" spans="2:14" x14ac:dyDescent="0.2">
      <c r="B433" s="245" t="s">
        <v>1567</v>
      </c>
      <c r="C433" s="246" t="s">
        <v>1568</v>
      </c>
      <c r="D433" s="246" t="s">
        <v>1569</v>
      </c>
      <c r="E433" s="246" t="s">
        <v>1570</v>
      </c>
      <c r="F433" s="246" t="s">
        <v>1571</v>
      </c>
      <c r="G433" s="246" t="s">
        <v>1573</v>
      </c>
      <c r="H433" s="246" t="s">
        <v>1574</v>
      </c>
      <c r="I433" s="246" t="s">
        <v>1575</v>
      </c>
      <c r="J433" s="246" t="s">
        <v>1576</v>
      </c>
      <c r="K433" s="247" t="s">
        <v>1577</v>
      </c>
    </row>
    <row r="434" spans="2:14" ht="13.5" thickBot="1" x14ac:dyDescent="0.25">
      <c r="B434" s="248">
        <v>219.75</v>
      </c>
      <c r="C434" s="249">
        <v>283.75</v>
      </c>
      <c r="D434" s="249">
        <v>641.75</v>
      </c>
      <c r="E434" s="249">
        <v>411.75</v>
      </c>
      <c r="F434" s="249">
        <v>815.75</v>
      </c>
      <c r="G434" s="249">
        <v>369.75</v>
      </c>
      <c r="H434" s="249">
        <v>465.25</v>
      </c>
      <c r="I434" s="249">
        <v>687.25</v>
      </c>
      <c r="J434" s="249">
        <v>441</v>
      </c>
      <c r="K434" s="250">
        <v>441</v>
      </c>
    </row>
    <row r="438" spans="2:14" ht="13.5" thickBot="1" x14ac:dyDescent="0.25">
      <c r="B438" s="144" t="s">
        <v>1627</v>
      </c>
      <c r="C438" s="144"/>
    </row>
    <row r="439" spans="2:14" ht="13.5" thickBot="1" x14ac:dyDescent="0.25">
      <c r="B439" s="243" t="s">
        <v>1267</v>
      </c>
      <c r="C439" s="244" t="s">
        <v>1257</v>
      </c>
    </row>
    <row r="440" spans="2:14" ht="13.5" thickBot="1" x14ac:dyDescent="0.25"/>
    <row r="441" spans="2:14" x14ac:dyDescent="0.2">
      <c r="B441" s="245" t="s">
        <v>1567</v>
      </c>
      <c r="C441" s="246" t="s">
        <v>1568</v>
      </c>
      <c r="D441" s="246" t="s">
        <v>1569</v>
      </c>
      <c r="E441" s="246" t="s">
        <v>1570</v>
      </c>
      <c r="F441" s="246" t="s">
        <v>1571</v>
      </c>
      <c r="G441" s="246" t="s">
        <v>1573</v>
      </c>
      <c r="H441" s="246" t="s">
        <v>1574</v>
      </c>
      <c r="I441" s="246" t="s">
        <v>1575</v>
      </c>
      <c r="J441" s="246" t="s">
        <v>1576</v>
      </c>
      <c r="K441" s="247" t="s">
        <v>1577</v>
      </c>
    </row>
    <row r="442" spans="2:14" ht="13.5" thickBot="1" x14ac:dyDescent="0.25">
      <c r="B442" s="248"/>
      <c r="C442" s="249">
        <v>24.722222222222221</v>
      </c>
      <c r="D442" s="249">
        <v>62.9</v>
      </c>
      <c r="E442" s="249">
        <v>34.4</v>
      </c>
      <c r="F442" s="249">
        <v>34.4</v>
      </c>
      <c r="G442" s="249"/>
      <c r="H442" s="249"/>
      <c r="I442" s="249"/>
      <c r="J442" s="249"/>
      <c r="K442" s="250"/>
    </row>
    <row r="445" spans="2:14" ht="13.5" thickBot="1" x14ac:dyDescent="0.25"/>
    <row r="446" spans="2:14" ht="13.5" thickBot="1" x14ac:dyDescent="0.25">
      <c r="B446" s="243" t="s">
        <v>1267</v>
      </c>
      <c r="C446" s="244" t="s">
        <v>1257</v>
      </c>
    </row>
    <row r="447" spans="2:14" ht="13.5" thickBot="1" x14ac:dyDescent="0.25"/>
    <row r="448" spans="2:14" x14ac:dyDescent="0.2">
      <c r="B448" s="245" t="s">
        <v>1244</v>
      </c>
      <c r="C448" s="246" t="s">
        <v>1567</v>
      </c>
      <c r="D448" s="246" t="s">
        <v>1568</v>
      </c>
      <c r="E448" s="246" t="s">
        <v>1569</v>
      </c>
      <c r="F448" s="246" t="s">
        <v>1570</v>
      </c>
      <c r="G448" s="246" t="s">
        <v>1571</v>
      </c>
      <c r="H448" s="246" t="s">
        <v>1572</v>
      </c>
      <c r="I448" s="246" t="s">
        <v>1573</v>
      </c>
      <c r="J448" s="246" t="s">
        <v>1574</v>
      </c>
      <c r="K448" s="246" t="s">
        <v>1575</v>
      </c>
      <c r="L448" s="246" t="s">
        <v>1576</v>
      </c>
      <c r="M448" s="246" t="s">
        <v>1577</v>
      </c>
      <c r="N448" s="247" t="s">
        <v>1556</v>
      </c>
    </row>
    <row r="449" spans="2:14" x14ac:dyDescent="0.2">
      <c r="B449" s="251" t="s">
        <v>1563</v>
      </c>
      <c r="C449" s="145"/>
      <c r="D449" s="145"/>
      <c r="E449" s="145"/>
      <c r="F449" s="145">
        <v>50</v>
      </c>
      <c r="G449" s="145">
        <v>50</v>
      </c>
      <c r="H449" s="145">
        <v>100</v>
      </c>
      <c r="I449" s="145"/>
      <c r="J449" s="145"/>
      <c r="K449" s="145"/>
      <c r="L449" s="145"/>
      <c r="M449" s="145"/>
      <c r="N449" s="261">
        <v>100</v>
      </c>
    </row>
    <row r="450" spans="2:14" x14ac:dyDescent="0.2">
      <c r="B450" s="251" t="s">
        <v>1562</v>
      </c>
      <c r="C450" s="145">
        <v>0</v>
      </c>
      <c r="D450" s="145">
        <v>0</v>
      </c>
      <c r="E450" s="145">
        <v>0</v>
      </c>
      <c r="F450" s="145">
        <v>0</v>
      </c>
      <c r="G450" s="145">
        <v>150</v>
      </c>
      <c r="H450" s="145">
        <v>150</v>
      </c>
      <c r="I450" s="145">
        <v>80</v>
      </c>
      <c r="J450" s="145">
        <v>80</v>
      </c>
      <c r="K450" s="145">
        <v>80</v>
      </c>
      <c r="L450" s="145">
        <v>80</v>
      </c>
      <c r="M450" s="145">
        <v>80</v>
      </c>
      <c r="N450" s="261">
        <v>550</v>
      </c>
    </row>
    <row r="451" spans="2:14" x14ac:dyDescent="0.2">
      <c r="B451" s="251" t="s">
        <v>1404</v>
      </c>
      <c r="C451" s="145">
        <v>0</v>
      </c>
      <c r="D451" s="145">
        <v>0</v>
      </c>
      <c r="E451" s="145">
        <v>0</v>
      </c>
      <c r="F451" s="145">
        <v>0</v>
      </c>
      <c r="G451" s="145">
        <v>96.25</v>
      </c>
      <c r="H451" s="145">
        <v>96.25</v>
      </c>
      <c r="I451" s="145">
        <v>146.25</v>
      </c>
      <c r="J451" s="145">
        <v>146.25</v>
      </c>
      <c r="K451" s="145">
        <v>146.25</v>
      </c>
      <c r="L451" s="145">
        <v>50</v>
      </c>
      <c r="M451" s="145">
        <v>50</v>
      </c>
      <c r="N451" s="261">
        <v>635</v>
      </c>
    </row>
    <row r="452" spans="2:14" x14ac:dyDescent="0.2">
      <c r="B452" s="251" t="s">
        <v>1405</v>
      </c>
      <c r="C452" s="145">
        <v>0</v>
      </c>
      <c r="D452" s="145">
        <v>0</v>
      </c>
      <c r="E452" s="145">
        <v>12</v>
      </c>
      <c r="F452" s="145">
        <v>0</v>
      </c>
      <c r="G452" s="145">
        <v>0</v>
      </c>
      <c r="H452" s="145">
        <v>12</v>
      </c>
      <c r="I452" s="145">
        <v>0</v>
      </c>
      <c r="J452" s="145">
        <v>0</v>
      </c>
      <c r="K452" s="145">
        <v>0</v>
      </c>
      <c r="L452" s="145">
        <v>0</v>
      </c>
      <c r="M452" s="145">
        <v>0</v>
      </c>
      <c r="N452" s="261">
        <v>12</v>
      </c>
    </row>
    <row r="453" spans="2:14" x14ac:dyDescent="0.2">
      <c r="B453" s="251" t="s">
        <v>1406</v>
      </c>
      <c r="C453" s="145"/>
      <c r="D453" s="145"/>
      <c r="E453" s="145">
        <v>7</v>
      </c>
      <c r="F453" s="145"/>
      <c r="G453" s="145"/>
      <c r="H453" s="145">
        <v>7</v>
      </c>
      <c r="I453" s="145"/>
      <c r="J453" s="145"/>
      <c r="K453" s="145"/>
      <c r="L453" s="145"/>
      <c r="M453" s="145"/>
      <c r="N453" s="261">
        <v>7</v>
      </c>
    </row>
    <row r="454" spans="2:14" x14ac:dyDescent="0.2">
      <c r="B454" s="251" t="s">
        <v>1387</v>
      </c>
      <c r="C454" s="145">
        <v>0</v>
      </c>
      <c r="D454" s="145">
        <v>0</v>
      </c>
      <c r="E454" s="145">
        <v>0</v>
      </c>
      <c r="F454" s="145">
        <v>0</v>
      </c>
      <c r="G454" s="145">
        <v>20</v>
      </c>
      <c r="H454" s="145">
        <v>20</v>
      </c>
      <c r="I454" s="145">
        <v>0</v>
      </c>
      <c r="J454" s="145">
        <v>5</v>
      </c>
      <c r="K454" s="145">
        <v>5</v>
      </c>
      <c r="L454" s="145">
        <v>5</v>
      </c>
      <c r="M454" s="145">
        <v>5</v>
      </c>
      <c r="N454" s="261">
        <v>40</v>
      </c>
    </row>
    <row r="455" spans="2:14" x14ac:dyDescent="0.2">
      <c r="B455" s="251" t="s">
        <v>1407</v>
      </c>
      <c r="C455" s="145">
        <v>0</v>
      </c>
      <c r="D455" s="145">
        <v>0</v>
      </c>
      <c r="E455" s="145">
        <v>0</v>
      </c>
      <c r="F455" s="145">
        <v>10</v>
      </c>
      <c r="G455" s="145">
        <v>10</v>
      </c>
      <c r="H455" s="145">
        <v>20</v>
      </c>
      <c r="I455" s="145">
        <v>0</v>
      </c>
      <c r="J455" s="145">
        <v>0</v>
      </c>
      <c r="K455" s="145">
        <v>0</v>
      </c>
      <c r="L455" s="145">
        <v>0</v>
      </c>
      <c r="M455" s="145">
        <v>0</v>
      </c>
      <c r="N455" s="261">
        <v>20</v>
      </c>
    </row>
    <row r="456" spans="2:14" x14ac:dyDescent="0.2">
      <c r="B456" s="251" t="s">
        <v>1391</v>
      </c>
      <c r="C456" s="145">
        <v>0</v>
      </c>
      <c r="D456" s="145">
        <v>0</v>
      </c>
      <c r="E456" s="145">
        <v>0</v>
      </c>
      <c r="F456" s="145">
        <v>10</v>
      </c>
      <c r="G456" s="145">
        <v>10</v>
      </c>
      <c r="H456" s="145">
        <v>20</v>
      </c>
      <c r="I456" s="145">
        <v>0</v>
      </c>
      <c r="J456" s="145">
        <v>0</v>
      </c>
      <c r="K456" s="145">
        <v>0</v>
      </c>
      <c r="L456" s="145">
        <v>0</v>
      </c>
      <c r="M456" s="145">
        <v>0</v>
      </c>
      <c r="N456" s="261">
        <v>20</v>
      </c>
    </row>
    <row r="457" spans="2:14" x14ac:dyDescent="0.2">
      <c r="B457" s="251" t="s">
        <v>400</v>
      </c>
      <c r="C457" s="145">
        <v>20</v>
      </c>
      <c r="D457" s="145">
        <v>20</v>
      </c>
      <c r="E457" s="145">
        <v>234</v>
      </c>
      <c r="F457" s="145">
        <v>234</v>
      </c>
      <c r="G457" s="145">
        <v>234</v>
      </c>
      <c r="H457" s="145">
        <v>742</v>
      </c>
      <c r="I457" s="145">
        <v>234</v>
      </c>
      <c r="J457" s="145">
        <v>234</v>
      </c>
      <c r="K457" s="145">
        <v>234</v>
      </c>
      <c r="L457" s="145">
        <v>306</v>
      </c>
      <c r="M457" s="145">
        <v>306</v>
      </c>
      <c r="N457" s="261">
        <v>2056</v>
      </c>
    </row>
    <row r="458" spans="2:14" ht="13.5" thickBot="1" x14ac:dyDescent="0.25">
      <c r="B458" s="253" t="s">
        <v>1246</v>
      </c>
      <c r="C458" s="262">
        <v>20</v>
      </c>
      <c r="D458" s="262">
        <v>20</v>
      </c>
      <c r="E458" s="262">
        <v>253</v>
      </c>
      <c r="F458" s="262">
        <v>304</v>
      </c>
      <c r="G458" s="262">
        <v>570.25</v>
      </c>
      <c r="H458" s="262">
        <v>1167.25</v>
      </c>
      <c r="I458" s="262">
        <v>460.25</v>
      </c>
      <c r="J458" s="262">
        <v>465.25</v>
      </c>
      <c r="K458" s="262">
        <v>465.25</v>
      </c>
      <c r="L458" s="262">
        <v>441</v>
      </c>
      <c r="M458" s="262">
        <v>441</v>
      </c>
      <c r="N458" s="263">
        <v>3440</v>
      </c>
    </row>
    <row r="459" spans="2:14" ht="15" x14ac:dyDescent="0.25">
      <c r="B459" s="1"/>
      <c r="C459" s="1"/>
      <c r="D459" s="1"/>
      <c r="E459" s="1"/>
      <c r="F459" s="1"/>
      <c r="G459" s="1"/>
      <c r="H459" s="1"/>
    </row>
    <row r="460" spans="2:14" ht="15" x14ac:dyDescent="0.25">
      <c r="B460" s="1"/>
      <c r="C460" s="1"/>
      <c r="D460" s="1"/>
      <c r="E460" s="1"/>
      <c r="F460" s="1"/>
      <c r="G460" s="1"/>
      <c r="H460" s="1"/>
    </row>
    <row r="461" spans="2:14" x14ac:dyDescent="0.2">
      <c r="B461" s="146"/>
      <c r="C461" s="145"/>
      <c r="D461" s="145"/>
      <c r="E461" s="145"/>
      <c r="F461" s="145"/>
      <c r="G461" s="145"/>
      <c r="H461" s="145"/>
    </row>
    <row r="463" spans="2:14" ht="15" x14ac:dyDescent="0.25">
      <c r="B463" s="1"/>
      <c r="C463" s="1"/>
    </row>
    <row r="464" spans="2:14" x14ac:dyDescent="0.2">
      <c r="B464" s="144" t="s">
        <v>1661</v>
      </c>
    </row>
    <row r="465" spans="2:17" ht="15.75" thickBot="1" x14ac:dyDescent="0.3">
      <c r="B465" s="1"/>
      <c r="C465" s="1"/>
    </row>
    <row r="466" spans="2:17" ht="13.5" thickBot="1" x14ac:dyDescent="0.25">
      <c r="B466" s="243" t="s">
        <v>1267</v>
      </c>
      <c r="C466" s="244" t="s">
        <v>1257</v>
      </c>
    </row>
    <row r="467" spans="2:17" ht="13.5" thickBot="1" x14ac:dyDescent="0.25">
      <c r="B467" s="243" t="s">
        <v>1449</v>
      </c>
      <c r="C467" s="244" t="s">
        <v>1450</v>
      </c>
    </row>
    <row r="468" spans="2:17" ht="13.5" thickBot="1" x14ac:dyDescent="0.25"/>
    <row r="469" spans="2:17" x14ac:dyDescent="0.2">
      <c r="B469" s="245" t="s">
        <v>1567</v>
      </c>
      <c r="C469" s="246" t="s">
        <v>1568</v>
      </c>
      <c r="D469" s="246" t="s">
        <v>1569</v>
      </c>
      <c r="E469" s="246" t="s">
        <v>1570</v>
      </c>
      <c r="F469" s="246" t="s">
        <v>1571</v>
      </c>
      <c r="G469" s="246" t="s">
        <v>1573</v>
      </c>
      <c r="H469" s="246" t="s">
        <v>1574</v>
      </c>
      <c r="I469" s="246" t="s">
        <v>1575</v>
      </c>
      <c r="J469" s="246" t="s">
        <v>1576</v>
      </c>
      <c r="K469" s="246" t="s">
        <v>1577</v>
      </c>
      <c r="L469" s="246" t="s">
        <v>1662</v>
      </c>
      <c r="M469" s="246" t="s">
        <v>1663</v>
      </c>
      <c r="N469" s="246" t="s">
        <v>1664</v>
      </c>
      <c r="O469" s="246" t="s">
        <v>1665</v>
      </c>
      <c r="P469" s="246" t="s">
        <v>1666</v>
      </c>
      <c r="Q469" s="247" t="s">
        <v>1667</v>
      </c>
    </row>
    <row r="470" spans="2:17" ht="13.5" thickBot="1" x14ac:dyDescent="0.25">
      <c r="B470" s="248">
        <v>219.75</v>
      </c>
      <c r="C470" s="249">
        <v>283.75</v>
      </c>
      <c r="D470" s="249">
        <v>622.75</v>
      </c>
      <c r="E470" s="249">
        <v>341.75</v>
      </c>
      <c r="F470" s="249">
        <v>479.5</v>
      </c>
      <c r="G470" s="249">
        <v>193.5</v>
      </c>
      <c r="H470" s="249">
        <v>289</v>
      </c>
      <c r="I470" s="249">
        <v>511</v>
      </c>
      <c r="J470" s="249">
        <v>361</v>
      </c>
      <c r="K470" s="249">
        <v>361</v>
      </c>
      <c r="L470" s="249">
        <v>306</v>
      </c>
      <c r="M470" s="249">
        <v>306</v>
      </c>
      <c r="N470" s="249">
        <v>306</v>
      </c>
      <c r="O470" s="249">
        <v>306</v>
      </c>
      <c r="P470" s="249">
        <v>306</v>
      </c>
      <c r="Q470" s="250">
        <v>306</v>
      </c>
    </row>
    <row r="471" spans="2:17" ht="15" x14ac:dyDescent="0.25">
      <c r="B471" s="1"/>
      <c r="C471" s="1"/>
      <c r="D471" s="1"/>
      <c r="E471" s="1"/>
      <c r="F471" s="1"/>
      <c r="G471" s="1"/>
      <c r="H471" s="1"/>
    </row>
    <row r="472" spans="2:17" ht="15" x14ac:dyDescent="0.25">
      <c r="B472" s="1"/>
      <c r="C472" s="1"/>
      <c r="D472" s="1"/>
      <c r="E472" s="1"/>
      <c r="F472" s="1"/>
      <c r="G472" s="1"/>
      <c r="H472" s="1"/>
    </row>
    <row r="473" spans="2:17" ht="15" x14ac:dyDescent="0.25">
      <c r="B473" s="1"/>
      <c r="C473" s="1"/>
      <c r="D473" s="1"/>
      <c r="E473" s="1"/>
      <c r="F473" s="1"/>
      <c r="G473" s="1"/>
      <c r="H473" s="1"/>
    </row>
    <row r="474" spans="2:17" ht="15" x14ac:dyDescent="0.25">
      <c r="B474" s="1"/>
      <c r="C474" s="1"/>
      <c r="D474" s="1"/>
      <c r="E474" s="1"/>
      <c r="F474" s="1"/>
      <c r="G474" s="1"/>
      <c r="H474" s="1"/>
    </row>
    <row r="475" spans="2:17" ht="15" x14ac:dyDescent="0.25">
      <c r="B475" s="1"/>
      <c r="C475" s="1"/>
      <c r="D475" s="1"/>
      <c r="E475" s="1"/>
      <c r="F475" s="1"/>
      <c r="G475" s="1"/>
      <c r="H475" s="1"/>
    </row>
    <row r="476" spans="2:17" ht="15" x14ac:dyDescent="0.25">
      <c r="B476" s="1"/>
      <c r="C476" s="1"/>
      <c r="D476" s="1"/>
      <c r="E476" s="1"/>
      <c r="F476" s="1"/>
      <c r="G476" s="1"/>
      <c r="H476" s="1"/>
    </row>
    <row r="477" spans="2:17" ht="15.75" thickBot="1" x14ac:dyDescent="0.3">
      <c r="B477" s="1"/>
      <c r="C477" s="1"/>
      <c r="D477" s="1"/>
      <c r="E477" s="1"/>
      <c r="F477" s="1"/>
      <c r="G477" s="1"/>
      <c r="H477" s="1"/>
    </row>
  </sheetData>
  <pageMargins left="0.7" right="0.7" top="0.75" bottom="0.75" header="0.3" footer="0.3"/>
  <pageSetup paperSize="9" orientation="portrait" r:id="rId91"/>
  <headerFooter>
    <oddHeader>&amp;L&amp;"Calibri"&amp;10&amp;K000000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0F3BBB9790784C8BCA740A553ADA9E" ma:contentTypeVersion="14" ma:contentTypeDescription="Create a new document." ma:contentTypeScope="" ma:versionID="81bbd5d7bda10802c861b8da27e7deb6">
  <xsd:schema xmlns:xsd="http://www.w3.org/2001/XMLSchema" xmlns:xs="http://www.w3.org/2001/XMLSchema" xmlns:p="http://schemas.microsoft.com/office/2006/metadata/properties" xmlns:ns2="25170e01-b109-40f9-a371-003a1bb8801d" xmlns:ns3="38a809ab-bf8d-4391-94ea-7f25297ee6a0" targetNamespace="http://schemas.microsoft.com/office/2006/metadata/properties" ma:root="true" ma:fieldsID="c8836ce5d195bd17a2c1d177a6ffe74d" ns2:_="" ns3:_="">
    <xsd:import namespace="25170e01-b109-40f9-a371-003a1bb8801d"/>
    <xsd:import namespace="38a809ab-bf8d-4391-94ea-7f25297ee6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70e01-b109-40f9-a371-003a1bb880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a809ab-bf8d-4391-94ea-7f25297ee6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260c01d-42e7-4b84-bc03-4968ce729ac0}" ma:internalName="TaxCatchAll" ma:showField="CatchAllData" ma:web="38a809ab-bf8d-4391-94ea-7f25297ee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170e01-b109-40f9-a371-003a1bb8801d">
      <Terms xmlns="http://schemas.microsoft.com/office/infopath/2007/PartnerControls"/>
    </lcf76f155ced4ddcb4097134ff3c332f>
    <TaxCatchAll xmlns="38a809ab-bf8d-4391-94ea-7f25297ee6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806CEF-BA09-4780-9B8E-B809519F3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70e01-b109-40f9-a371-003a1bb8801d"/>
    <ds:schemaRef ds:uri="38a809ab-bf8d-4391-94ea-7f25297ee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1F23D6-5471-4050-B44E-A7DCC0C8262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a809ab-bf8d-4391-94ea-7f25297ee6a0"/>
    <ds:schemaRef ds:uri="25170e01-b109-40f9-a371-003a1bb8801d"/>
    <ds:schemaRef ds:uri="http://www.w3.org/XML/1998/namespace"/>
    <ds:schemaRef ds:uri="http://purl.org/dc/dcmitype/"/>
  </ds:schemaRefs>
</ds:datastoreItem>
</file>

<file path=customXml/itemProps3.xml><?xml version="1.0" encoding="utf-8"?>
<ds:datastoreItem xmlns:ds="http://schemas.openxmlformats.org/officeDocument/2006/customXml" ds:itemID="{44003405-A793-4172-AA0E-A5EAA187F405}">
  <ds:schemaRefs>
    <ds:schemaRef ds:uri="http://schemas.microsoft.com/sharepoint/v3/contenttype/forms"/>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Tables</vt:lpstr>
      <vt:lpstr>Trajectory</vt:lpstr>
      <vt:lpstr>Data</vt:lpstr>
      <vt:lpstr>Non-Self-Contained</vt:lpstr>
      <vt:lpstr>Pivot</vt:lpstr>
      <vt:lpstr>Data</vt:lpstr>
      <vt:lpstr>'Summary Tables'!Print_Area</vt:lpstr>
      <vt:lpstr>Data!Print_Titles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Chris</dc:creator>
  <cp:keywords/>
  <dc:description/>
  <cp:lastModifiedBy>Rebecca Fairclough</cp:lastModifiedBy>
  <cp:revision/>
  <cp:lastPrinted>2023-11-16T14:32:38Z</cp:lastPrinted>
  <dcterms:created xsi:type="dcterms:W3CDTF">2023-04-25T09:38:49Z</dcterms:created>
  <dcterms:modified xsi:type="dcterms:W3CDTF">2023-11-28T08:56:29Z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0x010100A40F3BBB9790784C8BCA740A553ADA9E</vt:lpwstr>
  </property>
  <property fmtid="{D5CDD505-2E9C-101B-9397-08002B2CF9AE}" pid="3" name="_dlc_DocIdItemGuid">
    <vt:lpwstr>fa8458bc-4cc3-46c9-9239-e663ab50c5bd</vt:lpwstr>
  </property>
  <property fmtid="{D5CDD505-2E9C-101B-9397-08002B2CF9AE}" pid="4" name="MediaServiceImageTags">
    <vt:lpwstr/>
  </property>
</Properties>
</file>