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2.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richmondandwandsworth-my.sharepoint.com/personal/chris_williams_richmondandwandsworth_gov_uk/Documents/Desktop/AMR_20-21_Web Version/"/>
    </mc:Choice>
  </mc:AlternateContent>
  <xr:revisionPtr revIDLastSave="713" documentId="8_{99998830-FFA6-4C88-82B0-F10BC3AA4850}" xr6:coauthVersionLast="47" xr6:coauthVersionMax="47" xr10:uidLastSave="{BEBE43E6-92A4-4CFA-8F3F-F18ED886BC52}"/>
  <bookViews>
    <workbookView xWindow="-120" yWindow="-120" windowWidth="29040" windowHeight="15840" tabRatio="752" xr2:uid="{00000000-000D-0000-FFFF-FFFF00000000}"/>
  </bookViews>
  <sheets>
    <sheet name="Summary Tables" sheetId="3" r:id="rId1"/>
    <sheet name="Pivot" sheetId="4" state="hidden" r:id="rId2"/>
    <sheet name="Data" sheetId="1" r:id="rId3"/>
    <sheet name="Trajectory" sheetId="13" r:id="rId4"/>
    <sheet name="Non-Self-Contained" sheetId="12" r:id="rId5"/>
  </sheets>
  <externalReferences>
    <externalReference r:id="rId6"/>
  </externalReferences>
  <definedNames>
    <definedName name="___AMR_UNIT_JULY_v1" localSheetId="1">#REF!</definedName>
    <definedName name="___AMR_UNIT_JULY_v1" localSheetId="3">#REF!</definedName>
    <definedName name="___AMR_UNIT_JULY_v1">#REF!</definedName>
    <definedName name="_2020_AMR__COMBINED">Data!$A$1:$BK$325</definedName>
    <definedName name="_xlnm._FilterDatabase" localSheetId="2" hidden="1">Data!$A$1:$BT$345</definedName>
    <definedName name="_xlnm._FilterDatabase" localSheetId="0" hidden="1">'Summary Tables'!#REF!</definedName>
    <definedName name="bq" localSheetId="1">'[1]Scenario 1'!#REF!</definedName>
    <definedName name="bq" localSheetId="3">'[1]Scenario 1'!#REF!</definedName>
    <definedName name="bq">'[1]Scenario 1'!#REF!</definedName>
    <definedName name="_xlnm.Print_Area" localSheetId="0">'Summary Tables'!$B$2:$S$329</definedName>
    <definedName name="_xlnm.Print_Area" localSheetId="3">Trajectory!$A$1:$Y$48</definedName>
    <definedName name="_xlnm.Print_Titles" localSheetId="0">'Summary Tables'!$2:$3</definedName>
    <definedName name="SURVEY_2017_MAP_LLPG" localSheetId="1">#REF!</definedName>
    <definedName name="SURVEY_2017_MAP_LLPG" localSheetId="3">#REF!</definedName>
    <definedName name="SURVEY_2017_MAP_LLPG">#REF!</definedName>
    <definedName name="Trajectory">#REF!</definedName>
  </definedNames>
  <calcPr calcId="191028"/>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D331" i="1" l="1"/>
  <c r="AE11" i="12"/>
  <c r="M35" i="3"/>
  <c r="I312" i="3"/>
  <c r="J322" i="3"/>
  <c r="J320" i="3"/>
  <c r="F322" i="3"/>
  <c r="K326" i="3"/>
  <c r="F316" i="3"/>
  <c r="I313" i="3"/>
  <c r="H319" i="3"/>
  <c r="K320" i="3"/>
  <c r="F312" i="3"/>
  <c r="J310" i="3"/>
  <c r="J323" i="3"/>
  <c r="I323" i="3"/>
  <c r="J316" i="3"/>
  <c r="F314" i="3"/>
  <c r="F317" i="3"/>
  <c r="I316" i="3"/>
  <c r="F323" i="3"/>
  <c r="F321" i="3"/>
  <c r="F319" i="3"/>
  <c r="I308" i="3"/>
  <c r="I322" i="3"/>
  <c r="K311" i="3"/>
  <c r="H320" i="3"/>
  <c r="F308" i="3"/>
  <c r="J312" i="3"/>
  <c r="I310" i="3"/>
  <c r="I319" i="3"/>
  <c r="H324" i="3"/>
  <c r="H317" i="3"/>
  <c r="I309" i="3"/>
  <c r="F310" i="3"/>
  <c r="F320" i="3"/>
  <c r="H316" i="3"/>
  <c r="I324" i="3"/>
  <c r="I320" i="3"/>
  <c r="K323" i="3"/>
  <c r="I311" i="3"/>
  <c r="F325" i="3"/>
  <c r="J314" i="3"/>
  <c r="I315" i="3"/>
  <c r="I318" i="3"/>
  <c r="J318" i="3"/>
  <c r="H318" i="3"/>
  <c r="I314" i="3"/>
  <c r="F315" i="3"/>
  <c r="J309" i="3"/>
  <c r="K318" i="3"/>
  <c r="K325" i="3"/>
  <c r="H323" i="3"/>
  <c r="F324" i="3"/>
  <c r="F309" i="3"/>
  <c r="F311" i="3"/>
  <c r="I317" i="3"/>
  <c r="H321" i="3"/>
  <c r="K317" i="3"/>
  <c r="I325" i="3"/>
  <c r="H322" i="3"/>
  <c r="M36" i="3" l="1"/>
  <c r="M37" i="3" s="1"/>
  <c r="AH163" i="1"/>
  <c r="AF8" i="1"/>
  <c r="W2" i="1"/>
  <c r="AM201" i="1" l="1"/>
  <c r="AL201" i="1"/>
  <c r="AK201" i="1"/>
  <c r="AJ201" i="1"/>
  <c r="AI201" i="1"/>
  <c r="AH201" i="1"/>
  <c r="AG201" i="1"/>
  <c r="AF201" i="1"/>
  <c r="W201" i="1"/>
  <c r="AM200" i="1"/>
  <c r="AL200" i="1"/>
  <c r="AK200" i="1"/>
  <c r="AJ200" i="1"/>
  <c r="AI200" i="1"/>
  <c r="AH200" i="1"/>
  <c r="AG200" i="1"/>
  <c r="AF200" i="1"/>
  <c r="W200" i="1"/>
  <c r="AM199" i="1"/>
  <c r="AL199" i="1"/>
  <c r="AK199" i="1"/>
  <c r="AJ199" i="1"/>
  <c r="AI199" i="1"/>
  <c r="AH199" i="1"/>
  <c r="AG199" i="1"/>
  <c r="AF199" i="1"/>
  <c r="W199" i="1"/>
  <c r="AM198" i="1"/>
  <c r="AL198" i="1"/>
  <c r="AK198" i="1"/>
  <c r="AJ198" i="1"/>
  <c r="AI198" i="1"/>
  <c r="AH198" i="1"/>
  <c r="AG198" i="1"/>
  <c r="AF198" i="1"/>
  <c r="W198" i="1"/>
  <c r="AM197" i="1"/>
  <c r="AL197" i="1"/>
  <c r="AK197" i="1"/>
  <c r="AJ197" i="1"/>
  <c r="AI197" i="1"/>
  <c r="AH197" i="1"/>
  <c r="AG197" i="1"/>
  <c r="AF197" i="1"/>
  <c r="W197" i="1"/>
  <c r="AM196" i="1"/>
  <c r="AL196" i="1"/>
  <c r="AK196" i="1"/>
  <c r="AJ196" i="1"/>
  <c r="AI196" i="1"/>
  <c r="AH196" i="1"/>
  <c r="AG196" i="1"/>
  <c r="AF196" i="1"/>
  <c r="W196" i="1"/>
  <c r="AG248" i="1" l="1"/>
  <c r="AG288" i="1"/>
  <c r="AF288" i="1"/>
  <c r="AF248" i="1"/>
  <c r="AH248" i="1"/>
  <c r="AI278" i="1"/>
  <c r="AG278" i="1" l="1"/>
  <c r="AF278" i="1"/>
  <c r="AH278" i="1"/>
  <c r="AG195" i="1" l="1"/>
  <c r="AH195" i="1"/>
  <c r="AI195" i="1"/>
  <c r="AJ195" i="1"/>
  <c r="AK195" i="1"/>
  <c r="AL195" i="1"/>
  <c r="AM195" i="1"/>
  <c r="AF195" i="1"/>
  <c r="W195" i="1"/>
  <c r="P8" i="3"/>
  <c r="I48" i="3"/>
  <c r="Q8" i="3" l="1"/>
  <c r="BD341" i="1"/>
  <c r="BD342" i="1" l="1"/>
  <c r="H10" i="13" l="1"/>
  <c r="H13" i="13" s="1"/>
  <c r="N12" i="13"/>
  <c r="O12" i="13" s="1"/>
  <c r="H12" i="13"/>
  <c r="I52" i="3"/>
  <c r="I49" i="3"/>
  <c r="I47" i="3"/>
  <c r="I51" i="3"/>
  <c r="I50" i="3"/>
  <c r="I53" i="3" l="1"/>
  <c r="H14" i="13"/>
  <c r="H15" i="13" s="1"/>
  <c r="D14" i="13"/>
  <c r="I12" i="13"/>
  <c r="J12" i="13" s="1"/>
  <c r="K12" i="13" s="1"/>
  <c r="L12" i="13" s="1"/>
  <c r="M12" i="13" s="1"/>
  <c r="D12" i="13"/>
  <c r="E12" i="13" s="1"/>
  <c r="F12" i="13" s="1"/>
  <c r="G12" i="13" s="1"/>
  <c r="D10" i="13"/>
  <c r="E14" i="13" s="1"/>
  <c r="I7" i="13"/>
  <c r="J7" i="13" s="1"/>
  <c r="K7" i="13" s="1"/>
  <c r="L7" i="13" s="1"/>
  <c r="M7" i="13" s="1"/>
  <c r="O7" i="13" s="1"/>
  <c r="P7" i="13" s="1"/>
  <c r="Q7" i="13" s="1"/>
  <c r="R7" i="13" s="1"/>
  <c r="S7" i="13" s="1"/>
  <c r="T7" i="13" s="1"/>
  <c r="U7" i="13" s="1"/>
  <c r="V7" i="13" s="1"/>
  <c r="W7" i="13" s="1"/>
  <c r="E7" i="13"/>
  <c r="F7" i="13" s="1"/>
  <c r="G7" i="13" s="1"/>
  <c r="M8" i="13"/>
  <c r="O9" i="13"/>
  <c r="V9" i="13"/>
  <c r="Q9" i="13"/>
  <c r="N9" i="13"/>
  <c r="P9" i="13"/>
  <c r="S9" i="13"/>
  <c r="T9" i="13"/>
  <c r="W9" i="13"/>
  <c r="R9" i="13"/>
  <c r="U9" i="13"/>
  <c r="M38" i="3" l="1"/>
  <c r="M26" i="3"/>
  <c r="D13" i="13"/>
  <c r="E10" i="13"/>
  <c r="F10" i="13" s="1"/>
  <c r="N10" i="13"/>
  <c r="O10" i="13" s="1"/>
  <c r="P10" i="13" s="1"/>
  <c r="Q10" i="13" s="1"/>
  <c r="P12" i="13"/>
  <c r="Q12" i="13" s="1"/>
  <c r="R12" i="13" s="1"/>
  <c r="G14" i="13"/>
  <c r="F13" i="13"/>
  <c r="G10" i="13"/>
  <c r="G13" i="13" s="1"/>
  <c r="E13" i="13"/>
  <c r="I14" i="13"/>
  <c r="I15" i="13" s="1"/>
  <c r="I10" i="13"/>
  <c r="F14" i="13"/>
  <c r="M39" i="3" l="1"/>
  <c r="M40" i="3"/>
  <c r="R10" i="13"/>
  <c r="R14" i="13"/>
  <c r="R15" i="13" s="1"/>
  <c r="S12" i="13"/>
  <c r="T12" i="13" s="1"/>
  <c r="U12" i="13" s="1"/>
  <c r="V12" i="13" s="1"/>
  <c r="W12" i="13" s="1"/>
  <c r="I13" i="13"/>
  <c r="J10" i="13"/>
  <c r="J14" i="13"/>
  <c r="J15" i="13" s="1"/>
  <c r="S10" i="13" l="1"/>
  <c r="S14" i="13"/>
  <c r="S15" i="13" s="1"/>
  <c r="J13" i="13"/>
  <c r="K10" i="13"/>
  <c r="K14" i="13"/>
  <c r="K15" i="13" s="1"/>
  <c r="T10" i="13" l="1"/>
  <c r="T14" i="13"/>
  <c r="T15" i="13" s="1"/>
  <c r="K13" i="13"/>
  <c r="L10" i="13"/>
  <c r="M10" i="13" s="1"/>
  <c r="N14" i="13" s="1"/>
  <c r="N15" i="13" s="1"/>
  <c r="L14" i="13"/>
  <c r="L15" i="13" s="1"/>
  <c r="U10" i="13" l="1"/>
  <c r="U14" i="13"/>
  <c r="U15" i="13" s="1"/>
  <c r="L13" i="13"/>
  <c r="M14" i="13"/>
  <c r="M15" i="13" s="1"/>
  <c r="V10" i="13" l="1"/>
  <c r="V14" i="13"/>
  <c r="V15" i="13" s="1"/>
  <c r="M13" i="13"/>
  <c r="W10" i="13" l="1"/>
  <c r="W14" i="13"/>
  <c r="W15" i="13" s="1"/>
  <c r="O14" i="13"/>
  <c r="O15" i="13" s="1"/>
  <c r="N13" i="13"/>
  <c r="O13" i="13" l="1"/>
  <c r="Q14" i="13"/>
  <c r="Q15" i="13" s="1"/>
  <c r="P14" i="13"/>
  <c r="P15" i="13" s="1"/>
  <c r="P13" i="13" l="1"/>
  <c r="Q13" i="13" l="1"/>
  <c r="R13" i="13"/>
  <c r="S13" i="13" l="1"/>
  <c r="T13" i="13" l="1"/>
  <c r="U13" i="13" l="1"/>
  <c r="V13" i="13" l="1"/>
  <c r="W13" i="13" l="1"/>
  <c r="AE2" i="12" l="1"/>
  <c r="AA2" i="12"/>
  <c r="AB9" i="12"/>
  <c r="AE8" i="12" l="1"/>
  <c r="AE6" i="12"/>
  <c r="AA6" i="12"/>
  <c r="AA8" i="12"/>
  <c r="N204" i="3"/>
  <c r="AM336" i="1" l="1"/>
  <c r="AL336" i="1"/>
  <c r="AK336" i="1"/>
  <c r="AJ336" i="1"/>
  <c r="AI336" i="1"/>
  <c r="AH336" i="1"/>
  <c r="AG336" i="1"/>
  <c r="K310" i="3"/>
  <c r="H309" i="3"/>
  <c r="H308" i="3"/>
  <c r="H310" i="3"/>
  <c r="H311" i="3"/>
  <c r="H314" i="3"/>
  <c r="H313" i="3"/>
  <c r="H312" i="3"/>
  <c r="E293" i="3"/>
  <c r="G293" i="3"/>
  <c r="H293" i="3"/>
  <c r="F293" i="3"/>
  <c r="K327" i="3" l="1"/>
  <c r="AM283" i="1"/>
  <c r="AL283" i="1"/>
  <c r="AK283" i="1"/>
  <c r="AJ283" i="1"/>
  <c r="AI283" i="1"/>
  <c r="AH283" i="1"/>
  <c r="AG283" i="1"/>
  <c r="AF283" i="1"/>
  <c r="W283" i="1"/>
  <c r="AM146" i="1"/>
  <c r="AL146" i="1"/>
  <c r="AK146" i="1"/>
  <c r="AJ146" i="1"/>
  <c r="AI146" i="1"/>
  <c r="AH146" i="1"/>
  <c r="AG146" i="1"/>
  <c r="AF146" i="1"/>
  <c r="W146" i="1"/>
  <c r="BD337" i="1" l="1"/>
  <c r="BD333" i="1"/>
  <c r="BD334" i="1"/>
  <c r="BD338" i="1"/>
  <c r="BD339" i="1"/>
  <c r="BD335" i="1"/>
  <c r="BD340" i="1"/>
  <c r="BD336" i="1"/>
  <c r="BD332" i="1"/>
  <c r="E94" i="3" l="1"/>
  <c r="H182" i="3"/>
  <c r="G182" i="3"/>
  <c r="F249" i="3"/>
  <c r="F220" i="3"/>
  <c r="G323" i="3"/>
  <c r="H226" i="3"/>
  <c r="G309" i="3"/>
  <c r="G318" i="3"/>
  <c r="G226" i="3"/>
  <c r="G222" i="3"/>
  <c r="G240" i="3"/>
  <c r="H219" i="3"/>
  <c r="H242" i="3"/>
  <c r="F247" i="3"/>
  <c r="N200" i="3"/>
  <c r="H216" i="3"/>
  <c r="F245" i="3"/>
  <c r="H249" i="3"/>
  <c r="F248" i="3"/>
  <c r="G223" i="3"/>
  <c r="G308" i="3"/>
  <c r="H252" i="3"/>
  <c r="G246" i="3"/>
  <c r="H211" i="3"/>
  <c r="H239" i="3"/>
  <c r="F225" i="3"/>
  <c r="G210" i="3"/>
  <c r="F236" i="3"/>
  <c r="F215" i="3"/>
  <c r="G316" i="3"/>
  <c r="F239" i="3"/>
  <c r="G313" i="3"/>
  <c r="F243" i="3"/>
  <c r="F221" i="3"/>
  <c r="F250" i="3"/>
  <c r="H237" i="3"/>
  <c r="G239" i="3"/>
  <c r="G312" i="3"/>
  <c r="G242" i="3"/>
  <c r="F242" i="3"/>
  <c r="H210" i="3"/>
  <c r="G220" i="3"/>
  <c r="H215" i="3"/>
  <c r="G319" i="3"/>
  <c r="F213" i="3"/>
  <c r="G213" i="3"/>
  <c r="G215" i="3"/>
  <c r="N201" i="3"/>
  <c r="G244" i="3"/>
  <c r="G317" i="3"/>
  <c r="F238" i="3"/>
  <c r="H224" i="3"/>
  <c r="F219" i="3"/>
  <c r="G322" i="3"/>
  <c r="G314" i="3"/>
  <c r="G251" i="3"/>
  <c r="F240" i="3"/>
  <c r="F218" i="3"/>
  <c r="F223" i="3"/>
  <c r="F214" i="3"/>
  <c r="H236" i="3"/>
  <c r="H221" i="3"/>
  <c r="F251" i="3"/>
  <c r="F241" i="3"/>
  <c r="F217" i="3"/>
  <c r="H213" i="3"/>
  <c r="H247" i="3"/>
  <c r="H218" i="3"/>
  <c r="G243" i="3"/>
  <c r="H217" i="3"/>
  <c r="G217" i="3"/>
  <c r="G216" i="3"/>
  <c r="G221" i="3"/>
  <c r="F227" i="3"/>
  <c r="H246" i="3"/>
  <c r="H214" i="3"/>
  <c r="H244" i="3"/>
  <c r="G214" i="3"/>
  <c r="G241" i="3"/>
  <c r="H225" i="3"/>
  <c r="F244" i="3"/>
  <c r="H245" i="3"/>
  <c r="G320" i="3"/>
  <c r="G250" i="3"/>
  <c r="G237" i="3"/>
  <c r="G248" i="3"/>
  <c r="G249" i="3"/>
  <c r="F210" i="3"/>
  <c r="G225" i="3"/>
  <c r="G236" i="3"/>
  <c r="F237" i="3"/>
  <c r="H238" i="3"/>
  <c r="G252" i="3"/>
  <c r="G211" i="3"/>
  <c r="F212" i="3"/>
  <c r="H251" i="3"/>
  <c r="F252" i="3"/>
  <c r="G310" i="3"/>
  <c r="H227" i="3"/>
  <c r="G311" i="3"/>
  <c r="G245" i="3"/>
  <c r="F216" i="3"/>
  <c r="G253" i="3"/>
  <c r="H222" i="3"/>
  <c r="G321" i="3"/>
  <c r="H220" i="3"/>
  <c r="G247" i="3"/>
  <c r="G315" i="3"/>
  <c r="H250" i="3"/>
  <c r="F226" i="3"/>
  <c r="G218" i="3"/>
  <c r="H241" i="3"/>
  <c r="H240" i="3"/>
  <c r="F224" i="3"/>
  <c r="G224" i="3"/>
  <c r="H248" i="3"/>
  <c r="G324" i="3"/>
  <c r="G212" i="3"/>
  <c r="G238" i="3"/>
  <c r="F253" i="3"/>
  <c r="G219" i="3"/>
  <c r="H212" i="3"/>
  <c r="F246" i="3"/>
  <c r="H253" i="3"/>
  <c r="G227" i="3"/>
  <c r="F211" i="3"/>
  <c r="H223" i="3"/>
  <c r="F222" i="3"/>
  <c r="G325" i="3"/>
  <c r="H243" i="3"/>
  <c r="G184" i="3" l="1"/>
  <c r="G183" i="3"/>
  <c r="I182" i="3"/>
  <c r="J182" i="3" s="1"/>
  <c r="H184" i="3"/>
  <c r="H183" i="3"/>
  <c r="K182" i="3"/>
  <c r="D188" i="3" s="1"/>
  <c r="L308" i="3"/>
  <c r="H118" i="3"/>
  <c r="G118" i="3" s="1"/>
  <c r="E118" i="3" l="1"/>
  <c r="AH90" i="1" l="1"/>
  <c r="AI90" i="1"/>
  <c r="AJ90" i="1"/>
  <c r="AK90" i="1"/>
  <c r="AL90" i="1"/>
  <c r="AM90" i="1"/>
  <c r="AH89" i="1"/>
  <c r="AI89" i="1"/>
  <c r="AJ89" i="1"/>
  <c r="AK89" i="1"/>
  <c r="AL89" i="1"/>
  <c r="AM89" i="1"/>
  <c r="AH91" i="1"/>
  <c r="AI91" i="1"/>
  <c r="AJ91" i="1"/>
  <c r="AK91" i="1"/>
  <c r="AL91" i="1"/>
  <c r="AM91" i="1"/>
  <c r="AH2" i="1"/>
  <c r="AI2" i="1"/>
  <c r="AJ2" i="1"/>
  <c r="AK2" i="1"/>
  <c r="AL2" i="1"/>
  <c r="AM2" i="1"/>
  <c r="AH92" i="1"/>
  <c r="AI92" i="1"/>
  <c r="AJ92" i="1"/>
  <c r="AK92" i="1"/>
  <c r="AL92" i="1"/>
  <c r="AM92" i="1"/>
  <c r="AH3" i="1"/>
  <c r="AI3" i="1"/>
  <c r="AJ3" i="1"/>
  <c r="AK3" i="1"/>
  <c r="AL3" i="1"/>
  <c r="AM3" i="1"/>
  <c r="AH93" i="1"/>
  <c r="AI93" i="1"/>
  <c r="AJ93" i="1"/>
  <c r="AK93" i="1"/>
  <c r="AL93" i="1"/>
  <c r="AM93" i="1"/>
  <c r="AH96" i="1"/>
  <c r="AI96" i="1"/>
  <c r="AJ96" i="1"/>
  <c r="AK96" i="1"/>
  <c r="AL96" i="1"/>
  <c r="AM96" i="1"/>
  <c r="AH94" i="1"/>
  <c r="AI94" i="1"/>
  <c r="AJ94" i="1"/>
  <c r="AK94" i="1"/>
  <c r="AL94" i="1"/>
  <c r="AM94" i="1"/>
  <c r="AH95" i="1"/>
  <c r="AI95" i="1"/>
  <c r="AJ95" i="1"/>
  <c r="AK95" i="1"/>
  <c r="AL95" i="1"/>
  <c r="AM95" i="1"/>
  <c r="AH4" i="1"/>
  <c r="AI4" i="1"/>
  <c r="AJ4" i="1"/>
  <c r="AK4" i="1"/>
  <c r="AL4" i="1"/>
  <c r="AM4" i="1"/>
  <c r="AH100" i="1"/>
  <c r="AI100" i="1"/>
  <c r="AJ100" i="1"/>
  <c r="AK100" i="1"/>
  <c r="AL100" i="1"/>
  <c r="AM100" i="1"/>
  <c r="AH98" i="1"/>
  <c r="AI98" i="1"/>
  <c r="AJ98" i="1"/>
  <c r="AK98" i="1"/>
  <c r="AL98" i="1"/>
  <c r="AM98" i="1"/>
  <c r="AH5" i="1"/>
  <c r="AI5" i="1"/>
  <c r="AJ5" i="1"/>
  <c r="AK5" i="1"/>
  <c r="AL5" i="1"/>
  <c r="AM5" i="1"/>
  <c r="AH6" i="1"/>
  <c r="AI6" i="1"/>
  <c r="AJ6" i="1"/>
  <c r="AK6" i="1"/>
  <c r="AL6" i="1"/>
  <c r="AM6" i="1"/>
  <c r="AH102" i="1"/>
  <c r="AI102" i="1"/>
  <c r="AJ102" i="1"/>
  <c r="AK102" i="1"/>
  <c r="AL102" i="1"/>
  <c r="AM102" i="1"/>
  <c r="AH97" i="1"/>
  <c r="AI97" i="1"/>
  <c r="AJ97" i="1"/>
  <c r="AK97" i="1"/>
  <c r="AL97" i="1"/>
  <c r="AM97" i="1"/>
  <c r="AH7" i="1"/>
  <c r="AI7" i="1"/>
  <c r="AJ7" i="1"/>
  <c r="AK7" i="1"/>
  <c r="AL7" i="1"/>
  <c r="AM7" i="1"/>
  <c r="AH99" i="1"/>
  <c r="AI99" i="1"/>
  <c r="AJ99" i="1"/>
  <c r="AK99" i="1"/>
  <c r="AL99" i="1"/>
  <c r="AM99" i="1"/>
  <c r="AH210" i="1"/>
  <c r="AI210" i="1"/>
  <c r="AJ210" i="1"/>
  <c r="AK210" i="1"/>
  <c r="AL210" i="1"/>
  <c r="AM210" i="1"/>
  <c r="AH8" i="1"/>
  <c r="AI8" i="1"/>
  <c r="AJ8" i="1"/>
  <c r="AK8" i="1"/>
  <c r="AL8" i="1"/>
  <c r="AM8" i="1"/>
  <c r="AH9" i="1"/>
  <c r="AI9" i="1"/>
  <c r="AJ9" i="1"/>
  <c r="AK9" i="1"/>
  <c r="AL9" i="1"/>
  <c r="AM9" i="1"/>
  <c r="AH13" i="1"/>
  <c r="AI13" i="1"/>
  <c r="AJ13" i="1"/>
  <c r="AK13" i="1"/>
  <c r="AL13" i="1"/>
  <c r="AM13" i="1"/>
  <c r="AH105" i="1"/>
  <c r="AI105" i="1"/>
  <c r="AJ105" i="1"/>
  <c r="AK105" i="1"/>
  <c r="AL105" i="1"/>
  <c r="AM105" i="1"/>
  <c r="AH150" i="1"/>
  <c r="AI150" i="1"/>
  <c r="AJ150" i="1"/>
  <c r="AK150" i="1"/>
  <c r="AL150" i="1"/>
  <c r="AM150" i="1"/>
  <c r="AH151" i="1"/>
  <c r="AI151" i="1"/>
  <c r="AJ151" i="1"/>
  <c r="AK151" i="1"/>
  <c r="AL151" i="1"/>
  <c r="AM151" i="1"/>
  <c r="AH52" i="1"/>
  <c r="AI52" i="1"/>
  <c r="AJ52" i="1"/>
  <c r="AK52" i="1"/>
  <c r="AL52" i="1"/>
  <c r="AM52" i="1"/>
  <c r="AH203" i="1"/>
  <c r="AI203" i="1"/>
  <c r="AJ203" i="1"/>
  <c r="AK203" i="1"/>
  <c r="AL203" i="1"/>
  <c r="AM203" i="1"/>
  <c r="AH156" i="1"/>
  <c r="AI156" i="1"/>
  <c r="AJ156" i="1"/>
  <c r="AK156" i="1"/>
  <c r="AL156" i="1"/>
  <c r="AM156" i="1"/>
  <c r="AH19" i="1"/>
  <c r="AI19" i="1"/>
  <c r="AJ19" i="1"/>
  <c r="AK19" i="1"/>
  <c r="AL19" i="1"/>
  <c r="AM19" i="1"/>
  <c r="AH103" i="1"/>
  <c r="AI103" i="1"/>
  <c r="AJ103" i="1"/>
  <c r="AK103" i="1"/>
  <c r="AL103" i="1"/>
  <c r="AM103" i="1"/>
  <c r="AH10" i="1"/>
  <c r="AI10" i="1"/>
  <c r="AJ10" i="1"/>
  <c r="AK10" i="1"/>
  <c r="AL10" i="1"/>
  <c r="AM10" i="1"/>
  <c r="AH211" i="1"/>
  <c r="AI211" i="1"/>
  <c r="AJ211" i="1"/>
  <c r="AK211" i="1"/>
  <c r="AL211" i="1"/>
  <c r="AM211" i="1"/>
  <c r="AH193" i="1"/>
  <c r="AI193" i="1"/>
  <c r="AJ193" i="1"/>
  <c r="AK193" i="1"/>
  <c r="AL193" i="1"/>
  <c r="AM193" i="1"/>
  <c r="AH101" i="1"/>
  <c r="AI101" i="1"/>
  <c r="AJ101" i="1"/>
  <c r="AK101" i="1"/>
  <c r="AL101" i="1"/>
  <c r="AM101" i="1"/>
  <c r="AH109" i="1"/>
  <c r="AI109" i="1"/>
  <c r="AJ109" i="1"/>
  <c r="AK109" i="1"/>
  <c r="AL109" i="1"/>
  <c r="AM109" i="1"/>
  <c r="AH15" i="1"/>
  <c r="AI15" i="1"/>
  <c r="AJ15" i="1"/>
  <c r="AK15" i="1"/>
  <c r="AL15" i="1"/>
  <c r="AM15" i="1"/>
  <c r="AH11" i="1"/>
  <c r="AI11" i="1"/>
  <c r="AJ11" i="1"/>
  <c r="AK11" i="1"/>
  <c r="AL11" i="1"/>
  <c r="AM11" i="1"/>
  <c r="AH112" i="1"/>
  <c r="AI112" i="1"/>
  <c r="AJ112" i="1"/>
  <c r="AK112" i="1"/>
  <c r="AL112" i="1"/>
  <c r="AM112" i="1"/>
  <c r="AH12" i="1"/>
  <c r="AI12" i="1"/>
  <c r="AJ12" i="1"/>
  <c r="AK12" i="1"/>
  <c r="AL12" i="1"/>
  <c r="AM12" i="1"/>
  <c r="AH132" i="1"/>
  <c r="AI132" i="1"/>
  <c r="AJ132" i="1"/>
  <c r="AK132" i="1"/>
  <c r="AL132" i="1"/>
  <c r="AM132" i="1"/>
  <c r="AH104" i="1"/>
  <c r="AI104" i="1"/>
  <c r="AJ104" i="1"/>
  <c r="AK104" i="1"/>
  <c r="AL104" i="1"/>
  <c r="AM104" i="1"/>
  <c r="AH18" i="1"/>
  <c r="AI18" i="1"/>
  <c r="AJ18" i="1"/>
  <c r="AK18" i="1"/>
  <c r="AL18" i="1"/>
  <c r="AM18" i="1"/>
  <c r="AH117" i="1"/>
  <c r="AI117" i="1"/>
  <c r="AJ117" i="1"/>
  <c r="AK117" i="1"/>
  <c r="AL117" i="1"/>
  <c r="AM117" i="1"/>
  <c r="AH14" i="1"/>
  <c r="AI14" i="1"/>
  <c r="AJ14" i="1"/>
  <c r="AK14" i="1"/>
  <c r="AL14" i="1"/>
  <c r="AM14" i="1"/>
  <c r="AH106" i="1"/>
  <c r="AI106" i="1"/>
  <c r="AJ106" i="1"/>
  <c r="AK106" i="1"/>
  <c r="AL106" i="1"/>
  <c r="AM106" i="1"/>
  <c r="AH107" i="1"/>
  <c r="AI107" i="1"/>
  <c r="AJ107" i="1"/>
  <c r="AK107" i="1"/>
  <c r="AL107" i="1"/>
  <c r="AM107" i="1"/>
  <c r="AH108" i="1"/>
  <c r="AI108" i="1"/>
  <c r="AJ108" i="1"/>
  <c r="AK108" i="1"/>
  <c r="AL108" i="1"/>
  <c r="AM108" i="1"/>
  <c r="AH30" i="1"/>
  <c r="AI30" i="1"/>
  <c r="AJ30" i="1"/>
  <c r="AK30" i="1"/>
  <c r="AL30" i="1"/>
  <c r="AM30" i="1"/>
  <c r="AH119" i="1"/>
  <c r="AI119" i="1"/>
  <c r="AJ119" i="1"/>
  <c r="AK119" i="1"/>
  <c r="AL119" i="1"/>
  <c r="AM119" i="1"/>
  <c r="AH135" i="1"/>
  <c r="AI135" i="1"/>
  <c r="AJ135" i="1"/>
  <c r="AK135" i="1"/>
  <c r="AL135" i="1"/>
  <c r="AM135" i="1"/>
  <c r="AH34" i="1"/>
  <c r="AI34" i="1"/>
  <c r="AJ34" i="1"/>
  <c r="AK34" i="1"/>
  <c r="AL34" i="1"/>
  <c r="AM34" i="1"/>
  <c r="AH122" i="1"/>
  <c r="AI122" i="1"/>
  <c r="AJ122" i="1"/>
  <c r="AK122" i="1"/>
  <c r="AL122" i="1"/>
  <c r="AM122" i="1"/>
  <c r="AH16" i="1"/>
  <c r="AI16" i="1"/>
  <c r="AJ16" i="1"/>
  <c r="AK16" i="1"/>
  <c r="AL16" i="1"/>
  <c r="AM16" i="1"/>
  <c r="AH118" i="1"/>
  <c r="AI118" i="1"/>
  <c r="AJ118" i="1"/>
  <c r="AK118" i="1"/>
  <c r="AL118" i="1"/>
  <c r="AM118" i="1"/>
  <c r="AH111" i="1"/>
  <c r="AI111" i="1"/>
  <c r="AJ111" i="1"/>
  <c r="AK111" i="1"/>
  <c r="AL111" i="1"/>
  <c r="AM111" i="1"/>
  <c r="AH207" i="1"/>
  <c r="AI207" i="1"/>
  <c r="AJ207" i="1"/>
  <c r="AK207" i="1"/>
  <c r="AL207" i="1"/>
  <c r="AM207" i="1"/>
  <c r="AH23" i="1"/>
  <c r="AI23" i="1"/>
  <c r="AJ23" i="1"/>
  <c r="AK23" i="1"/>
  <c r="AL23" i="1"/>
  <c r="AM23" i="1"/>
  <c r="AH110" i="1"/>
  <c r="AI110" i="1"/>
  <c r="AJ110" i="1"/>
  <c r="AK110" i="1"/>
  <c r="AL110" i="1"/>
  <c r="AM110" i="1"/>
  <c r="AH17" i="1"/>
  <c r="AI17" i="1"/>
  <c r="AJ17" i="1"/>
  <c r="AK17" i="1"/>
  <c r="AL17" i="1"/>
  <c r="AM17" i="1"/>
  <c r="AH114" i="1"/>
  <c r="AI114" i="1"/>
  <c r="AJ114" i="1"/>
  <c r="AK114" i="1"/>
  <c r="AL114" i="1"/>
  <c r="AM114" i="1"/>
  <c r="AH22" i="1"/>
  <c r="AI22" i="1"/>
  <c r="AJ22" i="1"/>
  <c r="AK22" i="1"/>
  <c r="AL22" i="1"/>
  <c r="AM22" i="1"/>
  <c r="AH209" i="1"/>
  <c r="AI209" i="1"/>
  <c r="AJ209" i="1"/>
  <c r="AK209" i="1"/>
  <c r="AL209" i="1"/>
  <c r="AM209" i="1"/>
  <c r="AH126" i="1"/>
  <c r="AI126" i="1"/>
  <c r="AJ126" i="1"/>
  <c r="AK126" i="1"/>
  <c r="AL126" i="1"/>
  <c r="AM126" i="1"/>
  <c r="AH24" i="1"/>
  <c r="AI24" i="1"/>
  <c r="AJ24" i="1"/>
  <c r="AK24" i="1"/>
  <c r="AL24" i="1"/>
  <c r="AM24" i="1"/>
  <c r="AH25" i="1"/>
  <c r="AI25" i="1"/>
  <c r="AJ25" i="1"/>
  <c r="AK25" i="1"/>
  <c r="AL25" i="1"/>
  <c r="AM25" i="1"/>
  <c r="AH194" i="1"/>
  <c r="AI194" i="1"/>
  <c r="AJ194" i="1"/>
  <c r="AK194" i="1"/>
  <c r="AL194" i="1"/>
  <c r="AM194" i="1"/>
  <c r="AH121" i="1"/>
  <c r="AI121" i="1"/>
  <c r="AJ121" i="1"/>
  <c r="AK121" i="1"/>
  <c r="AL121" i="1"/>
  <c r="AM121" i="1"/>
  <c r="AH21" i="1"/>
  <c r="AI21" i="1"/>
  <c r="AJ21" i="1"/>
  <c r="AK21" i="1"/>
  <c r="AL21" i="1"/>
  <c r="AM21" i="1"/>
  <c r="AH20" i="1"/>
  <c r="AI20" i="1"/>
  <c r="AJ20" i="1"/>
  <c r="AK20" i="1"/>
  <c r="AL20" i="1"/>
  <c r="AM20" i="1"/>
  <c r="AH28" i="1"/>
  <c r="AI28" i="1"/>
  <c r="AJ28" i="1"/>
  <c r="AK28" i="1"/>
  <c r="AL28" i="1"/>
  <c r="AM28" i="1"/>
  <c r="AH29" i="1"/>
  <c r="AI29" i="1"/>
  <c r="AJ29" i="1"/>
  <c r="AK29" i="1"/>
  <c r="AL29" i="1"/>
  <c r="AM29" i="1"/>
  <c r="AH219" i="1"/>
  <c r="AI219" i="1"/>
  <c r="AJ219" i="1"/>
  <c r="AK219" i="1"/>
  <c r="AL219" i="1"/>
  <c r="AM219" i="1"/>
  <c r="AH129" i="1"/>
  <c r="AI129" i="1"/>
  <c r="AJ129" i="1"/>
  <c r="AK129" i="1"/>
  <c r="AL129" i="1"/>
  <c r="AM129" i="1"/>
  <c r="AH131" i="1"/>
  <c r="AI131" i="1"/>
  <c r="AJ131" i="1"/>
  <c r="AK131" i="1"/>
  <c r="AL131" i="1"/>
  <c r="AM131" i="1"/>
  <c r="AH225" i="1"/>
  <c r="AI225" i="1"/>
  <c r="AJ225" i="1"/>
  <c r="AK225" i="1"/>
  <c r="AL225" i="1"/>
  <c r="AM225" i="1"/>
  <c r="AH42" i="1"/>
  <c r="AI42" i="1"/>
  <c r="AJ42" i="1"/>
  <c r="AK42" i="1"/>
  <c r="AL42" i="1"/>
  <c r="AM42" i="1"/>
  <c r="AH31" i="1"/>
  <c r="AI31" i="1"/>
  <c r="AJ31" i="1"/>
  <c r="AK31" i="1"/>
  <c r="AL31" i="1"/>
  <c r="AM31" i="1"/>
  <c r="AH204" i="1"/>
  <c r="AI204" i="1"/>
  <c r="AJ204" i="1"/>
  <c r="AK204" i="1"/>
  <c r="AL204" i="1"/>
  <c r="AM204" i="1"/>
  <c r="AH113" i="1"/>
  <c r="AI113" i="1"/>
  <c r="AJ113" i="1"/>
  <c r="AK113" i="1"/>
  <c r="AL113" i="1"/>
  <c r="AM113" i="1"/>
  <c r="AH27" i="1"/>
  <c r="AI27" i="1"/>
  <c r="AJ27" i="1"/>
  <c r="AK27" i="1"/>
  <c r="AL27" i="1"/>
  <c r="AM27" i="1"/>
  <c r="AH32" i="1"/>
  <c r="AI32" i="1"/>
  <c r="AJ32" i="1"/>
  <c r="AK32" i="1"/>
  <c r="AL32" i="1"/>
  <c r="AM32" i="1"/>
  <c r="AH26" i="1"/>
  <c r="AI26" i="1"/>
  <c r="AJ26" i="1"/>
  <c r="AK26" i="1"/>
  <c r="AL26" i="1"/>
  <c r="AM26" i="1"/>
  <c r="AH128" i="1"/>
  <c r="AI128" i="1"/>
  <c r="AJ128" i="1"/>
  <c r="AK128" i="1"/>
  <c r="AL128" i="1"/>
  <c r="AM128" i="1"/>
  <c r="AH237" i="1"/>
  <c r="AI237" i="1"/>
  <c r="AJ237" i="1"/>
  <c r="AK237" i="1"/>
  <c r="AL237" i="1"/>
  <c r="AM237" i="1"/>
  <c r="AH120" i="1"/>
  <c r="AI120" i="1"/>
  <c r="AJ120" i="1"/>
  <c r="AK120" i="1"/>
  <c r="AL120" i="1"/>
  <c r="AM120" i="1"/>
  <c r="AH115" i="1"/>
  <c r="AI115" i="1"/>
  <c r="AJ115" i="1"/>
  <c r="AK115" i="1"/>
  <c r="AL115" i="1"/>
  <c r="AM115" i="1"/>
  <c r="AH116" i="1"/>
  <c r="AI116" i="1"/>
  <c r="AJ116" i="1"/>
  <c r="AK116" i="1"/>
  <c r="AL116" i="1"/>
  <c r="AM116" i="1"/>
  <c r="AH217" i="1"/>
  <c r="AI217" i="1"/>
  <c r="AJ217" i="1"/>
  <c r="AK217" i="1"/>
  <c r="AL217" i="1"/>
  <c r="AM217" i="1"/>
  <c r="AH125" i="1"/>
  <c r="AI125" i="1"/>
  <c r="AJ125" i="1"/>
  <c r="AK125" i="1"/>
  <c r="AL125" i="1"/>
  <c r="AM125" i="1"/>
  <c r="AH212" i="1"/>
  <c r="AI212" i="1"/>
  <c r="AJ212" i="1"/>
  <c r="AK212" i="1"/>
  <c r="AL212" i="1"/>
  <c r="AM212" i="1"/>
  <c r="AH130" i="1"/>
  <c r="AI130" i="1"/>
  <c r="AJ130" i="1"/>
  <c r="AK130" i="1"/>
  <c r="AL130" i="1"/>
  <c r="AM130" i="1"/>
  <c r="AH261" i="1"/>
  <c r="AI261" i="1"/>
  <c r="AJ261" i="1"/>
  <c r="AK261" i="1"/>
  <c r="AL261" i="1"/>
  <c r="AM261" i="1"/>
  <c r="AH220" i="1"/>
  <c r="AI220" i="1"/>
  <c r="AJ220" i="1"/>
  <c r="AK220" i="1"/>
  <c r="AL220" i="1"/>
  <c r="AM220" i="1"/>
  <c r="AH215" i="1"/>
  <c r="AI215" i="1"/>
  <c r="AJ215" i="1"/>
  <c r="AK215" i="1"/>
  <c r="AL215" i="1"/>
  <c r="AM215" i="1"/>
  <c r="AH123" i="1"/>
  <c r="AI123" i="1"/>
  <c r="AJ123" i="1"/>
  <c r="AK123" i="1"/>
  <c r="AL123" i="1"/>
  <c r="AM123" i="1"/>
  <c r="AH223" i="1"/>
  <c r="AI223" i="1"/>
  <c r="AJ223" i="1"/>
  <c r="AK223" i="1"/>
  <c r="AL223" i="1"/>
  <c r="AM223" i="1"/>
  <c r="AH35" i="1"/>
  <c r="AI35" i="1"/>
  <c r="AJ35" i="1"/>
  <c r="AK35" i="1"/>
  <c r="AL35" i="1"/>
  <c r="AM35" i="1"/>
  <c r="AH124" i="1"/>
  <c r="AI124" i="1"/>
  <c r="AJ124" i="1"/>
  <c r="AK124" i="1"/>
  <c r="AL124" i="1"/>
  <c r="AM124" i="1"/>
  <c r="AH39" i="1"/>
  <c r="AI39" i="1"/>
  <c r="AJ39" i="1"/>
  <c r="AK39" i="1"/>
  <c r="AL39" i="1"/>
  <c r="AM39" i="1"/>
  <c r="AH51" i="1"/>
  <c r="AI51" i="1"/>
  <c r="AJ51" i="1"/>
  <c r="AK51" i="1"/>
  <c r="AL51" i="1"/>
  <c r="AM51" i="1"/>
  <c r="AH205" i="1"/>
  <c r="AI205" i="1"/>
  <c r="AJ205" i="1"/>
  <c r="AK205" i="1"/>
  <c r="AL205" i="1"/>
  <c r="AM205" i="1"/>
  <c r="AH234" i="1"/>
  <c r="AI234" i="1"/>
  <c r="AJ234" i="1"/>
  <c r="AK234" i="1"/>
  <c r="AL234" i="1"/>
  <c r="AM234" i="1"/>
  <c r="AH33" i="1"/>
  <c r="AI33" i="1"/>
  <c r="AJ33" i="1"/>
  <c r="AK33" i="1"/>
  <c r="AL33" i="1"/>
  <c r="AM33" i="1"/>
  <c r="AH38" i="1"/>
  <c r="AI38" i="1"/>
  <c r="AJ38" i="1"/>
  <c r="AK38" i="1"/>
  <c r="AL38" i="1"/>
  <c r="AM38" i="1"/>
  <c r="AH137" i="1"/>
  <c r="AI137" i="1"/>
  <c r="AJ137" i="1"/>
  <c r="AK137" i="1"/>
  <c r="AL137" i="1"/>
  <c r="AM137" i="1"/>
  <c r="AH208" i="1"/>
  <c r="AI208" i="1"/>
  <c r="AJ208" i="1"/>
  <c r="AK208" i="1"/>
  <c r="AL208" i="1"/>
  <c r="AM208" i="1"/>
  <c r="AH127" i="1"/>
  <c r="AI127" i="1"/>
  <c r="AJ127" i="1"/>
  <c r="AK127" i="1"/>
  <c r="AL127" i="1"/>
  <c r="AM127" i="1"/>
  <c r="AH222" i="1"/>
  <c r="AI222" i="1"/>
  <c r="AJ222" i="1"/>
  <c r="AK222" i="1"/>
  <c r="AL222" i="1"/>
  <c r="AM222" i="1"/>
  <c r="AH239" i="1"/>
  <c r="AI239" i="1"/>
  <c r="AJ239" i="1"/>
  <c r="AK239" i="1"/>
  <c r="AL239" i="1"/>
  <c r="AM239" i="1"/>
  <c r="AH41" i="1"/>
  <c r="AI41" i="1"/>
  <c r="AJ41" i="1"/>
  <c r="AK41" i="1"/>
  <c r="AL41" i="1"/>
  <c r="AM41" i="1"/>
  <c r="AH202" i="1"/>
  <c r="AI202" i="1"/>
  <c r="AJ202" i="1"/>
  <c r="AK202" i="1"/>
  <c r="AL202" i="1"/>
  <c r="AM202" i="1"/>
  <c r="AH40" i="1"/>
  <c r="AI40" i="1"/>
  <c r="AJ40" i="1"/>
  <c r="AK40" i="1"/>
  <c r="AL40" i="1"/>
  <c r="AM40" i="1"/>
  <c r="AH134" i="1"/>
  <c r="AI134" i="1"/>
  <c r="AJ134" i="1"/>
  <c r="AK134" i="1"/>
  <c r="AL134" i="1"/>
  <c r="AM134" i="1"/>
  <c r="AH37" i="1"/>
  <c r="AI37" i="1"/>
  <c r="AJ37" i="1"/>
  <c r="AK37" i="1"/>
  <c r="AL37" i="1"/>
  <c r="AM37" i="1"/>
  <c r="AH43" i="1"/>
  <c r="AI43" i="1"/>
  <c r="AJ43" i="1"/>
  <c r="AK43" i="1"/>
  <c r="AL43" i="1"/>
  <c r="AM43" i="1"/>
  <c r="AH36" i="1"/>
  <c r="AI36" i="1"/>
  <c r="AJ36" i="1"/>
  <c r="AK36" i="1"/>
  <c r="AL36" i="1"/>
  <c r="AM36" i="1"/>
  <c r="AH46" i="1"/>
  <c r="AI46" i="1"/>
  <c r="AJ46" i="1"/>
  <c r="AK46" i="1"/>
  <c r="AL46" i="1"/>
  <c r="AM46" i="1"/>
  <c r="AH226" i="1"/>
  <c r="AI226" i="1"/>
  <c r="AJ226" i="1"/>
  <c r="AK226" i="1"/>
  <c r="AL226" i="1"/>
  <c r="AM226" i="1"/>
  <c r="AH206" i="1"/>
  <c r="AI206" i="1"/>
  <c r="AJ206" i="1"/>
  <c r="AK206" i="1"/>
  <c r="AL206" i="1"/>
  <c r="AM206" i="1"/>
  <c r="AH243" i="1"/>
  <c r="AI243" i="1"/>
  <c r="AJ243" i="1"/>
  <c r="AK243" i="1"/>
  <c r="AL243" i="1"/>
  <c r="AM243" i="1"/>
  <c r="AH138" i="1"/>
  <c r="AI138" i="1"/>
  <c r="AJ138" i="1"/>
  <c r="AK138" i="1"/>
  <c r="AL138" i="1"/>
  <c r="AM138" i="1"/>
  <c r="AH224" i="1"/>
  <c r="AI224" i="1"/>
  <c r="AJ224" i="1"/>
  <c r="AK224" i="1"/>
  <c r="AL224" i="1"/>
  <c r="AM224" i="1"/>
  <c r="AH213" i="1"/>
  <c r="AI213" i="1"/>
  <c r="AJ213" i="1"/>
  <c r="AK213" i="1"/>
  <c r="AL213" i="1"/>
  <c r="AM213" i="1"/>
  <c r="AH57" i="1"/>
  <c r="AI57" i="1"/>
  <c r="AJ57" i="1"/>
  <c r="AK57" i="1"/>
  <c r="AL57" i="1"/>
  <c r="AM57" i="1"/>
  <c r="AH136" i="1"/>
  <c r="AI136" i="1"/>
  <c r="AJ136" i="1"/>
  <c r="AK136" i="1"/>
  <c r="AL136" i="1"/>
  <c r="AM136" i="1"/>
  <c r="AH45" i="1"/>
  <c r="AI45" i="1"/>
  <c r="AJ45" i="1"/>
  <c r="AK45" i="1"/>
  <c r="AL45" i="1"/>
  <c r="AM45" i="1"/>
  <c r="AH221" i="1"/>
  <c r="AI221" i="1"/>
  <c r="AJ221" i="1"/>
  <c r="AK221" i="1"/>
  <c r="AL221" i="1"/>
  <c r="AM221" i="1"/>
  <c r="AH228" i="1"/>
  <c r="AI228" i="1"/>
  <c r="AJ228" i="1"/>
  <c r="AK228" i="1"/>
  <c r="AL228" i="1"/>
  <c r="AM228" i="1"/>
  <c r="AH47" i="1"/>
  <c r="AI47" i="1"/>
  <c r="AJ47" i="1"/>
  <c r="AK47" i="1"/>
  <c r="AL47" i="1"/>
  <c r="AM47" i="1"/>
  <c r="AH133" i="1"/>
  <c r="AI133" i="1"/>
  <c r="AJ133" i="1"/>
  <c r="AK133" i="1"/>
  <c r="AL133" i="1"/>
  <c r="AM133" i="1"/>
  <c r="AH44" i="1"/>
  <c r="AI44" i="1"/>
  <c r="AJ44" i="1"/>
  <c r="AK44" i="1"/>
  <c r="AL44" i="1"/>
  <c r="AM44" i="1"/>
  <c r="AH214" i="1"/>
  <c r="AI214" i="1"/>
  <c r="AJ214" i="1"/>
  <c r="AK214" i="1"/>
  <c r="AL214" i="1"/>
  <c r="AM214" i="1"/>
  <c r="AH53" i="1"/>
  <c r="AI53" i="1"/>
  <c r="AJ53" i="1"/>
  <c r="AK53" i="1"/>
  <c r="AL53" i="1"/>
  <c r="AM53" i="1"/>
  <c r="AH216" i="1"/>
  <c r="AI216" i="1"/>
  <c r="AJ216" i="1"/>
  <c r="AK216" i="1"/>
  <c r="AL216" i="1"/>
  <c r="AM216" i="1"/>
  <c r="AH141" i="1"/>
  <c r="AI141" i="1"/>
  <c r="AJ141" i="1"/>
  <c r="AK141" i="1"/>
  <c r="AL141" i="1"/>
  <c r="AM141" i="1"/>
  <c r="AH252" i="1"/>
  <c r="AI252" i="1"/>
  <c r="AJ252" i="1"/>
  <c r="AK252" i="1"/>
  <c r="AL252" i="1"/>
  <c r="AM252" i="1"/>
  <c r="AH235" i="1"/>
  <c r="AI235" i="1"/>
  <c r="AJ235" i="1"/>
  <c r="AK235" i="1"/>
  <c r="AL235" i="1"/>
  <c r="AM235" i="1"/>
  <c r="AH218" i="1"/>
  <c r="AI218" i="1"/>
  <c r="AJ218" i="1"/>
  <c r="AK218" i="1"/>
  <c r="AL218" i="1"/>
  <c r="AM218" i="1"/>
  <c r="AH230" i="1"/>
  <c r="AI230" i="1"/>
  <c r="AJ230" i="1"/>
  <c r="AK230" i="1"/>
  <c r="AL230" i="1"/>
  <c r="AM230" i="1"/>
  <c r="AH286" i="1"/>
  <c r="AI286" i="1"/>
  <c r="AJ286" i="1"/>
  <c r="AK286" i="1"/>
  <c r="AL286" i="1"/>
  <c r="AM286" i="1"/>
  <c r="AH255" i="1"/>
  <c r="AI255" i="1"/>
  <c r="AJ255" i="1"/>
  <c r="AK255" i="1"/>
  <c r="AL255" i="1"/>
  <c r="AM255" i="1"/>
  <c r="AH229" i="1"/>
  <c r="AI229" i="1"/>
  <c r="AJ229" i="1"/>
  <c r="AK229" i="1"/>
  <c r="AL229" i="1"/>
  <c r="AM229" i="1"/>
  <c r="AH49" i="1"/>
  <c r="AI49" i="1"/>
  <c r="AJ49" i="1"/>
  <c r="AK49" i="1"/>
  <c r="AL49" i="1"/>
  <c r="AM49" i="1"/>
  <c r="AH139" i="1"/>
  <c r="AI139" i="1"/>
  <c r="AJ139" i="1"/>
  <c r="AK139" i="1"/>
  <c r="AL139" i="1"/>
  <c r="AM139" i="1"/>
  <c r="AH282" i="1"/>
  <c r="AI282" i="1"/>
  <c r="AJ282" i="1"/>
  <c r="AK282" i="1"/>
  <c r="AL282" i="1"/>
  <c r="AM282" i="1"/>
  <c r="AH284" i="1"/>
  <c r="AI284" i="1"/>
  <c r="AJ284" i="1"/>
  <c r="AK284" i="1"/>
  <c r="AL284" i="1"/>
  <c r="AM284" i="1"/>
  <c r="AH144" i="1"/>
  <c r="AI144" i="1"/>
  <c r="AJ144" i="1"/>
  <c r="AK144" i="1"/>
  <c r="AL144" i="1"/>
  <c r="AM144" i="1"/>
  <c r="AH55" i="1"/>
  <c r="AI55" i="1"/>
  <c r="AJ55" i="1"/>
  <c r="AK55" i="1"/>
  <c r="AL55" i="1"/>
  <c r="AM55" i="1"/>
  <c r="AH56" i="1"/>
  <c r="AI56" i="1"/>
  <c r="AJ56" i="1"/>
  <c r="AK56" i="1"/>
  <c r="AL56" i="1"/>
  <c r="AM56" i="1"/>
  <c r="AH140" i="1"/>
  <c r="AI140" i="1"/>
  <c r="AJ140" i="1"/>
  <c r="AK140" i="1"/>
  <c r="AL140" i="1"/>
  <c r="AM140" i="1"/>
  <c r="AH185" i="1"/>
  <c r="AI185" i="1"/>
  <c r="AJ185" i="1"/>
  <c r="AK185" i="1"/>
  <c r="AL185" i="1"/>
  <c r="AM185" i="1"/>
  <c r="AH251" i="1"/>
  <c r="AI251" i="1"/>
  <c r="AJ251" i="1"/>
  <c r="AK251" i="1"/>
  <c r="AL251" i="1"/>
  <c r="AM251" i="1"/>
  <c r="AH48" i="1"/>
  <c r="AI48" i="1"/>
  <c r="AJ48" i="1"/>
  <c r="AK48" i="1"/>
  <c r="AL48" i="1"/>
  <c r="AM48" i="1"/>
  <c r="AH147" i="1"/>
  <c r="AI147" i="1"/>
  <c r="AJ147" i="1"/>
  <c r="AK147" i="1"/>
  <c r="AL147" i="1"/>
  <c r="AM147" i="1"/>
  <c r="AH145" i="1"/>
  <c r="AI145" i="1"/>
  <c r="AJ145" i="1"/>
  <c r="AK145" i="1"/>
  <c r="AL145" i="1"/>
  <c r="AM145" i="1"/>
  <c r="AH231" i="1"/>
  <c r="AI231" i="1"/>
  <c r="AJ231" i="1"/>
  <c r="AK231" i="1"/>
  <c r="AL231" i="1"/>
  <c r="AM231" i="1"/>
  <c r="AH241" i="1"/>
  <c r="AI241" i="1"/>
  <c r="AJ241" i="1"/>
  <c r="AK241" i="1"/>
  <c r="AL241" i="1"/>
  <c r="AM241" i="1"/>
  <c r="AH227" i="1"/>
  <c r="AI227" i="1"/>
  <c r="AJ227" i="1"/>
  <c r="AK227" i="1"/>
  <c r="AL227" i="1"/>
  <c r="AM227" i="1"/>
  <c r="AH159" i="1"/>
  <c r="AI159" i="1"/>
  <c r="AJ159" i="1"/>
  <c r="AK159" i="1"/>
  <c r="AL159" i="1"/>
  <c r="AM159" i="1"/>
  <c r="AH148" i="1"/>
  <c r="AI148" i="1"/>
  <c r="AJ148" i="1"/>
  <c r="AK148" i="1"/>
  <c r="AL148" i="1"/>
  <c r="AM148" i="1"/>
  <c r="AH59" i="1"/>
  <c r="AI59" i="1"/>
  <c r="AJ59" i="1"/>
  <c r="AK59" i="1"/>
  <c r="AL59" i="1"/>
  <c r="AM59" i="1"/>
  <c r="AI163" i="1"/>
  <c r="AJ163" i="1"/>
  <c r="AK163" i="1"/>
  <c r="AL163" i="1"/>
  <c r="AM163" i="1"/>
  <c r="AH75" i="1"/>
  <c r="AI75" i="1"/>
  <c r="AJ75" i="1"/>
  <c r="AK75" i="1"/>
  <c r="AL75" i="1"/>
  <c r="AM75" i="1"/>
  <c r="AH161" i="1"/>
  <c r="AI161" i="1"/>
  <c r="AJ161" i="1"/>
  <c r="AK161" i="1"/>
  <c r="AL161" i="1"/>
  <c r="AM161" i="1"/>
  <c r="AH162" i="1"/>
  <c r="AI162" i="1"/>
  <c r="AJ162" i="1"/>
  <c r="AK162" i="1"/>
  <c r="AL162" i="1"/>
  <c r="AM162" i="1"/>
  <c r="AH143" i="1"/>
  <c r="AI143" i="1"/>
  <c r="AJ143" i="1"/>
  <c r="AK143" i="1"/>
  <c r="AL143" i="1"/>
  <c r="AM143" i="1"/>
  <c r="AH233" i="1"/>
  <c r="AI233" i="1"/>
  <c r="AJ233" i="1"/>
  <c r="AK233" i="1"/>
  <c r="AL233" i="1"/>
  <c r="AM233" i="1"/>
  <c r="AH50" i="1"/>
  <c r="AI50" i="1"/>
  <c r="AJ50" i="1"/>
  <c r="AK50" i="1"/>
  <c r="AL50" i="1"/>
  <c r="AM50" i="1"/>
  <c r="AH309" i="1"/>
  <c r="AI309" i="1"/>
  <c r="AJ309" i="1"/>
  <c r="AK309" i="1"/>
  <c r="AL309" i="1"/>
  <c r="AM309" i="1"/>
  <c r="AH240" i="1"/>
  <c r="AI240" i="1"/>
  <c r="AJ240" i="1"/>
  <c r="AK240" i="1"/>
  <c r="AL240" i="1"/>
  <c r="AM240" i="1"/>
  <c r="AH236" i="1"/>
  <c r="AI236" i="1"/>
  <c r="AJ236" i="1"/>
  <c r="AK236" i="1"/>
  <c r="AL236" i="1"/>
  <c r="AM236" i="1"/>
  <c r="AH142" i="1"/>
  <c r="AI142" i="1"/>
  <c r="AJ142" i="1"/>
  <c r="AK142" i="1"/>
  <c r="AL142" i="1"/>
  <c r="AM142" i="1"/>
  <c r="AH160" i="1"/>
  <c r="AI160" i="1"/>
  <c r="AJ160" i="1"/>
  <c r="AK160" i="1"/>
  <c r="AL160" i="1"/>
  <c r="AM160" i="1"/>
  <c r="AH60" i="1"/>
  <c r="AI60" i="1"/>
  <c r="AJ60" i="1"/>
  <c r="AK60" i="1"/>
  <c r="AL60" i="1"/>
  <c r="AM60" i="1"/>
  <c r="AH260" i="1"/>
  <c r="AI260" i="1"/>
  <c r="AJ260" i="1"/>
  <c r="AK260" i="1"/>
  <c r="AL260" i="1"/>
  <c r="AM260" i="1"/>
  <c r="AH258" i="1"/>
  <c r="AI258" i="1"/>
  <c r="AJ258" i="1"/>
  <c r="AK258" i="1"/>
  <c r="AL258" i="1"/>
  <c r="AM258" i="1"/>
  <c r="AH281" i="1"/>
  <c r="AI281" i="1"/>
  <c r="AJ281" i="1"/>
  <c r="AK281" i="1"/>
  <c r="AL281" i="1"/>
  <c r="AM281" i="1"/>
  <c r="AH152" i="1"/>
  <c r="AI152" i="1"/>
  <c r="AJ152" i="1"/>
  <c r="AK152" i="1"/>
  <c r="AL152" i="1"/>
  <c r="AM152" i="1"/>
  <c r="AH295" i="1"/>
  <c r="AI295" i="1"/>
  <c r="AJ295" i="1"/>
  <c r="AK295" i="1"/>
  <c r="AL295" i="1"/>
  <c r="AM295" i="1"/>
  <c r="AH79" i="1"/>
  <c r="AI79" i="1"/>
  <c r="AJ79" i="1"/>
  <c r="AK79" i="1"/>
  <c r="AL79" i="1"/>
  <c r="AM79" i="1"/>
  <c r="AH54" i="1"/>
  <c r="AI54" i="1"/>
  <c r="AJ54" i="1"/>
  <c r="AK54" i="1"/>
  <c r="AL54" i="1"/>
  <c r="AM54" i="1"/>
  <c r="AH232" i="1"/>
  <c r="AI232" i="1"/>
  <c r="AJ232" i="1"/>
  <c r="AK232" i="1"/>
  <c r="AL232" i="1"/>
  <c r="AM232" i="1"/>
  <c r="AH58" i="1"/>
  <c r="AI58" i="1"/>
  <c r="AJ58" i="1"/>
  <c r="AK58" i="1"/>
  <c r="AL58" i="1"/>
  <c r="AM58" i="1"/>
  <c r="AH67" i="1"/>
  <c r="AI67" i="1"/>
  <c r="AJ67" i="1"/>
  <c r="AK67" i="1"/>
  <c r="AL67" i="1"/>
  <c r="AM67" i="1"/>
  <c r="AH257" i="1"/>
  <c r="AI257" i="1"/>
  <c r="AJ257" i="1"/>
  <c r="AK257" i="1"/>
  <c r="AL257" i="1"/>
  <c r="AM257" i="1"/>
  <c r="AH68" i="1"/>
  <c r="AI68" i="1"/>
  <c r="AJ68" i="1"/>
  <c r="AK68" i="1"/>
  <c r="AL68" i="1"/>
  <c r="AM68" i="1"/>
  <c r="AH157" i="1"/>
  <c r="AI157" i="1"/>
  <c r="AJ157" i="1"/>
  <c r="AK157" i="1"/>
  <c r="AL157" i="1"/>
  <c r="AM157" i="1"/>
  <c r="AH149" i="1"/>
  <c r="AI149" i="1"/>
  <c r="AJ149" i="1"/>
  <c r="AK149" i="1"/>
  <c r="AL149" i="1"/>
  <c r="AM149" i="1"/>
  <c r="AH70" i="1"/>
  <c r="AI70" i="1"/>
  <c r="AJ70" i="1"/>
  <c r="AK70" i="1"/>
  <c r="AL70" i="1"/>
  <c r="AM70" i="1"/>
  <c r="AH71" i="1"/>
  <c r="AI71" i="1"/>
  <c r="AJ71" i="1"/>
  <c r="AK71" i="1"/>
  <c r="AL71" i="1"/>
  <c r="AM71" i="1"/>
  <c r="AH238" i="1"/>
  <c r="AI238" i="1"/>
  <c r="AJ238" i="1"/>
  <c r="AK238" i="1"/>
  <c r="AL238" i="1"/>
  <c r="AM238" i="1"/>
  <c r="AH246" i="1"/>
  <c r="AI246" i="1"/>
  <c r="AJ246" i="1"/>
  <c r="AK246" i="1"/>
  <c r="AL246" i="1"/>
  <c r="AM246" i="1"/>
  <c r="AH167" i="1"/>
  <c r="AI167" i="1"/>
  <c r="AJ167" i="1"/>
  <c r="AK167" i="1"/>
  <c r="AL167" i="1"/>
  <c r="AM167" i="1"/>
  <c r="AH254" i="1"/>
  <c r="AI254" i="1"/>
  <c r="AJ254" i="1"/>
  <c r="AK254" i="1"/>
  <c r="AL254" i="1"/>
  <c r="AM254" i="1"/>
  <c r="AH61" i="1"/>
  <c r="AI61" i="1"/>
  <c r="AJ61" i="1"/>
  <c r="AK61" i="1"/>
  <c r="AL61" i="1"/>
  <c r="AM61" i="1"/>
  <c r="AH63" i="1"/>
  <c r="AI63" i="1"/>
  <c r="AJ63" i="1"/>
  <c r="AK63" i="1"/>
  <c r="AL63" i="1"/>
  <c r="AM63" i="1"/>
  <c r="AH66" i="1"/>
  <c r="AI66" i="1"/>
  <c r="AJ66" i="1"/>
  <c r="AK66" i="1"/>
  <c r="AL66" i="1"/>
  <c r="AM66" i="1"/>
  <c r="AH64" i="1"/>
  <c r="AI64" i="1"/>
  <c r="AJ64" i="1"/>
  <c r="AK64" i="1"/>
  <c r="AL64" i="1"/>
  <c r="AM64" i="1"/>
  <c r="AH62" i="1"/>
  <c r="AI62" i="1"/>
  <c r="AJ62" i="1"/>
  <c r="AK62" i="1"/>
  <c r="AL62" i="1"/>
  <c r="AM62" i="1"/>
  <c r="AH65" i="1"/>
  <c r="AI65" i="1"/>
  <c r="AJ65" i="1"/>
  <c r="AK65" i="1"/>
  <c r="AL65" i="1"/>
  <c r="AM65" i="1"/>
  <c r="AH72" i="1"/>
  <c r="AI72" i="1"/>
  <c r="AJ72" i="1"/>
  <c r="AK72" i="1"/>
  <c r="AL72" i="1"/>
  <c r="AM72" i="1"/>
  <c r="AH242" i="1"/>
  <c r="AI242" i="1"/>
  <c r="AJ242" i="1"/>
  <c r="AK242" i="1"/>
  <c r="AL242" i="1"/>
  <c r="AM242" i="1"/>
  <c r="AH323" i="1"/>
  <c r="AI323" i="1"/>
  <c r="AJ323" i="1"/>
  <c r="AK323" i="1"/>
  <c r="AL323" i="1"/>
  <c r="AM323" i="1"/>
  <c r="AH69" i="1"/>
  <c r="AI69" i="1"/>
  <c r="AJ69" i="1"/>
  <c r="AK69" i="1"/>
  <c r="AL69" i="1"/>
  <c r="AM69" i="1"/>
  <c r="AH244" i="1"/>
  <c r="AI244" i="1"/>
  <c r="AJ244" i="1"/>
  <c r="AK244" i="1"/>
  <c r="AL244" i="1"/>
  <c r="AM244" i="1"/>
  <c r="AH264" i="1"/>
  <c r="AI264" i="1"/>
  <c r="AJ264" i="1"/>
  <c r="AK264" i="1"/>
  <c r="AL264" i="1"/>
  <c r="AM264" i="1"/>
  <c r="AH245" i="1"/>
  <c r="AI245" i="1"/>
  <c r="AJ245" i="1"/>
  <c r="AK245" i="1"/>
  <c r="AL245" i="1"/>
  <c r="AM245" i="1"/>
  <c r="AH247" i="1"/>
  <c r="AI247" i="1"/>
  <c r="AJ247" i="1"/>
  <c r="AK247" i="1"/>
  <c r="AL247" i="1"/>
  <c r="AM247" i="1"/>
  <c r="AH249" i="1"/>
  <c r="AI249" i="1"/>
  <c r="AJ249" i="1"/>
  <c r="AK249" i="1"/>
  <c r="AL249" i="1"/>
  <c r="AM249" i="1"/>
  <c r="AH266" i="1"/>
  <c r="AI266" i="1"/>
  <c r="AJ266" i="1"/>
  <c r="AK266" i="1"/>
  <c r="AL266" i="1"/>
  <c r="AM266" i="1"/>
  <c r="AH74" i="1"/>
  <c r="AI74" i="1"/>
  <c r="AJ74" i="1"/>
  <c r="AK74" i="1"/>
  <c r="AL74" i="1"/>
  <c r="AM74" i="1"/>
  <c r="AH153" i="1"/>
  <c r="AI153" i="1"/>
  <c r="AJ153" i="1"/>
  <c r="AK153" i="1"/>
  <c r="AL153" i="1"/>
  <c r="AM153" i="1"/>
  <c r="AH312" i="1"/>
  <c r="AI312" i="1"/>
  <c r="AJ312" i="1"/>
  <c r="AK312" i="1"/>
  <c r="AL312" i="1"/>
  <c r="AM312" i="1"/>
  <c r="AH272" i="1"/>
  <c r="AI272" i="1"/>
  <c r="AJ272" i="1"/>
  <c r="AK272" i="1"/>
  <c r="AL272" i="1"/>
  <c r="AM272" i="1"/>
  <c r="AH73" i="1"/>
  <c r="AI73" i="1"/>
  <c r="AJ73" i="1"/>
  <c r="AK73" i="1"/>
  <c r="AL73" i="1"/>
  <c r="AM73" i="1"/>
  <c r="AH256" i="1"/>
  <c r="AI256" i="1"/>
  <c r="AJ256" i="1"/>
  <c r="AK256" i="1"/>
  <c r="AL256" i="1"/>
  <c r="AM256" i="1"/>
  <c r="AH250" i="1"/>
  <c r="AI250" i="1"/>
  <c r="AJ250" i="1"/>
  <c r="AK250" i="1"/>
  <c r="AL250" i="1"/>
  <c r="AM250" i="1"/>
  <c r="AH155" i="1"/>
  <c r="AI155" i="1"/>
  <c r="AJ155" i="1"/>
  <c r="AK155" i="1"/>
  <c r="AL155" i="1"/>
  <c r="AM155" i="1"/>
  <c r="AH263" i="1"/>
  <c r="AI263" i="1"/>
  <c r="AJ263" i="1"/>
  <c r="AK263" i="1"/>
  <c r="AL263" i="1"/>
  <c r="AM263" i="1"/>
  <c r="AH271" i="1"/>
  <c r="AI271" i="1"/>
  <c r="AJ271" i="1"/>
  <c r="AK271" i="1"/>
  <c r="AL271" i="1"/>
  <c r="AM271" i="1"/>
  <c r="AH164" i="1"/>
  <c r="AI164" i="1"/>
  <c r="AJ164" i="1"/>
  <c r="AK164" i="1"/>
  <c r="AL164" i="1"/>
  <c r="AM164" i="1"/>
  <c r="AH268" i="1"/>
  <c r="AI268" i="1"/>
  <c r="AJ268" i="1"/>
  <c r="AK268" i="1"/>
  <c r="AL268" i="1"/>
  <c r="AM268" i="1"/>
  <c r="AH158" i="1"/>
  <c r="AI158" i="1"/>
  <c r="AJ158" i="1"/>
  <c r="AK158" i="1"/>
  <c r="AL158" i="1"/>
  <c r="AM158" i="1"/>
  <c r="AH174" i="1"/>
  <c r="AI174" i="1"/>
  <c r="AJ174" i="1"/>
  <c r="AK174" i="1"/>
  <c r="AL174" i="1"/>
  <c r="AM174" i="1"/>
  <c r="AH154" i="1"/>
  <c r="AI154" i="1"/>
  <c r="AJ154" i="1"/>
  <c r="AK154" i="1"/>
  <c r="AL154" i="1"/>
  <c r="AM154" i="1"/>
  <c r="AH253" i="1"/>
  <c r="AI253" i="1"/>
  <c r="AJ253" i="1"/>
  <c r="AK253" i="1"/>
  <c r="AL253" i="1"/>
  <c r="AM253" i="1"/>
  <c r="AH192" i="1"/>
  <c r="AI192" i="1"/>
  <c r="AJ192" i="1"/>
  <c r="AK192" i="1"/>
  <c r="AL192" i="1"/>
  <c r="AM192" i="1"/>
  <c r="AH285" i="1"/>
  <c r="AI285" i="1"/>
  <c r="AJ285" i="1"/>
  <c r="AK285" i="1"/>
  <c r="AL285" i="1"/>
  <c r="AM285" i="1"/>
  <c r="AH83" i="1"/>
  <c r="AI83" i="1"/>
  <c r="AJ83" i="1"/>
  <c r="AK83" i="1"/>
  <c r="AL83" i="1"/>
  <c r="AM83" i="1"/>
  <c r="AH166" i="1"/>
  <c r="AI166" i="1"/>
  <c r="AJ166" i="1"/>
  <c r="AK166" i="1"/>
  <c r="AL166" i="1"/>
  <c r="AM166" i="1"/>
  <c r="AH176" i="1"/>
  <c r="AI176" i="1"/>
  <c r="AJ176" i="1"/>
  <c r="AK176" i="1"/>
  <c r="AL176" i="1"/>
  <c r="AM176" i="1"/>
  <c r="AH177" i="1"/>
  <c r="AI177" i="1"/>
  <c r="AJ177" i="1"/>
  <c r="AK177" i="1"/>
  <c r="AL177" i="1"/>
  <c r="AM177" i="1"/>
  <c r="AH326" i="1"/>
  <c r="AI326" i="1"/>
  <c r="AJ326" i="1"/>
  <c r="AK326" i="1"/>
  <c r="AL326" i="1"/>
  <c r="AM326" i="1"/>
  <c r="AH327" i="1"/>
  <c r="AI327" i="1"/>
  <c r="AJ327" i="1"/>
  <c r="AK327" i="1"/>
  <c r="AL327" i="1"/>
  <c r="AM327" i="1"/>
  <c r="AH270" i="1"/>
  <c r="AI270" i="1"/>
  <c r="AJ270" i="1"/>
  <c r="AK270" i="1"/>
  <c r="AL270" i="1"/>
  <c r="AM270" i="1"/>
  <c r="AH322" i="1"/>
  <c r="AI322" i="1"/>
  <c r="AJ322" i="1"/>
  <c r="AK322" i="1"/>
  <c r="AL322" i="1"/>
  <c r="AM322" i="1"/>
  <c r="AH173" i="1"/>
  <c r="AI173" i="1"/>
  <c r="AJ173" i="1"/>
  <c r="AK173" i="1"/>
  <c r="AL173" i="1"/>
  <c r="AM173" i="1"/>
  <c r="AH274" i="1"/>
  <c r="AI274" i="1"/>
  <c r="AJ274" i="1"/>
  <c r="AK274" i="1"/>
  <c r="AL274" i="1"/>
  <c r="AM274" i="1"/>
  <c r="AH277" i="1"/>
  <c r="AI277" i="1"/>
  <c r="AJ277" i="1"/>
  <c r="AK277" i="1"/>
  <c r="AL277" i="1"/>
  <c r="AM277" i="1"/>
  <c r="AH306" i="1"/>
  <c r="AI306" i="1"/>
  <c r="AJ306" i="1"/>
  <c r="AK306" i="1"/>
  <c r="AL306" i="1"/>
  <c r="AM306" i="1"/>
  <c r="AH172" i="1"/>
  <c r="AI172" i="1"/>
  <c r="AJ172" i="1"/>
  <c r="AK172" i="1"/>
  <c r="AL172" i="1"/>
  <c r="AM172" i="1"/>
  <c r="AH169" i="1"/>
  <c r="AI169" i="1"/>
  <c r="AJ169" i="1"/>
  <c r="AK169" i="1"/>
  <c r="AL169" i="1"/>
  <c r="AM169" i="1"/>
  <c r="AH165" i="1"/>
  <c r="AI165" i="1"/>
  <c r="AJ165" i="1"/>
  <c r="AK165" i="1"/>
  <c r="AL165" i="1"/>
  <c r="AM165" i="1"/>
  <c r="AH267" i="1"/>
  <c r="AI267" i="1"/>
  <c r="AJ267" i="1"/>
  <c r="AK267" i="1"/>
  <c r="AL267" i="1"/>
  <c r="AM267" i="1"/>
  <c r="AH298" i="1"/>
  <c r="AI298" i="1"/>
  <c r="AJ298" i="1"/>
  <c r="AK298" i="1"/>
  <c r="AL298" i="1"/>
  <c r="AM298" i="1"/>
  <c r="AH76" i="1"/>
  <c r="AI76" i="1"/>
  <c r="AJ76" i="1"/>
  <c r="AK76" i="1"/>
  <c r="AL76" i="1"/>
  <c r="AM76" i="1"/>
  <c r="AH168" i="1"/>
  <c r="AI168" i="1"/>
  <c r="AJ168" i="1"/>
  <c r="AK168" i="1"/>
  <c r="AL168" i="1"/>
  <c r="AM168" i="1"/>
  <c r="AH294" i="1"/>
  <c r="AI294" i="1"/>
  <c r="AJ294" i="1"/>
  <c r="AK294" i="1"/>
  <c r="AL294" i="1"/>
  <c r="AM294" i="1"/>
  <c r="AH262" i="1"/>
  <c r="AI262" i="1"/>
  <c r="AJ262" i="1"/>
  <c r="AK262" i="1"/>
  <c r="AL262" i="1"/>
  <c r="AM262" i="1"/>
  <c r="AH303" i="1"/>
  <c r="AI303" i="1"/>
  <c r="AJ303" i="1"/>
  <c r="AK303" i="1"/>
  <c r="AL303" i="1"/>
  <c r="AM303" i="1"/>
  <c r="AH171" i="1"/>
  <c r="AI171" i="1"/>
  <c r="AJ171" i="1"/>
  <c r="AK171" i="1"/>
  <c r="AL171" i="1"/>
  <c r="AM171" i="1"/>
  <c r="AH181" i="1"/>
  <c r="AI181" i="1"/>
  <c r="AJ181" i="1"/>
  <c r="AK181" i="1"/>
  <c r="AL181" i="1"/>
  <c r="AM181" i="1"/>
  <c r="AH259" i="1"/>
  <c r="AI259" i="1"/>
  <c r="AJ259" i="1"/>
  <c r="AK259" i="1"/>
  <c r="AL259" i="1"/>
  <c r="AM259" i="1"/>
  <c r="AH170" i="1"/>
  <c r="AI170" i="1"/>
  <c r="AJ170" i="1"/>
  <c r="AK170" i="1"/>
  <c r="AL170" i="1"/>
  <c r="AM170" i="1"/>
  <c r="AH289" i="1"/>
  <c r="AI289" i="1"/>
  <c r="AJ289" i="1"/>
  <c r="AK289" i="1"/>
  <c r="AL289" i="1"/>
  <c r="AM289" i="1"/>
  <c r="AH180" i="1"/>
  <c r="AI180" i="1"/>
  <c r="AJ180" i="1"/>
  <c r="AK180" i="1"/>
  <c r="AL180" i="1"/>
  <c r="AM180" i="1"/>
  <c r="AH269" i="1"/>
  <c r="AI269" i="1"/>
  <c r="AJ269" i="1"/>
  <c r="AK269" i="1"/>
  <c r="AL269" i="1"/>
  <c r="AM269" i="1"/>
  <c r="AH178" i="1"/>
  <c r="AI178" i="1"/>
  <c r="AJ178" i="1"/>
  <c r="AK178" i="1"/>
  <c r="AL178" i="1"/>
  <c r="AM178" i="1"/>
  <c r="AH279" i="1"/>
  <c r="AI279" i="1"/>
  <c r="AJ279" i="1"/>
  <c r="AK279" i="1"/>
  <c r="AL279" i="1"/>
  <c r="AM279" i="1"/>
  <c r="AH273" i="1"/>
  <c r="AI273" i="1"/>
  <c r="AJ273" i="1"/>
  <c r="AK273" i="1"/>
  <c r="AL273" i="1"/>
  <c r="AM273" i="1"/>
  <c r="AH78" i="1"/>
  <c r="AI78" i="1"/>
  <c r="AJ78" i="1"/>
  <c r="AK78" i="1"/>
  <c r="AL78" i="1"/>
  <c r="AM78" i="1"/>
  <c r="AH314" i="1"/>
  <c r="AI314" i="1"/>
  <c r="AJ314" i="1"/>
  <c r="AK314" i="1"/>
  <c r="AL314" i="1"/>
  <c r="AM314" i="1"/>
  <c r="AH300" i="1"/>
  <c r="AI300" i="1"/>
  <c r="AJ300" i="1"/>
  <c r="AK300" i="1"/>
  <c r="AL300" i="1"/>
  <c r="AM300" i="1"/>
  <c r="AH316" i="1"/>
  <c r="AI316" i="1"/>
  <c r="AJ316" i="1"/>
  <c r="AK316" i="1"/>
  <c r="AL316" i="1"/>
  <c r="AM316" i="1"/>
  <c r="AH297" i="1"/>
  <c r="AI297" i="1"/>
  <c r="AJ297" i="1"/>
  <c r="AK297" i="1"/>
  <c r="AL297" i="1"/>
  <c r="AM297" i="1"/>
  <c r="AH291" i="1"/>
  <c r="AI291" i="1"/>
  <c r="AJ291" i="1"/>
  <c r="AK291" i="1"/>
  <c r="AL291" i="1"/>
  <c r="AM291" i="1"/>
  <c r="AH305" i="1"/>
  <c r="AI305" i="1"/>
  <c r="AJ305" i="1"/>
  <c r="AK305" i="1"/>
  <c r="AL305" i="1"/>
  <c r="AM305" i="1"/>
  <c r="AH313" i="1"/>
  <c r="AI313" i="1"/>
  <c r="AJ313" i="1"/>
  <c r="AK313" i="1"/>
  <c r="AL313" i="1"/>
  <c r="AM313" i="1"/>
  <c r="AH265" i="1"/>
  <c r="AI265" i="1"/>
  <c r="AJ265" i="1"/>
  <c r="AK265" i="1"/>
  <c r="AL265" i="1"/>
  <c r="AM265" i="1"/>
  <c r="AH175" i="1"/>
  <c r="AI175" i="1"/>
  <c r="AJ175" i="1"/>
  <c r="AK175" i="1"/>
  <c r="AL175" i="1"/>
  <c r="AM175" i="1"/>
  <c r="AH301" i="1"/>
  <c r="AI301" i="1"/>
  <c r="AJ301" i="1"/>
  <c r="AK301" i="1"/>
  <c r="AL301" i="1"/>
  <c r="AM301" i="1"/>
  <c r="AH275" i="1"/>
  <c r="AI275" i="1"/>
  <c r="AJ275" i="1"/>
  <c r="AK275" i="1"/>
  <c r="AL275" i="1"/>
  <c r="AM275" i="1"/>
  <c r="AH182" i="1"/>
  <c r="AI182" i="1"/>
  <c r="AJ182" i="1"/>
  <c r="AK182" i="1"/>
  <c r="AL182" i="1"/>
  <c r="AM182" i="1"/>
  <c r="AH77" i="1"/>
  <c r="AI77" i="1"/>
  <c r="AJ77" i="1"/>
  <c r="AK77" i="1"/>
  <c r="AL77" i="1"/>
  <c r="AM77" i="1"/>
  <c r="AH287" i="1"/>
  <c r="AI287" i="1"/>
  <c r="AJ287" i="1"/>
  <c r="AK287" i="1"/>
  <c r="AL287" i="1"/>
  <c r="AM287" i="1"/>
  <c r="AH82" i="1"/>
  <c r="AI82" i="1"/>
  <c r="AJ82" i="1"/>
  <c r="AK82" i="1"/>
  <c r="AL82" i="1"/>
  <c r="AM82" i="1"/>
  <c r="AH179" i="1"/>
  <c r="AI179" i="1"/>
  <c r="AJ179" i="1"/>
  <c r="AK179" i="1"/>
  <c r="AL179" i="1"/>
  <c r="AM179" i="1"/>
  <c r="AH276" i="1"/>
  <c r="AI276" i="1"/>
  <c r="AJ276" i="1"/>
  <c r="AK276" i="1"/>
  <c r="AL276" i="1"/>
  <c r="AM276" i="1"/>
  <c r="AH292" i="1"/>
  <c r="AI292" i="1"/>
  <c r="AJ292" i="1"/>
  <c r="AK292" i="1"/>
  <c r="AL292" i="1"/>
  <c r="AM292" i="1"/>
  <c r="AH183" i="1"/>
  <c r="AI183" i="1"/>
  <c r="AJ183" i="1"/>
  <c r="AK183" i="1"/>
  <c r="AL183" i="1"/>
  <c r="AM183" i="1"/>
  <c r="AH290" i="1"/>
  <c r="AI290" i="1"/>
  <c r="AJ290" i="1"/>
  <c r="AK290" i="1"/>
  <c r="AL290" i="1"/>
  <c r="AM290" i="1"/>
  <c r="AH184" i="1"/>
  <c r="AI184" i="1"/>
  <c r="AJ184" i="1"/>
  <c r="AK184" i="1"/>
  <c r="AL184" i="1"/>
  <c r="AM184" i="1"/>
  <c r="AH84" i="1"/>
  <c r="AI84" i="1"/>
  <c r="AJ84" i="1"/>
  <c r="AK84" i="1"/>
  <c r="AL84" i="1"/>
  <c r="AM84" i="1"/>
  <c r="AH187" i="1"/>
  <c r="AI187" i="1"/>
  <c r="AJ187" i="1"/>
  <c r="AK187" i="1"/>
  <c r="AL187" i="1"/>
  <c r="AM187" i="1"/>
  <c r="AH318" i="1"/>
  <c r="AI318" i="1"/>
  <c r="AJ318" i="1"/>
  <c r="AK318" i="1"/>
  <c r="AL318" i="1"/>
  <c r="AM318" i="1"/>
  <c r="AH186" i="1"/>
  <c r="AI186" i="1"/>
  <c r="AJ186" i="1"/>
  <c r="AK186" i="1"/>
  <c r="AL186" i="1"/>
  <c r="AM186" i="1"/>
  <c r="AH80" i="1"/>
  <c r="AI80" i="1"/>
  <c r="AJ80" i="1"/>
  <c r="AK80" i="1"/>
  <c r="AL80" i="1"/>
  <c r="AM80" i="1"/>
  <c r="AH293" i="1"/>
  <c r="AI293" i="1"/>
  <c r="AJ293" i="1"/>
  <c r="AK293" i="1"/>
  <c r="AL293" i="1"/>
  <c r="AM293" i="1"/>
  <c r="AH81" i="1"/>
  <c r="AI81" i="1"/>
  <c r="AJ81" i="1"/>
  <c r="AK81" i="1"/>
  <c r="AL81" i="1"/>
  <c r="AM81" i="1"/>
  <c r="AH280" i="1"/>
  <c r="AI280" i="1"/>
  <c r="AJ280" i="1"/>
  <c r="AK280" i="1"/>
  <c r="AL280" i="1"/>
  <c r="AM280" i="1"/>
  <c r="AH302" i="1"/>
  <c r="AI302" i="1"/>
  <c r="AJ302" i="1"/>
  <c r="AK302" i="1"/>
  <c r="AL302" i="1"/>
  <c r="AM302" i="1"/>
  <c r="AH307" i="1"/>
  <c r="AI307" i="1"/>
  <c r="AJ307" i="1"/>
  <c r="AK307" i="1"/>
  <c r="AL307" i="1"/>
  <c r="AM307" i="1"/>
  <c r="AH299" i="1"/>
  <c r="AI299" i="1"/>
  <c r="AJ299" i="1"/>
  <c r="AK299" i="1"/>
  <c r="AL299" i="1"/>
  <c r="AM299" i="1"/>
  <c r="AH315" i="1"/>
  <c r="AI315" i="1"/>
  <c r="AJ315" i="1"/>
  <c r="AK315" i="1"/>
  <c r="AL315" i="1"/>
  <c r="AM315" i="1"/>
  <c r="AH317" i="1"/>
  <c r="AI317" i="1"/>
  <c r="AJ317" i="1"/>
  <c r="AK317" i="1"/>
  <c r="AL317" i="1"/>
  <c r="AM317" i="1"/>
  <c r="AH296" i="1"/>
  <c r="AI296" i="1"/>
  <c r="AJ296" i="1"/>
  <c r="AK296" i="1"/>
  <c r="AL296" i="1"/>
  <c r="AM296" i="1"/>
  <c r="AH304" i="1"/>
  <c r="AI304" i="1"/>
  <c r="AJ304" i="1"/>
  <c r="AK304" i="1"/>
  <c r="AL304" i="1"/>
  <c r="AM304" i="1"/>
  <c r="AH311" i="1"/>
  <c r="AI311" i="1"/>
  <c r="AJ311" i="1"/>
  <c r="AK311" i="1"/>
  <c r="AL311" i="1"/>
  <c r="AM311" i="1"/>
  <c r="AH191" i="1"/>
  <c r="AI191" i="1"/>
  <c r="AJ191" i="1"/>
  <c r="AK191" i="1"/>
  <c r="AL191" i="1"/>
  <c r="AM191" i="1"/>
  <c r="AH308" i="1"/>
  <c r="AI308" i="1"/>
  <c r="AJ308" i="1"/>
  <c r="AK308" i="1"/>
  <c r="AL308" i="1"/>
  <c r="AM308" i="1"/>
  <c r="AH310" i="1"/>
  <c r="AI310" i="1"/>
  <c r="AJ310" i="1"/>
  <c r="AK310" i="1"/>
  <c r="AL310" i="1"/>
  <c r="AM310" i="1"/>
  <c r="AH189" i="1"/>
  <c r="AI189" i="1"/>
  <c r="AJ189" i="1"/>
  <c r="AK189" i="1"/>
  <c r="AL189" i="1"/>
  <c r="AM189" i="1"/>
  <c r="AH188" i="1"/>
  <c r="AI188" i="1"/>
  <c r="AJ188" i="1"/>
  <c r="AK188" i="1"/>
  <c r="AL188" i="1"/>
  <c r="AM188" i="1"/>
  <c r="AH319" i="1"/>
  <c r="AI319" i="1"/>
  <c r="AJ319" i="1"/>
  <c r="AK319" i="1"/>
  <c r="AL319" i="1"/>
  <c r="AM319" i="1"/>
  <c r="AH325" i="1"/>
  <c r="AI325" i="1"/>
  <c r="AJ325" i="1"/>
  <c r="AK325" i="1"/>
  <c r="AL325" i="1"/>
  <c r="AM325" i="1"/>
  <c r="AH85" i="1"/>
  <c r="AI85" i="1"/>
  <c r="AJ85" i="1"/>
  <c r="AK85" i="1"/>
  <c r="AL85" i="1"/>
  <c r="AM85" i="1"/>
  <c r="AH328" i="1"/>
  <c r="AI328" i="1"/>
  <c r="AJ328" i="1"/>
  <c r="AK328" i="1"/>
  <c r="AL328" i="1"/>
  <c r="AM328" i="1"/>
  <c r="AH87" i="1"/>
  <c r="AI87" i="1"/>
  <c r="AJ87" i="1"/>
  <c r="AK87" i="1"/>
  <c r="AL87" i="1"/>
  <c r="AM87" i="1"/>
  <c r="AH324" i="1"/>
  <c r="AI324" i="1"/>
  <c r="AJ324" i="1"/>
  <c r="AK324" i="1"/>
  <c r="AL324" i="1"/>
  <c r="AM324" i="1"/>
  <c r="AH330" i="1"/>
  <c r="AI330" i="1"/>
  <c r="AJ330" i="1"/>
  <c r="AK330" i="1"/>
  <c r="AL330" i="1"/>
  <c r="AM330" i="1"/>
  <c r="AH86" i="1"/>
  <c r="AI86" i="1"/>
  <c r="AJ86" i="1"/>
  <c r="AK86" i="1"/>
  <c r="AL86" i="1"/>
  <c r="AM86" i="1"/>
  <c r="AH320" i="1"/>
  <c r="AI320" i="1"/>
  <c r="AJ320" i="1"/>
  <c r="AK320" i="1"/>
  <c r="AL320" i="1"/>
  <c r="AM320" i="1"/>
  <c r="AH190" i="1"/>
  <c r="AI190" i="1"/>
  <c r="AJ190" i="1"/>
  <c r="AK190" i="1"/>
  <c r="AL190" i="1"/>
  <c r="AM190" i="1"/>
  <c r="AH321" i="1"/>
  <c r="AI321" i="1"/>
  <c r="AJ321" i="1"/>
  <c r="AK321" i="1"/>
  <c r="AL321" i="1"/>
  <c r="AM321" i="1"/>
  <c r="AH329" i="1"/>
  <c r="AI329" i="1"/>
  <c r="AJ329" i="1"/>
  <c r="AK329" i="1"/>
  <c r="AL329" i="1"/>
  <c r="AM329" i="1"/>
  <c r="AH88" i="1"/>
  <c r="AI88" i="1"/>
  <c r="AJ88" i="1"/>
  <c r="AK88" i="1"/>
  <c r="AL88" i="1"/>
  <c r="AM88" i="1"/>
  <c r="AG89" i="1"/>
  <c r="AG91" i="1"/>
  <c r="AG2" i="1"/>
  <c r="AG92" i="1"/>
  <c r="AG3" i="1"/>
  <c r="AG93" i="1"/>
  <c r="AG96" i="1"/>
  <c r="AG94" i="1"/>
  <c r="AG95" i="1"/>
  <c r="AG4" i="1"/>
  <c r="AG100" i="1"/>
  <c r="AG98" i="1"/>
  <c r="AG5" i="1"/>
  <c r="AG6" i="1"/>
  <c r="AG102" i="1"/>
  <c r="AG97" i="1"/>
  <c r="AG7" i="1"/>
  <c r="AG99" i="1"/>
  <c r="AG210" i="1"/>
  <c r="AG8" i="1"/>
  <c r="AG9" i="1"/>
  <c r="AG13" i="1"/>
  <c r="AG105" i="1"/>
  <c r="AG150" i="1"/>
  <c r="AG151" i="1"/>
  <c r="AG52" i="1"/>
  <c r="AG203" i="1"/>
  <c r="AG156" i="1"/>
  <c r="AG19" i="1"/>
  <c r="AG103" i="1"/>
  <c r="AG10" i="1"/>
  <c r="AG211" i="1"/>
  <c r="AG193" i="1"/>
  <c r="AG101" i="1"/>
  <c r="AG109" i="1"/>
  <c r="AG15" i="1"/>
  <c r="AG11" i="1"/>
  <c r="AG112" i="1"/>
  <c r="AG12" i="1"/>
  <c r="AG132" i="1"/>
  <c r="AG104" i="1"/>
  <c r="AG18" i="1"/>
  <c r="AG117" i="1"/>
  <c r="AG14" i="1"/>
  <c r="AG106" i="1"/>
  <c r="AG107" i="1"/>
  <c r="AG108" i="1"/>
  <c r="AG30" i="1"/>
  <c r="AG119" i="1"/>
  <c r="AG135" i="1"/>
  <c r="AG34" i="1"/>
  <c r="AG122" i="1"/>
  <c r="AG16" i="1"/>
  <c r="AG118" i="1"/>
  <c r="AG111" i="1"/>
  <c r="AG207" i="1"/>
  <c r="AG23" i="1"/>
  <c r="AG110" i="1"/>
  <c r="AG17" i="1"/>
  <c r="AG114" i="1"/>
  <c r="AG22" i="1"/>
  <c r="AG209" i="1"/>
  <c r="AG126" i="1"/>
  <c r="AG24" i="1"/>
  <c r="AG25" i="1"/>
  <c r="AG194" i="1"/>
  <c r="AG121" i="1"/>
  <c r="AG21" i="1"/>
  <c r="AG20" i="1"/>
  <c r="AG28" i="1"/>
  <c r="AG29" i="1"/>
  <c r="AG219" i="1"/>
  <c r="AG129" i="1"/>
  <c r="AG131" i="1"/>
  <c r="AG225" i="1"/>
  <c r="AG42" i="1"/>
  <c r="AG31" i="1"/>
  <c r="AG204" i="1"/>
  <c r="AG113" i="1"/>
  <c r="AG27" i="1"/>
  <c r="AG32" i="1"/>
  <c r="AG26" i="1"/>
  <c r="AG128" i="1"/>
  <c r="AG237" i="1"/>
  <c r="AG120" i="1"/>
  <c r="AG115" i="1"/>
  <c r="AG116" i="1"/>
  <c r="AG217" i="1"/>
  <c r="AG125" i="1"/>
  <c r="AG212" i="1"/>
  <c r="AG130" i="1"/>
  <c r="AG261" i="1"/>
  <c r="AG220" i="1"/>
  <c r="AG215" i="1"/>
  <c r="AG123" i="1"/>
  <c r="AG223" i="1"/>
  <c r="AG35" i="1"/>
  <c r="AG124" i="1"/>
  <c r="AG39" i="1"/>
  <c r="AG51" i="1"/>
  <c r="AG205" i="1"/>
  <c r="AG234" i="1"/>
  <c r="AG33" i="1"/>
  <c r="AG38" i="1"/>
  <c r="AG137" i="1"/>
  <c r="AG208" i="1"/>
  <c r="AG127" i="1"/>
  <c r="AG222" i="1"/>
  <c r="AG239" i="1"/>
  <c r="AG41" i="1"/>
  <c r="AG202" i="1"/>
  <c r="AG40" i="1"/>
  <c r="AG134" i="1"/>
  <c r="AG37" i="1"/>
  <c r="AG43" i="1"/>
  <c r="AG36" i="1"/>
  <c r="AG46" i="1"/>
  <c r="AG226" i="1"/>
  <c r="AG206" i="1"/>
  <c r="AG243" i="1"/>
  <c r="AG138" i="1"/>
  <c r="AG224" i="1"/>
  <c r="AG213" i="1"/>
  <c r="AG57" i="1"/>
  <c r="AG136" i="1"/>
  <c r="AG45" i="1"/>
  <c r="AG221" i="1"/>
  <c r="AG228" i="1"/>
  <c r="AG47" i="1"/>
  <c r="AG133" i="1"/>
  <c r="AG44" i="1"/>
  <c r="AG214" i="1"/>
  <c r="AG53" i="1"/>
  <c r="AG216" i="1"/>
  <c r="AG141" i="1"/>
  <c r="AG252" i="1"/>
  <c r="AG235" i="1"/>
  <c r="AG218" i="1"/>
  <c r="AG230" i="1"/>
  <c r="AG286" i="1"/>
  <c r="AG255" i="1"/>
  <c r="AG229" i="1"/>
  <c r="AG49" i="1"/>
  <c r="AG139" i="1"/>
  <c r="AG282" i="1"/>
  <c r="AG284" i="1"/>
  <c r="AG144" i="1"/>
  <c r="AG55" i="1"/>
  <c r="AG56" i="1"/>
  <c r="AG140" i="1"/>
  <c r="AG185" i="1"/>
  <c r="AG251" i="1"/>
  <c r="AG48" i="1"/>
  <c r="AG147" i="1"/>
  <c r="AG145" i="1"/>
  <c r="AG231" i="1"/>
  <c r="AG241" i="1"/>
  <c r="AG227" i="1"/>
  <c r="AG159" i="1"/>
  <c r="AG148" i="1"/>
  <c r="AG59" i="1"/>
  <c r="AG163" i="1"/>
  <c r="AG75" i="1"/>
  <c r="AG161" i="1"/>
  <c r="AG162" i="1"/>
  <c r="AG143" i="1"/>
  <c r="AG233" i="1"/>
  <c r="AG50" i="1"/>
  <c r="AG309" i="1"/>
  <c r="AG240" i="1"/>
  <c r="AG236" i="1"/>
  <c r="AG142" i="1"/>
  <c r="AG160" i="1"/>
  <c r="AG60" i="1"/>
  <c r="AG260" i="1"/>
  <c r="AG258" i="1"/>
  <c r="AG281" i="1"/>
  <c r="AG152" i="1"/>
  <c r="AG295" i="1"/>
  <c r="AG79" i="1"/>
  <c r="AG54" i="1"/>
  <c r="AG232" i="1"/>
  <c r="AG58" i="1"/>
  <c r="AG67" i="1"/>
  <c r="AG257" i="1"/>
  <c r="AG68" i="1"/>
  <c r="AG157" i="1"/>
  <c r="AG149" i="1"/>
  <c r="AG70" i="1"/>
  <c r="AG71" i="1"/>
  <c r="AG238" i="1"/>
  <c r="AG246" i="1"/>
  <c r="AG167" i="1"/>
  <c r="AG254" i="1"/>
  <c r="AG61" i="1"/>
  <c r="AG63" i="1"/>
  <c r="AG66" i="1"/>
  <c r="AG64" i="1"/>
  <c r="AG62" i="1"/>
  <c r="AG65" i="1"/>
  <c r="AG72" i="1"/>
  <c r="AG242" i="1"/>
  <c r="AG323" i="1"/>
  <c r="AG69" i="1"/>
  <c r="AG244" i="1"/>
  <c r="AG264" i="1"/>
  <c r="AG245" i="1"/>
  <c r="AG247" i="1"/>
  <c r="AG249" i="1"/>
  <c r="AG266" i="1"/>
  <c r="AG74" i="1"/>
  <c r="AG153" i="1"/>
  <c r="AG312" i="1"/>
  <c r="AG272" i="1"/>
  <c r="AG73" i="1"/>
  <c r="AG256" i="1"/>
  <c r="AG250" i="1"/>
  <c r="AG155" i="1"/>
  <c r="AG263" i="1"/>
  <c r="AG271" i="1"/>
  <c r="AG164" i="1"/>
  <c r="AG268" i="1"/>
  <c r="AG158" i="1"/>
  <c r="AG174" i="1"/>
  <c r="AG154" i="1"/>
  <c r="AG253" i="1"/>
  <c r="AG192" i="1"/>
  <c r="AG285" i="1"/>
  <c r="AG83" i="1"/>
  <c r="AG166" i="1"/>
  <c r="AG176" i="1"/>
  <c r="AG177" i="1"/>
  <c r="AG326" i="1"/>
  <c r="AG327" i="1"/>
  <c r="AG270" i="1"/>
  <c r="AG322" i="1"/>
  <c r="AG173" i="1"/>
  <c r="AG274" i="1"/>
  <c r="AG277" i="1"/>
  <c r="AG306" i="1"/>
  <c r="AG172" i="1"/>
  <c r="AG169" i="1"/>
  <c r="AG165" i="1"/>
  <c r="AG267" i="1"/>
  <c r="AG298" i="1"/>
  <c r="AG76" i="1"/>
  <c r="AG168" i="1"/>
  <c r="AG294" i="1"/>
  <c r="AG262" i="1"/>
  <c r="AG303" i="1"/>
  <c r="AG171" i="1"/>
  <c r="AG181" i="1"/>
  <c r="AG259" i="1"/>
  <c r="AG170" i="1"/>
  <c r="AG289" i="1"/>
  <c r="AG180" i="1"/>
  <c r="AG269" i="1"/>
  <c r="AG178" i="1"/>
  <c r="AG279" i="1"/>
  <c r="AG273" i="1"/>
  <c r="AG78" i="1"/>
  <c r="AG314" i="1"/>
  <c r="AG300" i="1"/>
  <c r="AG316" i="1"/>
  <c r="AG297" i="1"/>
  <c r="AG291" i="1"/>
  <c r="AG305" i="1"/>
  <c r="AG313" i="1"/>
  <c r="AG265" i="1"/>
  <c r="AG175" i="1"/>
  <c r="AG301" i="1"/>
  <c r="AG275" i="1"/>
  <c r="AG182" i="1"/>
  <c r="AG77" i="1"/>
  <c r="AG287" i="1"/>
  <c r="AG82" i="1"/>
  <c r="AG179" i="1"/>
  <c r="AG276" i="1"/>
  <c r="AG292" i="1"/>
  <c r="AG183" i="1"/>
  <c r="AG290" i="1"/>
  <c r="AG184" i="1"/>
  <c r="AG84" i="1"/>
  <c r="AG187" i="1"/>
  <c r="AG318" i="1"/>
  <c r="AG186" i="1"/>
  <c r="AG80" i="1"/>
  <c r="AG293" i="1"/>
  <c r="AG81" i="1"/>
  <c r="AG280" i="1"/>
  <c r="AG302" i="1"/>
  <c r="AG307" i="1"/>
  <c r="AG299" i="1"/>
  <c r="AG315" i="1"/>
  <c r="AG317" i="1"/>
  <c r="AG296" i="1"/>
  <c r="AG304" i="1"/>
  <c r="AG311" i="1"/>
  <c r="AG191" i="1"/>
  <c r="AG308" i="1"/>
  <c r="AG310" i="1"/>
  <c r="AG189" i="1"/>
  <c r="AG188" i="1"/>
  <c r="AG319" i="1"/>
  <c r="AG325" i="1"/>
  <c r="AG85" i="1"/>
  <c r="AG328" i="1"/>
  <c r="AG87" i="1"/>
  <c r="AG324" i="1"/>
  <c r="AG330" i="1"/>
  <c r="AG86" i="1"/>
  <c r="AG320" i="1"/>
  <c r="AG190" i="1"/>
  <c r="AG321" i="1"/>
  <c r="AG329" i="1"/>
  <c r="AG88" i="1"/>
  <c r="AG90" i="1"/>
  <c r="G278" i="3"/>
  <c r="H295" i="3"/>
  <c r="E278" i="3"/>
  <c r="E280" i="3"/>
  <c r="N205" i="3"/>
  <c r="F268" i="3"/>
  <c r="G64" i="3"/>
  <c r="G63" i="3"/>
  <c r="F291" i="3"/>
  <c r="F282" i="3"/>
  <c r="E202" i="3"/>
  <c r="I64" i="3"/>
  <c r="E144" i="3"/>
  <c r="E146" i="3"/>
  <c r="E276" i="3"/>
  <c r="I62" i="3"/>
  <c r="E145" i="3"/>
  <c r="H62" i="3"/>
  <c r="H291" i="3"/>
  <c r="F276" i="3"/>
  <c r="E143" i="3"/>
  <c r="D119" i="3"/>
  <c r="F278" i="3"/>
  <c r="G280" i="3"/>
  <c r="E268" i="3"/>
  <c r="F264" i="3"/>
  <c r="H280" i="3"/>
  <c r="E200" i="3"/>
  <c r="H63" i="3"/>
  <c r="F64" i="3"/>
  <c r="G144" i="3"/>
  <c r="H264" i="3"/>
  <c r="I63" i="3"/>
  <c r="H278" i="3"/>
  <c r="E295" i="3"/>
  <c r="G145" i="3"/>
  <c r="G143" i="3"/>
  <c r="F62" i="3"/>
  <c r="F280" i="3"/>
  <c r="E291" i="3"/>
  <c r="H276" i="3"/>
  <c r="G146" i="3"/>
  <c r="G264" i="3"/>
  <c r="E264" i="3"/>
  <c r="F119" i="3"/>
  <c r="F295" i="3"/>
  <c r="G276" i="3"/>
  <c r="G62" i="3"/>
  <c r="G291" i="3"/>
  <c r="H64" i="3"/>
  <c r="F63" i="3"/>
  <c r="E201" i="3"/>
  <c r="E282" i="3"/>
  <c r="G268" i="3"/>
  <c r="E199" i="3"/>
  <c r="G295" i="3"/>
  <c r="J62" i="3" l="1"/>
  <c r="H119" i="3"/>
  <c r="E119" i="3" s="1"/>
  <c r="L14" i="3"/>
  <c r="M14" i="3" s="1"/>
  <c r="M20" i="3" l="1"/>
  <c r="N14" i="3" l="1"/>
  <c r="M21" i="3"/>
  <c r="M22" i="3" s="1"/>
  <c r="M23" i="3" l="1"/>
  <c r="M28" i="3"/>
  <c r="M24" i="3" l="1"/>
  <c r="M25" i="3" s="1"/>
  <c r="M27" i="3" s="1"/>
  <c r="L326" i="3"/>
  <c r="I297" i="3"/>
  <c r="I284" i="3"/>
  <c r="I270" i="3"/>
  <c r="I180" i="3"/>
  <c r="K180" i="3" s="1"/>
  <c r="D186" i="3" s="1"/>
  <c r="I179" i="3"/>
  <c r="K179" i="3" s="1"/>
  <c r="I178" i="3"/>
  <c r="K178" i="3" s="1"/>
  <c r="I177" i="3"/>
  <c r="J177" i="3" s="1"/>
  <c r="I176" i="3"/>
  <c r="K176" i="3" s="1"/>
  <c r="I175" i="3"/>
  <c r="I161" i="3"/>
  <c r="K161" i="3" s="1"/>
  <c r="I160" i="3"/>
  <c r="K160" i="3" s="1"/>
  <c r="I159" i="3"/>
  <c r="M159" i="3" s="1"/>
  <c r="I158" i="3"/>
  <c r="H117" i="3"/>
  <c r="G117" i="3" s="1"/>
  <c r="H116" i="3"/>
  <c r="G116" i="3" s="1"/>
  <c r="G115" i="3"/>
  <c r="E115" i="3"/>
  <c r="H114" i="3"/>
  <c r="G114" i="3" s="1"/>
  <c r="H113" i="3"/>
  <c r="G113" i="3" s="1"/>
  <c r="H112" i="3"/>
  <c r="H111" i="3"/>
  <c r="E111" i="3" s="1"/>
  <c r="H110" i="3"/>
  <c r="G110" i="3" s="1"/>
  <c r="H109" i="3"/>
  <c r="G109" i="3" s="1"/>
  <c r="H108" i="3"/>
  <c r="G108" i="3" s="1"/>
  <c r="H107" i="3"/>
  <c r="E107" i="3" s="1"/>
  <c r="H106" i="3"/>
  <c r="G106" i="3" s="1"/>
  <c r="H105" i="3"/>
  <c r="G105" i="3" s="1"/>
  <c r="G104" i="3"/>
  <c r="E104" i="3"/>
  <c r="E93" i="3"/>
  <c r="E92" i="3"/>
  <c r="E91" i="3"/>
  <c r="E90" i="3"/>
  <c r="E89" i="3"/>
  <c r="E88" i="3"/>
  <c r="E87" i="3"/>
  <c r="E86" i="3"/>
  <c r="E85" i="3"/>
  <c r="E84" i="3"/>
  <c r="E83" i="3"/>
  <c r="E82" i="3"/>
  <c r="E81" i="3"/>
  <c r="E80" i="3"/>
  <c r="AF284" i="1"/>
  <c r="I184" i="3" l="1"/>
  <c r="I183" i="3"/>
  <c r="M158" i="3"/>
  <c r="G111" i="3"/>
  <c r="K177" i="3"/>
  <c r="E110" i="3"/>
  <c r="E106" i="3"/>
  <c r="E114" i="3"/>
  <c r="K158" i="3"/>
  <c r="G107" i="3"/>
  <c r="J180" i="3"/>
  <c r="E116" i="3"/>
  <c r="K159" i="3"/>
  <c r="J176" i="3"/>
  <c r="E109" i="3"/>
  <c r="E105" i="3"/>
  <c r="E113" i="3"/>
  <c r="E117" i="3"/>
  <c r="R8" i="3"/>
  <c r="E112" i="3"/>
  <c r="G112" i="3"/>
  <c r="M161" i="3"/>
  <c r="K175" i="3"/>
  <c r="J175" i="3"/>
  <c r="M160" i="3"/>
  <c r="E108" i="3"/>
  <c r="J178" i="3"/>
  <c r="J179" i="3"/>
  <c r="AF106" i="1"/>
  <c r="W106" i="1"/>
  <c r="K184" i="3" l="1"/>
  <c r="J184" i="3"/>
  <c r="L322" i="3"/>
  <c r="I66" i="3"/>
  <c r="L323" i="3"/>
  <c r="H270" i="3"/>
  <c r="L318" i="3"/>
  <c r="I144" i="3"/>
  <c r="L320" i="3"/>
  <c r="H120" i="3"/>
  <c r="F120" i="3"/>
  <c r="F270" i="3"/>
  <c r="L324" i="3"/>
  <c r="G270" i="3"/>
  <c r="F327" i="3"/>
  <c r="L310" i="3"/>
  <c r="J264" i="3"/>
  <c r="E270" i="3"/>
  <c r="H66" i="3"/>
  <c r="L313" i="3"/>
  <c r="G147" i="3"/>
  <c r="G162" i="3" s="1"/>
  <c r="G163" i="3" s="1"/>
  <c r="L309" i="3"/>
  <c r="E204" i="3"/>
  <c r="N199" i="3" s="1"/>
  <c r="L321" i="3"/>
  <c r="L315" i="3"/>
  <c r="K64" i="3"/>
  <c r="K63" i="3"/>
  <c r="L319" i="3"/>
  <c r="I145" i="3"/>
  <c r="L317" i="3"/>
  <c r="L312" i="3"/>
  <c r="G297" i="3"/>
  <c r="G327" i="3"/>
  <c r="D120" i="3"/>
  <c r="F254" i="3"/>
  <c r="H297" i="3"/>
  <c r="J63" i="3"/>
  <c r="G284" i="3"/>
  <c r="F284" i="3"/>
  <c r="H327" i="3"/>
  <c r="H254" i="3"/>
  <c r="H228" i="3"/>
  <c r="L325" i="3"/>
  <c r="I146" i="3"/>
  <c r="K62" i="3"/>
  <c r="D95" i="3" s="1"/>
  <c r="E95" i="3" s="1"/>
  <c r="J276" i="3"/>
  <c r="E284" i="3"/>
  <c r="G65" i="3"/>
  <c r="K65" i="3" s="1"/>
  <c r="F65" i="3"/>
  <c r="J65" i="3" s="1"/>
  <c r="G254" i="3"/>
  <c r="F297" i="3"/>
  <c r="L314" i="3"/>
  <c r="G228" i="3"/>
  <c r="H284" i="3"/>
  <c r="I327" i="3"/>
  <c r="E297" i="3"/>
  <c r="J291" i="3"/>
  <c r="J327" i="3"/>
  <c r="L311" i="3"/>
  <c r="J64" i="3"/>
  <c r="L316" i="3"/>
  <c r="F228" i="3"/>
  <c r="E147" i="3"/>
  <c r="E162" i="3" s="1"/>
  <c r="I143" i="3"/>
  <c r="K66" i="3" l="1"/>
  <c r="G120" i="3"/>
  <c r="J284" i="3"/>
  <c r="E277" i="3" s="1"/>
  <c r="G148" i="3"/>
  <c r="F66" i="3"/>
  <c r="E163" i="3"/>
  <c r="I162" i="3"/>
  <c r="K162" i="3" s="1"/>
  <c r="G66" i="3"/>
  <c r="E120" i="3"/>
  <c r="I147" i="3"/>
  <c r="J145" i="3" s="1"/>
  <c r="J66" i="3"/>
  <c r="G119" i="3"/>
  <c r="E148" i="3"/>
  <c r="L327" i="3"/>
  <c r="AF2" i="1"/>
  <c r="M162" i="3" l="1"/>
  <c r="I163" i="3"/>
  <c r="G164" i="3" s="1"/>
  <c r="J146" i="3"/>
  <c r="J144" i="3"/>
  <c r="J143" i="3"/>
  <c r="D187" i="3"/>
  <c r="W300" i="1"/>
  <c r="E164" i="3" l="1"/>
  <c r="J147" i="3"/>
  <c r="AF327" i="1"/>
  <c r="W85" i="1"/>
  <c r="AF5" i="1" l="1"/>
  <c r="AF42" i="1"/>
  <c r="AF184" i="1"/>
  <c r="AF10" i="1"/>
  <c r="AF6" i="1"/>
  <c r="AF75" i="1"/>
  <c r="AF17" i="1" l="1"/>
  <c r="AF30" i="1"/>
  <c r="AF49" i="1"/>
  <c r="AF4" i="1"/>
  <c r="AF13" i="1"/>
  <c r="AF84" i="1"/>
  <c r="AF48" i="1"/>
  <c r="AF43" i="1"/>
  <c r="AF47" i="1"/>
  <c r="AF32" i="1"/>
  <c r="AF88" i="1"/>
  <c r="AF36" i="1"/>
  <c r="AF51" i="1"/>
  <c r="AF52" i="1"/>
  <c r="AF53" i="1"/>
  <c r="AF9" i="1"/>
  <c r="AF66" i="1"/>
  <c r="AF76" i="1"/>
  <c r="AF63" i="1"/>
  <c r="AF33" i="1"/>
  <c r="AF31" i="1"/>
  <c r="AF65" i="1"/>
  <c r="AF3" i="1"/>
  <c r="AF19" i="1"/>
  <c r="AF71" i="1"/>
  <c r="AF70" i="1"/>
  <c r="AF23" i="1"/>
  <c r="AF87" i="1"/>
  <c r="AF44" i="1"/>
  <c r="AF68" i="1"/>
  <c r="AF18" i="1"/>
  <c r="AF85" i="1"/>
  <c r="AF16" i="1"/>
  <c r="AF82" i="1"/>
  <c r="AF38" i="1"/>
  <c r="AF60" i="1"/>
  <c r="AF11" i="1"/>
  <c r="AF59" i="1"/>
  <c r="AF80" i="1"/>
  <c r="AF64" i="1"/>
  <c r="AF39" i="1"/>
  <c r="AF50" i="1"/>
  <c r="AF77" i="1"/>
  <c r="AF15" i="1"/>
  <c r="AF37" i="1"/>
  <c r="AF73" i="1"/>
  <c r="AF61" i="1"/>
  <c r="AF58" i="1"/>
  <c r="AF22" i="1"/>
  <c r="AF12" i="1"/>
  <c r="AF57" i="1"/>
  <c r="AF94" i="1"/>
  <c r="AF7" i="1"/>
  <c r="AF24" i="1"/>
  <c r="AF83" i="1"/>
  <c r="AF25" i="1"/>
  <c r="AF34" i="1"/>
  <c r="AF55" i="1"/>
  <c r="AF56" i="1"/>
  <c r="AF41" i="1"/>
  <c r="AF29" i="1"/>
  <c r="AF28" i="1"/>
  <c r="AF81" i="1"/>
  <c r="AF147" i="1"/>
  <c r="AF145" i="1"/>
  <c r="AF162" i="1"/>
  <c r="AF163" i="1"/>
  <c r="AF161" i="1"/>
  <c r="AF135" i="1"/>
  <c r="AF117" i="1"/>
  <c r="AF114" i="1"/>
  <c r="AF91" i="1"/>
  <c r="AF132" i="1"/>
  <c r="AF156" i="1"/>
  <c r="AF103" i="1"/>
  <c r="AF149" i="1"/>
  <c r="AF100" i="1"/>
  <c r="AF98" i="1"/>
  <c r="AF105" i="1"/>
  <c r="AF109" i="1"/>
  <c r="AF171" i="1"/>
  <c r="AF150" i="1"/>
  <c r="AF90" i="1"/>
  <c r="AF89" i="1"/>
  <c r="AF96" i="1"/>
  <c r="AF99" i="1"/>
  <c r="AF151" i="1"/>
  <c r="AF101" i="1"/>
  <c r="AF104" i="1"/>
  <c r="AF182" i="1"/>
  <c r="AF131" i="1"/>
  <c r="AF93" i="1"/>
  <c r="AF95" i="1"/>
  <c r="AF102" i="1"/>
  <c r="AF97" i="1"/>
  <c r="AF112" i="1"/>
  <c r="AF119" i="1"/>
  <c r="AF122" i="1"/>
  <c r="AF118" i="1"/>
  <c r="AF111" i="1"/>
  <c r="AF110" i="1"/>
  <c r="AF121" i="1"/>
  <c r="AF120" i="1"/>
  <c r="AF139" i="1"/>
  <c r="AF92" i="1"/>
  <c r="AF107" i="1"/>
  <c r="AF108" i="1"/>
  <c r="AF286" i="1"/>
  <c r="AF282" i="1"/>
  <c r="AF326" i="1"/>
  <c r="AF207" i="1"/>
  <c r="AF290" i="1"/>
  <c r="AF203" i="1"/>
  <c r="AF313" i="1"/>
  <c r="AF206" i="1"/>
  <c r="AF226" i="1"/>
  <c r="AF214" i="1"/>
  <c r="AF211" i="1"/>
  <c r="AF215" i="1"/>
  <c r="AF210" i="1"/>
  <c r="AF223" i="1"/>
  <c r="AF193" i="1"/>
  <c r="AF14" i="1"/>
  <c r="AF129" i="1"/>
  <c r="AF221" i="1"/>
  <c r="AF315" i="1"/>
  <c r="AF268" i="1"/>
  <c r="AF140" i="1"/>
  <c r="AF188" i="1"/>
  <c r="AF250" i="1"/>
  <c r="AF298" i="1"/>
  <c r="AF252" i="1"/>
  <c r="AF239" i="1"/>
  <c r="AF295" i="1"/>
  <c r="AF247" i="1"/>
  <c r="AF174" i="1"/>
  <c r="AF285" i="1"/>
  <c r="AF209" i="1"/>
  <c r="AF126" i="1"/>
  <c r="AF227" i="1"/>
  <c r="AF142" i="1"/>
  <c r="AF155" i="1"/>
  <c r="AF274" i="1"/>
  <c r="AF267" i="1"/>
  <c r="AF220" i="1"/>
  <c r="AF124" i="1"/>
  <c r="AF216" i="1"/>
  <c r="AF54" i="1"/>
  <c r="AF157" i="1"/>
  <c r="AF181" i="1"/>
  <c r="AF314" i="1"/>
  <c r="AF194" i="1"/>
  <c r="AF20" i="1"/>
  <c r="AF116" i="1"/>
  <c r="AF217" i="1"/>
  <c r="AF212" i="1"/>
  <c r="AF261" i="1"/>
  <c r="AF137" i="1"/>
  <c r="AF127" i="1"/>
  <c r="AF202" i="1"/>
  <c r="AF138" i="1"/>
  <c r="AF229" i="1"/>
  <c r="AF143" i="1"/>
  <c r="AF240" i="1"/>
  <c r="AF258" i="1"/>
  <c r="AF281" i="1"/>
  <c r="AF79" i="1"/>
  <c r="AF257" i="1"/>
  <c r="AF167" i="1"/>
  <c r="AF72" i="1"/>
  <c r="AF244" i="1"/>
  <c r="AF249" i="1"/>
  <c r="AF312" i="1"/>
  <c r="AF272" i="1"/>
  <c r="AF263" i="1"/>
  <c r="AF192" i="1"/>
  <c r="AF176" i="1"/>
  <c r="AF177" i="1"/>
  <c r="AF270" i="1"/>
  <c r="AF322" i="1"/>
  <c r="AF277" i="1"/>
  <c r="AF306" i="1"/>
  <c r="AF165" i="1"/>
  <c r="AF294" i="1"/>
  <c r="AF262" i="1"/>
  <c r="AF303" i="1"/>
  <c r="AF259" i="1"/>
  <c r="AF300" i="1"/>
  <c r="AF316" i="1"/>
  <c r="AF297" i="1"/>
  <c r="AF305" i="1"/>
  <c r="AF280" i="1"/>
  <c r="AF296" i="1"/>
  <c r="AF304" i="1"/>
  <c r="AF189" i="1"/>
  <c r="AF187" i="1"/>
  <c r="AF320" i="1"/>
  <c r="AF321" i="1"/>
  <c r="AF21" i="1"/>
  <c r="AF219" i="1"/>
  <c r="AF225" i="1"/>
  <c r="AF204" i="1"/>
  <c r="AF113" i="1"/>
  <c r="AF27" i="1"/>
  <c r="AF26" i="1"/>
  <c r="AF128" i="1"/>
  <c r="AF237" i="1"/>
  <c r="AF115" i="1"/>
  <c r="AF125" i="1"/>
  <c r="AF130" i="1"/>
  <c r="AF123" i="1"/>
  <c r="AF35" i="1"/>
  <c r="AF205" i="1"/>
  <c r="AF234" i="1"/>
  <c r="AF208" i="1"/>
  <c r="AF222" i="1"/>
  <c r="AF40" i="1"/>
  <c r="AF134" i="1"/>
  <c r="AF224" i="1"/>
  <c r="AF213" i="1"/>
  <c r="AF136" i="1"/>
  <c r="AF45" i="1"/>
  <c r="AF228" i="1"/>
  <c r="AF133" i="1"/>
  <c r="AF141" i="1"/>
  <c r="AF235" i="1"/>
  <c r="AF218" i="1"/>
  <c r="AF230" i="1"/>
  <c r="AF255" i="1"/>
  <c r="AF185" i="1"/>
  <c r="AF251" i="1"/>
  <c r="AF231" i="1"/>
  <c r="AF241" i="1"/>
  <c r="AF159" i="1"/>
  <c r="AF148" i="1"/>
  <c r="AF154" i="1"/>
  <c r="AF233" i="1"/>
  <c r="AF309" i="1"/>
  <c r="AF236" i="1"/>
  <c r="AF160" i="1"/>
  <c r="AF152" i="1"/>
  <c r="AF232" i="1"/>
  <c r="AF67" i="1"/>
  <c r="AF238" i="1"/>
  <c r="AF254" i="1"/>
  <c r="AF62" i="1"/>
  <c r="AF242" i="1"/>
  <c r="AF323" i="1"/>
  <c r="AF69" i="1"/>
  <c r="AF264" i="1"/>
  <c r="AF245" i="1"/>
  <c r="AF74" i="1"/>
  <c r="AF153" i="1"/>
  <c r="AF256" i="1"/>
  <c r="AF271" i="1"/>
  <c r="AF164" i="1"/>
  <c r="AF158" i="1"/>
  <c r="AF253" i="1"/>
  <c r="AF173" i="1"/>
  <c r="AF169" i="1"/>
  <c r="AF168" i="1"/>
  <c r="AF170" i="1"/>
  <c r="AF289" i="1"/>
  <c r="AF269" i="1"/>
  <c r="AF178" i="1"/>
  <c r="AF279" i="1"/>
  <c r="AF273" i="1"/>
  <c r="AF78" i="1"/>
  <c r="AF291" i="1"/>
  <c r="AF265" i="1"/>
  <c r="AF175" i="1"/>
  <c r="AF301" i="1"/>
  <c r="AF275" i="1"/>
  <c r="AF287" i="1"/>
  <c r="AF276" i="1"/>
  <c r="AF318" i="1"/>
  <c r="AF186" i="1"/>
  <c r="AF293" i="1"/>
  <c r="AF302" i="1"/>
  <c r="AF307" i="1"/>
  <c r="AF299" i="1"/>
  <c r="AF317" i="1"/>
  <c r="AF311" i="1"/>
  <c r="AF191" i="1"/>
  <c r="AF308" i="1"/>
  <c r="AF310" i="1"/>
  <c r="AF319" i="1"/>
  <c r="AF324" i="1"/>
  <c r="AF330" i="1"/>
  <c r="AF86" i="1"/>
  <c r="AF190" i="1"/>
  <c r="AF329" i="1"/>
  <c r="AF46" i="1"/>
  <c r="AF243" i="1"/>
  <c r="AF144" i="1"/>
  <c r="AF260" i="1"/>
  <c r="AF246" i="1"/>
  <c r="AF266" i="1"/>
  <c r="AF166" i="1"/>
  <c r="AF172" i="1"/>
  <c r="AF180" i="1"/>
  <c r="AF179" i="1"/>
  <c r="AF292" i="1"/>
  <c r="AF183" i="1"/>
  <c r="AF325" i="1"/>
  <c r="W321" i="1"/>
  <c r="W10" i="1"/>
  <c r="W75" i="1"/>
  <c r="W17" i="1"/>
  <c r="W30" i="1"/>
  <c r="W5" i="1"/>
  <c r="W49" i="1"/>
  <c r="W4" i="1"/>
  <c r="W13" i="1"/>
  <c r="W84" i="1"/>
  <c r="W48" i="1"/>
  <c r="W43" i="1"/>
  <c r="W47" i="1"/>
  <c r="W32" i="1"/>
  <c r="W88" i="1"/>
  <c r="W36" i="1"/>
  <c r="W51" i="1"/>
  <c r="W52" i="1"/>
  <c r="W42" i="1"/>
  <c r="W53" i="1"/>
  <c r="W9" i="1"/>
  <c r="W66" i="1"/>
  <c r="W76" i="1"/>
  <c r="W63" i="1"/>
  <c r="W8" i="1"/>
  <c r="W33" i="1"/>
  <c r="W31" i="1"/>
  <c r="W65" i="1"/>
  <c r="W3" i="1"/>
  <c r="W19" i="1"/>
  <c r="W71" i="1"/>
  <c r="W70" i="1"/>
  <c r="W23" i="1"/>
  <c r="W87" i="1"/>
  <c r="W44" i="1"/>
  <c r="W68" i="1"/>
  <c r="W18" i="1"/>
  <c r="W16" i="1"/>
  <c r="W82" i="1"/>
  <c r="W38" i="1"/>
  <c r="W60" i="1"/>
  <c r="W11" i="1"/>
  <c r="W59" i="1"/>
  <c r="W80" i="1"/>
  <c r="W64" i="1"/>
  <c r="W39" i="1"/>
  <c r="W50" i="1"/>
  <c r="W77" i="1"/>
  <c r="W15" i="1"/>
  <c r="W37" i="1"/>
  <c r="W73" i="1"/>
  <c r="W61" i="1"/>
  <c r="W58" i="1"/>
  <c r="W22" i="1"/>
  <c r="W12" i="1"/>
  <c r="W57" i="1"/>
  <c r="W94" i="1"/>
  <c r="W7" i="1"/>
  <c r="W24" i="1"/>
  <c r="W83" i="1"/>
  <c r="W25" i="1"/>
  <c r="W34" i="1"/>
  <c r="W55" i="1"/>
  <c r="W56" i="1"/>
  <c r="W41" i="1"/>
  <c r="W29" i="1"/>
  <c r="W28" i="1"/>
  <c r="W81" i="1"/>
  <c r="W147" i="1"/>
  <c r="W145" i="1"/>
  <c r="W162" i="1"/>
  <c r="W163" i="1"/>
  <c r="W161" i="1"/>
  <c r="W135" i="1"/>
  <c r="W117" i="1"/>
  <c r="W114" i="1"/>
  <c r="W91" i="1"/>
  <c r="W132" i="1"/>
  <c r="W156" i="1"/>
  <c r="W103" i="1"/>
  <c r="W6" i="1"/>
  <c r="W149" i="1"/>
  <c r="W100" i="1"/>
  <c r="W98" i="1"/>
  <c r="W105" i="1"/>
  <c r="W109" i="1"/>
  <c r="W171" i="1"/>
  <c r="W150" i="1"/>
  <c r="W90" i="1"/>
  <c r="W89" i="1"/>
  <c r="W96" i="1"/>
  <c r="W99" i="1"/>
  <c r="W151" i="1"/>
  <c r="W101" i="1"/>
  <c r="W104" i="1"/>
  <c r="W182" i="1"/>
  <c r="W131" i="1"/>
  <c r="W93" i="1"/>
  <c r="W95" i="1"/>
  <c r="W102" i="1"/>
  <c r="W97" i="1"/>
  <c r="W112" i="1"/>
  <c r="W119" i="1"/>
  <c r="W122" i="1"/>
  <c r="W118" i="1"/>
  <c r="W111" i="1"/>
  <c r="W110" i="1"/>
  <c r="W121" i="1"/>
  <c r="W120" i="1"/>
  <c r="W139" i="1"/>
  <c r="W92" i="1"/>
  <c r="W107" i="1"/>
  <c r="W108" i="1"/>
  <c r="W286" i="1"/>
  <c r="W282" i="1"/>
  <c r="W284" i="1"/>
  <c r="W326" i="1"/>
  <c r="W327" i="1"/>
  <c r="W207" i="1"/>
  <c r="W290" i="1"/>
  <c r="W203" i="1"/>
  <c r="W313" i="1"/>
  <c r="W206" i="1"/>
  <c r="W226" i="1"/>
  <c r="W214" i="1"/>
  <c r="W211" i="1"/>
  <c r="W215" i="1"/>
  <c r="W210" i="1"/>
  <c r="W223" i="1"/>
  <c r="W193" i="1"/>
  <c r="W14" i="1"/>
  <c r="W129" i="1"/>
  <c r="W221" i="1"/>
  <c r="W315" i="1"/>
  <c r="W268" i="1"/>
  <c r="W140" i="1"/>
  <c r="W188" i="1"/>
  <c r="W250" i="1"/>
  <c r="W298" i="1"/>
  <c r="W252" i="1"/>
  <c r="W239" i="1"/>
  <c r="W295" i="1"/>
  <c r="W247" i="1"/>
  <c r="W174" i="1"/>
  <c r="W285" i="1"/>
  <c r="W209" i="1"/>
  <c r="W126" i="1"/>
  <c r="W227" i="1"/>
  <c r="W142" i="1"/>
  <c r="W155" i="1"/>
  <c r="W274" i="1"/>
  <c r="W267" i="1"/>
  <c r="W220" i="1"/>
  <c r="W124" i="1"/>
  <c r="W216" i="1"/>
  <c r="W54" i="1"/>
  <c r="W157" i="1"/>
  <c r="W181" i="1"/>
  <c r="W314" i="1"/>
  <c r="W194" i="1"/>
  <c r="W20" i="1"/>
  <c r="W116" i="1"/>
  <c r="W217" i="1"/>
  <c r="W212" i="1"/>
  <c r="W261" i="1"/>
  <c r="W137" i="1"/>
  <c r="W127" i="1"/>
  <c r="W202" i="1"/>
  <c r="W138" i="1"/>
  <c r="W229" i="1"/>
  <c r="W143" i="1"/>
  <c r="W240" i="1"/>
  <c r="W258" i="1"/>
  <c r="W281" i="1"/>
  <c r="W79" i="1"/>
  <c r="W257" i="1"/>
  <c r="W167" i="1"/>
  <c r="W72" i="1"/>
  <c r="W244" i="1"/>
  <c r="W249" i="1"/>
  <c r="W312" i="1"/>
  <c r="W272" i="1"/>
  <c r="W263" i="1"/>
  <c r="W192" i="1"/>
  <c r="W176" i="1"/>
  <c r="W177" i="1"/>
  <c r="W270" i="1"/>
  <c r="W322" i="1"/>
  <c r="W277" i="1"/>
  <c r="W306" i="1"/>
  <c r="W165" i="1"/>
  <c r="W294" i="1"/>
  <c r="W262" i="1"/>
  <c r="W303" i="1"/>
  <c r="W259" i="1"/>
  <c r="W316" i="1"/>
  <c r="W297" i="1"/>
  <c r="W305" i="1"/>
  <c r="W280" i="1"/>
  <c r="W296" i="1"/>
  <c r="W304" i="1"/>
  <c r="W189" i="1"/>
  <c r="W187" i="1"/>
  <c r="W320" i="1"/>
  <c r="W21" i="1"/>
  <c r="W219" i="1"/>
  <c r="W225" i="1"/>
  <c r="W204" i="1"/>
  <c r="W113" i="1"/>
  <c r="W27" i="1"/>
  <c r="W26" i="1"/>
  <c r="W128" i="1"/>
  <c r="W237" i="1"/>
  <c r="W115" i="1"/>
  <c r="W125" i="1"/>
  <c r="W130" i="1"/>
  <c r="W123" i="1"/>
  <c r="W35" i="1"/>
  <c r="W205" i="1"/>
  <c r="W234" i="1"/>
  <c r="W208" i="1"/>
  <c r="W222" i="1"/>
  <c r="W40" i="1"/>
  <c r="W134" i="1"/>
  <c r="W224" i="1"/>
  <c r="W213" i="1"/>
  <c r="W136" i="1"/>
  <c r="W45" i="1"/>
  <c r="W228" i="1"/>
  <c r="W133" i="1"/>
  <c r="W141" i="1"/>
  <c r="W235" i="1"/>
  <c r="W218" i="1"/>
  <c r="W230" i="1"/>
  <c r="W255" i="1"/>
  <c r="W185" i="1"/>
  <c r="W251" i="1"/>
  <c r="W231" i="1"/>
  <c r="W241" i="1"/>
  <c r="W159" i="1"/>
  <c r="W148" i="1"/>
  <c r="W154" i="1"/>
  <c r="W233" i="1"/>
  <c r="W309" i="1"/>
  <c r="W236" i="1"/>
  <c r="W160" i="1"/>
  <c r="W152" i="1"/>
  <c r="W232" i="1"/>
  <c r="W67" i="1"/>
  <c r="W238" i="1"/>
  <c r="W254" i="1"/>
  <c r="W62" i="1"/>
  <c r="W242" i="1"/>
  <c r="W323" i="1"/>
  <c r="W69" i="1"/>
  <c r="W264" i="1"/>
  <c r="W245" i="1"/>
  <c r="W74" i="1"/>
  <c r="W153" i="1"/>
  <c r="W256" i="1"/>
  <c r="W271" i="1"/>
  <c r="W164" i="1"/>
  <c r="W158" i="1"/>
  <c r="W253" i="1"/>
  <c r="W173" i="1"/>
  <c r="W169" i="1"/>
  <c r="W168" i="1"/>
  <c r="W170" i="1"/>
  <c r="W289" i="1"/>
  <c r="W269" i="1"/>
  <c r="W178" i="1"/>
  <c r="W279" i="1"/>
  <c r="W273" i="1"/>
  <c r="W78" i="1"/>
  <c r="W291" i="1"/>
  <c r="W265" i="1"/>
  <c r="W175" i="1"/>
  <c r="W301" i="1"/>
  <c r="W275" i="1"/>
  <c r="W287" i="1"/>
  <c r="W276" i="1"/>
  <c r="W318" i="1"/>
  <c r="W186" i="1"/>
  <c r="W293" i="1"/>
  <c r="W302" i="1"/>
  <c r="W307" i="1"/>
  <c r="W299" i="1"/>
  <c r="W317" i="1"/>
  <c r="W311" i="1"/>
  <c r="W191" i="1"/>
  <c r="W308" i="1"/>
  <c r="W310" i="1"/>
  <c r="W319" i="1"/>
  <c r="W324" i="1"/>
  <c r="W330" i="1"/>
  <c r="W86" i="1"/>
  <c r="W190" i="1"/>
  <c r="W329" i="1"/>
  <c r="W46" i="1"/>
  <c r="W243" i="1"/>
  <c r="W144" i="1"/>
  <c r="W260" i="1"/>
  <c r="W246" i="1"/>
  <c r="W266" i="1"/>
  <c r="W166" i="1"/>
  <c r="W172" i="1"/>
  <c r="W180" i="1"/>
  <c r="W179" i="1"/>
  <c r="W292" i="1"/>
  <c r="W183" i="1"/>
  <c r="W184" i="1"/>
  <c r="W325" i="1"/>
  <c r="J297" i="3" l="1"/>
  <c r="F298" i="3" s="1"/>
  <c r="J280" i="3"/>
  <c r="J268" i="3"/>
  <c r="J282" i="3"/>
  <c r="J295" i="3"/>
  <c r="J278" i="3"/>
  <c r="E283" i="3"/>
  <c r="J293" i="3"/>
  <c r="J270" i="3"/>
  <c r="E269" i="3" s="1"/>
  <c r="J266" i="3"/>
  <c r="I298" i="3" l="1"/>
  <c r="G296" i="3"/>
  <c r="F292" i="3"/>
  <c r="F265" i="3"/>
  <c r="H292" i="3"/>
  <c r="F279" i="3"/>
  <c r="F285" i="3"/>
  <c r="H283" i="3"/>
  <c r="G298" i="3"/>
  <c r="F277" i="3"/>
  <c r="G277" i="3"/>
  <c r="I277" i="3"/>
  <c r="H298" i="3"/>
  <c r="H296" i="3"/>
  <c r="G271" i="3"/>
  <c r="G292" i="3"/>
  <c r="I269" i="3"/>
  <c r="F281" i="3"/>
  <c r="G283" i="3"/>
  <c r="H269" i="3"/>
  <c r="H294" i="3"/>
  <c r="G265" i="3"/>
  <c r="H271" i="3"/>
  <c r="E294" i="3"/>
  <c r="E285" i="3"/>
  <c r="E265" i="3"/>
  <c r="F269" i="3"/>
  <c r="F294" i="3"/>
  <c r="H277" i="3"/>
  <c r="H279" i="3"/>
  <c r="I285" i="3"/>
  <c r="H265" i="3"/>
  <c r="G285" i="3"/>
  <c r="I294" i="3"/>
  <c r="G294" i="3"/>
  <c r="I296" i="3"/>
  <c r="I267" i="3"/>
  <c r="F296" i="3"/>
  <c r="E298" i="3"/>
  <c r="E292" i="3"/>
  <c r="E281" i="3"/>
  <c r="G279" i="3"/>
  <c r="G281" i="3"/>
  <c r="I265" i="3"/>
  <c r="H267" i="3"/>
  <c r="E267" i="3"/>
  <c r="E271" i="3"/>
  <c r="E279" i="3"/>
  <c r="F283" i="3"/>
  <c r="F267" i="3"/>
  <c r="I283" i="3"/>
  <c r="I279" i="3"/>
  <c r="H285" i="3"/>
  <c r="G269" i="3"/>
  <c r="F271" i="3"/>
  <c r="I292" i="3"/>
  <c r="I281" i="3"/>
  <c r="H281" i="3"/>
  <c r="I271" i="3"/>
  <c r="G267" i="3"/>
  <c r="E296" i="3"/>
  <c r="J298" i="3" l="1"/>
  <c r="J277" i="3"/>
  <c r="J283" i="3"/>
  <c r="J269" i="3"/>
  <c r="J265" i="3"/>
  <c r="J281" i="3"/>
  <c r="J285" i="3"/>
  <c r="J279" i="3"/>
  <c r="J292" i="3"/>
  <c r="J294" i="3"/>
  <c r="J271" i="3"/>
  <c r="J267" i="3"/>
  <c r="J29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tc={2160750A-24EF-4685-AD3C-5B945722D9DD}</author>
  </authors>
  <commentList>
    <comment ref="Z163" authorId="0" shapeId="0" xr:uid="{2160750A-24EF-4685-AD3C-5B945722D9DD}">
      <text>
        <t>[Threaded comment]
Your version of Excel allows you to read this threaded comment; however, any edits to it will get removed if the file is opened in a newer version of Excel. Learn more: https://go.microsoft.com/fwlink/?linkid=870924
Comment:
    Care  Home</t>
      </text>
    </comment>
  </commentList>
</comments>
</file>

<file path=xl/sharedStrings.xml><?xml version="1.0" encoding="utf-8"?>
<sst xmlns="http://schemas.openxmlformats.org/spreadsheetml/2006/main" count="5299" uniqueCount="1733">
  <si>
    <r>
      <t>Richmond upon Thames - Authority Monitoring Report 
Housing Land Financial Year Report 2020/21 - Position at 1</t>
    </r>
    <r>
      <rPr>
        <b/>
        <vertAlign val="superscript"/>
        <sz val="16"/>
        <rFont val="Arial"/>
        <family val="2"/>
      </rPr>
      <t>st</t>
    </r>
    <r>
      <rPr>
        <b/>
        <sz val="16"/>
        <rFont val="Arial"/>
        <family val="2"/>
      </rPr>
      <t xml:space="preserve"> April 2021
</t>
    </r>
    <r>
      <rPr>
        <b/>
        <i/>
        <sz val="11"/>
        <rFont val="Arial"/>
        <family val="2"/>
      </rPr>
      <t>January 2022</t>
    </r>
  </si>
  <si>
    <t>Table 1</t>
  </si>
  <si>
    <t>Performance against London Plan (2011) target (2011 to 2021)</t>
  </si>
  <si>
    <t>Additional Homes (net)</t>
  </si>
  <si>
    <t>London Plan Target</t>
  </si>
  <si>
    <t xml:space="preserve">Provision (100% of plan period)   </t>
  </si>
  <si>
    <t>Total</t>
  </si>
  <si>
    <t>% of Target</t>
  </si>
  <si>
    <t>2011/12</t>
  </si>
  <si>
    <t>2012/13</t>
  </si>
  <si>
    <t>2013/14</t>
  </si>
  <si>
    <t>2014/15</t>
  </si>
  <si>
    <t>2015/16</t>
  </si>
  <si>
    <t>2016/17</t>
  </si>
  <si>
    <t>2017/18</t>
  </si>
  <si>
    <t>2018/19</t>
  </si>
  <si>
    <t>2019/20</t>
  </si>
  <si>
    <t>2020/21</t>
  </si>
  <si>
    <t>Conventional Supply</t>
  </si>
  <si>
    <t>Table 2</t>
  </si>
  <si>
    <t>Performance against Further Alterations to the London Plan (2015) target (2015 to 2025)</t>
  </si>
  <si>
    <t xml:space="preserve">Provision (60% of plan period)   </t>
  </si>
  <si>
    <t>Table 3</t>
  </si>
  <si>
    <t>Five year housing land supply calculation methodology Further Alterations to the London Plan (2015) target (2015 to 2025)</t>
  </si>
  <si>
    <t>a</t>
  </si>
  <si>
    <t>London Plan (FALP) Requirement 1 April 2015 to 31 March 2025 (10 year plan period)</t>
  </si>
  <si>
    <t>b</t>
  </si>
  <si>
    <t>Net completions 1 April 2015 to 31 March 2021</t>
  </si>
  <si>
    <t>c</t>
  </si>
  <si>
    <t>Remaining London Plan Requirement 31 March 2021 to 31 March 2025 (5 year plan period)</t>
  </si>
  <si>
    <t>a - b</t>
  </si>
  <si>
    <t>d</t>
  </si>
  <si>
    <t>Average per year</t>
  </si>
  <si>
    <t>c ÷ 5 years</t>
  </si>
  <si>
    <t>e</t>
  </si>
  <si>
    <t>Five year requirement</t>
  </si>
  <si>
    <t>d x 5</t>
  </si>
  <si>
    <t>f</t>
  </si>
  <si>
    <t>Five percent buffer</t>
  </si>
  <si>
    <t>e x 0.05</t>
  </si>
  <si>
    <t>g</t>
  </si>
  <si>
    <t>Total five year requirement (including 5% buffer)</t>
  </si>
  <si>
    <t>e + f</t>
  </si>
  <si>
    <t>h</t>
  </si>
  <si>
    <t>Estimated supply over five year period</t>
  </si>
  <si>
    <t>i</t>
  </si>
  <si>
    <t>Five year land supply as a percentage of requirement (including 5% buffer)</t>
  </si>
  <si>
    <t>(h ÷ e) x 100</t>
  </si>
  <si>
    <t>j</t>
  </si>
  <si>
    <t>Five year land supply expressed in years</t>
  </si>
  <si>
    <t>h ÷ d</t>
  </si>
  <si>
    <t>Table 4</t>
  </si>
  <si>
    <t>Five year housing land supply calculation methodology - London Plan 2021 - 1 April 2021 to 1 April 2031</t>
  </si>
  <si>
    <t>London Plan 2021 Requirement - 1 April 2021 to 1 April 2031 (10 year plan period)</t>
  </si>
  <si>
    <t>a ÷ 10 years</t>
  </si>
  <si>
    <t>b x 5</t>
  </si>
  <si>
    <t>c x 0.05</t>
  </si>
  <si>
    <t>c + d</t>
  </si>
  <si>
    <t>Five year land supply as a percentage of requirement (excluding 5% buffer)</t>
  </si>
  <si>
    <t>(f ÷ c) x 100</t>
  </si>
  <si>
    <t>Five year land supply expressed in years (excluding 5% buffer)</t>
  </si>
  <si>
    <t>f ÷ b</t>
  </si>
  <si>
    <t>Table 5</t>
  </si>
  <si>
    <t>Site Type</t>
  </si>
  <si>
    <t>Total used for 5-year supply</t>
  </si>
  <si>
    <t>New Build Sites under construction</t>
  </si>
  <si>
    <t>New Build Sites with planning permission</t>
  </si>
  <si>
    <t>Conversion sites under construction</t>
  </si>
  <si>
    <t>Conversion sites with planning permission</t>
  </si>
  <si>
    <t>Conversion sites with prior notification approval</t>
  </si>
  <si>
    <t>Deliverable Sites</t>
  </si>
  <si>
    <t>Total 5 year supply</t>
  </si>
  <si>
    <t>Table 6</t>
  </si>
  <si>
    <t>Housing land capacity at 1st April 2021</t>
  </si>
  <si>
    <t>Housing Capacity</t>
  </si>
  <si>
    <t>New Build</t>
  </si>
  <si>
    <t>Conversions</t>
  </si>
  <si>
    <t xml:space="preserve">Gross </t>
  </si>
  <si>
    <t>Net</t>
  </si>
  <si>
    <t>Completed 2020/21</t>
  </si>
  <si>
    <t>Under Construction</t>
  </si>
  <si>
    <t>Planning Permissions</t>
  </si>
  <si>
    <t>Total Pipeline</t>
  </si>
  <si>
    <t>Table 7</t>
  </si>
  <si>
    <t>Net units completed during the period 2001/02 to 2020/21</t>
  </si>
  <si>
    <t>Year</t>
  </si>
  <si>
    <t>Completions</t>
  </si>
  <si>
    <t>5 Year Average</t>
  </si>
  <si>
    <t>2001/02</t>
  </si>
  <si>
    <t>2002/03</t>
  </si>
  <si>
    <t>2003/04</t>
  </si>
  <si>
    <t>2004/05</t>
  </si>
  <si>
    <t>2005/06</t>
  </si>
  <si>
    <t>2006/07</t>
  </si>
  <si>
    <t>2007/08</t>
  </si>
  <si>
    <t>2008/09</t>
  </si>
  <si>
    <t>2009/10</t>
  </si>
  <si>
    <t>2010/11</t>
  </si>
  <si>
    <t>Table 8</t>
  </si>
  <si>
    <t>Net completions by tenure and financial year (2005/06 to 2020/21)</t>
  </si>
  <si>
    <t xml:space="preserve"> Open Market</t>
  </si>
  <si>
    <t xml:space="preserve"> Affordable</t>
  </si>
  <si>
    <t>Total 
Units</t>
  </si>
  <si>
    <t>Units</t>
  </si>
  <si>
    <t>%</t>
  </si>
  <si>
    <t>Table 9</t>
  </si>
  <si>
    <t>Dwelling Size of Net Completions 2020/21 (All tenures)</t>
  </si>
  <si>
    <t>Dwelling Type / Size</t>
  </si>
  <si>
    <t>Permissions</t>
  </si>
  <si>
    <t>Prior Approvals</t>
  </si>
  <si>
    <t xml:space="preserve">1 bed </t>
  </si>
  <si>
    <t xml:space="preserve">2 bed </t>
  </si>
  <si>
    <t xml:space="preserve">3 bed </t>
  </si>
  <si>
    <t xml:space="preserve">4+ bed </t>
  </si>
  <si>
    <t>Percentage</t>
  </si>
  <si>
    <t>Table 10</t>
  </si>
  <si>
    <t>Application Type of Net Completions 2016/17 - 2020/21 (All tenures)</t>
  </si>
  <si>
    <t>% Permissions</t>
  </si>
  <si>
    <t>% Prior Approvals</t>
  </si>
  <si>
    <t>Table 11</t>
  </si>
  <si>
    <t>Proportion of housing completions provided by large sites</t>
  </si>
  <si>
    <t>Table 12</t>
  </si>
  <si>
    <t>Net completions on small / large sites</t>
  </si>
  <si>
    <t>Small</t>
  </si>
  <si>
    <t>Large</t>
  </si>
  <si>
    <t>% Small</t>
  </si>
  <si>
    <t>% Large</t>
  </si>
  <si>
    <t xml:space="preserve">Total </t>
  </si>
  <si>
    <t>Average</t>
  </si>
  <si>
    <t>Spatial Areas</t>
  </si>
  <si>
    <t>Town Centres</t>
  </si>
  <si>
    <t>Policy Areas</t>
  </si>
  <si>
    <t>Net completions within town centre boundaries</t>
  </si>
  <si>
    <t>Table 13</t>
  </si>
  <si>
    <t>Net completions by policy areas</t>
  </si>
  <si>
    <t>Town Centre</t>
  </si>
  <si>
    <t>Policy Area</t>
  </si>
  <si>
    <t>East Sheen</t>
  </si>
  <si>
    <t>Richmond</t>
  </si>
  <si>
    <t>Thames Policy Area</t>
  </si>
  <si>
    <t>Teddington</t>
  </si>
  <si>
    <t>Mixed Use Area</t>
  </si>
  <si>
    <t>Twickenham</t>
  </si>
  <si>
    <t>OOLTI</t>
  </si>
  <si>
    <t>Whitton</t>
  </si>
  <si>
    <t>Green Belt MOL</t>
  </si>
  <si>
    <t>Total in Town Centres</t>
  </si>
  <si>
    <t>Garden Land</t>
  </si>
  <si>
    <t>Conservation Area</t>
  </si>
  <si>
    <t>Wards</t>
  </si>
  <si>
    <t>Table 14</t>
  </si>
  <si>
    <t>Net units with planning permission, commenced or completed by Ward in 2020/21</t>
  </si>
  <si>
    <t>Ward</t>
  </si>
  <si>
    <t>Not Started</t>
  </si>
  <si>
    <t>Barnes</t>
  </si>
  <si>
    <t>Fulwell, Hampton Hill</t>
  </si>
  <si>
    <t>Ham, Petersham and Richmond Riverside</t>
  </si>
  <si>
    <t>Hampton</t>
  </si>
  <si>
    <t>Hampton North</t>
  </si>
  <si>
    <t>Hampton Wick</t>
  </si>
  <si>
    <t>Heathfield</t>
  </si>
  <si>
    <t>Kew</t>
  </si>
  <si>
    <t>Mortlake, Barnes Common</t>
  </si>
  <si>
    <t>North Richmond</t>
  </si>
  <si>
    <t>South Richmond</t>
  </si>
  <si>
    <t>South Twickenham</t>
  </si>
  <si>
    <t>St Margarets, North Twickenham</t>
  </si>
  <si>
    <t>Twickenham Riverside</t>
  </si>
  <si>
    <t>West Twickenham</t>
  </si>
  <si>
    <t>Table 15</t>
  </si>
  <si>
    <t>Net units completed by Ward in 2020/21</t>
  </si>
  <si>
    <t>Proposed</t>
  </si>
  <si>
    <t>Existing</t>
  </si>
  <si>
    <t>Net Gain</t>
  </si>
  <si>
    <t>Fulwell and Hampton Hill</t>
  </si>
  <si>
    <t>Mortlake and Barnes Common</t>
  </si>
  <si>
    <t>St. Margarets and North Twickenham</t>
  </si>
  <si>
    <t>Dwelling Mix</t>
  </si>
  <si>
    <t>Table 16</t>
  </si>
  <si>
    <t>Net new build units completed by unit size and tenure</t>
  </si>
  <si>
    <t>Net new build units completed by unit size</t>
  </si>
  <si>
    <t>1 bed</t>
  </si>
  <si>
    <t>2 bed</t>
  </si>
  <si>
    <t>3 bed</t>
  </si>
  <si>
    <t>4 + bed</t>
  </si>
  <si>
    <t>Not Known</t>
  </si>
  <si>
    <t>Market</t>
  </si>
  <si>
    <t>Intermediate</t>
  </si>
  <si>
    <t>Affordable Rented</t>
  </si>
  <si>
    <t>Table 17</t>
  </si>
  <si>
    <t>Net new build units under construction by unit size and tenure</t>
  </si>
  <si>
    <t>Net new build units under construction by unit size</t>
  </si>
  <si>
    <t>Social Rented</t>
  </si>
  <si>
    <t>Table 18</t>
  </si>
  <si>
    <t>Net new build units with planning permission by unit size and tenure</t>
  </si>
  <si>
    <t>Net new build units with planning permission by unit size</t>
  </si>
  <si>
    <t>Future Housing Supply</t>
  </si>
  <si>
    <t>Table 19</t>
  </si>
  <si>
    <t>Housing Land Supply by ward (net gain) 2020/21 – 2024/25</t>
  </si>
  <si>
    <t>Housing Land Supply 2020/21 – 2024/25</t>
  </si>
  <si>
    <t>New Build Sites Under Construction</t>
  </si>
  <si>
    <t>Conversion Sites Under Construction</t>
  </si>
  <si>
    <t>Conversion Sites with planning permission</t>
  </si>
  <si>
    <t>Prior Approval Sites with approval</t>
  </si>
  <si>
    <t>Proposal / Other known large sites</t>
  </si>
  <si>
    <t>Small Sites Trend</t>
  </si>
  <si>
    <t>Site Status</t>
  </si>
  <si>
    <t>05. Deliverable Sites</t>
  </si>
  <si>
    <t>SELECT SITES</t>
  </si>
  <si>
    <t>Sum of 2021/2025 Total</t>
  </si>
  <si>
    <t>01. Completion</t>
  </si>
  <si>
    <t>Ham Central</t>
  </si>
  <si>
    <t>Homebase Manor Road Richmond</t>
  </si>
  <si>
    <t>Sum of Net Dwellings</t>
  </si>
  <si>
    <t>Teddington Police Station</t>
  </si>
  <si>
    <t>The Strathmore Centre</t>
  </si>
  <si>
    <t>New Build under construction</t>
  </si>
  <si>
    <t>Twickenham Telephone Exchange</t>
  </si>
  <si>
    <t>02. Under Construction</t>
  </si>
  <si>
    <t>Whitton Telephone Exchange</t>
  </si>
  <si>
    <t>Development Category</t>
  </si>
  <si>
    <t>(Multiple Items)</t>
  </si>
  <si>
    <t>Grand Total</t>
  </si>
  <si>
    <t>Sum of 2021-2031 Total</t>
  </si>
  <si>
    <t>03. Not Started</t>
  </si>
  <si>
    <t>Application Type</t>
  </si>
  <si>
    <t>(blank)</t>
  </si>
  <si>
    <t>(All)</t>
  </si>
  <si>
    <t>PA</t>
  </si>
  <si>
    <t>Table 2 - New build / conversions</t>
  </si>
  <si>
    <t>Net NB Completions</t>
  </si>
  <si>
    <t>Net NB Under Construction</t>
  </si>
  <si>
    <t>Net NB Not Started</t>
  </si>
  <si>
    <t>Gross NB Completions</t>
  </si>
  <si>
    <t>Gross NB Under Construction</t>
  </si>
  <si>
    <t>Gross NB Not Started</t>
  </si>
  <si>
    <t>Sum of Units Proposed</t>
  </si>
  <si>
    <t>Net Conversion Completions</t>
  </si>
  <si>
    <t>Net Conversion Under Construction</t>
  </si>
  <si>
    <t>Net Conversions Not Started</t>
  </si>
  <si>
    <t>Gross Conversions Completions</t>
  </si>
  <si>
    <t>Gross Conversions Under Construction</t>
  </si>
  <si>
    <t>Gross Conversions Not Started</t>
  </si>
  <si>
    <t>Net Completions Intermediate</t>
  </si>
  <si>
    <t>Net Under Construction Intermediate</t>
  </si>
  <si>
    <t>Not Started Intermediate</t>
  </si>
  <si>
    <t>Tenure</t>
  </si>
  <si>
    <t>Net Completions Affordable Rent</t>
  </si>
  <si>
    <t>Net Under Construction Affordable Rent</t>
  </si>
  <si>
    <t>Net Not Started Affordable Rent</t>
  </si>
  <si>
    <t>Affordable Rent</t>
  </si>
  <si>
    <t>Net Completions Open Market</t>
  </si>
  <si>
    <t>Net Under Construction Open Market</t>
  </si>
  <si>
    <t>Net Not Started Open Market</t>
  </si>
  <si>
    <t>Open Market</t>
  </si>
  <si>
    <t>Gross Completions Intermediate</t>
  </si>
  <si>
    <t>Gross Under Construction Intermediate</t>
  </si>
  <si>
    <t>Gross Not Started Intermediate</t>
  </si>
  <si>
    <t>Gross Completions Affordable Rent</t>
  </si>
  <si>
    <t>Gross Under Construction Affordable Rent</t>
  </si>
  <si>
    <t>Gross Not Started Affordable Rent</t>
  </si>
  <si>
    <t>Gross Completions Open Market</t>
  </si>
  <si>
    <t>Gross Under Construction Open Market</t>
  </si>
  <si>
    <t>Gross Not Started Open Market</t>
  </si>
  <si>
    <t>New Build Completions Open Market Net</t>
  </si>
  <si>
    <t>New Build Under Construction Open Market Net</t>
  </si>
  <si>
    <t>New Build Not Started Open Market Net</t>
  </si>
  <si>
    <t>New Build Completions Open Market Gross</t>
  </si>
  <si>
    <t>New Build Under Construction Open Market Gross</t>
  </si>
  <si>
    <t>New Build Not Started Open Market Gross</t>
  </si>
  <si>
    <t>New Build Completions Intermediate Net</t>
  </si>
  <si>
    <t>New Build Under Construction Intermediate Net</t>
  </si>
  <si>
    <t>New Build Not Started Intermediate Net</t>
  </si>
  <si>
    <t>New Build Completions Intermediate Gross</t>
  </si>
  <si>
    <t>New Build Under Construction Intermediate Gross</t>
  </si>
  <si>
    <t>New Build Not Started Intermediate Gross</t>
  </si>
  <si>
    <t>New Build Completions Affordable Rent Net</t>
  </si>
  <si>
    <t>New Build Under Construction Affordable Rent Net</t>
  </si>
  <si>
    <t>New Build Not Started Affordable Rent Net</t>
  </si>
  <si>
    <t>New Build Completions Affordable Rent Gross</t>
  </si>
  <si>
    <t>New Build Under Construction Affordable Rent Gross</t>
  </si>
  <si>
    <t>New Build Not Started Affordable Rent Gross</t>
  </si>
  <si>
    <t>New Build Completions Net</t>
  </si>
  <si>
    <t>New Build Under Construction Net</t>
  </si>
  <si>
    <t>New Build Not Started Net</t>
  </si>
  <si>
    <t>Conversions Completions Net</t>
  </si>
  <si>
    <t>Conversions Under Construction Net</t>
  </si>
  <si>
    <t>Conversions Not Started Net</t>
  </si>
  <si>
    <t>Completions Net</t>
  </si>
  <si>
    <t>Row Labels</t>
  </si>
  <si>
    <t>Sum of 1 bed net</t>
  </si>
  <si>
    <t>Sum of 2 bed net</t>
  </si>
  <si>
    <t>Sum of 3 bed net</t>
  </si>
  <si>
    <t>Sum of 4 bed net</t>
  </si>
  <si>
    <t>Sum of 5 bed net</t>
  </si>
  <si>
    <t>Sum of 6 bed net</t>
  </si>
  <si>
    <t>Sum of 7 bed net</t>
  </si>
  <si>
    <t>Sum of 8 bed net</t>
  </si>
  <si>
    <t>Sum of 9 bed net</t>
  </si>
  <si>
    <t>Y</t>
  </si>
  <si>
    <t>Sum of Units Existing</t>
  </si>
  <si>
    <t>Social Rent</t>
  </si>
  <si>
    <t xml:space="preserve">Table 17 - </t>
  </si>
  <si>
    <t>Sum of 2021/22 (1)</t>
  </si>
  <si>
    <t>Sum of 2022/23 (2)</t>
  </si>
  <si>
    <t>Sum of 2023/24 (3)</t>
  </si>
  <si>
    <t>Sum of 2024/25 (4)</t>
  </si>
  <si>
    <t>Sum of 2025/26 (5)</t>
  </si>
  <si>
    <t>Sum of 2026/27 (6)</t>
  </si>
  <si>
    <t>Sum of 2027/28 (7)</t>
  </si>
  <si>
    <t>Sum of 2028/29 (8)</t>
  </si>
  <si>
    <t>Sum of 2029/30 (9)</t>
  </si>
  <si>
    <t>Sum of 2030/31 (10)</t>
  </si>
  <si>
    <t>Sum of 5 Year total</t>
  </si>
  <si>
    <t>N/A</t>
  </si>
  <si>
    <t>Sum of 6-10 Year</t>
  </si>
  <si>
    <t>Planning Ref</t>
  </si>
  <si>
    <t>Decision Date</t>
  </si>
  <si>
    <t>Expiry Date</t>
  </si>
  <si>
    <t>Start Date</t>
  </si>
  <si>
    <t>Completion Date</t>
  </si>
  <si>
    <t>5YHLS</t>
  </si>
  <si>
    <t>Proposal</t>
  </si>
  <si>
    <t xml:space="preserve">Address
</t>
  </si>
  <si>
    <t>PostCode</t>
  </si>
  <si>
    <t>1 BED EXISTING</t>
  </si>
  <si>
    <t>2 BED EXISTING</t>
  </si>
  <si>
    <t>3 BED EXISTING</t>
  </si>
  <si>
    <t>4 BED EXISTING</t>
  </si>
  <si>
    <t>5 BED EXISTING</t>
  </si>
  <si>
    <t>6 BED EXISTING</t>
  </si>
  <si>
    <t>7 BED EXISTING</t>
  </si>
  <si>
    <t>8 BED EXISTING</t>
  </si>
  <si>
    <t>9 BED EXISTING</t>
  </si>
  <si>
    <t>Units Existing</t>
  </si>
  <si>
    <t>Affordable</t>
  </si>
  <si>
    <t>1 BED PROPOSED</t>
  </si>
  <si>
    <t>2 BED PROPOSED</t>
  </si>
  <si>
    <t>3 BED PROPOSED</t>
  </si>
  <si>
    <t>4 BED PROPOSED</t>
  </si>
  <si>
    <t>5 BED PROPOSED</t>
  </si>
  <si>
    <t>6 BED PROPOSED</t>
  </si>
  <si>
    <t>7 BED PROPOSED</t>
  </si>
  <si>
    <t>Units Proposed</t>
  </si>
  <si>
    <t>1 bed net</t>
  </si>
  <si>
    <t>2 bed net</t>
  </si>
  <si>
    <t>3 bed net</t>
  </si>
  <si>
    <t>4 bed net</t>
  </si>
  <si>
    <t>5 bed net</t>
  </si>
  <si>
    <t>6 bed net</t>
  </si>
  <si>
    <t>7 bed net</t>
  </si>
  <si>
    <t>8 bed net</t>
  </si>
  <si>
    <t>9 bed net</t>
  </si>
  <si>
    <t>Net Dwellings</t>
  </si>
  <si>
    <t>Large Site</t>
  </si>
  <si>
    <t>2020/21( R)</t>
  </si>
  <si>
    <t>2021/22 (1)</t>
  </si>
  <si>
    <t>2022/23 (2)</t>
  </si>
  <si>
    <t>2023/24 (3)</t>
  </si>
  <si>
    <t>2024/25 (4)</t>
  </si>
  <si>
    <t>2025/26 (5)</t>
  </si>
  <si>
    <t>2026/27 (6)</t>
  </si>
  <si>
    <t>2027/28 (7)</t>
  </si>
  <si>
    <t>2028/29 (8)</t>
  </si>
  <si>
    <t>2029/30 (9)</t>
  </si>
  <si>
    <t>2030/31 (10)</t>
  </si>
  <si>
    <t>2021/2025 Total</t>
  </si>
  <si>
    <t>2021-2031 Total</t>
  </si>
  <si>
    <t>OlderPeople</t>
  </si>
  <si>
    <t>ShelteredAccom</t>
  </si>
  <si>
    <t>MultipleOcc</t>
  </si>
  <si>
    <t>MAPEAST</t>
  </si>
  <si>
    <t>MAPNORTH</t>
  </si>
  <si>
    <t>WARD</t>
  </si>
  <si>
    <t>Ward_Name</t>
  </si>
  <si>
    <t>Town_Centre</t>
  </si>
  <si>
    <t>Thames_Policy_Area</t>
  </si>
  <si>
    <t>Mixed_Use_Name</t>
  </si>
  <si>
    <t>Green_Belt</t>
  </si>
  <si>
    <t>Met_Open_Land</t>
  </si>
  <si>
    <t>Conservation_Area_Name</t>
  </si>
  <si>
    <t>11/1443/FUL</t>
  </si>
  <si>
    <t>NEW</t>
  </si>
  <si>
    <t>Demolition of existing station building and access gantries to the platforms and a phased redevelopment to provide;_x000D_1. Removal of existing footbridge structures, adjustment of existing platform canopies and rebuilding of a section of the London Road wall.</t>
  </si>
  <si>
    <t>Twickenham Railway Station_x000D_London Road_x000D_Twickenham_x000D_TW1 1BD_x000D_</t>
  </si>
  <si>
    <t>N</t>
  </si>
  <si>
    <t>STM</t>
  </si>
  <si>
    <t>13/0998/FUL</t>
  </si>
  <si>
    <t>Redevelopment of land at the rear of 139-141 Stanley Road, Teddington to provide two semi-detached, three storey, three bedroom houses with parking spaces following demolition of existing warehouse.</t>
  </si>
  <si>
    <t>Land At_x000D_139 - 141 Stanley Road_x000D_Teddington_x000D__x000D_</t>
  </si>
  <si>
    <t>TW11</t>
  </si>
  <si>
    <t>FHH</t>
  </si>
  <si>
    <t>Stanley Road, Teddington</t>
  </si>
  <si>
    <t>14/2257/FUL</t>
  </si>
  <si>
    <t>MIX</t>
  </si>
  <si>
    <t>Partial rebuild and refurbishment of existing building and erection of two-storey side / rear extension with 3No. rear dormers to facilitate the formation of a mixed use building comprising a ground floor retail shop unit (A1 Use Class) and 4 No. 1-bedroo</t>
  </si>
  <si>
    <t>310 Nelson Road_x000D_Twickenham_x000D_TW2 7AJ_x000D_</t>
  </si>
  <si>
    <t>HEA</t>
  </si>
  <si>
    <t>14/3780/FUL</t>
  </si>
  <si>
    <t>The conversion and restoration of the Old School building to form 5 no. residential apartments, and 90 square metres of B1a Office space, and the erection of 3no. terraced townhouses with basement accommodation at the rear, with car parking, landscaping,</t>
  </si>
  <si>
    <t>Richmond Film Services_x000D_Park Lane_x000D_Richmond_x000D_TW9 2RA_x000D_</t>
  </si>
  <si>
    <t>SRW</t>
  </si>
  <si>
    <t>CA17 Central Richmond</t>
  </si>
  <si>
    <t>14/5306/FUL</t>
  </si>
  <si>
    <t>CHU</t>
  </si>
  <si>
    <t>Change of use from B1 to residential (Number 21) and demolition of existing 2-storey dwelling (21A) with erection of back extension with basement</t>
  </si>
  <si>
    <t>21 - 21A St Johns Road_x000D_Richmond_x000D__x000D_</t>
  </si>
  <si>
    <t>NRW</t>
  </si>
  <si>
    <t>15/2854/FUL</t>
  </si>
  <si>
    <t>Demolition of a row of 18 garages; Proposed to construct two two-bedroom Wheelchair Bungalows; Provision of two car parking spaces.</t>
  </si>
  <si>
    <t>Garages At_x000D_Riverside Drive_x000D_Ham_x000D__x000D_</t>
  </si>
  <si>
    <t>HPR</t>
  </si>
  <si>
    <t>15/2855/FUL</t>
  </si>
  <si>
    <t>Demolition of 20 garages in two rows; Construction of two three-bedroom houses</t>
  </si>
  <si>
    <t>Garages At_x000D_Maguire Drive_x000D_Ham_x000D__x000D_</t>
  </si>
  <si>
    <t>16/0432/FUL</t>
  </si>
  <si>
    <t>Demolition of existing building and erection of three storey building plus basement to provide B1 use at basement, ground floor and first floor, and one 2 bedroom apartment above at second floor level.</t>
  </si>
  <si>
    <t>48 Glentham Road_x000D_Barnes_x000D_London_x000D_SW13 9JJ</t>
  </si>
  <si>
    <t>BAR</t>
  </si>
  <si>
    <t>CA25 Castelnau</t>
  </si>
  <si>
    <t>16/1373/FUL</t>
  </si>
  <si>
    <t>Alterations and refurbishment to provide a single family dwelling house.</t>
  </si>
  <si>
    <t>17 The Green_x000D_Richmond_x000D_TW9 1PX_x000D_</t>
  </si>
  <si>
    <t>TW9 1PX</t>
  </si>
  <si>
    <t>CA3 Richmond Green</t>
  </si>
  <si>
    <t>16/1903/FUL</t>
  </si>
  <si>
    <t>Change of use from office (B1) to residential (C3), demolition and rebuild of the existing single storey rear building, basement extension to Grade II listed building in the Kew Green Conservation Area.</t>
  </si>
  <si>
    <t>63 Kew Green_x000D_Kew_x000D__x000D_</t>
  </si>
  <si>
    <t>KWA</t>
  </si>
  <si>
    <t>CA2 Kew Green</t>
  </si>
  <si>
    <t>15/2857/FUL</t>
  </si>
  <si>
    <t>Removal of 26 garages; Creation of 3 two storey three-bedroom houses. Provision of 11 parking spaces in a shared surface courtyard</t>
  </si>
  <si>
    <t>Garages At_x000D_Clifford Road_x000D_Petersham_x000D__x000D_</t>
  </si>
  <si>
    <t>16/2729/FUL</t>
  </si>
  <si>
    <t>CON</t>
  </si>
  <si>
    <t>This Application proposes: 'Nos. 41 and 41a (currently a house and self-contained flat) to become a single dwelling house.'</t>
  </si>
  <si>
    <t>41A Kings Road_x000D_Richmond_x000D_TW10 6EG_x000D_</t>
  </si>
  <si>
    <t>TW10 6EG</t>
  </si>
  <si>
    <t>CA30 St Matthias Richmond</t>
  </si>
  <si>
    <t>16/1145/FUL</t>
  </si>
  <si>
    <t>Conversion of part lower ground floor to form 1 x 1 bed self contained flat. New external staircase to match existing</t>
  </si>
  <si>
    <t>19 - 21 Lower Teddington Road_x000D_Hampton Wick_x000D__x000D_</t>
  </si>
  <si>
    <t>KT1 4EU</t>
  </si>
  <si>
    <t>HWI</t>
  </si>
  <si>
    <t>CA18 Hampton Wick</t>
  </si>
  <si>
    <t>16/3961/FUL</t>
  </si>
  <si>
    <t>Demolition of rear stock room and yard to create a 2 bedroom dwelling over 2 floors with one integral parking space at ground level.</t>
  </si>
  <si>
    <t>8 Barnes High Street_x000D_Barnes_x000D_London_x000D_SW13 9LW_x000D_</t>
  </si>
  <si>
    <t>SW13 9LW</t>
  </si>
  <si>
    <t>MBC</t>
  </si>
  <si>
    <t>High Street, Barnes</t>
  </si>
  <si>
    <t>CA1 Barnes Green</t>
  </si>
  <si>
    <t>16/4772/GPD15</t>
  </si>
  <si>
    <t>Change of use of first floor from B1 office use to C3 residential use comprising 9 units (8 x 1 bed and 1 x 2 bed flats)</t>
  </si>
  <si>
    <t>52 - 64 Heath Road_x000D_Twickenham_x000D__x000D_</t>
  </si>
  <si>
    <t>TW1</t>
  </si>
  <si>
    <t>TWR</t>
  </si>
  <si>
    <t>16/2637/FUL</t>
  </si>
  <si>
    <t>Demolition of the existing building and the erection of new two-storey house, with a basement and front and rear light wells and a rear dormer._x000D__x000D_</t>
  </si>
  <si>
    <t>9 Belgrave Road_x000D_Barnes_x000D_London_x000D_SW13 9NS_x000D_</t>
  </si>
  <si>
    <t>15/5351/FUL</t>
  </si>
  <si>
    <t>Erection of a pair of two-bedroom, semi-detached dwellings with associated access, car turntable, parking and amenity space following the demolition of existing dwelling.</t>
  </si>
  <si>
    <t>11 Fifth Cross Road_x000D_Twickenham_x000D__x000D_</t>
  </si>
  <si>
    <t>WET</t>
  </si>
  <si>
    <t>17/1285/GPD15</t>
  </si>
  <si>
    <t>Change of use from B1 office to C3 residential.</t>
  </si>
  <si>
    <t>First Floor_x000D_300 - 302 Sandycombe Road_x000D_Richmond_x000D__x000D_</t>
  </si>
  <si>
    <t>TW9 3NG</t>
  </si>
  <si>
    <t>CA15 Kew Gardens Kew</t>
  </si>
  <si>
    <t>17/1139/GPD15</t>
  </si>
  <si>
    <t>Change of use of property from B1a (office use) to C3 (residential) to provide 1 no. 4 bedroom dwellinghouse</t>
  </si>
  <si>
    <t>108 Sherland Road_x000D_Twickenham_x000D_TW1 4HD_x000D_</t>
  </si>
  <si>
    <t>16/4902/FUL</t>
  </si>
  <si>
    <t>Construction of a two storey, one bed dwelling-house along with associated cycle storage, car parking and landscaping.</t>
  </si>
  <si>
    <t>91 Sheen Road_x000D_Richmond_x000D_TW9 1YJ</t>
  </si>
  <si>
    <t>TW9 1YJ</t>
  </si>
  <si>
    <t>CA31 Sheen Road Richmond</t>
  </si>
  <si>
    <t>16/4587/FUL</t>
  </si>
  <si>
    <t>Proposed conversion of garden studio to one person residential studio incorporating the extension of depth and height of existing garden studio in order to create a first floor level, with installation of a rooflight to the eastern roofslope and a rooflig</t>
  </si>
  <si>
    <t>24 Christchurch Road_x000D_East Sheen_x000D_London_x000D_SW14 7AA</t>
  </si>
  <si>
    <t>SW14 7AA</t>
  </si>
  <si>
    <t>EAS</t>
  </si>
  <si>
    <t>17/0330/FUL</t>
  </si>
  <si>
    <t>1 no. 2 storey 6-bedroom dwellinghouse with rooms in the roof and 1 no. one storey with basement 5-bedroom dwelling house (following demolition of existing dwelling at No.58 Munster Road), and associated refuse/recycling store, cycle parking and parking a</t>
  </si>
  <si>
    <t>58 Munster Road_x000D_Teddington_x000D_TW11 9LL</t>
  </si>
  <si>
    <t>TW11 9LL</t>
  </si>
  <si>
    <t>17/2693/GPD15</t>
  </si>
  <si>
    <t>Change of use from Class B1(a) office to Class C3 residential.</t>
  </si>
  <si>
    <t xml:space="preserve">246 Upper Richmond Road West
East Sheen
London
SW14 8AG
</t>
  </si>
  <si>
    <t>SW14 8AG</t>
  </si>
  <si>
    <t>CA70 Sheen Lane Mortlake</t>
  </si>
  <si>
    <t>17/2586/FUL</t>
  </si>
  <si>
    <t>Change of use from 2 no. flats back to a single family dwelling house.</t>
  </si>
  <si>
    <t>First Floor Flat_x000D_18 Percival Road_x000D_East Sheen_x000D_London_x000D_SW14 7QE_x000D_</t>
  </si>
  <si>
    <t>SW14 7QE</t>
  </si>
  <si>
    <t>17/1286/VRC</t>
  </si>
  <si>
    <t>Variation of approved drawing nos attached to 14/0914/FUL to allow for the development of Block B as two blocks and an increase in the overall number of units from 220 to 238 and minor changes to the riverside walkway._x000D_To allow changes to the internal lay</t>
  </si>
  <si>
    <t>Teddington Studios_x000D_Broom Road_x000D_Teddington_x000D__x000D_</t>
  </si>
  <si>
    <t>TED</t>
  </si>
  <si>
    <t>16/3450/FUL</t>
  </si>
  <si>
    <t>Demolition of existing buildings and removal of advertising hoardings. Resiting of existing recycling bins. Erection of a part 3 storey part 4 storey building with commercial use (Flexible Use Class A1, A2 and/or B1a) on the ground floor with 9 flats (4 x</t>
  </si>
  <si>
    <t>Land At_x000D_149 - 151 Heath Road_x000D_Twickenham_x000D__x000D_</t>
  </si>
  <si>
    <t>TW1 4BH</t>
  </si>
  <si>
    <t>SOT</t>
  </si>
  <si>
    <t>17/1996/FUL</t>
  </si>
  <si>
    <t>Demolition of existing outbuildings and construction of 2 No. detached dwellinghouses.</t>
  </si>
  <si>
    <t>49 Clifford Avenue_x000D_East Sheen_x000D_London_x000D_SW14 7BW</t>
  </si>
  <si>
    <t>SW14 7BW</t>
  </si>
  <si>
    <t>17/2680/FUL</t>
  </si>
  <si>
    <t>Demolition of existing detached house and erection of 3no. new residential units comprising 2x 4 bedroom semi detached houses and 1x detached 5 bedroom house, together with associated landscaping and parking</t>
  </si>
  <si>
    <t>4 Warwick Close_x000D_Hampton_x000D_TW12 2TY</t>
  </si>
  <si>
    <t>TW12 2TY</t>
  </si>
  <si>
    <t>HTN</t>
  </si>
  <si>
    <t>17/4517/VRC</t>
  </si>
  <si>
    <t>Variation of condition U30401 (Approved drawings) of planning permission 17/2624/FUL (Demolition of the existing four bedroom house and erection of two semi-detached, four bedroom townhouses incorporating basements) to allow for internal alterations to la</t>
  </si>
  <si>
    <t>66 Derby Road_x000D_East Sheen_x000D_London_x000D_SW14 7DP_x000D_</t>
  </si>
  <si>
    <t>SW14 7DP</t>
  </si>
  <si>
    <t>16/3552/FUL</t>
  </si>
  <si>
    <t>Conversion and extension of the existing convent buildings (following demolition of some mid-20th century extensions), together with new build apartments and houses, to provide a total of 23 residential retirement units, an estate managers office and meet</t>
  </si>
  <si>
    <t>St Michaels Convent_x000D_56 Ham Common_x000D_Ham_x000D_Richmond_x000D_TW10 7JH_x000D_</t>
  </si>
  <si>
    <t>TW10 7JH</t>
  </si>
  <si>
    <t>CA7 Ham Common</t>
  </si>
  <si>
    <t>17/4268/FUL</t>
  </si>
  <si>
    <t>Demolition of existing garages and construction of a new part subterranean split level part two storey dwelling house, new landscaping to surrounding amenity space.</t>
  </si>
  <si>
    <t>41 Lonsdale Road_x000D_Barnes_x000D_London_x000D__x000D_</t>
  </si>
  <si>
    <t>SW13 9JR</t>
  </si>
  <si>
    <t>18/0946/FUL</t>
  </si>
  <si>
    <t>Conversion of Second Floor Flat into 2 no. x 1-bedroom Flats</t>
  </si>
  <si>
    <t>Second Floor Flat _x000D_302 Sandycombe Road_x000D_Richmond_x000D_TW9 3NG</t>
  </si>
  <si>
    <t>18/0771/FUL</t>
  </si>
  <si>
    <t>Erection of a 1B2P bungalow with associated hard and soft landscaping and cycle and refuse store.  Creation of dropped kerb to faclitate provision of 1 no. parking space.</t>
  </si>
  <si>
    <t>Land Adjacent To_x000D_94 Pigeon Lane_x000D_Hampton_x000D_TW12 1AF_x000D_</t>
  </si>
  <si>
    <t>TW12 1AF</t>
  </si>
  <si>
    <t>HNN</t>
  </si>
  <si>
    <t>18/0111/FUL</t>
  </si>
  <si>
    <t>Demolition of the existing two-storey side extension to allow for the provision of a detached two-storey (3 bedroom) dwellinghouse; subdivision of land;  associated car parking, cycle storage, refuse and recycling storage, hard and soft landscaping to bot</t>
  </si>
  <si>
    <t>1 Hospital Bridge Road_x000D_Twickenham_x000D_TW2 5UL</t>
  </si>
  <si>
    <t>TW2 5UL</t>
  </si>
  <si>
    <t>17/4303/FUL</t>
  </si>
  <si>
    <t>EXT</t>
  </si>
  <si>
    <t>Erection of a second floor roof extension to create a. two-bed flat with roof terraces</t>
  </si>
  <si>
    <t>16 Elmtree Road_x000D_Teddington_x000D__x000D_</t>
  </si>
  <si>
    <t>TW11 8ST</t>
  </si>
  <si>
    <t>18/0692/FUL</t>
  </si>
  <si>
    <t>Part two-storey rear extensions with two rear gable roofs; part raising of the ridge height; removal of rear chimney; new windows (including removal) and door to the side (south elevation) at ground and first floor level; removal of side windows at ground</t>
  </si>
  <si>
    <t>83 Wensleydale Road_x000D_Hampton_x000D_TW12 2LP</t>
  </si>
  <si>
    <t>TW12 2LP</t>
  </si>
  <si>
    <t>18/0449/FUL</t>
  </si>
  <si>
    <t>Replacement window on first floor front elevation to facilitate the conversion of existing 2 bed maisonette into 2 x 1bedroom flats.</t>
  </si>
  <si>
    <t>1 North Cottage_x000D_Hampton Court Road_x000D_Hampton_x000D_East Molesey_x000D_KT8 9BZ_x000D_</t>
  </si>
  <si>
    <t>KT8 9BZ</t>
  </si>
  <si>
    <t>CA11 Hampton Court Green</t>
  </si>
  <si>
    <t>17/1937/FUL</t>
  </si>
  <si>
    <t>Demolition of the existing coach houses to allow for the erection of two dwellinghouses (1x 2b 4p and 1x 2b 3p) with internal cycle and refuse/recycle storages.</t>
  </si>
  <si>
    <t>2 - 3 Stable Mews_x000D_Twickenham_x000D__x000D_</t>
  </si>
  <si>
    <t>TW1 4DN</t>
  </si>
  <si>
    <t>18/0929/FUL</t>
  </si>
  <si>
    <t>Replacement shopfront and new entrance door.  New doors/windows to the side and rear elevation of the existing rear extension.   Change of use of the front part of ground floor level from restaurant (Class A3) to retail (Class A1).  First floor rear exten</t>
  </si>
  <si>
    <t>195 High Street_x000D_Hampton Hill_x000D_TW12 1NL</t>
  </si>
  <si>
    <t>TW12 1NL</t>
  </si>
  <si>
    <t>High Street, Hampton Hill</t>
  </si>
  <si>
    <t>CA38 High Street Hampton Hill</t>
  </si>
  <si>
    <t>18/2322/FUL</t>
  </si>
  <si>
    <t>Demolition of existing single-storey rear lean-to extension and formation of new external patio and other external alterations to elevations.  Change of use of rear part of ground floor level from A1(retail) to C3 (residential) to faciliate its conversion</t>
  </si>
  <si>
    <t>300 - 302 Sandycombe Road_x000D_Richmond_x000D_TW9 3NG_x000D_</t>
  </si>
  <si>
    <t>18/1808/FUL</t>
  </si>
  <si>
    <t>Demolition of existing building in Use Class B8 (storage and distribution) and change of use of land to C3 (residential) use.  Erection of a part two storey part single storey building to provide 4 bed (4B8P) dwellinghouse with associated parking, hard and soft landscaping, green roof, cycle and refuse stores.</t>
  </si>
  <si>
    <t xml:space="preserve">12 - 14 Church Lane Teddington
</t>
  </si>
  <si>
    <t>TW11 8AP</t>
  </si>
  <si>
    <t>18/1022/FUL</t>
  </si>
  <si>
    <t>Change of use of 1st floor from C3 (Residential) use to D1 use (Dental Surgery). Replacement 5 no. windows on second floor front elevation.</t>
  </si>
  <si>
    <t>Elmfield House_x000D_High Street_x000D_Teddington_x000D_TW11 8EW_x000D_</t>
  </si>
  <si>
    <t>TW11 8EW</t>
  </si>
  <si>
    <t>CA37 High Street Teddington</t>
  </si>
  <si>
    <t>18/2114/FUL</t>
  </si>
  <si>
    <t>Two-storey rear extension, rear roof extension and conversion of the rear part of the ground floor shop; in connection with the use of the property as a ground floor retail unit, 1x two-bedroom flat and 2 x one-bedroom flats.</t>
  </si>
  <si>
    <t>7 Barnes High Street_x000D_Barnes_x000D_London_x000D_SW13 9LW</t>
  </si>
  <si>
    <t>18/3941/GPD15</t>
  </si>
  <si>
    <t>Change of use from office (B1) to three residential units (C3), with associated car parking provision.</t>
  </si>
  <si>
    <t>Sherwood House_x000D_Forest Road_x000D_Kew_x000D_TW9 3BY_x000D_</t>
  </si>
  <si>
    <t>TW9 3BY</t>
  </si>
  <si>
    <t>18/3515/FUL</t>
  </si>
  <si>
    <t>Conversion of first and second floor flat and construction of rear dormer roof extension to provide 4no. (3 x 1B1P and 1 x 2B3P) residential dwellings and other alterations.</t>
  </si>
  <si>
    <t>311 Upper Richmond Road West_x000D_East Sheen_x000D_London_x000D_SW14 8QR_x000D_</t>
  </si>
  <si>
    <t>SW14 8QR</t>
  </si>
  <si>
    <t>19/0181/GPD15</t>
  </si>
  <si>
    <t>Change of use from B1 (Offices) to C3(a) (Dwellings) (1 x 1 bed).</t>
  </si>
  <si>
    <t>95 South Worple Way_x000D_East Sheen_x000D_London_x000D_SW14 8ND_x000D_</t>
  </si>
  <si>
    <t>SW14 8ND</t>
  </si>
  <si>
    <t>17/4368/FUL</t>
  </si>
  <si>
    <t>Alterations to no. 117 to include demolition of existing two storey side extension, erection of a single storey rear extension and front porch.  New cycle store to rear. Subdivison of garden plot and demolition of existing garage at no. 117 to facilitate</t>
  </si>
  <si>
    <t>117 Rectory Grove_x000D_Hampton_x000D_TW12 1EG</t>
  </si>
  <si>
    <t>TW12 1EG</t>
  </si>
  <si>
    <t>15/3518/FUL</t>
  </si>
  <si>
    <t>Erection of a pair of semi-detached dwellings with associated access, parking and private amenity space following the demolition of the existing building comprising 2No. maisonettes and associated outbuildings.</t>
  </si>
  <si>
    <t>58 Denton Road_x000D_Twickenham_x000D_TW1 2HQ_x000D_</t>
  </si>
  <si>
    <t>TW1 2HQ</t>
  </si>
  <si>
    <t>18/2494/FUL</t>
  </si>
  <si>
    <t>Demolition of an existing dwelling and erection of 2no. two-storey three-bedroom dwelling houses with roof space accommodation  and associated landscaping. Replacement of front boundary wall. Removal of crossover and closure of vehicular access.</t>
  </si>
  <si>
    <t>4 West Temple Sheen_x000D_East Sheen_x000D_London_x000D_SW14 7RT</t>
  </si>
  <si>
    <t>SW14 7RT</t>
  </si>
  <si>
    <t>19/0772/GPD15</t>
  </si>
  <si>
    <t>Change of use of B1(a) offices on ground floor level to c3 (Residential) to provide 3 x 1 bed self-contained residential apartments.</t>
  </si>
  <si>
    <t>28 Second Cross Road_x000D_Twickenham_x000D_TW2 5RF_x000D_</t>
  </si>
  <si>
    <t>TW2 5RF</t>
  </si>
  <si>
    <t>18/3804/FUL</t>
  </si>
  <si>
    <t>Demolition of buildings on site and construction of a 3 storey building fronting Station Road, comprising 254sqm ground floor light industrial use (B1c Use Class) with 7 apartments above (5No. 2B4P flats and 2No. 1B2P flats) and a 2 storey building fronti</t>
  </si>
  <si>
    <t>139 - 143 Station Road_x000D_Hampton_x000D_TW12 2AL_x000D_</t>
  </si>
  <si>
    <t>TW12 2AL</t>
  </si>
  <si>
    <t>Station Road West, Hampton</t>
  </si>
  <si>
    <t>18/1619/FUL</t>
  </si>
  <si>
    <t>Erection of rear roof extension with roof lights to front roof slope and conversion of first floor flat and new roof space into two self-contained flats.</t>
  </si>
  <si>
    <t>135A Sheen Lane_x000D_East Sheen_x000D_London_x000D_SW14 8AE</t>
  </si>
  <si>
    <t>SW14 8AE</t>
  </si>
  <si>
    <t>19/0867/FUL</t>
  </si>
  <si>
    <t>Conversion of ground and first floor store rooms and single-storey extension to form a new maisonette.</t>
  </si>
  <si>
    <t>383 St Margarets Road_x000D_Twickenham_x000D_TW1 1PP</t>
  </si>
  <si>
    <t>TW1 1PP</t>
  </si>
  <si>
    <t>19/0092/FUL</t>
  </si>
  <si>
    <t>Single-storey extension and conversion of the existing granny annexe to provide a new 1 bedroom, 2 person dwelling with associated new landscaping.</t>
  </si>
  <si>
    <t>11 Grasmere Avenue_x000D_Whitton_x000D_Hounslow_x000D_TW3 2JG_x000D_</t>
  </si>
  <si>
    <t>TW3 2JG</t>
  </si>
  <si>
    <t>WHI</t>
  </si>
  <si>
    <t>19/0386/FUL</t>
  </si>
  <si>
    <t>Demolition of the existing self-contained single-storey detached dwelling and construction of replacement 2 storey dwelling with associated landscaping and boundary treatment alteration.</t>
  </si>
  <si>
    <t>10 Constance Road_x000D_Twickenham_x000D_TW2 7JH</t>
  </si>
  <si>
    <t>TW2 7JH</t>
  </si>
  <si>
    <t>19/1332/GPD13</t>
  </si>
  <si>
    <t>Change of use of the ground floor unit from A1 (hairdresser) to C3 (residential) to provide a 1 bed flat.</t>
  </si>
  <si>
    <t>70 Hounslow Road_x000D_Twickenham_x000D_TW2 7EX_x000D_</t>
  </si>
  <si>
    <t>TW2 7EX</t>
  </si>
  <si>
    <t>19/1602/GPD15</t>
  </si>
  <si>
    <t>Change of use from B1(a) (office) to C3 (residential) to provide 1 x 1 bed self-contained residential dwelling.</t>
  </si>
  <si>
    <t>106 Shacklegate Lane_x000D_Teddington_x000D_TW11 8SH_x000D_</t>
  </si>
  <si>
    <t>TW11 8SH</t>
  </si>
  <si>
    <t>19/1361/FUL</t>
  </si>
  <si>
    <t>Extension of 4-bedroom single family dwelling house and conversion to divide into 2No. 2-bedroom houses.</t>
  </si>
  <si>
    <t>2F Fifth Cross Road_x000D_Twickenham_x000D_TW2 5LQ</t>
  </si>
  <si>
    <t>TW2 5LQ</t>
  </si>
  <si>
    <t>19/1502/FUL</t>
  </si>
  <si>
    <t>Use of rear part of ground floor shop and single storey rear infill extension as extension to existing first floor flat and replacement of external staircase with spiral staircase.</t>
  </si>
  <si>
    <t>56A White Hart Lane_x000D_Barnes_x000D_London_x000D_SW13 0PZ</t>
  </si>
  <si>
    <t>SW13 0PZ</t>
  </si>
  <si>
    <t>White Hart lane, Barnes</t>
  </si>
  <si>
    <t>CA33 Mortlake</t>
  </si>
  <si>
    <t>19/1620/GPD15</t>
  </si>
  <si>
    <t>Conversion of basement from B1(a) office to C3 residential to provide 2 x 1 bed self-contained residential flats.</t>
  </si>
  <si>
    <t>Argyle House_x000D_1 Dee Road_x000D_Richmond_x000D__x000D_</t>
  </si>
  <si>
    <t>TW9 2JW</t>
  </si>
  <si>
    <t>19/1455/FUL</t>
  </si>
  <si>
    <t>Create 2 No. flats from existing dwelling . Ground floor 2 bed flat, first &amp; 2nd floor 2 bed flat.</t>
  </si>
  <si>
    <t>29 St Leonards Road_x000D_East Sheen_x000D_London_x000D_SW14 7LY_x000D_</t>
  </si>
  <si>
    <t>SW14 7LY</t>
  </si>
  <si>
    <t>19/0893/FUL</t>
  </si>
  <si>
    <t>Change of use of ground floor from dental surgery (D1 use class) to 1 no. residential dwelling (C3 use), demolition of side garage, alterations to side extension and fenestration.</t>
  </si>
  <si>
    <t>320 Kew Road_x000D_Kew_x000D_Richmond_x000D_TW9 3DU_x000D_</t>
  </si>
  <si>
    <t>TW9 3DU</t>
  </si>
  <si>
    <t>19/0950/FUL</t>
  </si>
  <si>
    <t>Change of use of first, second and part ground floors from retail and associated storage to a 1 bedroom flat, together with internal alterations and installation of a new door to ground floor side elevation (to front side alleyway).</t>
  </si>
  <si>
    <t>11 Paved Court_x000D_Richmond_x000D_TW9 1LZ</t>
  </si>
  <si>
    <t>TW9 1LZ</t>
  </si>
  <si>
    <t>19/1669/FUL</t>
  </si>
  <si>
    <t>Change of use of lower ground floor from retail (A1) to residential (C3) followed by amalgamation of lower ground floor with upper maisonette.  Upper and lower ground floor rear extension, formation of roof terrace, alterations to front entrance, replacem</t>
  </si>
  <si>
    <t>Lower Ground Floor And_x000D_49B Petersham Road_x000D_Richmond_x000D__x000D_</t>
  </si>
  <si>
    <t>TW10 6UH</t>
  </si>
  <si>
    <t>CA5 Richmond Hill</t>
  </si>
  <si>
    <t>19/1029/FUL</t>
  </si>
  <si>
    <t>Demolition of existing single-storey side garage and workroom. Alterations to no. 67 comprising single storey rear extension, replacement roof, rear dormer roof extension and 2 no. rooflight on front roof slope. Erection of a new two-storey 4 bedroom dwel</t>
  </si>
  <si>
    <t>67 Park Road_x000D_Hampton Hill_x000D_TW12 1HU</t>
  </si>
  <si>
    <t>TW12 1HU</t>
  </si>
  <si>
    <t>19/1622/FUL</t>
  </si>
  <si>
    <t>New rear second floor addition, alterations to the existing roof to facilitate the conversion of 1 bedroom flat into 1 x 2 bed duplex flat with a study and 1 x 2 bed duplex flat.   Formation of an extended car park area to rear comprising 5 car spaces, cy</t>
  </si>
  <si>
    <t>28 Second Cross Road_x000D_Twickenham_x000D_TW2 5RF</t>
  </si>
  <si>
    <t>19/2246/FUL</t>
  </si>
  <si>
    <t>Application for the conversion of apartments 18 and 19 to form 1no. four bedroom apartment at sixth floor level in block B2.</t>
  </si>
  <si>
    <t>Teddington Riverside Development Site_x000D_Broom Road_x000D_Teddington_x000D__x000D_</t>
  </si>
  <si>
    <t>TW11 9BE</t>
  </si>
  <si>
    <t>19/1978/FUL</t>
  </si>
  <si>
    <t>Externals working comprising proposed full width rear extension across the lower and upper ground floors with lowering of garden levels to create a new terrace area to the rear, creation of a lightwell on the front elevation for access to new pair of Fren</t>
  </si>
  <si>
    <t>14 Marlborough Road_x000D_Richmond_x000D_TW10 6JR</t>
  </si>
  <si>
    <t>TW10 6JR</t>
  </si>
  <si>
    <t>19/0111/FUL</t>
  </si>
  <si>
    <t>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t>
  </si>
  <si>
    <t xml:space="preserve">19 Lower Teddington Road
</t>
  </si>
  <si>
    <t>KT1</t>
  </si>
  <si>
    <t>19/3913/GPD15</t>
  </si>
  <si>
    <t>Change of use from office (B1A )to residential  (C3) to create 2x 1 bedroom flats</t>
  </si>
  <si>
    <t>2A Talbot Road_x000D_Isleworth_x000D_TW7 7HH_x000D_</t>
  </si>
  <si>
    <t>TW7 7HH</t>
  </si>
  <si>
    <t>20/1276/PS192</t>
  </si>
  <si>
    <t>Proposed change of use from C3 (Single-family dwelling) to C4 (Small HMO)</t>
  </si>
  <si>
    <t>65 Rosecroft Gardens_x000D_Twickenham_x000D_TW2 7PU</t>
  </si>
  <si>
    <t>TW2 7PU</t>
  </si>
  <si>
    <t>CA46 Rosecroft Gardens Whitton</t>
  </si>
  <si>
    <t>20/0852/FUL</t>
  </si>
  <si>
    <t>Enlargement of lightwell at lower ground floor level.  Single storey rear extension with railing above to facilitate roof to be used as roof terrace and replacement steps with railings to garden; new doors to rear on upper ground floor level; refurbishmen</t>
  </si>
  <si>
    <t>157 Sheen Road_x000D_Richmond_x000D_TW9 1YS</t>
  </si>
  <si>
    <t>TW9 1YS</t>
  </si>
  <si>
    <t>19/0755/FUL</t>
  </si>
  <si>
    <t>Conversion (change of use) of upper floors (First and Second) from Single 6 Bed Flat to one 1Bed Flat and one 2 Bed Flat.</t>
  </si>
  <si>
    <t>250A Upper Richmond Road West_x000D_East Sheen_x000D_London_x000D_SW14 8AG_x000D_</t>
  </si>
  <si>
    <t>20/1874/ES191</t>
  </si>
  <si>
    <t>Use of the property as a single dwellinghouse</t>
  </si>
  <si>
    <t>4 Magna Square_x000D_East Sheen_x000D_London_x000D_SW14 8LH</t>
  </si>
  <si>
    <t>SW14 8LH</t>
  </si>
  <si>
    <t>20/1949/ES191</t>
  </si>
  <si>
    <t>Establish use of property as residential dwellinghouse.</t>
  </si>
  <si>
    <t>2A Ferry Road_x000D_Barnes_x000D_London_x000D_SW13 9RX</t>
  </si>
  <si>
    <t>SW13 9RX</t>
  </si>
  <si>
    <t>20/1388/FUL</t>
  </si>
  <si>
    <t>Conversion of the Customer Care Office at Level C of the building into a studio apartment.</t>
  </si>
  <si>
    <t>Royal Star And Garter Home_x000D_Richmond Hill_x000D_Richmond_x000D_TW10 6RR_x000D_</t>
  </si>
  <si>
    <t>TW10 6BF</t>
  </si>
  <si>
    <t>19/3415/FUL</t>
  </si>
  <si>
    <t>Change of use from 3 flats (2 x 1 bedroom, 1 x 2 bedroom) to a single family dwelling.</t>
  </si>
  <si>
    <t>217 St Margarets Road_x000D_Twickenham_x000D_TW1 1LU_x000D_</t>
  </si>
  <si>
    <t>TW1 1LU</t>
  </si>
  <si>
    <t>CA19 St Margarets</t>
  </si>
  <si>
    <t>20/1579/FUL</t>
  </si>
  <si>
    <t>Alterations to the existing shopfront and reduction to ground floor floorspace to facilitate C3 (residential) M4 (2) 'accessible and adaptable dwelling' 2 bed flat at ground floor level. C3 (Residential) Use at part ground level and first floor level. Rep</t>
  </si>
  <si>
    <t>73 High Street_x000D_Hampton Hill_x000D_TW12 1NH</t>
  </si>
  <si>
    <t>TW12 1NH</t>
  </si>
  <si>
    <t>20/3399/ES191</t>
  </si>
  <si>
    <t>1 Magna Square_x000D_East Sheen_x000D_London_x000D_SW14 8LH</t>
  </si>
  <si>
    <t>21/0056/PS192</t>
  </si>
  <si>
    <t>Change of use of C4 (House in Multiple Occupation) to C3 (dwellinghouse).</t>
  </si>
  <si>
    <t>42 Glebe Road_x000D_Barnes_x000D_London_x000D_SW13 0EA</t>
  </si>
  <si>
    <t>SW13 0EA</t>
  </si>
  <si>
    <t>CA32 Barnes Common</t>
  </si>
  <si>
    <t>20/3612/ES191</t>
  </si>
  <si>
    <t>Use as a self-contained residential flat.</t>
  </si>
  <si>
    <t>Studio Flat At _x000D_31 Waldegrave Gardens_x000D_Twickenham_x000D_TW1 4PQ</t>
  </si>
  <si>
    <t>TW1 4PQ</t>
  </si>
  <si>
    <t>CA43 Strawberry Hill Road</t>
  </si>
  <si>
    <t>21/0496/ES191</t>
  </si>
  <si>
    <t>To establish the use of the building as 2 self-contained flats</t>
  </si>
  <si>
    <t>Corner House_x000D_Vicarage Road_x000D_East Sheen_x000D_London_x000D__x000D_</t>
  </si>
  <si>
    <t>SW14 8RS</t>
  </si>
  <si>
    <t>CA64 Sheen Lane East Sheen</t>
  </si>
  <si>
    <t>07/3512/FUL</t>
  </si>
  <si>
    <t>Demolition of an existing bungalow and construction of two new residential units. Separate entrance will be provided to both dwellings. The developments two main levels: above lower ground and a built out roof area underneath a pitch roof.</t>
  </si>
  <si>
    <t>64 Ormond Avenue_x000D_Hampton_x000D_Middlesex_x000D_TW12 2RX_x000D_</t>
  </si>
  <si>
    <t>07/3348/FUL</t>
  </si>
  <si>
    <t>Demolition of existing house and outbuildings, construction of 3 houses.</t>
  </si>
  <si>
    <t>289 Petersham Road_x000D_Richmond_x000D_Surrey_x000D_TW10 7DA_x000D_</t>
  </si>
  <si>
    <t>11/0468/PS192</t>
  </si>
  <si>
    <t>Continuing construction of block of 11 flats on site of Osbourne House under permission 07/2991/FUL after 28/02/2011 (when the permission would otherwise have expired) will be lawful.</t>
  </si>
  <si>
    <t>Becketts Wharf And Osbourne House_x000D_Becketts Place_x000D_Hampton Wick_x000D__x000D_</t>
  </si>
  <si>
    <t>13/1327/FUL</t>
  </si>
  <si>
    <t>Reversion of Doughty House and Doughty Cottage, change of use from D1 gallery to a single family dwelling. New conservatory with basement below; underground car parking beneath the upper garden and linked to Doughty House; part re-construction of rear ele</t>
  </si>
  <si>
    <t>Doughty House And Doughty Cottage_x000D_142 - 142A Richmond Hill_x000D_Richmond_x000D__x000D_</t>
  </si>
  <si>
    <t>14/0599/P3JPA</t>
  </si>
  <si>
    <t>Change of use of ground floor offices (B1) to residential (C3)</t>
  </si>
  <si>
    <t>9 Hanworth Road_x000D_Hampton_x000D_TW12 3DH</t>
  </si>
  <si>
    <t>TW12 3DH</t>
  </si>
  <si>
    <t>14/2118/FUL</t>
  </si>
  <si>
    <t>Conversion of existing block of 3 flats, back into onedwellinghouse. Demolition of existing part 2 storey, part single storey rear addition and erection of part 2 storey and part single storey rear extension. Erection of basement extension, part under exi</t>
  </si>
  <si>
    <t>14 Sheen Gate Gardens_x000D_East Sheen_x000D_London_x000D__x000D_</t>
  </si>
  <si>
    <t>13/2484/FUL</t>
  </si>
  <si>
    <t>Demolish 'The Bungalow' and 'The Annexe' and erect one pair of semi detached five bed houses on three floors with garages, access, forecourt, bin stores, landscaping and ancillary works</t>
  </si>
  <si>
    <t>The Bungalow Annexe_x000D_Willoughby Road_x000D_Twickenham_x000D_TW1 2QH_x000D_</t>
  </si>
  <si>
    <t>TW1 2QH</t>
  </si>
  <si>
    <t>CA4 Richmond Riverside</t>
  </si>
  <si>
    <t>14/5284/FUL</t>
  </si>
  <si>
    <t>The reversion of a Building of Townscape Merit from two self-contained flats (1x1 and 1x3 beds) to a single-family dwelling (Use Class C3: Dwelling Houses) including a rear side infill extension with associated works.</t>
  </si>
  <si>
    <t>46 Halford Road_x000D_Richmond_x000D__x000D_</t>
  </si>
  <si>
    <t>TW10 6AP</t>
  </si>
  <si>
    <t>14/3011/FUL</t>
  </si>
  <si>
    <t>Refurbishment and remodelling of the existing dry cleaners (Use Class A1: Shops)  and workshop (Use Class B1c: light industrial) including infill extensions and alterations, conversion of seven x one self-contained flats to six residential flats (comprisi</t>
  </si>
  <si>
    <t>2 Broad Street_x000D_Teddington_x000D_TW11 8RF_x000D_</t>
  </si>
  <si>
    <t>15/1486/FUL</t>
  </si>
  <si>
    <t>Demolition of existing dwelling and erection of 2 No.4 bed semi-detached dwellings with associated parking and landscaping.</t>
  </si>
  <si>
    <t>8 Heathside_x000D_Whitton_x000D_Hounslow_x000D_TW4 5NN_x000D_</t>
  </si>
  <si>
    <t>14/2797/P3JPA</t>
  </si>
  <si>
    <t>Proposed change of use of part of an existing two storey office block (B1a Use Class) to Residential (C3 Use Class) creating 6 No.flats (comprising 1 x 1-bed unit and 5 x 2-bed units).</t>
  </si>
  <si>
    <t>Crane Mews_x000D_32 Gould Road_x000D_Twickenham_x000D__x000D_</t>
  </si>
  <si>
    <t>TW2 6RS</t>
  </si>
  <si>
    <t>16/0680/FUL</t>
  </si>
  <si>
    <t>Part demolition of single dwelling house and formation of two semi-detached houses.</t>
  </si>
  <si>
    <t>2 Firs Avenue East Sheen SW14 7NZ</t>
  </si>
  <si>
    <t>14/4839/FUL</t>
  </si>
  <si>
    <t>Demolition of existing house and construction of a new 3 bedroom house.</t>
  </si>
  <si>
    <t>The Cottage_x000D_Eel Pie Island_x000D_Twickenham_x000D_TW1 3DY_x000D_</t>
  </si>
  <si>
    <t>CA8 Twickenham Riverside</t>
  </si>
  <si>
    <t>16/0058/FUL</t>
  </si>
  <si>
    <t>Change of use of 2nd floor and 3rd floor level from ancillary retail to nine 1 bedroom flats (C3 use) with external alterations and enclosure of walkway at 1st floor, new residential access, bin store, bicycle storage, replacement of plant, new stairs to roof access and  reconfiguration of food store at ground floor level.</t>
  </si>
  <si>
    <t xml:space="preserve">29 George Street Richmond TW9 1HY
</t>
  </si>
  <si>
    <t>16/2306/FUL</t>
  </si>
  <si>
    <t>Conversion of the building into one family house, plus an additional apartment at basement level to the front.</t>
  </si>
  <si>
    <t>112 Richmond Hill_x000D_Richmond_x000D__x000D_</t>
  </si>
  <si>
    <t>15/3072/FUL</t>
  </si>
  <si>
    <t>Conversion, extension and alteration of the existing church building to provide for 6 x 2 bedroom flats over four levels together with 6 off-street car parking spaces, motorcycle parking, garden amenity areas and refuse, recycling and cycle parking areas.</t>
  </si>
  <si>
    <t>Christ Church_x000D_Station Road_x000D_Teddington_x000D__x000D_</t>
  </si>
  <si>
    <t>16/3293/RES</t>
  </si>
  <si>
    <t>Detailed Reserved Matters application including Appearance, Landscaping, Layout and Scale for the Schools Development Zone pursuant to Conditions U08026 and U08031 of Outline Planning Permission 15/3038/OUT dated 16.08.16 (Outline application for the demo</t>
  </si>
  <si>
    <t>Land At Junction Of A316 And Langhorn Drive And Richmond College Site (Including Craneford Way East Playing Fields And Marsh Farm Lane) Egerton Road Twickenham</t>
  </si>
  <si>
    <t>16/0905/FUL</t>
  </si>
  <si>
    <t>Demolition of the existing hall and the erection of a new community facility building and 6 flats</t>
  </si>
  <si>
    <t>275 Sandycombe Road_x000D_Richmond_x000D_TW9 3LU_x000D_</t>
  </si>
  <si>
    <t>Sandycombe Road North</t>
  </si>
  <si>
    <t>16/4635/FUL</t>
  </si>
  <si>
    <t>Construction of a three bedroom single storey dwelling with associated hard and soft landscaping, parking and access road (bollard lit)</t>
  </si>
  <si>
    <t>Land Rear Of 12 To 36_x000D_Vincam Close_x000D_Twickenham_x000D__x000D_</t>
  </si>
  <si>
    <t>16/4405/FUL</t>
  </si>
  <si>
    <t>Demolition of an existing 3 bedroom bungalow and erection of a new 4 bedroom two storey dwelling (including loft accommodation) with associated landscaping works).</t>
  </si>
  <si>
    <t>46 Sixth Cross Road_x000D_Twickenham_x000D_TW2 5PB_x000D_</t>
  </si>
  <si>
    <t>TW2 5PB</t>
  </si>
  <si>
    <t>16/1882/FUL</t>
  </si>
  <si>
    <t>Demolition of existing single dwelling and erection of a new single dwelling.</t>
  </si>
  <si>
    <t>9 Charlotte Road_x000D_Barnes_x000D_London_x000D_SW13 9QJ_x000D_</t>
  </si>
  <si>
    <t>SW13 9QJ</t>
  </si>
  <si>
    <t>17/2488/FUL</t>
  </si>
  <si>
    <t>Replacement dwellinghouse with associated landscaping, boundary treatment and summer house.</t>
  </si>
  <si>
    <t>32 Fife Road_x000D_East Sheen_x000D_London_x000D_SW14 7EL</t>
  </si>
  <si>
    <t>SW14 7EL</t>
  </si>
  <si>
    <t>CA13 Christchurch Road East Sheen</t>
  </si>
  <si>
    <t>16/4890/FUL</t>
  </si>
  <si>
    <t>Redevelopment of site to provide for a mixed use development of 535m2 of commercial space (B1 (a), (b) and (c) and B8 use) and 20 residential units, together with car parking and landscaping</t>
  </si>
  <si>
    <t xml:space="preserve">1 - 9 Sandycombe Road Richmond
</t>
  </si>
  <si>
    <t>TW9 2EP</t>
  </si>
  <si>
    <t>17/3001/GPD16</t>
  </si>
  <si>
    <t>Change of use from B8 (storage) to C3 (residential use) to create a 1 bedroom unit.</t>
  </si>
  <si>
    <t>Unit 3_x000D_Plough Lane_x000D_Teddington_x000D__x000D_</t>
  </si>
  <si>
    <t>TW11 9BN</t>
  </si>
  <si>
    <t>17/3003/GPD16</t>
  </si>
  <si>
    <t>Change of use from B8 (storage) to C3 (residential) to create 2 Studio units.</t>
  </si>
  <si>
    <t>Unit 4 To 5A_x000D_Plough Lane_x000D_Teddington_x000D__x000D_</t>
  </si>
  <si>
    <t>16/2647/FUL</t>
  </si>
  <si>
    <t>Demolition of the existing office (B1a) building (395 sq.m) and the erection a part five / part six-storey mixed-use building comprisnig a ground floor office / commercial unit (300 sq.m) and 22 (11 x 1 and 11 x 2 bed) affordable 'shared ownership' apartm</t>
  </si>
  <si>
    <t>2 High Street_x000D_Teddington_x000D_TW11 8EW_x000D_</t>
  </si>
  <si>
    <t>16/4384/FUL</t>
  </si>
  <si>
    <t>Demolition of the existing garage and erection of a new partially sunken one-bedroom, single-storey dwelling, and provision of a new boundary wall and entrance gate.</t>
  </si>
  <si>
    <t>Land Junction Of North Worple Way And Wrights Walk Rear Of_x000D_31 Alder Road_x000D_Mortlake_x000D_London_x000D__x000D_</t>
  </si>
  <si>
    <t>SW14</t>
  </si>
  <si>
    <t>16/3485/FUL</t>
  </si>
  <si>
    <t>Conversion of number 11 Upper Lodge Mews and number 12 Upper Lodge Mews into one dwelling house with internal refurbishment.</t>
  </si>
  <si>
    <t>11 And 12 Upper Lodge Mews_x000D_Bushy Park_x000D_Hampton Hill_x000D__x000D_</t>
  </si>
  <si>
    <t>TW12</t>
  </si>
  <si>
    <t>CA61 Bushy Park</t>
  </si>
  <si>
    <t>17/2939/FUL</t>
  </si>
  <si>
    <t>Part conversion of rear shop unit and single storey side/rear extension to form a studio flat._x000D_</t>
  </si>
  <si>
    <t>54 White Hart Lane_x000D_Barnes_x000D_London_x000D_SW13 0PZ_x000D_</t>
  </si>
  <si>
    <t>White Hart Lane, Barnes</t>
  </si>
  <si>
    <t>17/0788/FUL</t>
  </si>
  <si>
    <t>Demolition of lock up garages to provide 1 no. detached 4 bedroom dwellinghouse with associated parking, cycle and refuse stores, new boundary fence and hard and soft landscaping.</t>
  </si>
  <si>
    <t>High Wigsell_x000D_35 Twickenham Road_x000D_Teddington_x000D__x000D_</t>
  </si>
  <si>
    <t>16/3625/FUL</t>
  </si>
  <si>
    <t>Demolition of existing car repair workshop and replacement with 1 no. ground floor B1(a) commercial unit and 1 no. 2 bed residential unit with associated landscaping, car and cycle parking.</t>
  </si>
  <si>
    <t>65 Holly Road_x000D_Twickenham_x000D_TW1 4HF_x000D_</t>
  </si>
  <si>
    <t>TW1 4HF</t>
  </si>
  <si>
    <t>17/4114/PS192</t>
  </si>
  <si>
    <t>Change of use from Class C4 (House in Multiple Occupation) to C3 (residential) to provide 1 x 3 bed flat</t>
  </si>
  <si>
    <t xml:space="preserve">35A Broad Street
Teddington
TW11 8QZ
</t>
  </si>
  <si>
    <t>TW11 8QZ</t>
  </si>
  <si>
    <t>17/4292/FUL</t>
  </si>
  <si>
    <t>Proposed roof and side extension to the existing two storey residential building to provide three new apartment units and to increase the size of four of the existing units. Alterations to elevations including balconies at first and second floor.</t>
  </si>
  <si>
    <t>Cliveden House_x000D_Victoria Villas_x000D_Richmond_x000D_TW9 2JX_x000D_</t>
  </si>
  <si>
    <t>TW9 2JX</t>
  </si>
  <si>
    <t>17/3077/FUL</t>
  </si>
  <si>
    <t>Erection of a 3 storey dwellinghouse with accommodation at basement level, associated landscaping works and rear outbuilding for garage.</t>
  </si>
  <si>
    <t>4 Church Street_x000D_Twickenham_x000D_TW1 3NJ</t>
  </si>
  <si>
    <t>TW1 3NJ</t>
  </si>
  <si>
    <t>17/0323/FUL</t>
  </si>
  <si>
    <t>Erection of a three-storey building to provide  4 two-bedroom residential units (Class C3) separate refuse facilities and altered parking layout.</t>
  </si>
  <si>
    <t>Courtyard Apartments_x000D_70B Hampton Road_x000D_Teddington_x000D__x000D_</t>
  </si>
  <si>
    <t>TW11 0JX</t>
  </si>
  <si>
    <t>18/0282/FUL</t>
  </si>
  <si>
    <t>Demolition of the existing 2 storey residential building and single storey garages and erection of a pair of semi-detached, 3 storey (plus basement) 4 bedroom dwellings with associated private gardens and off street parking.  Creation of a new crossover a</t>
  </si>
  <si>
    <t>Upton House_x000D_19 - 20 Queens Ride_x000D_Barnes_x000D_London_x000D_SW13 0HX_x000D_</t>
  </si>
  <si>
    <t>SW13 0HX</t>
  </si>
  <si>
    <t>17/2769/FUL</t>
  </si>
  <si>
    <t>Demolition of existing detached dwelling and construction of a new 2 storey, 5 bedroom dwelling.</t>
  </si>
  <si>
    <t>54 Sandy Lane_x000D_Petersham_x000D_Richmond_x000D_TW10 7EL_x000D_</t>
  </si>
  <si>
    <t>TW10 7EL</t>
  </si>
  <si>
    <t>17/1453/FUL</t>
  </si>
  <si>
    <t>Change of use of premises to live/work unit (mixed C3/B1(c) (sui generis)).  First floor extension. Erection of timber screening to existing roof terrace. Alterations to existing elevations.</t>
  </si>
  <si>
    <t xml:space="preserve">100 Colne Road
Twickenham
TW2 6QE
</t>
  </si>
  <si>
    <t>TW2 6QE</t>
  </si>
  <si>
    <t>17/3667/FUL</t>
  </si>
  <si>
    <t>Demolition of existing staff accommodation caravans and storage barn and erection of replacement grooms accommodation.</t>
  </si>
  <si>
    <t>Manor Farm Riding School_x000D_Petersham Road_x000D_Petersham_x000D_Richmond_x000D_TW10 7AH_x000D_</t>
  </si>
  <si>
    <t>TW10 7AH</t>
  </si>
  <si>
    <t>Petersham Lodge</t>
  </si>
  <si>
    <t>CA6 Petersham</t>
  </si>
  <si>
    <t>17/1550/FUL</t>
  </si>
  <si>
    <t>Demolition of existing building and erection of part two storey/part four storey building to provide 9 residential flats (6 x one bed, 3 x two bed) and new basement level to facilitate provision of underground parking and associated hard and soft landscap</t>
  </si>
  <si>
    <t>The Firs_x000D_Church Grove_x000D_Hampton Wick_x000D_Kingston Upon Thames_x000D_KT1 4AL_x000D_</t>
  </si>
  <si>
    <t>KT1 4AL</t>
  </si>
  <si>
    <t>16/2288/FUL</t>
  </si>
  <si>
    <t>Extending the existing retail and residential accommodation to provide a mixed use scheme comprising of one retail unit and 7 new residential dwellings and retention of 3 currently existing residential dwellings, incorporating cycle storage, amenity space</t>
  </si>
  <si>
    <t>179 - 181 High Street_x000D_Hampton Hill_x000D__x000D_</t>
  </si>
  <si>
    <t>18/2235/VRC</t>
  </si>
  <si>
    <t>Removal of Condition U35386 (Residential-Ancillary Accommodation) and vary condition U35387 (Mixed use A4/C1) of planning permission 17/2301/FUL to exclude the reference to the stable block.</t>
  </si>
  <si>
    <t>Jolly Coopers _x000D_16 High Street_x000D_Hampton_x000D_TW12 2SJ</t>
  </si>
  <si>
    <t>TW12 2SJ</t>
  </si>
  <si>
    <t>Thames Street, Hampton</t>
  </si>
  <si>
    <t>CA12 Hampton Village</t>
  </si>
  <si>
    <t>18/0723/FUL</t>
  </si>
  <si>
    <t>Demolition of existing dwelling and the erection of a replacement two storey, 4 bedroom dwelling</t>
  </si>
  <si>
    <t>3 Queens Rise_x000D_Richmond_x000D_TW10 6HL</t>
  </si>
  <si>
    <t>TW10 6HL</t>
  </si>
  <si>
    <t>16/3506/FUL</t>
  </si>
  <si>
    <t>Demolition of the existing building and erection of 2 buildings at single-storey and three-stories to provide 24 affordable residential units (sheltered accommodation for older people of the minimum age of 55) with associated external amenities, communal</t>
  </si>
  <si>
    <t>Somerville House_x000D_1 Rodney Road_x000D_Twickenham_x000D__x000D_</t>
  </si>
  <si>
    <t>TW2 7AL</t>
  </si>
  <si>
    <t>18/1743/FUL</t>
  </si>
  <si>
    <t>Subdivision of existing curtilage at 168 Broom Road; alterations to existing garage to the rear of the site comprising single storey side extension; two rear dormer roof extensions; two rooflights to the front roofslope and fenestration alterations to fac</t>
  </si>
  <si>
    <t>168 Broom Road_x000D_Teddington_x000D_TW11 9PQ_x000D_</t>
  </si>
  <si>
    <t>TW11 9PQ</t>
  </si>
  <si>
    <t>18/0216/FUL</t>
  </si>
  <si>
    <t>The division of the existing single dwelling on the upper floors into two dwellings. Rear dormer and roof lights to the front roofslope.</t>
  </si>
  <si>
    <t>34 Colston Road_x000D_East Sheen_x000D_London_x000D_SW14 7PG</t>
  </si>
  <si>
    <t>SW14 7PG</t>
  </si>
  <si>
    <t>18/1248/FUL</t>
  </si>
  <si>
    <t>Conversion, refurbishment and extension of existing tyre shop with maisonette above (C3) into two self-contained one bedroom flats (C3).</t>
  </si>
  <si>
    <t>1 Trinity Road_x000D_Richmond_x000D_TW9 2LD</t>
  </si>
  <si>
    <t>TW9 2LD</t>
  </si>
  <si>
    <t>18/3613/GPD15</t>
  </si>
  <si>
    <t>Change of use from office B1(a) to C3 (Residential) use to provide 1 x 1 bed dwellinghouse.</t>
  </si>
  <si>
    <t>108 Shacklegate Lane_x000D_Teddington_x000D_TW11 8SH_x000D_</t>
  </si>
  <si>
    <t>18/3815/GPD15</t>
  </si>
  <si>
    <t>Change of use of two detached buildings and the associated curtilage from light industrial use (Class B1(c)) to residential use (Class C3) to provide 7 x 1 bedroom units and 1 x 2 bedroom unit.</t>
  </si>
  <si>
    <t>42 - 42A High Street_x000D_Hampton Wick_x000D_Kingston Upon Thames_x000D_KT1 4DB_x000D_</t>
  </si>
  <si>
    <t>KT1 4DB</t>
  </si>
  <si>
    <t>18/2928/FUL</t>
  </si>
  <si>
    <t>Change of use of ancillary A3 accommodation on 1st and 2nd floors to create 1No. 3bed self-contained flat (C3 use) and installation of a rear door and railings at first floor level.</t>
  </si>
  <si>
    <t>20 - 22 High Street_x000D_Teddington_x000D_TW11 8EW_x000D_</t>
  </si>
  <si>
    <t>19/0347/GPD15</t>
  </si>
  <si>
    <t>Change of use from B1(a) Office use to C3 Residential use to provide 3 x 1 bed and 1 x 2 bed flats with associated internal refuse and cycle storage.</t>
  </si>
  <si>
    <t>Albion House_x000D_Colne Road_x000D_Twickenham_x000D_TW2 6QL_x000D_</t>
  </si>
  <si>
    <t>TW2 6QL</t>
  </si>
  <si>
    <t>19/0171/GPD15</t>
  </si>
  <si>
    <t>Change of use from B1 (Offices) to C3(a) (Dwellings) (2 x 2 bed).</t>
  </si>
  <si>
    <t>62 Glentham Road_x000D_Barnes_x000D_London_x000D_SW13 9JJ_x000D_</t>
  </si>
  <si>
    <t>SW13 9JJ</t>
  </si>
  <si>
    <t>18/3768/FUL</t>
  </si>
  <si>
    <t>Demolition of two existing workshop buildings. Change of use from current vacant B1 use to C3. Construction of 2No. semi-detached 5-bedroom family houses consisting of 2 storeys plus loft space with integral garaging.  Associated hard &amp; soft landscaping t</t>
  </si>
  <si>
    <t>58 Oldfield Road_x000D_Hampton_x000D_TW12 2AE</t>
  </si>
  <si>
    <t>TW12 2AE</t>
  </si>
  <si>
    <t>18/3950/FUL</t>
  </si>
  <si>
    <t>(1) Conversion of the existing health facilities (use class D1) to a mixed-use development providing 71 no. residential apartments (use class C3) and 500 sqm of D1 (Health) floorspace.  _x000D_(2) Restoration, alteration, extensions and demolition (mainly of la</t>
  </si>
  <si>
    <t xml:space="preserve">Richmond Royal Hospital Kew Foot Road Richmond TW9 2TE
</t>
  </si>
  <si>
    <t>TW9 2TE</t>
  </si>
  <si>
    <t>CA36 Kew Foot Road</t>
  </si>
  <si>
    <t>18/4183/FUL</t>
  </si>
  <si>
    <t>Demolition of existing garage compound and erection of one detached dwelling with 2 parking spaces, turning area, landscaping and tree planting.</t>
  </si>
  <si>
    <t>Garage Site_x000D_Rosslyn Avenue/Treen Avenue_x000D_Barnes_x000D_London_x000D_SW13 0JT</t>
  </si>
  <si>
    <t>SW13 0JT</t>
  </si>
  <si>
    <t>19/0974/FUL</t>
  </si>
  <si>
    <t>Two-storey side/rear extension with accommodation in the roof, removal of external staircase to facilitate the conversion of existing dwellinghouse into 7 self-contained flats (4 x 1 bed and 3 x 2 bed) and associated cycle and refuse stores.</t>
  </si>
  <si>
    <t>Fairlight_x000D_4 Church Grove_x000D_Hampton Wick_x000D_Kingston Upon Thames_x000D_KT1 4AL_x000D_</t>
  </si>
  <si>
    <t>15/3296/FUL</t>
  </si>
  <si>
    <t>SITE A:-Removal of 40 garages. Create a short terrace of high quality two storey houses consisting of three x  three-bedroom houses and two x  four-bedroom houses. Provision of 16 parking spaces in a shared surface courtyard</t>
  </si>
  <si>
    <t>Garages Site A_x000D_Bucklands Road_x000D_Teddington_x000D__x000D_</t>
  </si>
  <si>
    <t>15/3297/FUL</t>
  </si>
  <si>
    <t>SITE B_x000D_The site is currently an open parking court of approximately 28 spaces accessed from Bucklands Road. Create a pair of semi-detached high quality four-bedroom houses._x000D_-Provision of 24 car parking spaces</t>
  </si>
  <si>
    <t>Garage Site B_x000D_Bucklands Road_x000D_Teddington_x000D__x000D_</t>
  </si>
  <si>
    <t>19/0551/FUL</t>
  </si>
  <si>
    <t>Convert 2 flats back to one family house. Proposed pitched side infill extension adjacent neighbouring infill extension with glazed rooflight. Proposed loft conversion with full width rear dormer, partial dormer to outrigger and rooflights.</t>
  </si>
  <si>
    <t>32 Selwyn Avenue_x000D_Richmond_x000D_TW9 2HA_x000D_</t>
  </si>
  <si>
    <t>TW9 2HA</t>
  </si>
  <si>
    <t>19/1997/GPD23</t>
  </si>
  <si>
    <t>Change of use of property from B1(c) light industrial use to C3 residential (1x2 bedroom house)</t>
  </si>
  <si>
    <t>1A - 3A Holly Road_x000D_Hampton Hill_x000D_Hampton_x000D_TW12 1QF_x000D_</t>
  </si>
  <si>
    <t>TW12 1QF</t>
  </si>
  <si>
    <t>19/3020/FUL</t>
  </si>
  <si>
    <t>Replacement mansard roof and two dormers to rear elevation, erection of new front elevation dormer, blocking up of existing front elevation rooflight, enlargement of existing basement area, creation of rear basement terrace, ground floor extension, and erection of front garden wall to facilitate the reversion of existing block of two maisonettes to a single dwelling house</t>
  </si>
  <si>
    <t>44 Nassau Road_x000D_Barnes_x000D_London_x000D_SW13 9QE_x000D_</t>
  </si>
  <si>
    <t>SW13 9QE</t>
  </si>
  <si>
    <t>19/2377/GPD15</t>
  </si>
  <si>
    <t>Partial change of use from office to residential (4 No flats).</t>
  </si>
  <si>
    <t>122 - 124 St Margarets Road_x000D_Twickenham_x000D__x000D_</t>
  </si>
  <si>
    <t>TW1 2LH</t>
  </si>
  <si>
    <t>St Margarets</t>
  </si>
  <si>
    <t>CA49 Crown Road St Margarets</t>
  </si>
  <si>
    <t>15/5217/NMA1</t>
  </si>
  <si>
    <t>Non-material amendment to condition U10926 (NS11 - Building Regulations) of planning permission 15/5217/FUL to allow for change in wording of condition to state:  'Prior to the commencement of works above slab level, a scheme shall be submitted to and app</t>
  </si>
  <si>
    <t>Silver Birches_x000D_2 - 6 Marchmont Road_x000D_Richmond_x000D_TW10 6HH_x000D_</t>
  </si>
  <si>
    <t>19/0954/VRC</t>
  </si>
  <si>
    <t>Minor material amendment to application ref 16/3290/FUL (Partial demolition of an existing building and the creation of 3 new dwelling houses and associated works) by variation of appeal decision condition 2 (approved drawing numbers) to allow for externa</t>
  </si>
  <si>
    <t>45 The Vineyard_x000D_Richmond_x000D_TW10 6AS_x000D_</t>
  </si>
  <si>
    <t>TW10 6AS</t>
  </si>
  <si>
    <t>19/2796/GPD15</t>
  </si>
  <si>
    <t>Change of use of the ground and basement from B1(a) office use, to Class C3 (dwellinghouse) as a single self-contained 3 bedroom flat.</t>
  </si>
  <si>
    <t>115 White Hart Lane_x000D_Barnes_x000D_London_x000D_SW13 0JL_x000D_</t>
  </si>
  <si>
    <t>SW13 0JL</t>
  </si>
  <si>
    <t>CA53 White Hart Lane Mortlake</t>
  </si>
  <si>
    <t>18/4138/FUL</t>
  </si>
  <si>
    <t>Demolition of existing dwelling and construction of two-storey five-bedroom (10-Person) dwelling with basement and associated landscaping and refuse/recycling and cycle storage.</t>
  </si>
  <si>
    <t>2 West Park Avenue_x000D_Kew_x000D_Richmond_x000D_TW9 4AL_x000D_</t>
  </si>
  <si>
    <t>TW9 4AL</t>
  </si>
  <si>
    <t>19/0382/FUL</t>
  </si>
  <si>
    <t>Erection of two-storey detached dwellinghouse and basement with sunken courtyard and green wall.  New brick wall and pedestrian gate to Popes Avenue frontage, new parking and hard and soft landscaping.</t>
  </si>
  <si>
    <t>Ajanta _x000D_13 Walpole Gardens_x000D_Twickenham_x000D_TW2 5SL</t>
  </si>
  <si>
    <t>TW2 5SL</t>
  </si>
  <si>
    <t>CA40 Popes Avenue Twickenham</t>
  </si>
  <si>
    <t xml:space="preserve">13 Lower Teddington Road 
</t>
  </si>
  <si>
    <t>25-29 Lower Teddington Road</t>
  </si>
  <si>
    <t>Extra Care</t>
  </si>
  <si>
    <t xml:space="preserve">Orione House - 12 Station Road 
</t>
  </si>
  <si>
    <t>19/2788/FUL</t>
  </si>
  <si>
    <t>Roof extension to provide additional residential accommodation to Number 5 South Avenue and creation of 1 no. self-contained 1 bedroom flat above no. 2 and provision of associated cycle parking.</t>
  </si>
  <si>
    <t>2A And 5_x000D_South Avenue_x000D_Kew_x000D__x000D_</t>
  </si>
  <si>
    <t>TW9 3EL</t>
  </si>
  <si>
    <t>19/3852/GPD15</t>
  </si>
  <si>
    <t>Change of use of ground floor from B1a office to C3 (Residential) use comprising 1x studio flat and 1x 1 bedroom flat</t>
  </si>
  <si>
    <t>59 North Worple Way_x000D_Mortlake_x000D_London_x000D__x000D_</t>
  </si>
  <si>
    <t>SW14 8HE</t>
  </si>
  <si>
    <t>19/3419/FUL</t>
  </si>
  <si>
    <t>Demolition of existing dwellinghouse and erection of detached two storey dwellinghouse, associated hard and soft landscaping</t>
  </si>
  <si>
    <t>8 Sandy Lane_x000D_Petersham_x000D_Richmond_x000D_TW10 7EN_x000D_</t>
  </si>
  <si>
    <t>TW10 7EN</t>
  </si>
  <si>
    <t>19/1162/FUL</t>
  </si>
  <si>
    <t>Part change of use of ground floor and rear garden from A1 to C3 (residential use) and replacement window on ground floor rear elevation to facilitate the conversion of existing 1 x 3 bed flat into 2 x 2 bed flats and associated cycle and refuse stores (R</t>
  </si>
  <si>
    <t>82 - 84 Hill Rise_x000D_Richmond_x000D__x000D_</t>
  </si>
  <si>
    <t>TW10 6UB</t>
  </si>
  <si>
    <t>20/0136/FUL</t>
  </si>
  <si>
    <t>Demolition of the existing house and reconstruction of replacement 2 storey with basement and accommodation in the roof single family home and associated parking, hard and soft landscaping.</t>
  </si>
  <si>
    <t>2 Belgrave Road_x000D_Barnes_x000D_London_x000D_SW13 9NS</t>
  </si>
  <si>
    <t>SW13 9NS</t>
  </si>
  <si>
    <t>19/3770/FUL</t>
  </si>
  <si>
    <t>Erection of a replacement two storey detached dwelling house with accommodation in the roof and associated hard and soft landscaping, cycle and refuse store. New gate.</t>
  </si>
  <si>
    <t>31 St Albans Gardens_x000D_Teddington_x000D_TW11 8AE</t>
  </si>
  <si>
    <t>TW11 8AE</t>
  </si>
  <si>
    <t>20/0384/GPD15</t>
  </si>
  <si>
    <t>Change of use of part of first floor level from B1(a) office unit C3 (dwelling house) to form one x 4 bed self-contained apartment.</t>
  </si>
  <si>
    <t>21 Station Road_x000D_Barnes_x000D_London_x000D_SW13 0LF_x000D_</t>
  </si>
  <si>
    <t>SW13 0LF</t>
  </si>
  <si>
    <t>20/0303/FUL</t>
  </si>
  <si>
    <t>Demolition of existing part single, part double storey rear extension, change of use of part ground, first and second floors from A2 to C3 residential use and erection of two-storey rear extension and mansard roof extension incorporating solar panels to facilitate the creation of 6 flats (4 x 1 bed flats and 2 x 2 bed flats)</t>
  </si>
  <si>
    <t xml:space="preserve">341 Upper Richmond Road West East Sheen SW14 8QN
</t>
  </si>
  <si>
    <t>SW14 8QN</t>
  </si>
  <si>
    <t>19/3758/FUL</t>
  </si>
  <si>
    <t>Single storey rear extension and change of use from 4 x self-contained flats back to a family house</t>
  </si>
  <si>
    <t>65 Palewell Park_x000D_East Sheen_x000D_London_x000D_SW14 8JJ</t>
  </si>
  <si>
    <t>SW14 8JJ</t>
  </si>
  <si>
    <t>19/3672/FUL</t>
  </si>
  <si>
    <t>Removal of existing stairs to rear, erection of the single-storey rear extension, replacement/new windows, refurbishment of existing side dormer roof extension, new access gate to facilitate the reversion of 2 x flats to a single-family dwellinghouse</t>
  </si>
  <si>
    <t>68 Mount Ararat Road_x000D_Richmond_x000D_TW10 6PJ</t>
  </si>
  <si>
    <t>TW10 6PJ</t>
  </si>
  <si>
    <t>19/2860/FUL</t>
  </si>
  <si>
    <t>Change of use of five, B1(a) office units to provide five three-bedroomed terraced houses (Class C3), Retention of remaining class B1(a) office unit, extension and provision of rear private amenity space, facade alterations and other external alterations.</t>
  </si>
  <si>
    <t>Schurlock Place 9 - 23 Third Cross Road Twickenham</t>
  </si>
  <si>
    <t>TW2 5FP</t>
  </si>
  <si>
    <t>20/1071/FUL</t>
  </si>
  <si>
    <t>Proposed Demolition of Existing House and Construction of New Dwelling</t>
  </si>
  <si>
    <t>25 Cranmer Road_x000D_Hampton Hill_x000D_TW12 1DN</t>
  </si>
  <si>
    <t>TW12 1DN</t>
  </si>
  <si>
    <t>19/3436/FUL</t>
  </si>
  <si>
    <t>Works to Retail Unit - replacement store to rear to accommodate cycle and refuse stores. Works to upper floor flat - New hard and soft landscaping, replacement windows and doors on rear elevation to facilite the conversion of upper floor maisonette into 2</t>
  </si>
  <si>
    <t>49 - 49A King Street Parade_x000D_Twickenham_x000D__x000D_</t>
  </si>
  <si>
    <t>TW1 3SG</t>
  </si>
  <si>
    <t>19/3568/FUL</t>
  </si>
  <si>
    <t>Replacement of existing single-storey detached bungalow to provide a pair of two-storey semi-detached dwelling houses with habitable roofspace, each with 5-bedrooms; off-street parking provision for two vehicles per dwelling; the removal of the existing t</t>
  </si>
  <si>
    <t>73A High Street_x000D_Hampton_x000D_TW12 2SX</t>
  </si>
  <si>
    <t>TW12 2SX</t>
  </si>
  <si>
    <t>20/0773/FUL</t>
  </si>
  <si>
    <t>Erection of 1no. single storey 2 bed dwellinghouse with associated cycle and refuse stores</t>
  </si>
  <si>
    <t>Land At_x000D_Railway Side_x000D_Barnes_x000D_London_x000D__x000D_</t>
  </si>
  <si>
    <t>SW13 0AL</t>
  </si>
  <si>
    <t>CA16 Thorne Passage Mortlake</t>
  </si>
  <si>
    <t>20/1405/GPD13</t>
  </si>
  <si>
    <t>Part change of use of ground floor from A2 (financial institution) to C3 (residential studio unit) with associated fenestration alterations.</t>
  </si>
  <si>
    <t>20/0714/FUL</t>
  </si>
  <si>
    <t>Demolition of existing semi-detached dwelling and replacement with a 2 storey semi-detached dwelling with basement and accommodation in the roof and associated parking, hard and soft landscaping, cycle and refuse stores</t>
  </si>
  <si>
    <t>6 Cumberland Road_x000D_Barnes_x000D_London_x000D_SW13 9LY</t>
  </si>
  <si>
    <t>SW13 9LY</t>
  </si>
  <si>
    <t>20/0361/FUL</t>
  </si>
  <si>
    <t>Enlargement of existing dormer on rear roof, replacement shopfront, replacement windows to front and rear, removel of exisitng lean to at rear first floor level to facilitate change of use of part ground floor, first, second and third floors from A4 to C3</t>
  </si>
  <si>
    <t>26 - 28 York Street_x000D_Twickenham_x000D_TW1 3LJ_x000D_</t>
  </si>
  <si>
    <t>TW1 3LJ</t>
  </si>
  <si>
    <t>20/1274/FUL</t>
  </si>
  <si>
    <t>Demolition of existing property, construction of 2 x two-storey plus attic and basement terraced dwellings and associated car parking, cycle parking, refuse stores and hard and soft landscaping.</t>
  </si>
  <si>
    <t>29 Howsman Road
Barnes
London
SW13 9AW</t>
  </si>
  <si>
    <t>SW13 9AW</t>
  </si>
  <si>
    <t>20/1484/FUL</t>
  </si>
  <si>
    <t>Demolition of garage and erection of Coach House style dwelling.</t>
  </si>
  <si>
    <t>Land To The Rear Of 178A - 184 _x000D_Kingston Lane_x000D_Teddington_x000D_TW11 9HD</t>
  </si>
  <si>
    <t>TW11 9HD</t>
  </si>
  <si>
    <t>20/1560/FUL</t>
  </si>
  <si>
    <t>The proposal is to convert the existing 4 bedroom flat above the shop to 3X One bedroom flats with single storey rear and infill extension, and altering the roof/second floor and part second &amp; first floor extension and associated internal changes.</t>
  </si>
  <si>
    <t>Flat Above_x000D_203 Waldegrave Road_x000D_Teddington_x000D_TW11 8LX_x000D_</t>
  </si>
  <si>
    <t>TW11 8LX</t>
  </si>
  <si>
    <t>Waldegrave Road, Teddington</t>
  </si>
  <si>
    <t>18/3830/FUL</t>
  </si>
  <si>
    <t>Two-storey rear and basement extensions to create additional retail storage and a one bedroom flat.</t>
  </si>
  <si>
    <t>114 Sheen Road_x000D_Richmond_x000D_TW9 1UR</t>
  </si>
  <si>
    <t>TW9 1UR</t>
  </si>
  <si>
    <t>Sheen Road</t>
  </si>
  <si>
    <t>20/1867/FUL</t>
  </si>
  <si>
    <t>PART CHANGE OF USE OF REAR GROUND FLOOR COMMERCIAL TO RESIDENTIAL USE (C3) TO PROVIDE 1 RESIDENTIAL UNIT (1X1 BEDROOM, 2 PERSON) WITH ASSOCIATED CYCLE STORAGE, REFUSE STORAGE AND PRIVATE AMENITY SPACE</t>
  </si>
  <si>
    <t>Rear Of_x000D_44 King Street_x000D_Twickenham_x000D_TW1 3SH_x000D_</t>
  </si>
  <si>
    <t>TW1 3SH</t>
  </si>
  <si>
    <t>CA47 Queens Road Twickenham</t>
  </si>
  <si>
    <t>20/1696/GPD15</t>
  </si>
  <si>
    <t>Conversion of offices (Use Class B1a) to 14 flats (Use Class C3)</t>
  </si>
  <si>
    <t>18 - 22 Church Street_x000D_Hampton_x000D_TW12 2EG</t>
  </si>
  <si>
    <t>TW12 2EG</t>
  </si>
  <si>
    <t>20/2757/VRC</t>
  </si>
  <si>
    <t>Variation of Condition 2 (Approved Drawings) of application 19/2753/FUL to allow for 1) the alterations to Unit 6 comprising the enlargement of balcony and change from a 1 bed flat to a 2 bed flat; 2) removal of lifts in the North Block and redesigned sta</t>
  </si>
  <si>
    <t>63 Sandycombe Road_x000D_Richmond_x000D_TW9 2EP</t>
  </si>
  <si>
    <t>20/2721/FUL</t>
  </si>
  <si>
    <t>Change of use of the building into 2no. flats and reduction and retention of outbuilding</t>
  </si>
  <si>
    <t>54 Percy Road_x000D_Hampton_x000D_TW12 2JR</t>
  </si>
  <si>
    <t>TW12 2JR</t>
  </si>
  <si>
    <t>21/0111/GPD15</t>
  </si>
  <si>
    <t>Change of Use from Office (Class E formerly B1(a)) to C3 to form 1 x 2 bed flat._x000D_</t>
  </si>
  <si>
    <t>86 - 88 Lower Mortlake Road_x000D_Richmond_x000D__x000D_</t>
  </si>
  <si>
    <t>TW9 2JG</t>
  </si>
  <si>
    <t>20/2505/FUL</t>
  </si>
  <si>
    <t>Demolition of an existing garage and creation of a new 4-bedroom house with associated parking, refuse, recycling, cycle storage, landscaping and amenity space.</t>
  </si>
  <si>
    <t>1 Derwent Road_x000D_Twickenham_x000D_TW2 7HQ</t>
  </si>
  <si>
    <t>TW2 7HQ</t>
  </si>
  <si>
    <t>19/3211/FUL</t>
  </si>
  <si>
    <t>Change of use from one dwelling house falling under Class C4 (houses in multiple occupation) to Class C3 (dwellinghouse) to provide 1 x 2bed and 1 x 1bed flats._x000D__x000D_</t>
  </si>
  <si>
    <t>33A Broad Street_x000D_Teddington_x000D_TW11 8QZ_x000D_</t>
  </si>
  <si>
    <t>16/0647/FUL</t>
  </si>
  <si>
    <t>Demolition of the existing garages and redevelopment of the site with the erection of two residential houses with associated landscaping.</t>
  </si>
  <si>
    <t>Garages Rear Of 8_x000D_Atbara Road_x000D_Teddington_x000D__x000D_</t>
  </si>
  <si>
    <t>17/0346/FUL</t>
  </si>
  <si>
    <t>Subdivision of house (C3) to form 2 no. 2-bed flats (C3), ground floor infill side extension, to the rear of property, with windows to north elevation and hip to gable roof extension, rear facing dormer, including 2 No. front facing rooflights, following</t>
  </si>
  <si>
    <t>49 Manor Road_x000D_Richmond_x000D_TW9 1YA</t>
  </si>
  <si>
    <t>TW9 1YA</t>
  </si>
  <si>
    <t>16/0606/FUL</t>
  </si>
  <si>
    <t>Retention of former police station building with partial demolition of the rear wings of the police station and demolition of the rear garages and the construction of 28 residential units (4 x 1 bedroom, 12 x 2 bedroom, 10 x 3 bedroom and 2 x 4 bedroom) a</t>
  </si>
  <si>
    <t>Police Station_x000D_60 - 68 Station Road_x000D_Hampton_x000D__x000D_</t>
  </si>
  <si>
    <t>TW12 2AX</t>
  </si>
  <si>
    <t>17/0798/FUL</t>
  </si>
  <si>
    <t>Demolition of the existing detached bungalow and all outbuildings on site together with infill of the existing ponds to facilitate the construction of a pair of four bedroom semi-detached houses with associated boundary treatment, car parking, bin storage</t>
  </si>
  <si>
    <t>25 Cedar Avenue_x000D_Twickenham_x000D_TW2 7HD</t>
  </si>
  <si>
    <t>TW2 7HD</t>
  </si>
  <si>
    <t>17/3795/GPD15</t>
  </si>
  <si>
    <t>Change of use from Offices (B1) to Residential (C3).</t>
  </si>
  <si>
    <t>25 Church Road_x000D_Teddington_x000D_TW11 8PF_x000D_</t>
  </si>
  <si>
    <t>TW11 8PF</t>
  </si>
  <si>
    <t>CA85 Church Road</t>
  </si>
  <si>
    <t>17/2957/FUL</t>
  </si>
  <si>
    <t>Formation of additional floor of accommodation in the form of a mansard style roof extension to facilitate the conversion of existing first floor 3 bedroom flat into 2x1 bedroom flats and provision of 2x1 bedroom flats at second floor level through the ma</t>
  </si>
  <si>
    <t>4A New Broadway_x000D_Hampton Hill_x000D_Hampton_x000D_TW12 1JG_x000D_</t>
  </si>
  <si>
    <t>TW12 1JG</t>
  </si>
  <si>
    <t>17/3696/GPD16</t>
  </si>
  <si>
    <t>Change of use of premises from B8 (warehouse/distrubtion) to C3 (residential - 6 x 1 bed flats)</t>
  </si>
  <si>
    <t>1A St Leonards Road_x000D_East Sheen_x000D_London_x000D_SW14 7LY_x000D_</t>
  </si>
  <si>
    <t>17/0600/FUL</t>
  </si>
  <si>
    <t>Change of use from existing open hall (D1) into 2 x residential apartments (C3). _x000D_</t>
  </si>
  <si>
    <t>2-4 _x000D_Heath Road_x000D_Twickenham_x000D_TW1 4BZ</t>
  </si>
  <si>
    <t>TW1 4BZ</t>
  </si>
  <si>
    <t>17/4422/GPD15</t>
  </si>
  <si>
    <t>Change of use of the ground floor and accommodation above the rear workshop from Class B1(C) Light Industrial to Dwelling (Class C3).</t>
  </si>
  <si>
    <t>18/0584/GPD15</t>
  </si>
  <si>
    <t>Change of use from B1c to C3 (Residential) to provide 2 x 2B4P flats.</t>
  </si>
  <si>
    <t>1 High Street_x000D_Hampton Hill_x000D__x000D_</t>
  </si>
  <si>
    <t>TW12 1NA</t>
  </si>
  <si>
    <t>15/4581/FUL</t>
  </si>
  <si>
    <t>Demolition of all site buildings and redevelopment of the site for a mixed use development comprising a new car showroom with associated workshops (sui generis), office accommodation (Use Class B1a) and six three-bedrooom residential dwellings (Use Class</t>
  </si>
  <si>
    <t>45 - 49 Station Road_x000D_Hampton_x000D_TW12 2BT_x000D_</t>
  </si>
  <si>
    <t>TW12 2BT</t>
  </si>
  <si>
    <t>17/2314/FUL</t>
  </si>
  <si>
    <t>Demolition of the existing two storey detached house and replacement with a new  built three storey detached house with basement with associated hard and soft landscaping.</t>
  </si>
  <si>
    <t>34 Courtlands Avenue
Hampton
TW12 3NT</t>
  </si>
  <si>
    <t>TW12 3NT</t>
  </si>
  <si>
    <t>17/4453/FUL</t>
  </si>
  <si>
    <t>Single storey rear extension and basement extension, including lightwells to the front and rear, to create 1 no. additional new dwelling.</t>
  </si>
  <si>
    <t>286 Kew Road_x000D_Kew_x000D_Richmond_x000D_TW9 3DU_x000D_</t>
  </si>
  <si>
    <t>18/1064/GPD15</t>
  </si>
  <si>
    <t>Change of use from offices (B1) to residential (C3)</t>
  </si>
  <si>
    <t>21A St Leonards Road_x000D_East Sheen_x000D_London_x000D_SW14 7LY_x000D_</t>
  </si>
  <si>
    <t>16/4553/FUL</t>
  </si>
  <si>
    <t>Demolition of existing buildings on site and erection 2 buildings (two to four-storeys in height), set around outer and inner landscaped courtyards, comprising of 6 townhouses, 35 flats and two commercial units on the High Street frontage (110 sq.m GIA) a</t>
  </si>
  <si>
    <t>63 - 71 High Street_x000D_Hampton Hill_x000D__x000D_</t>
  </si>
  <si>
    <t>18/0268/FUL</t>
  </si>
  <si>
    <t>Demolition of the existing four bedroom house and garage and replace with a new build four bedroom house, together with associated hard and soft landscaping, cycle and refuse stores and parking.</t>
  </si>
  <si>
    <t>36 Sunnyside Road_x000D_Teddington_x000D_TW11 0RT</t>
  </si>
  <si>
    <t>TW11 0RT</t>
  </si>
  <si>
    <t>17/0315/FUL</t>
  </si>
  <si>
    <t>Part change of use of ground and first floor from B1 office use to C3  residential use to provide 2 x 2 bedroom duplex units.  Alterations and extension to facilitate the provision of additional B1 office use and C3 residential use at second floor level (</t>
  </si>
  <si>
    <t>Willoughby House_x000D_439 Richmond Road_x000D_Twickenham_x000D_TW1 2AG_x000D_</t>
  </si>
  <si>
    <t>TW1 2AG</t>
  </si>
  <si>
    <t>East Twickenham</t>
  </si>
  <si>
    <t>15/2204/FUL</t>
  </si>
  <si>
    <t>Change of use from a private garage and store to a 2 bedroom house with associated single storey extensions; retention of existing photovoltaic arrays; associated cycle and refuse/recycle stores; hard and soft landscaping and installation of car turntable</t>
  </si>
  <si>
    <t>1E Colonial Avenue_x000D_Twickenham_x000D_TW2 7EE_x000D_</t>
  </si>
  <si>
    <t>TW2 7EE</t>
  </si>
  <si>
    <t>16/0510/FUL</t>
  </si>
  <si>
    <t>Alterations including construction of a new rear ground floor extension and change of use to commercial space and two 2-bedroom self-contained flats.</t>
  </si>
  <si>
    <t>Shanklin House_x000D_70 Sheen Road_x000D_Richmond_x000D_TW9 1UF_x000D_</t>
  </si>
  <si>
    <t>TW9 1UF</t>
  </si>
  <si>
    <t>17/3590/FUL</t>
  </si>
  <si>
    <t>Demolition of the existing garages. Erection of 1 x 2 bed single storey house and 1 x 3 bed single storey house with basement with associated hard and soft landscaping, refuse and cycle stores.</t>
  </si>
  <si>
    <t>Garages Rear Of 48-52_x000D_Anlaby Road_x000D_Teddington_x000D__x000D_</t>
  </si>
  <si>
    <t>TW11 0PP</t>
  </si>
  <si>
    <t>18/1446/FUL</t>
  </si>
  <si>
    <t>Demolition of existing single family dwelling and erection of a replacement two-storey dwelling house, with accommodation in the mansard roof.</t>
  </si>
  <si>
    <t>32 Albion Road_x000D_Twickenham_x000D_TW2 6QJ</t>
  </si>
  <si>
    <t>TW2 6QJ</t>
  </si>
  <si>
    <t>18/2328/GPD15</t>
  </si>
  <si>
    <t>Change of use from B1 to C3 (1No. studio flat and 2No. one bed apartments).</t>
  </si>
  <si>
    <t>4 Udney Park Road_x000D_Teddington_x000D_TW11 9BG_x000D_</t>
  </si>
  <si>
    <t>TW11 9BG</t>
  </si>
  <si>
    <t>17/4015/FUL</t>
  </si>
  <si>
    <t>Erection of 2no. dwellings with associated cycle parking and refuse storage.</t>
  </si>
  <si>
    <t>Land To Rear Of_x000D_34 - 40 The Quadrant_x000D_Richmond_x000D__x000D_</t>
  </si>
  <si>
    <t>TW9 1DN</t>
  </si>
  <si>
    <t>18/2716/GPD13</t>
  </si>
  <si>
    <t>Change of use of premises from a A1 use to to C3 (residential use - 2 no studio flats and 1 x 1 bed flat with existing first floor flat above no. 561 to remain)</t>
  </si>
  <si>
    <t>561 - 563 Upper Richmond Road West_x000D_East Sheen_x000D_London_x000D_SW14 7ED_x000D_</t>
  </si>
  <si>
    <t>SW14 7ED</t>
  </si>
  <si>
    <t>17/3054/FUL</t>
  </si>
  <si>
    <t>Demolition of existing garages and erection of a pair of two-storey, 3-bedroom semi-detached houses (2 no.), with associated landscaping and 4 off-street parking bays.</t>
  </si>
  <si>
    <t>Garage Site _x000D_Marys Terrace_x000D_Twickenham_x000D_TW1 3JB</t>
  </si>
  <si>
    <t>TW1 3JB</t>
  </si>
  <si>
    <t>18/3195/GPD15</t>
  </si>
  <si>
    <t>Change of use of first and second floor B1(a) office accommodation to 1 x three bedroom C3 residential unit.</t>
  </si>
  <si>
    <t xml:space="preserve">75 Sheen Lane
East Sheen
London
SW14 8AD
</t>
  </si>
  <si>
    <t>SW14 8AD</t>
  </si>
  <si>
    <t>17/1390/FUL</t>
  </si>
  <si>
    <t>Demolition of builders storage building and erection of one bedroomed  2 storey detached dwellinghouse with basement.</t>
  </si>
  <si>
    <t>Land Adjacent To No 1_x000D_South Western Road_x000D_Twickenham_x000D__x000D_</t>
  </si>
  <si>
    <t>TW1 1LG</t>
  </si>
  <si>
    <t>17/4014/FUL</t>
  </si>
  <si>
    <t>Change of use of part front ground floor A5(hot food takeaways) use to C3(residential) use to facilitate the conversion of existing 3 bed maisonette above shop into 2 x 2 bed (2B3P) flats. _x000D_Change of use of part rear ground floor rear from A5(retail) to C</t>
  </si>
  <si>
    <t>126 Heath Road_x000D_Twickenham_x000D_TW1 4BN_x000D_</t>
  </si>
  <si>
    <t>TW1 4BN</t>
  </si>
  <si>
    <t>18/1911/FUL</t>
  </si>
  <si>
    <t>First floor side extension and internal alterations (loss of floor space to existing first floor flat) in connection with the formation of an additional studio flat.</t>
  </si>
  <si>
    <t>74 Copthall Gardens_x000D_Twickenham_x000D_TW1 4HJ_x000D__x000D_</t>
  </si>
  <si>
    <t>TW1 4HJ</t>
  </si>
  <si>
    <t>18/0301/FUL</t>
  </si>
  <si>
    <t>Demolition of the existing detached dwelling house and replacement with a new detached family home with associated off street parking.</t>
  </si>
  <si>
    <t>18 Cedar Heights_x000D_Petersham_x000D_Richmond_x000D_TW10 7AE_x000D_</t>
  </si>
  <si>
    <t>TW10 7AE</t>
  </si>
  <si>
    <t>17/4122/FUL</t>
  </si>
  <si>
    <t>Demolition of garage and the erection of a three-storey two-bedroom detached dwelling with associated landscaping. (Re-consultation required for the following reason: Building line adjusted following a further site survey to accurately record the location</t>
  </si>
  <si>
    <t>Land Adjacent To 93_x000D_Elm Bank Gardens_x000D_Barnes_x000D_London_x000D__x000D_</t>
  </si>
  <si>
    <t>SW13 0NX</t>
  </si>
  <si>
    <t>18/1442/FUL</t>
  </si>
  <si>
    <t>Demolition of the existing outbuilding to the rear of no.48 Fourth Cross Road accessed via Rutland Road and construction of 1x2 bedroom dwelling including basement, with associated car parking, cycle parking and recycle/refuse storage.</t>
  </si>
  <si>
    <t>Land Rear Of_x000D_48 Fourth Cross Road_x000D_Twickenham_x000D__x000D_</t>
  </si>
  <si>
    <t>TW2 5ER</t>
  </si>
  <si>
    <t>17/1782/FUL</t>
  </si>
  <si>
    <t>Demolition of existing two-storey detached dwelling with basement, and construction of new three-storey detached dwelling with basement.</t>
  </si>
  <si>
    <t>8 Atbara Road_x000D_Teddington_x000D_TW11 9PD</t>
  </si>
  <si>
    <t>TW11 9PD</t>
  </si>
  <si>
    <t>18/1038/FUL</t>
  </si>
  <si>
    <t>Partial demolition and alterations to the existing building and the erection of 3 x 3-bedroom new build houses on the eastern part of the site, with associated parking and landscaping.</t>
  </si>
  <si>
    <t>18/4125/FUL</t>
  </si>
  <si>
    <t>Alterations and extensions to existing building comprising 1) single storey side/rear extension, 2) new gable roof extension, new window, pitched roof to existing two storey bay window and 1 rooflight to front elevation; 3) dormer roof extension to main r</t>
  </si>
  <si>
    <t>85 Connaught Road_x000D_Teddington_x000D_TW11 0QQ_x000D_</t>
  </si>
  <si>
    <t>TW11 0QQ</t>
  </si>
  <si>
    <t>18/2038/FUL</t>
  </si>
  <si>
    <t>Demolition of existing building and construction of new building with basement.</t>
  </si>
  <si>
    <t>33 Parke Road_x000D_Barnes_x000D_London_x000D_SW13 9NJ</t>
  </si>
  <si>
    <t>SW13 9NJ</t>
  </si>
  <si>
    <t>18/3460/FUL</t>
  </si>
  <si>
    <t>Infill of internal void with new roof section over to facilitate conversion of existing three-bedroom dwelling (flat) above a retail unit to 2no. one-bed dwellings (flats) above retail unit._x000D_</t>
  </si>
  <si>
    <t>20A Red Lion Street_x000D_Richmond_x000D_TW9 1RW</t>
  </si>
  <si>
    <t>TW9 1RW</t>
  </si>
  <si>
    <t>18/3285/FUL</t>
  </si>
  <si>
    <t>Demolition of existing house and construction of a new 5 bed house with basement</t>
  </si>
  <si>
    <t>74 Lowther Road_x000D_Barnes_x000D_London_x000D_SW13 9NU</t>
  </si>
  <si>
    <t>SW13 9NU</t>
  </si>
  <si>
    <t>18/3952/FUL</t>
  </si>
  <si>
    <t>Replacement of existing dwelling with 1 no. 2 storey with accommodation in the roof (5B10P) dwellinghouse and new pedestrian gate.</t>
  </si>
  <si>
    <t>45 Ormond Crescent_x000D_Hampton_x000D_TW12 2TJ</t>
  </si>
  <si>
    <t>TW12 2TJ</t>
  </si>
  <si>
    <t>19/0823/GPD13</t>
  </si>
  <si>
    <t>Conversion of commercial unit to self-contained 2no. bedroom unit</t>
  </si>
  <si>
    <t>203 Sandycombe Road_x000D_Richmond_x000D_TW9 2EW_x000D_</t>
  </si>
  <si>
    <t>TW9 2EW</t>
  </si>
  <si>
    <t>19/0175/FUL</t>
  </si>
  <si>
    <t>Demolition of existing one-bedroom, two-storey dwelling and construction of one-bedroom, one-person single-storey dwelling.</t>
  </si>
  <si>
    <t>The Haven _x000D_Eel Pie Island_x000D_Twickenham_x000D_TW1 3DY</t>
  </si>
  <si>
    <t>TW1 3DY</t>
  </si>
  <si>
    <t>17/4477/FUL</t>
  </si>
  <si>
    <t>Conversion of 2 flats into a single dwelling. Erection of a rear extension on the lower ground floor. Vertical enlargement of a rear window on the raised ground floor.</t>
  </si>
  <si>
    <t>15 Friars Stile Road_x000D_Richmond_x000D__x000D_</t>
  </si>
  <si>
    <t>TW10 6NH</t>
  </si>
  <si>
    <t>18/3003/FUL</t>
  </si>
  <si>
    <t>Part single, part two-storey rear extension to facilitate the creation of a 1No. 2-bedroom (3 person) dwellinghouse with associated hard and soft landscaping, new boundary railings, sliding gate and timber fencing, cycle, refuse and recycle storage and fo</t>
  </si>
  <si>
    <t>391 St Margarets Road_x000D_Twickenham_x000D_Isleworth_x000D_TW7 7BZ_x000D_</t>
  </si>
  <si>
    <t>TW7 7BZ</t>
  </si>
  <si>
    <t>19/0338/FUL</t>
  </si>
  <si>
    <t>Demolition of existing 3-bedroom bungalow and erection of a new 3-bedroom detached house with basement level.</t>
  </si>
  <si>
    <t>48 Fourth Cross Road_x000D_Twickenham_x000D_TW2 5EL</t>
  </si>
  <si>
    <t>TW2 5EL</t>
  </si>
  <si>
    <t>17/2872/FUL</t>
  </si>
  <si>
    <t>Erection of a one and a half storey, three-bedroom house in the rear garden of 33 (sited to rear of 35-35a) Wensleydale Road, with accommodation at basement level, associated hard and soft landscaping, 4 no.parking, refuse/recycling and cycle stores.</t>
  </si>
  <si>
    <t>33 Wensleydale Road_x000D_Hampton_x000D_TW12 2LP</t>
  </si>
  <si>
    <t>19/1033/GPD23</t>
  </si>
  <si>
    <t>Change of use from premises in light industrial use (Class B1(c)) to one dwelling house (Class C3).</t>
  </si>
  <si>
    <t>Unit 1 Hampton Works Rear Of_x000D_119 Sheen Lane_x000D_East Sheen_x000D_London_x000D__x000D_</t>
  </si>
  <si>
    <t>18/0315/FUL</t>
  </si>
  <si>
    <t>Demolition of the existing Church Hall and the bungalow at No 44 The Avenue and erection of four dwellings (3 x 4B7P, 1 x 3B5P) (Use Class C3 Dwelling Houses); a new entrance lobby (Narthex) to All Saints' Church and a new Church Hall (Use Class D1: Non-R</t>
  </si>
  <si>
    <t>All Saints Parish Church_x000D_The Avenue_x000D_Hampton_x000D_TW12 3RG_x000D_</t>
  </si>
  <si>
    <t>TW12 3RG</t>
  </si>
  <si>
    <t>19/0228/FUL</t>
  </si>
  <si>
    <t>Division of the existing dwelling house into two residential units in the form of semi detached houses. The demolition of the existing adjoined garage and alterations to fenestration.</t>
  </si>
  <si>
    <t>173 Kew Road_x000D_Richmond_x000D_TW9 2BB</t>
  </si>
  <si>
    <t>TW9 2BB</t>
  </si>
  <si>
    <t>18/3954/FUL</t>
  </si>
  <si>
    <t>Demolition of existing two-storey dwelling house and construction of replacement 7-bedroom, 2-storey dwelling house (with accommodation in the roof space) and associated landscaping and new front boundary treatment.</t>
  </si>
  <si>
    <t>20 Sheen Common Drive_x000D_Richmond_x000D_TW10 5BN</t>
  </si>
  <si>
    <t>TW10 5BN</t>
  </si>
  <si>
    <t>CA69 Sheen Common Drive</t>
  </si>
  <si>
    <t>19/1649/GPD15</t>
  </si>
  <si>
    <t>Conversion of B1(a) office unit at rear ground floor to C3 residential to provide 1 self-contained residential flat. (Proposal description corrected).</t>
  </si>
  <si>
    <t>57B York Street_x000D_Twickenham_x000D_TW1 3LP_x000D_</t>
  </si>
  <si>
    <t>TW1 3LP</t>
  </si>
  <si>
    <t>18/1114/FUL</t>
  </si>
  <si>
    <t>Proposed extension at roof level and 3 storey rear staircase extension to facilitate the creation of 1 no. 1B2P flat.  Reconfiguration of existing 2 x 2 bed maisonettes into 2 x 2 bed flats.  Alterations to external elevations of the property.  Provsion o</t>
  </si>
  <si>
    <t xml:space="preserve">34 And 36 Taylor Close And 177 High Street Hampton Hill
</t>
  </si>
  <si>
    <t>TW12 1LF</t>
  </si>
  <si>
    <t>19/1703/FUL</t>
  </si>
  <si>
    <t>Internal alterations to provide accessible accommodation at the ground floor level of live/work unit. Employment use as printers/graphic design business to be retained. Partial demolition of part of ground floor extension to provide courtyard garden.</t>
  </si>
  <si>
    <t>216 Hampton Road_x000D_Twickenham_x000D_TW2 5NJ</t>
  </si>
  <si>
    <t>TW2 5NJ</t>
  </si>
  <si>
    <t>19/1731/FUL</t>
  </si>
  <si>
    <t>Demolition of existing dwellinghouse and erection of replacement two storey 4 bedroom dwellinghouse with associated hard and soft landscaping and cycle and refuse store. Replacement boundary fence/gates.</t>
  </si>
  <si>
    <t>17A Tower Road_x000D_Twickenham_x000D_TW1 4PD</t>
  </si>
  <si>
    <t>TW1 4PD</t>
  </si>
  <si>
    <t>19/1098/FUL</t>
  </si>
  <si>
    <t>Demolition of detached house, construction of four classrooms and a multi use hall complete with change of use from residential to education.</t>
  </si>
  <si>
    <t>190 Sheen Lane_x000D_East Sheen_x000D_London_x000D_SW14 8LF_x000D_</t>
  </si>
  <si>
    <t>SW14 8LF</t>
  </si>
  <si>
    <t>19/1759/FUL</t>
  </si>
  <si>
    <t>Single-storey rear extension, roof extensions and alterations to front and rear, extension to second floor of rear addition, elevation/fenestration alterations and new boundary treatment to allow for the change of use from 2 to 5 flats.</t>
  </si>
  <si>
    <t>18/1889/FUL</t>
  </si>
  <si>
    <t>Erection of a pair of 2 storey semi-detached 2 bed (1 x 2B4P and 1 x 2B3P) dwellinghouses with associated hard and soft landscaping and parking.</t>
  </si>
  <si>
    <t>Land To The Side Of 61 Acacia Road Hampton</t>
  </si>
  <si>
    <t>TW12 3DP</t>
  </si>
  <si>
    <t>19/1763/FUL</t>
  </si>
  <si>
    <t>Demolition of existing residential garages and erection of 2x four bed semi-detached houses (Use Class C3), associated amenity space, landscaping, car and cycle parking and refuse storage.</t>
  </si>
  <si>
    <t>Garages At_x000D_Craneford Way_x000D_Twickenham_x000D__x000D_</t>
  </si>
  <si>
    <t>TW2 7SQ</t>
  </si>
  <si>
    <t>19/2300/FUL</t>
  </si>
  <si>
    <t>Part change of use of ground floor from A3 to C3 (Residential) and alterations to existing shopfront to create new access door to facilitate the conversion of existing 2 x 3 bed maisonettes into 7 No. self-contained Studio and 1 bed Flats.  Single Storey</t>
  </si>
  <si>
    <t>102 - 104 Kew Road_x000D_Richmond_x000D_TW9 2PQ_x000D_</t>
  </si>
  <si>
    <t>TW9 2PQ</t>
  </si>
  <si>
    <t>Kew Road</t>
  </si>
  <si>
    <t>18/3930/FUL</t>
  </si>
  <si>
    <t>Demolition of existing garage and erection of 1No. 2 storey with habitable roofspace 4 bed dwelling with associated hard and soft landscaping. Alterations to existing crossover and creation of a new crossover in front of No.38 Langham Road to facilitate p</t>
  </si>
  <si>
    <t>38 Langham Road_x000D_Teddington_x000D_TW11 9HQ</t>
  </si>
  <si>
    <t>TW11 9HQ</t>
  </si>
  <si>
    <t>18/2943/FUL</t>
  </si>
  <si>
    <t>Construction of part second floor extension to facilitate the creation of 6No. one bedroom flats with associated alterations, new bin and cycle storage and associated car parking.</t>
  </si>
  <si>
    <t>A1 - A3 Kingsway_x000D_Oldfield Road_x000D_Hampton_x000D_TW12 2HD</t>
  </si>
  <si>
    <t>TW12 2HE</t>
  </si>
  <si>
    <t>19/3101/GPD23</t>
  </si>
  <si>
    <t>Change of Use of existing B1(c) light industrial unit to residential C3 providing 1No. 2 Bed dwelling.</t>
  </si>
  <si>
    <t>Unit 4_x000D_Princes Works_x000D_Princes Road_x000D_Teddington_x000D_TW11 0RW_x000D_</t>
  </si>
  <si>
    <t>TW11 0RW</t>
  </si>
  <si>
    <t>19/1219/FUL</t>
  </si>
  <si>
    <t>Replacement 2 storey 4 bedroom dwellinghouse with basement level and accommodation in the roof.  Associated hard and soft landscaping, cycle and refuse stores and parking.</t>
  </si>
  <si>
    <t>21 Sunbury Avenue_x000D_East Sheen_x000D_London_x000D_SW14 8RA</t>
  </si>
  <si>
    <t>SW14 8RA</t>
  </si>
  <si>
    <t>18/3418/FUL</t>
  </si>
  <si>
    <t>Demolition of existing garages and erection of 1no. Dwelling house. Relocation of entrance to existing flats.</t>
  </si>
  <si>
    <t>332 Richmond Road_x000D_Twickenham_x000D_TW1 2DU</t>
  </si>
  <si>
    <t>TW1 2DU</t>
  </si>
  <si>
    <t>CA66 Richmond Road East Twickenham</t>
  </si>
  <si>
    <t>19/2273/FUL</t>
  </si>
  <si>
    <t>Removal of static caravan.  Conversion of the ground floor area to left of barn entrance into a self-contained residence ancillary to the stables.  New toilet facility with disabled provision within stables.</t>
  </si>
  <si>
    <t>Old Farm Stables Flat_x000D_Oak Avenue_x000D_Hampton_x000D_TW12 3QD_x000D_</t>
  </si>
  <si>
    <t>TW12 3QD</t>
  </si>
  <si>
    <t>GBELT</t>
  </si>
  <si>
    <t>19/0911/FUL</t>
  </si>
  <si>
    <t>Proposed construction of additional floor level to create 2 no. additional two bed flats, together with a three storey side extension in the form of a bay window, change to existing fenestration and addition of 8 no. balconies at first and second floor le</t>
  </si>
  <si>
    <t>Wick House_x000D_10 Station Road_x000D_Hampton Wick_x000D_KT1 4HF_x000D_</t>
  </si>
  <si>
    <t>KT2 4HF</t>
  </si>
  <si>
    <t>19/0414/FUL</t>
  </si>
  <si>
    <t>Erection of 2No 3-bed, 6-person houses with associated hard and soft landscaping, cycle and refuse stores and car parking on land to rear of 56 and 58 Harvey Road.</t>
  </si>
  <si>
    <t>56 - 58 Harvey Road_x000D_Whitton_x000D__x000D_</t>
  </si>
  <si>
    <t>TW4 5LU</t>
  </si>
  <si>
    <t>20/0373/PS192</t>
  </si>
  <si>
    <t>Change of use of part ground and upper floors from A2 (Financial Services) use class into C3 (Residential).</t>
  </si>
  <si>
    <t>347 Upper Richmond Road West_x000D_East Sheen_x000D_London_x000D_SW14 8RH</t>
  </si>
  <si>
    <t>SW14 8RH</t>
  </si>
  <si>
    <t>19/0391/FUL</t>
  </si>
  <si>
    <t>Demolition all buildings on site and the erection of a three-storey building and a part one, two-storey building comprising (3 x 1 bedroom and 4 x 2 bedroom) flats and approximately 805 sqm of flexible B1/D1 and flexible B1/D2 commercial floorspace, surfa</t>
  </si>
  <si>
    <t>26-28 _x000D_Priests Bridge_x000D_East Sheen_x000D_London_x000D_SW14 8TA</t>
  </si>
  <si>
    <t>SW14 8TA</t>
  </si>
  <si>
    <t>Priests Bridge, Barnes</t>
  </si>
  <si>
    <t>17/4005/FUL</t>
  </si>
  <si>
    <t>Installation of new shopfront, new front access door, new windows to front and rear facades, alterations to and replacement of existing fenestration, removal of external staircase at rear ground and first floor level, provision of bike store and removal o</t>
  </si>
  <si>
    <t>51 Kew Road_x000D_Richmond_x000D_TW9 2NQ</t>
  </si>
  <si>
    <t>TW9 2NQ</t>
  </si>
  <si>
    <t>20/0238/GPD23</t>
  </si>
  <si>
    <t>Change of use of existing light industrial unit B1(c) to residential dwelling C3</t>
  </si>
  <si>
    <t>Unit 2_x000D_Princes Works_x000D_Princes Road_x000D_Teddington_x000D__x000D_</t>
  </si>
  <si>
    <t>19/2471/FUL</t>
  </si>
  <si>
    <t>Demoltion of existing staircase/structures to rear. Construction of a part 3 part 2 storey rear extension to provide 2 x new flats and roof terrace (1 x studio and 1 x 1 bed flat) and associated bin store, cycle parking and hard and soft landscaping.</t>
  </si>
  <si>
    <t>121 High Street_x000D_Whitton_x000D_Twickenham_x000D_TW2 7LG_x000D_</t>
  </si>
  <si>
    <t>TW2 7LG</t>
  </si>
  <si>
    <t>19/1728/FUL</t>
  </si>
  <si>
    <t>Conversion and alteration of the existing garage building to provide a one bedroom flat over two levels together with a garden amenity area.</t>
  </si>
  <si>
    <t>Manning House_x000D_3 Gloucester Road_x000D_Teddington_x000D_TW11 0NS_x000D_</t>
  </si>
  <si>
    <t>TW11 0NS</t>
  </si>
  <si>
    <t>20/1056/FUL</t>
  </si>
  <si>
    <t>Change of use from dentists surgery on ground floor and residential flat on first floor to single dwellinghouse</t>
  </si>
  <si>
    <t>Unit 6_x000D_13 St Johns Road_x000D_Hampton Wick_x000D_Kingston Upon Thames_x000D_KT1 4AN_x000D_</t>
  </si>
  <si>
    <t>KT1 4AN</t>
  </si>
  <si>
    <t>19/1890/FUL</t>
  </si>
  <si>
    <t>Erection of two pairs of semi-detached 4 bedroom dwellings and associated parking and landscaping following the demolition of the existing property.</t>
  </si>
  <si>
    <t>224 Hospital Bridge Road_x000D_Twickenham_x000D_TW2 6LF</t>
  </si>
  <si>
    <t>TW2 6LF</t>
  </si>
  <si>
    <t>19/3857/FUL</t>
  </si>
  <si>
    <t>Part two storey, part first floor infill, part second floor rear extensions and extensions / alterations to the roof to facilitate the conversion of existing 1 x studio and 1 x 2 bed flat into four flats (2 x studio and 2 x 1 bed) and increase in retail f</t>
  </si>
  <si>
    <t>20 London Road_x000D_Twickenham_x000D_TW1 3RR</t>
  </si>
  <si>
    <t>TW1 3RR</t>
  </si>
  <si>
    <t>19/2789/FUL</t>
  </si>
  <si>
    <t>Demolition of existing commercial building and erection of building to provide 15 affordable residential units, together with 12 parking spaces and communal amenity space.</t>
  </si>
  <si>
    <t>Lockcorp House 75 Norcutt Road Twickenham TW2 6SR</t>
  </si>
  <si>
    <t>TW2 6SR</t>
  </si>
  <si>
    <t>20/0740/FUL</t>
  </si>
  <si>
    <t>Demolition of existing detached dwelling and construction of new 2 storey 4 bed house with basement level with associated hard and soft landscaping, cycle and refuse stores</t>
  </si>
  <si>
    <t>Downlands_x000D_Petersham Close_x000D_Petersham_x000D_Richmond_x000D_TW10 7DZ_x000D_</t>
  </si>
  <si>
    <t>TW10 7DZ</t>
  </si>
  <si>
    <t>19/3632/FUL</t>
  </si>
  <si>
    <t>Loft conversion to no. 1 and no. 3 Cromwell Road to provide 2 x 1 person studios with external extensions (side dormer roof extensions) and alterations with internal remodeling and ancillary cycle and refuse storage.</t>
  </si>
  <si>
    <t>1 - 3 Cromwell Road Teddington</t>
  </si>
  <si>
    <t>TW11 9EQ</t>
  </si>
  <si>
    <t>19/2729/FUL</t>
  </si>
  <si>
    <t>Part change of use of rear garden area, single storey side extension, part two storey part single storey rear extension and insertion of 2 rooflights on roof to outrigger to facilitate the creation of a self-contained 2 bed maisonette.  Associated boundar</t>
  </si>
  <si>
    <t>The China Chef _x000D_78 White Hart Lane_x000D_Barnes_x000D_London_x000D_SW13 0PZ</t>
  </si>
  <si>
    <t>19/2235/FUL</t>
  </si>
  <si>
    <t>Demolition of existing dwelling and the erection of two 4-bedroom semi-detached dwellings with associated access and car parking.</t>
  </si>
  <si>
    <t>10 Broad Lane_x000D_Hampton_x000D_TW12 3AW</t>
  </si>
  <si>
    <t>TW12 3AW</t>
  </si>
  <si>
    <t>20/0838/FUL</t>
  </si>
  <si>
    <t>Change of use of ground floor office from B1(a) to C3 (residential) use and alterations to ground floor of 5 King Edward Mews to facilitate the enlargement/inclusion as part of Existing Dwelling at 4 King Edward Mews</t>
  </si>
  <si>
    <t>4 And Part Of Ground Floor Of_x000D_5 King Edward Mews_x000D_Barnes_x000D_London_x000D__x000D_</t>
  </si>
  <si>
    <t>SW13 9HD</t>
  </si>
  <si>
    <t>19/3704/FUL</t>
  </si>
  <si>
    <t>Part single, part two-storey rear extension to allow the expansion of both ground floor retail / commercial units and the sub-division of the existing 3 bedroom first floor flat to form 2No. 1-bedroom flats and the construction of a mansard style roof ext</t>
  </si>
  <si>
    <t>3 - 4 New Broadway Hampton Hill</t>
  </si>
  <si>
    <t>20/1223/FUL</t>
  </si>
  <si>
    <t>The construction of a two storey 4 bedroom dwelling with a basement level following the demolition of the existing house and garage.</t>
  </si>
  <si>
    <t>90 Ormond Avenue_x000D_Hampton_x000D_TW12 2RX_x000D_</t>
  </si>
  <si>
    <t>TW12 2RX</t>
  </si>
  <si>
    <t>20/1417/GPD15</t>
  </si>
  <si>
    <t>Change of use of office (B1a) to dwelling (C3)</t>
  </si>
  <si>
    <t>112 Shacklegate Lane_x000D_Teddington_x000D_TW11 8SH_x000D_</t>
  </si>
  <si>
    <t>19/3706/FUL</t>
  </si>
  <si>
    <t>Change of use from B1 to D2 (gym) on part of second floor. Change of use from D2 (gym) on third floor to 2 no. 1 bedroom flats. Change of use from A3 on ground and first floor to B1 Office. Alterations to fenestration on south elevation.</t>
  </si>
  <si>
    <t>Vineyard Heights_x000D_20 Mortlake High Street_x000D_Mortlake_x000D_London_x000D_SW14 8JN_x000D__x000D_</t>
  </si>
  <si>
    <t>SW14 8HX</t>
  </si>
  <si>
    <t>Mortlake</t>
  </si>
  <si>
    <t xml:space="preserve">19/2765/FUL </t>
  </si>
  <si>
    <t>Erection of  5 no. 2 bed/4 person terraced houses (including 1 wheelchair unit) and 4 no. 3 bed/5  person semi-detached houses; formation of new access off Simpson Road and 12 no. off-street car parking space; creation of publicly accessible pocket park and pedestrian paths; ancillary structures and landscaping including new tree planting.</t>
  </si>
  <si>
    <t>Land To The Northeast Of Simpson Road Whitton</t>
  </si>
  <si>
    <t>TW4 5QE</t>
  </si>
  <si>
    <t>20/0815/FUL</t>
  </si>
  <si>
    <t>Change of use of forecourt and existing lobby and staircase from B1(a) to sui generis (mixed B1(a)/C3) to facilitate the creation of a second floor extension to the existing office building to provide a 3 bed flat, external alterations to the fenestration</t>
  </si>
  <si>
    <t>East House _x000D_109 South Worple Way_x000D_East Sheen_x000D_London_x000D_SW14 8TN</t>
  </si>
  <si>
    <t>SW14 8TN</t>
  </si>
  <si>
    <t>20/1985/GPD23</t>
  </si>
  <si>
    <t>Proposed change of use from Class B1(c) light industrial to Class C3 (residential) (2 dwellings).</t>
  </si>
  <si>
    <t>12 High Street_x000D_Hampton Hill_x000D_TW12 1PD_x000D_</t>
  </si>
  <si>
    <t>TW12 1PD</t>
  </si>
  <si>
    <t>19/0495/FUL</t>
  </si>
  <si>
    <t>Demolition of the existing dwelling and the erection of a pair of semi-detached dwellings with associated hard and soft landscaping and refuse store.</t>
  </si>
  <si>
    <t>1 Curtis Road_x000D_Whitton_x000D_Hounslow_x000D_TW4 5PU_x000D_</t>
  </si>
  <si>
    <t>TW4 5PU</t>
  </si>
  <si>
    <t>18/3642/OUT</t>
  </si>
  <si>
    <t>Outline planning permission for the demolition and comprehensive redevelopment (phased development) of land at Barnes Hospital to provide a mixed use development comprising a health centre (Use Class D1), a Special Educational Needs (SEN) School (Use Clas</t>
  </si>
  <si>
    <t>Barnes Hospital South Worple Way East Sheen</t>
  </si>
  <si>
    <t>SW14 8SU</t>
  </si>
  <si>
    <t>19/3324/FUL</t>
  </si>
  <si>
    <t>Demolition of 30 garages and erection of 5 x 3 bedroom detached dwellings with associated hard and soft landscaping, parking and cycle and refuse stores</t>
  </si>
  <si>
    <t>Garages And Land Adjacent Railway_x000D_South Worple Way_x000D_East Sheen_x000D_London_x000D__x000D_</t>
  </si>
  <si>
    <t>SW14 8</t>
  </si>
  <si>
    <t>18/3310/FUL</t>
  </si>
  <si>
    <t>Demolition of existing buildings and structures, and redevelopment of the site to provide a 4-6 storey specialist extra care facility for the elderly with existing health conditions, comprising of 88 units, communal healthcare, therapy, leisure and social</t>
  </si>
  <si>
    <t xml:space="preserve">Kew Biothane Plant Melliss Avenue Kew
</t>
  </si>
  <si>
    <t>TW9</t>
  </si>
  <si>
    <t>Townmead Kew</t>
  </si>
  <si>
    <t>20/1333/FUL</t>
  </si>
  <si>
    <t>Rear extension at first floor level with green roof, installation of rooflights on side and rear facing roof slopes to facilitate change of use of upper floors to C3 (residential) use and to provide 1 x 2 bed maisonette: additional shop storage space at f</t>
  </si>
  <si>
    <t>5 Barnes High Street_x000D_Barnes_x000D_London_x000D_SW13 9LB</t>
  </si>
  <si>
    <t>SW13 9LB</t>
  </si>
  <si>
    <t>19/3490/FUL</t>
  </si>
  <si>
    <t>Part two-storey/part single-storey rear extension to provide 1no. additional dwelling, including associated alterations to fenestration, following demolition of existing single-storey rear extension.</t>
  </si>
  <si>
    <t>81 High Street Hampton Wick Kingston Upon Thames KT1 4DG </t>
  </si>
  <si>
    <t>KT1 4DG</t>
  </si>
  <si>
    <t>20/0595/FUL</t>
  </si>
  <si>
    <t>Demolition of existing outbuilding.  Single storey side/rear extension to facilitate change of use of rear part of ground floor (A1 (Retail)) to residential use (Class C3) to create 1 x 1 bed flat with associated cycle and refuse store.</t>
  </si>
  <si>
    <t>64 White Hart Lane_x000D_Barnes_x000D_London_x000D_SW13 0PZ</t>
  </si>
  <si>
    <t>20/1499/FUL</t>
  </si>
  <si>
    <t>Demolition of existing buildings and the erection of a replacement building to contain 9no. flats (Use Class C3), with associated works including landscaping and parking.</t>
  </si>
  <si>
    <t>Boundaries_x000D_1 St James's Road_x000D_Hampton Hill_x000D_Hampton_x000D_TW12 1DH_x000D_</t>
  </si>
  <si>
    <t>TW12 1DH</t>
  </si>
  <si>
    <t>20/0990/FUL</t>
  </si>
  <si>
    <t>Demolition of existing garage and the erection of a single storey studio dwelling unit with associated hard and soft landscaping, refuse and cycle stores and boundary treatment.</t>
  </si>
  <si>
    <t>Land Rear Of_x000D_40 Pagoda Avenue_x000D_Richmond_x000D_TW9 2HF</t>
  </si>
  <si>
    <t>TW9 2HF</t>
  </si>
  <si>
    <t>20/1461/FUL</t>
  </si>
  <si>
    <t>Replacement door.  Change of use from C3 residential to Flexible Non-Residential Institutions or office use.  External cycle racks.</t>
  </si>
  <si>
    <t>3 Cedar Terrace_x000D_Richmond_x000D_TW9 2JE</t>
  </si>
  <si>
    <t>TW9 2JE</t>
  </si>
  <si>
    <t>20/1885/FUL</t>
  </si>
  <si>
    <t>Conversion of public house to a single residential dwelling</t>
  </si>
  <si>
    <t>80 Windmill Road_x000D_Hampton Hill_x000D_Hampton_x000D_TW12 1QU_x000D_</t>
  </si>
  <si>
    <t>TW12 1QU</t>
  </si>
  <si>
    <t>20/0145/FUL</t>
  </si>
  <si>
    <t>3,2m rear extension and division of a single flat into 2 flats.</t>
  </si>
  <si>
    <t>133A Percy Road_x000D_Twickenham_x000D_TW2 6HT</t>
  </si>
  <si>
    <t>TW2 6HT</t>
  </si>
  <si>
    <t>19/0633/FUL</t>
  </si>
  <si>
    <t>Change of use and first and second-story extensions (including basement) of a previous office building (B1a) to provide 5no. residential units (C3 use).</t>
  </si>
  <si>
    <t>The Coach House _x000D_273A Sandycombe Road_x000D_Richmond_x000D_TW9 3LU</t>
  </si>
  <si>
    <t>TW9 3LU</t>
  </si>
  <si>
    <t>20/2284/GPD15</t>
  </si>
  <si>
    <t>Conversion of 87 square metres of floorspace from B1(a) to C3 (residential) to create 1 studio unit and 1 x 1 bedroom unit</t>
  </si>
  <si>
    <t>First And Second Floors_x000D_296 Sandycombe Road_x000D_Richmond_x000D_TW9 3NG_x000D_</t>
  </si>
  <si>
    <t>20/0921/FUL</t>
  </si>
  <si>
    <t>Conversion of existing 3-bed terraced dwelling to 2 x 1-bed flats</t>
  </si>
  <si>
    <t>22 Linden Road_x000D_Hampton_x000D_TW12 2JB</t>
  </si>
  <si>
    <t>TW12 2JB</t>
  </si>
  <si>
    <t>19/3905/FUL</t>
  </si>
  <si>
    <t>Replacement shopfront, replacement windows, 2 no. rooflights on front roof slope, new basement level with lightwells and rear staircase ground floor side/rear extension and 3 rear dormer roof extension to facilitate the provision of 1 no. retail unit and</t>
  </si>
  <si>
    <t>422 Upper Richmond Road West_x000D_East Sheen_x000D_London_x000D__x000D_</t>
  </si>
  <si>
    <t>TW10 5DY</t>
  </si>
  <si>
    <t>20/2077/GPD15</t>
  </si>
  <si>
    <t>Change of use from Class B1(a) to Class C3 to provide 1 x 3 bed flat</t>
  </si>
  <si>
    <t>First Floor_x000D_23 - 25 King Street_x000D_Twickenham_x000D_TW1 3SD_x000D_</t>
  </si>
  <si>
    <t>TW1 3SD</t>
  </si>
  <si>
    <t>20/0881/FUL</t>
  </si>
  <si>
    <t>Reversion of the existing dwelling into two semi-detached residential dwelling houses.</t>
  </si>
  <si>
    <t>281 Lonsdale Road_x000D_Barnes_x000D_London_x000D_SW13 9QB</t>
  </si>
  <si>
    <t>SW13 9QB</t>
  </si>
  <si>
    <t>20/1080/FUL</t>
  </si>
  <si>
    <t>Subdivision of existing plot and erection of a 2 bedroom detached dwelling with associated landscaping and shared front parking</t>
  </si>
  <si>
    <t>1 Butts Crescent_x000D_Hanworth_x000D_Feltham_x000D_TW13 6HU_x000D_</t>
  </si>
  <si>
    <t>TW13 6HU</t>
  </si>
  <si>
    <t>20/1986/FUL</t>
  </si>
  <si>
    <t>Replacement of the dwelling and garages with a new build dwelling and garage. Demolition of the existing dwelling and garages. Uses as existing</t>
  </si>
  <si>
    <t>17A Strawberry Hill Road_x000D_Twickenham_x000D_TW1 4QB</t>
  </si>
  <si>
    <t>TW1 4QB</t>
  </si>
  <si>
    <t>20/0256/FUL</t>
  </si>
  <si>
    <t>Alterations to existing shopfront to create new entrance door, part change of use of ground floor, 2 rooflights on front roof slope, rear dormer roof extension to rear roof slope and roof to outrigger to facilitate the conversion of upper floors into C3 (</t>
  </si>
  <si>
    <t>195 Upper Richmond Road West_x000D_East Sheen_x000D_London_x000D_SW14 8QT_x000D_</t>
  </si>
  <si>
    <t>SW14 8QT</t>
  </si>
  <si>
    <t>20/2490/FUL</t>
  </si>
  <si>
    <t>Conversion of the first and second floor c3 single dwelling  (ex-HMO) into 2no. Self contained flats. Consisting of two 2 bedroom 3 person flats. Provision for external bin &amp; cycle storage to the rear.</t>
  </si>
  <si>
    <t>112A Heath Road_x000D_Twickenham_x000D_TW1 4BW</t>
  </si>
  <si>
    <t>TW1 4BW</t>
  </si>
  <si>
    <t>20/0997/FUL</t>
  </si>
  <si>
    <t>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t>
  </si>
  <si>
    <t>2 Grand Parade_x000D_East Sheen_x000D_London_x000D_SW14 7PS</t>
  </si>
  <si>
    <t>SW14 7PS</t>
  </si>
  <si>
    <t>19/3746/FUL</t>
  </si>
  <si>
    <t>Rear extension at second and third floor levels to form 2 x 1 person flats</t>
  </si>
  <si>
    <t>Tabard House_x000D_22 Upper Teddington Road_x000D_Hampton Wick_x000D__x000D_</t>
  </si>
  <si>
    <t>KT1 4DT</t>
  </si>
  <si>
    <t>20/2000/FUL</t>
  </si>
  <si>
    <t>Change of use of existing financial and professional services to C3 (Residential) to create 1 two bed flat, rear extension, fenestration alterations and insertion of rooflight to single storey front projection.</t>
  </si>
  <si>
    <t>192 Heath Road_x000D_Twickenham_x000D_TW2 5TX</t>
  </si>
  <si>
    <t>TW2 5TX</t>
  </si>
  <si>
    <t>Twickenham Green</t>
  </si>
  <si>
    <t>CA9 Twickenham Green</t>
  </si>
  <si>
    <t>20/2691/FUL</t>
  </si>
  <si>
    <t>Replacement two storey dwellinghouse with accommodation in the roof and associated cycle and refuse stores</t>
  </si>
  <si>
    <t>51 Howsman Road_x000D_Barnes_x000D_London_x000D_SW13 9AW</t>
  </si>
  <si>
    <t>19/0198/HOT</t>
  </si>
  <si>
    <t>Works of alteration and refurbishment in connection with the use of the building as a single, family dwellinghouse, including: demolition of existing Victorian side extension and construction of replacement side extension with roof terrace. Construction o</t>
  </si>
  <si>
    <t>Wick House _x000D_Richmond Hill_x000D_Richmond_x000D_TW10 6RN</t>
  </si>
  <si>
    <t>TW10 6RN</t>
  </si>
  <si>
    <t>Petersham Common</t>
  </si>
  <si>
    <t>20/2694/FUL</t>
  </si>
  <si>
    <t>Replacement Detached Dwelling with rooms in the roof</t>
  </si>
  <si>
    <t>86 Ormond Drive
Hampton
TW12 2TN</t>
  </si>
  <si>
    <t>TW12 2TN</t>
  </si>
  <si>
    <t>20/2500/FUL</t>
  </si>
  <si>
    <t>Erection of a single detached dwellinghouse with basement and sunken patio following demolition of existing side extension to former care home.   Conversion of former care home to a single dwellinghouse together with a proposed single storey rear extensio</t>
  </si>
  <si>
    <t>96 Wensleydale Road_x000D_Hampton_x000D_TW12 2LY_x000D_</t>
  </si>
  <si>
    <t>TW12 2LY</t>
  </si>
  <si>
    <t>19/2199/FUL</t>
  </si>
  <si>
    <t>Erection of a two-storey building with a basement level providing a commercial unit (Flexible Use Class B1 or D1) on part ground floor and basement levels and two flats (2 x 2-beds) on ground and upper floors.  Associated cycle and refuse stores.</t>
  </si>
  <si>
    <t>14 St Leonards Road_x000D_East Sheen_x000D_London_x000D_SW14 7LY</t>
  </si>
  <si>
    <t>20/1025/FUL</t>
  </si>
  <si>
    <t>Demolition of existing delivery office and redevelopment of the site for mixed use development (Class E and Class C3) comprising 6 residential townhouses of 2 storeys + roof in height (ground inclusive) and a building of two storeys + roof in height (ground inclusive) two employment units, along with associated landscaping and parking.</t>
  </si>
  <si>
    <t>Hampton Delivery Office _x000D_Rosehill_x000D_Hampton_x000D_TW12 2AA</t>
  </si>
  <si>
    <t>TW12 2AA</t>
  </si>
  <si>
    <t>20/0857/GPD15</t>
  </si>
  <si>
    <t>Change of Use of B1(a) (Office) accommodation to provide 3 no. self-contained flats (C3 Residential) and associated refuse, recycling and cycle parking.</t>
  </si>
  <si>
    <t>2B Claremont Road_x000D_Teddington_x000D_TW11 8DG_x000D_</t>
  </si>
  <si>
    <t>TW11 8DG</t>
  </si>
  <si>
    <t>20/2093/GPD15</t>
  </si>
  <si>
    <t>Change Of Use From Office To Residential To Create 31 Residential Units</t>
  </si>
  <si>
    <t>159 Mortlake Road Kew</t>
  </si>
  <si>
    <t>TW9 4AW</t>
  </si>
  <si>
    <t>20/0915/GPD15</t>
  </si>
  <si>
    <t>Conversion of existing ground and first floor office to 2no. residential units</t>
  </si>
  <si>
    <t>2 Mount Mews_x000D_Hampton_x000D_TW12 2SH_x000D_</t>
  </si>
  <si>
    <t>TW12 2SH</t>
  </si>
  <si>
    <t>20/2238/FUL</t>
  </si>
  <si>
    <t>One new, single storey, 3 bedroom house (C3a) with associated parking off Southfield Gardens and amenity space.</t>
  </si>
  <si>
    <t>11 - 12 Cusack Close_x000D_Twickenham_x000D__x000D_</t>
  </si>
  <si>
    <t>TW1 4TB</t>
  </si>
  <si>
    <t>20/1846/FUL</t>
  </si>
  <si>
    <t>Ground and basement extensions to facilitate change of use of basement and part change of use of ground floor from A1 to C3 to provide a one- bedroom residential unit</t>
  </si>
  <si>
    <t>4 The Broadway_x000D_Barnes_x000D_London_x000D_SW13 0NY</t>
  </si>
  <si>
    <t>SW13 0NY</t>
  </si>
  <si>
    <t>White Hart Lane/Mortlake H</t>
  </si>
  <si>
    <t>20/2841/FUL</t>
  </si>
  <si>
    <t>Proposed erection of single storey building at rear to provide 1 no. self contained flat</t>
  </si>
  <si>
    <t>118A - 118B High Street_x000D_Hampton Hill_x000D_Hampton_x000D_TW12 1NT_x000D_</t>
  </si>
  <si>
    <t>TW12 1NT</t>
  </si>
  <si>
    <t>21/0110/GPD15</t>
  </si>
  <si>
    <t>Change of Use from Offices (Class E formerly B1(a)) to C3 to form 1 x 2 bed and 1 x 1 bed flats.</t>
  </si>
  <si>
    <t>Unit A_x000D_92 - 98 Lower Mortlake Road_x000D_Richmond_x000D__x000D_</t>
  </si>
  <si>
    <t>21/0129/PS192</t>
  </si>
  <si>
    <t>Conversion of the existing 4-storey Use Class A2 unit to mixed-use, comprising an A2 unit at ground floor and two residential flats above on the second, third, and fourth floors.</t>
  </si>
  <si>
    <t>1 London Road_x000D_Twickenham_x000D_TW1 3SX</t>
  </si>
  <si>
    <t>TW1 3SX</t>
  </si>
  <si>
    <t>19/3652/FUL</t>
  </si>
  <si>
    <t>Single-storey rear extension and replacement window arrangement in side dormer and conversion of a dwelling house into two flats.</t>
  </si>
  <si>
    <t>600 Hanworth Road_x000D_Whitton_x000D_Hounslow_x000D_TW4 5LJ_x000D_</t>
  </si>
  <si>
    <t>TW4 5LJ</t>
  </si>
  <si>
    <t>19/1663/FUL</t>
  </si>
  <si>
    <t>Conversion and extension of workshop building Use Class E(g) - light industrial (formerly B1c and B1a lightl) to form a one-storey, 3 bedroom dwelling with accomodation in the roof Use Class C3 residential.</t>
  </si>
  <si>
    <t>Workshop Rear Of 8 _x000D_High Street_x000D_Hampton_x000D_TW12 2SJ</t>
  </si>
  <si>
    <t>20/3689/GPD15</t>
  </si>
  <si>
    <t>Proposed change the use from office to residential (1No. 2-bed unit) within the wing to the south of the property</t>
  </si>
  <si>
    <t>171 Kingston Road_x000D_Teddington_x000D_TW11 9JP_x000D_</t>
  </si>
  <si>
    <t>TW11 9JP</t>
  </si>
  <si>
    <t>20/3144/FUL</t>
  </si>
  <si>
    <t>Demolition of existing dwelling and garage and erection of new detached dwelling and outbuilding following previous approval.</t>
  </si>
  <si>
    <t>8 St Albans Gardens_x000D_Teddington_x000D_TW11 8AE</t>
  </si>
  <si>
    <t>19/3616/FUL</t>
  </si>
  <si>
    <t>Proposed redevelopment of existing car park to provide a new building of 5 to 6 storeys, comprising 46 no. residential units (Use Class C3), disabled car parking, cycle parking, landscaping, enhancements to public realm and associated works</t>
  </si>
  <si>
    <t>Old Station Forecourt_x000D_Railway Approach_x000D_Twickenham_x000D_TW1 4LJ_x000D_</t>
  </si>
  <si>
    <t>TW1 4LJ</t>
  </si>
  <si>
    <t xml:space="preserve">20/3495/FUL </t>
  </si>
  <si>
    <t>Conversion of existing ancillary residential accommodation to a single-family dwelling house with minor external alterations, associated parking, refuse and cycle enclosures.</t>
  </si>
  <si>
    <t>Land To Rear Of
24 Marchmont Road, Richmond TW10 6HQ</t>
  </si>
  <si>
    <t>TW10 6HQ</t>
  </si>
  <si>
    <t>21/0323/GPD15</t>
  </si>
  <si>
    <t>Change of use of an end of terrace two storey building from office (B1) to residential use (Class C3)</t>
  </si>
  <si>
    <t>1A May Road_x000D_Twickenham_x000D_TW2 6QW_x000D_</t>
  </si>
  <si>
    <t>TW2 6QW</t>
  </si>
  <si>
    <t>20/3754/FUL</t>
  </si>
  <si>
    <t>Roof extension to provide a self contained studio flat and replacement shopfront</t>
  </si>
  <si>
    <t>241 Sandycombe Road_x000D_Richmond_x000D_TW9 2EW</t>
  </si>
  <si>
    <t>Sandycombe Road South</t>
  </si>
  <si>
    <t>18/0547/FUL</t>
  </si>
  <si>
    <t>04. Site Allocation</t>
  </si>
  <si>
    <t>Open Market / Affordable</t>
  </si>
  <si>
    <t>Stag Brewery</t>
  </si>
  <si>
    <t>The Stag Brewery Lower Richmond Road Mortlake London SW14 7ET</t>
  </si>
  <si>
    <t>Site Allocation</t>
  </si>
  <si>
    <t>Sainsbury’s, Manor Road/Lower Richmond Road</t>
  </si>
  <si>
    <t>Mereway Day Centre</t>
  </si>
  <si>
    <t>Telephone Exchange, 88 High Street, Teddington, TW1 18JD</t>
  </si>
  <si>
    <t>19/0510/FUL</t>
  </si>
  <si>
    <t>Demolition of existing buildings and structures and comprehensive residential-led redevelopment of a single storey pavilion, basements and four buildings of between four and nine storeys to provide 385 residential units (Class C3), flexible retail /community / office uses (Classes A1, A2, A3, D2, B1), provision of car parking spaces and cycle storage facilities, landscaping, public and private open spaces and all other necessary enabling works.</t>
  </si>
  <si>
    <t>Homebase 84 Manor Road Richmond TW9 1YB</t>
  </si>
  <si>
    <t>20/0539/FUL</t>
  </si>
  <si>
    <t>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t>
  </si>
  <si>
    <t>The Strathmore Centre Strathmore Road Teddington TW11 8UH</t>
  </si>
  <si>
    <t>Telephone Exchange, Ashdale Close, Whitton, TW1 7BE</t>
  </si>
  <si>
    <t>Telephone Exchange, Garfield Road, Twickenham</t>
  </si>
  <si>
    <t>Richmond upon Thames - Authority Monitoring Report 
Housing Land Financial Year Report 2020/21 - Position at 1st April 2021</t>
  </si>
  <si>
    <t>Expected Housing Delivery Trajectory</t>
  </si>
  <si>
    <t>London Plan Period</t>
  </si>
  <si>
    <t>2011 London Plan</t>
  </si>
  <si>
    <t>2015 Further Alterations to the London Plan</t>
  </si>
  <si>
    <t>London Plan (2021)</t>
  </si>
  <si>
    <t>2021/22</t>
  </si>
  <si>
    <t>2022/23</t>
  </si>
  <si>
    <t>2023/24</t>
  </si>
  <si>
    <t>2024/25</t>
  </si>
  <si>
    <t>2025/26</t>
  </si>
  <si>
    <t>2026/27</t>
  </si>
  <si>
    <t>2027/28</t>
  </si>
  <si>
    <t>2028/29</t>
  </si>
  <si>
    <t>2029/30</t>
  </si>
  <si>
    <t>2030/31</t>
  </si>
  <si>
    <t>Years of Plan Remaining</t>
  </si>
  <si>
    <t>Past Completions</t>
  </si>
  <si>
    <t>Projected Completions</t>
  </si>
  <si>
    <t>Cumulative Completions over Plan Period</t>
  </si>
  <si>
    <t>Target</t>
  </si>
  <si>
    <t>Annual Target</t>
  </si>
  <si>
    <t>Cumulative Target over Plan Period</t>
  </si>
  <si>
    <t>Delivery against Target</t>
  </si>
  <si>
    <t>Cumulative Completions above Cumulative Target</t>
  </si>
  <si>
    <t>Managed Annual Target incorporating Past and Projected Completions</t>
  </si>
  <si>
    <t>Existing C3 Dwelling</t>
  </si>
  <si>
    <t>Existing Home Rooms</t>
  </si>
  <si>
    <t>Proposed Home Rooms</t>
  </si>
  <si>
    <t>Net Home Rooms</t>
  </si>
  <si>
    <t>Existing House in Multiple Occupation Rooms</t>
  </si>
  <si>
    <t>Proposed House in Multiple Occupation Rooms</t>
  </si>
  <si>
    <t>Net House in Multiple Occupation Rooms</t>
  </si>
  <si>
    <t>Existing Student Bedrooms</t>
  </si>
  <si>
    <t>Proposed Student Bedrooms</t>
  </si>
  <si>
    <t>Net Student Bedrooms</t>
  </si>
  <si>
    <t>Existing Staff Accomodation</t>
  </si>
  <si>
    <t>Proposed Staff Accomodation</t>
  </si>
  <si>
    <t>Net Staff Accomodation</t>
  </si>
  <si>
    <t>1.8 : 1</t>
  </si>
  <si>
    <t>2.5:1</t>
  </si>
  <si>
    <t>C1</t>
  </si>
  <si>
    <t>D1</t>
  </si>
  <si>
    <t>Net Residential Units</t>
  </si>
  <si>
    <t>C3 - C4</t>
  </si>
  <si>
    <t>65 Rosecroft Gardens Twickenham TW2 7PU</t>
  </si>
  <si>
    <t>20/0097/ES191</t>
  </si>
  <si>
    <t>Use as self-contained guest house/holiday let on ground floor.</t>
  </si>
  <si>
    <t>Coach House Annexe _x000D_69 Lonsdale Road_x000D_Barnes_x000D_London_x000D_SW13 9JR</t>
  </si>
  <si>
    <t>20/0669/FUL</t>
  </si>
  <si>
    <t>C4 - SG</t>
  </si>
  <si>
    <t>Change of the use of a house (C4 HMO) to max 7 people House of Multiple Occupation (Sui Generis)</t>
  </si>
  <si>
    <t>221 Hospital Bridge Road_x000D_Twickenham_x000D_TW2 6LH</t>
  </si>
  <si>
    <t>TW2 6LH</t>
  </si>
  <si>
    <t>19/3025/FUL</t>
  </si>
  <si>
    <t>C3 - C1/C3</t>
  </si>
  <si>
    <t>Change of use of all units from Class C3 (residential) to flexible uses Class C1 (serviced accommodation) and Class C3 (residential).</t>
  </si>
  <si>
    <t>Jasmine Studios 
8 Oak Lane
Twickenham
TW1 3PA</t>
  </si>
  <si>
    <t>TW1 3PA</t>
  </si>
  <si>
    <t>C4 - C3</t>
  </si>
  <si>
    <t>Care Home Beds</t>
  </si>
  <si>
    <t>12-14 Station Road (Orione House)</t>
  </si>
  <si>
    <t>HMO</t>
  </si>
  <si>
    <t>27-29 Lower Teddington Road</t>
  </si>
  <si>
    <t>Student Bedrooms</t>
  </si>
  <si>
    <t>23-27 Lower Teddington Road</t>
  </si>
  <si>
    <t>19/1065/VRC</t>
  </si>
  <si>
    <t>D1 Ancillary Staff Accomodation</t>
  </si>
  <si>
    <t>Minor material amendment to planning permission 17/4358/VRC (which varied/removed approved conditions attached to planning permission ref: 08/1760/EXT dated 30.06.2017) and as further amended by 17/4358/NMA to enable minor changes to Block A of the staff</t>
  </si>
  <si>
    <t>St Pauls School Lonsdale Road Barnes SW13 9JT</t>
  </si>
  <si>
    <t>SW13 9JT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</si>
</sst>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56" x14ac:knownFonts="1">
    <font>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sz val="10"/>
      <name val="Arial"/>
      <family val="2"/>
    </font>
    <font>
      <sz val="10"/>
      <name val="MS Sans Serif"/>
      <family val="2"/>
    </font>
    <font>
      <b/>
      <i/>
      <u/>
      <sz val="9"/>
      <color indexed="10"/>
      <name val="Arial"/>
      <family val="2"/>
    </font>
    <font>
      <sz val="9"/>
      <name val="Arial"/>
      <family val="2"/>
    </font>
    <font>
      <b/>
      <sz val="16"/>
      <name val="Arial"/>
      <family val="2"/>
    </font>
    <font>
      <b/>
      <vertAlign val="superscript"/>
      <sz val="16"/>
      <name val="Arial"/>
      <family val="2"/>
    </font>
    <font>
      <b/>
      <sz val="11"/>
      <name val="Arial"/>
      <family val="2"/>
    </font>
    <font>
      <sz val="9"/>
      <color theme="0" tint="-0.249977111117893"/>
      <name val="Arial"/>
      <family val="2"/>
    </font>
    <font>
      <b/>
      <sz val="9"/>
      <name val="Arial"/>
      <family val="2"/>
    </font>
    <font>
      <b/>
      <sz val="8"/>
      <name val="Arial"/>
      <family val="2"/>
    </font>
    <font>
      <sz val="8"/>
      <name val="Arial"/>
      <family val="2"/>
    </font>
    <font>
      <sz val="10"/>
      <color indexed="8"/>
      <name val="Arial"/>
      <family val="2"/>
    </font>
    <font>
      <sz val="8"/>
      <color rgb="FFFF0000"/>
      <name val="Arial"/>
      <family val="2"/>
    </font>
    <font>
      <b/>
      <sz val="10"/>
      <color theme="0" tint="-0.249977111117893"/>
      <name val="Arial"/>
      <family val="2"/>
    </font>
    <font>
      <b/>
      <sz val="9"/>
      <color theme="0" tint="-0.249977111117893"/>
      <name val="Arial"/>
      <family val="2"/>
    </font>
    <font>
      <sz val="10"/>
      <color theme="0" tint="-0.249977111117893"/>
      <name val="MS Sans Serif"/>
      <family val="2"/>
    </font>
    <font>
      <b/>
      <sz val="11"/>
      <name val="Calibri"/>
      <family val="2"/>
      <scheme val="minor"/>
    </font>
    <font>
      <sz val="8"/>
      <color theme="0" tint="-0.249977111117893"/>
      <name val="Arial"/>
      <family val="2"/>
    </font>
    <font>
      <b/>
      <sz val="8"/>
      <color theme="1"/>
      <name val="Arial"/>
      <family val="2"/>
    </font>
    <font>
      <sz val="10"/>
      <color indexed="10"/>
      <name val="Arial"/>
      <family val="2"/>
    </font>
    <font>
      <b/>
      <sz val="10"/>
      <name val="Arial"/>
      <family val="2"/>
    </font>
    <font>
      <sz val="9"/>
      <color indexed="10"/>
      <name val="Arial"/>
      <family val="2"/>
    </font>
    <font>
      <sz val="8"/>
      <color indexed="8"/>
      <name val="Arial"/>
      <family val="2"/>
    </font>
    <font>
      <b/>
      <u/>
      <sz val="16"/>
      <name val="Arial"/>
      <family val="2"/>
    </font>
    <font>
      <b/>
      <sz val="9"/>
      <color theme="0" tint="-0.499984740745262"/>
      <name val="Arial"/>
      <family val="2"/>
    </font>
    <font>
      <sz val="9"/>
      <color theme="0" tint="-0.499984740745262"/>
      <name val="Arial"/>
      <family val="2"/>
    </font>
    <font>
      <b/>
      <sz val="8"/>
      <color theme="0" tint="-0.499984740745262"/>
      <name val="Arial"/>
      <family val="2"/>
    </font>
    <font>
      <b/>
      <sz val="8"/>
      <color theme="1"/>
      <name val="Calibri"/>
      <family val="2"/>
      <scheme val="minor"/>
    </font>
    <font>
      <sz val="8"/>
      <color theme="0" tint="-0.499984740745262"/>
      <name val="Arial"/>
      <family val="2"/>
    </font>
    <font>
      <sz val="8"/>
      <color theme="1"/>
      <name val="Arial"/>
      <family val="2"/>
    </font>
    <font>
      <b/>
      <sz val="8"/>
      <color indexed="17"/>
      <name val="Arial"/>
      <family val="2"/>
    </font>
    <font>
      <sz val="7.5"/>
      <color theme="1"/>
      <name val="Arial"/>
      <family val="2"/>
    </font>
    <font>
      <sz val="7.5"/>
      <name val="Arial"/>
      <family val="2"/>
    </font>
    <font>
      <sz val="10"/>
      <name val="Calibri"/>
      <family val="2"/>
      <scheme val="minor"/>
    </font>
    <font>
      <sz val="10"/>
      <color rgb="FFFF0000"/>
      <name val="Calibri"/>
      <family val="2"/>
      <scheme val="minor"/>
    </font>
    <font>
      <b/>
      <sz val="8"/>
      <color rgb="FFFF0000"/>
      <name val="Arial"/>
      <family val="2"/>
    </font>
    <font>
      <b/>
      <sz val="9"/>
      <color rgb="FFFF0000"/>
      <name val="Arial"/>
      <family val="2"/>
    </font>
    <font>
      <b/>
      <i/>
      <sz val="11"/>
      <name val="Arial"/>
      <family val="2"/>
    </font>
    <font>
      <b/>
      <sz val="11"/>
      <color rgb="FFFF0000"/>
      <name val="Calibri"/>
      <family val="2"/>
      <scheme val="minor"/>
    </font>
    <font>
      <b/>
      <sz val="12"/>
      <name val="Arial"/>
      <family val="2"/>
    </font>
    <font>
      <i/>
      <sz val="8"/>
      <name val="Arial"/>
      <family val="2"/>
    </font>
    <font>
      <sz val="9"/>
      <color theme="0"/>
      <name val="Arial"/>
      <family val="2"/>
    </font>
    <font>
      <i/>
      <sz val="9"/>
      <color theme="0" tint="-0.34998626667073579"/>
      <name val="Arial"/>
      <family val="2"/>
    </font>
    <font>
      <i/>
      <sz val="8"/>
      <color rgb="FFFF0000"/>
      <name val="Arial"/>
      <family val="2"/>
    </font>
    <font>
      <b/>
      <i/>
      <sz val="8"/>
      <color rgb="FFFF0000"/>
      <name val="Arial"/>
      <family val="2"/>
    </font>
    <font>
      <i/>
      <sz val="9"/>
      <color theme="0" tint="-0.249977111117893"/>
      <name val="Arial"/>
      <family val="2"/>
    </font>
    <font>
      <i/>
      <strike/>
      <sz val="9"/>
      <color theme="0" tint="-0.14999847407452621"/>
      <name val="Arial"/>
      <family val="2"/>
    </font>
    <font>
      <sz val="16"/>
      <name val="Arial"/>
      <family val="2"/>
    </font>
    <font>
      <sz val="9"/>
      <color rgb="FFBFBFBF"/>
      <name val="Arial"/>
      <family val="2"/>
    </font>
    <font>
      <strike/>
      <sz val="11"/>
      <name val="Calibri"/>
      <family val="2"/>
      <scheme val="minor"/>
    </font>
    <font>
      <i/>
      <sz val="9"/>
      <name val="Arial"/>
      <family val="2"/>
    </font>
    <font>
      <sz val="8"/>
      <color rgb="FFBFBFBF"/>
      <name val="Arial"/>
      <family val="2"/>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FF"/>
        <bgColor rgb="FF000000"/>
      </patternFill>
    </fill>
    <fill>
      <patternFill patternType="solid">
        <fgColor rgb="FFB7DEE8"/>
        <bgColor rgb="FF000000"/>
      </patternFill>
    </fill>
    <fill>
      <patternFill patternType="solid">
        <fgColor theme="4" tint="0.79998168889431442"/>
        <bgColor indexed="64"/>
      </patternFill>
    </fill>
  </fills>
  <borders count="8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indexed="64"/>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style="thin">
        <color indexed="64"/>
      </top>
      <bottom/>
      <diagonal/>
    </border>
    <border>
      <left/>
      <right style="medium">
        <color theme="0" tint="-0.499984740745262"/>
      </right>
      <top style="thin">
        <color indexed="64"/>
      </top>
      <bottom/>
      <diagonal/>
    </border>
    <border>
      <left style="medium">
        <color theme="0" tint="-0.499984740745262"/>
      </left>
      <right style="thin">
        <color indexed="64"/>
      </right>
      <top style="thin">
        <color indexed="64"/>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1" tint="0.499984740745262"/>
      </right>
      <top style="thin">
        <color theme="1" tint="0.499984740745262"/>
      </top>
      <bottom style="medium">
        <color indexed="64"/>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indexed="64"/>
      </left>
      <right/>
      <top style="thin">
        <color rgb="FF808080"/>
      </top>
      <bottom style="thin">
        <color rgb="FF808080"/>
      </bottom>
      <diagonal/>
    </border>
    <border>
      <left/>
      <right style="thin">
        <color indexed="64"/>
      </right>
      <top style="medium">
        <color theme="0" tint="-0.499984740745262"/>
      </top>
      <bottom style="medium">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style="thin">
        <color rgb="FF808080"/>
      </right>
      <top style="thin">
        <color rgb="FF808080"/>
      </top>
      <bottom style="thin">
        <color indexed="64"/>
      </bottom>
      <diagonal/>
    </border>
    <border>
      <left style="thin">
        <color rgb="FF808080"/>
      </left>
      <right/>
      <top style="thin">
        <color rgb="FF808080"/>
      </top>
      <bottom style="thin">
        <color indexed="64"/>
      </bottom>
      <diagonal/>
    </border>
    <border>
      <left/>
      <right/>
      <top style="thin">
        <color rgb="FF808080"/>
      </top>
      <bottom style="thin">
        <color indexed="64"/>
      </bottom>
      <diagonal/>
    </border>
    <border>
      <left/>
      <right style="thin">
        <color rgb="FF808080"/>
      </right>
      <top style="thin">
        <color rgb="FF808080"/>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s>
  <cellStyleXfs count="12">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5" fillId="0" borderId="0"/>
    <xf numFmtId="0" fontId="15" fillId="0" borderId="0"/>
    <xf numFmtId="0" fontId="4" fillId="0" borderId="0"/>
    <xf numFmtId="0" fontId="4" fillId="0" borderId="0"/>
    <xf numFmtId="0" fontId="4" fillId="0" borderId="0"/>
    <xf numFmtId="0" fontId="15" fillId="0" borderId="0"/>
    <xf numFmtId="0" fontId="5" fillId="0" borderId="0"/>
    <xf numFmtId="0" fontId="4" fillId="0" borderId="0"/>
  </cellStyleXfs>
  <cellXfs count="465">
    <xf numFmtId="0" fontId="0" fillId="0" borderId="0" xfId="0"/>
    <xf numFmtId="0" fontId="1" fillId="0" borderId="0" xfId="0" applyFont="1"/>
    <xf numFmtId="0" fontId="2" fillId="0" borderId="0" xfId="0" applyFont="1"/>
    <xf numFmtId="14" fontId="2" fillId="0" borderId="0" xfId="0" applyNumberFormat="1" applyFont="1"/>
    <xf numFmtId="14" fontId="2" fillId="0" borderId="0" xfId="0" applyNumberFormat="1" applyFont="1" applyAlignment="1">
      <alignment vertical="center"/>
    </xf>
    <xf numFmtId="1" fontId="2" fillId="0" borderId="0" xfId="0" applyNumberFormat="1" applyFont="1" applyAlignment="1">
      <alignment horizontal="right"/>
    </xf>
    <xf numFmtId="0" fontId="4" fillId="2" borderId="0" xfId="3" applyFill="1"/>
    <xf numFmtId="0" fontId="4" fillId="2" borderId="1" xfId="3" applyFill="1" applyBorder="1"/>
    <xf numFmtId="0" fontId="6" fillId="2" borderId="1" xfId="4" applyFont="1" applyFill="1" applyBorder="1" applyAlignment="1">
      <alignment vertical="top"/>
    </xf>
    <xf numFmtId="0" fontId="7" fillId="2" borderId="1" xfId="4" applyFont="1" applyFill="1" applyBorder="1"/>
    <xf numFmtId="0" fontId="7" fillId="2" borderId="2" xfId="4" applyFont="1" applyFill="1" applyBorder="1"/>
    <xf numFmtId="0" fontId="4" fillId="2" borderId="8" xfId="3" applyFill="1" applyBorder="1"/>
    <xf numFmtId="0" fontId="11" fillId="2" borderId="0" xfId="4" applyFont="1" applyFill="1"/>
    <xf numFmtId="0" fontId="11" fillId="2" borderId="9" xfId="4" applyFont="1" applyFill="1" applyBorder="1"/>
    <xf numFmtId="0" fontId="12" fillId="2" borderId="0" xfId="4" applyFont="1" applyFill="1"/>
    <xf numFmtId="0" fontId="7" fillId="2" borderId="0" xfId="4" applyFont="1" applyFill="1"/>
    <xf numFmtId="0" fontId="4" fillId="2" borderId="10" xfId="3" applyFill="1" applyBorder="1"/>
    <xf numFmtId="3" fontId="14" fillId="2" borderId="12" xfId="4" applyNumberFormat="1" applyFont="1" applyFill="1" applyBorder="1" applyAlignment="1">
      <alignment horizontal="right" wrapText="1"/>
    </xf>
    <xf numFmtId="3" fontId="14" fillId="2" borderId="12" xfId="5" applyNumberFormat="1" applyFont="1" applyFill="1" applyBorder="1" applyAlignment="1">
      <alignment horizontal="right" wrapText="1"/>
    </xf>
    <xf numFmtId="3" fontId="14" fillId="2" borderId="12" xfId="5" applyNumberFormat="1" applyFont="1" applyFill="1" applyBorder="1" applyAlignment="1">
      <alignment horizontal="right"/>
    </xf>
    <xf numFmtId="0" fontId="14" fillId="2" borderId="0" xfId="4" applyFont="1" applyFill="1" applyAlignment="1">
      <alignment horizontal="left" wrapText="1"/>
    </xf>
    <xf numFmtId="3" fontId="14" fillId="2" borderId="0" xfId="4" applyNumberFormat="1" applyFont="1" applyFill="1" applyAlignment="1">
      <alignment horizontal="right" wrapText="1"/>
    </xf>
    <xf numFmtId="3" fontId="14" fillId="2" borderId="0" xfId="5" applyNumberFormat="1" applyFont="1" applyFill="1" applyAlignment="1">
      <alignment horizontal="right" wrapText="1"/>
    </xf>
    <xf numFmtId="3" fontId="14" fillId="2" borderId="0" xfId="5" applyNumberFormat="1" applyFont="1" applyFill="1" applyAlignment="1">
      <alignment horizontal="right"/>
    </xf>
    <xf numFmtId="1" fontId="16" fillId="2" borderId="0" xfId="2" applyNumberFormat="1" applyFont="1" applyFill="1" applyBorder="1" applyAlignment="1">
      <alignment horizontal="right" wrapText="1"/>
    </xf>
    <xf numFmtId="0" fontId="17" fillId="2" borderId="0" xfId="4" applyFont="1" applyFill="1"/>
    <xf numFmtId="0" fontId="18" fillId="2" borderId="0" xfId="4" applyFont="1" applyFill="1"/>
    <xf numFmtId="0" fontId="19" fillId="2" borderId="0" xfId="4" applyFont="1" applyFill="1"/>
    <xf numFmtId="0" fontId="20" fillId="2" borderId="0" xfId="0" applyFont="1" applyFill="1"/>
    <xf numFmtId="0" fontId="0" fillId="2" borderId="0" xfId="0" applyFill="1"/>
    <xf numFmtId="0" fontId="2" fillId="2" borderId="0" xfId="0" applyFont="1" applyFill="1"/>
    <xf numFmtId="0" fontId="21" fillId="2" borderId="0" xfId="3" applyFont="1" applyFill="1" applyAlignment="1">
      <alignment horizontal="center" vertical="center" wrapText="1"/>
    </xf>
    <xf numFmtId="0" fontId="21" fillId="2" borderId="0" xfId="3" applyFont="1" applyFill="1" applyAlignment="1">
      <alignment horizontal="left" vertical="center" wrapText="1"/>
    </xf>
    <xf numFmtId="0" fontId="21" fillId="2" borderId="0" xfId="3" applyFont="1" applyFill="1" applyAlignment="1">
      <alignment horizontal="right" vertical="center" wrapText="1"/>
    </xf>
    <xf numFmtId="0" fontId="4" fillId="2" borderId="5" xfId="3" applyFill="1" applyBorder="1"/>
    <xf numFmtId="0" fontId="21" fillId="2" borderId="6" xfId="3" applyFont="1" applyFill="1" applyBorder="1" applyAlignment="1">
      <alignment horizontal="center" vertical="center" wrapText="1"/>
    </xf>
    <xf numFmtId="0" fontId="21" fillId="2" borderId="6" xfId="3" applyFont="1" applyFill="1" applyBorder="1" applyAlignment="1">
      <alignment horizontal="left" vertical="center" wrapText="1"/>
    </xf>
    <xf numFmtId="0" fontId="21" fillId="2" borderId="6" xfId="3" applyFont="1" applyFill="1" applyBorder="1" applyAlignment="1">
      <alignment horizontal="right" vertical="center" wrapText="1"/>
    </xf>
    <xf numFmtId="0" fontId="11" fillId="2" borderId="6" xfId="4" applyFont="1" applyFill="1" applyBorder="1"/>
    <xf numFmtId="0" fontId="11" fillId="2" borderId="7" xfId="4" applyFont="1" applyFill="1" applyBorder="1"/>
    <xf numFmtId="0" fontId="4" fillId="2" borderId="3" xfId="3" applyFill="1" applyBorder="1"/>
    <xf numFmtId="0" fontId="21" fillId="2" borderId="1" xfId="3" applyFont="1" applyFill="1" applyBorder="1" applyAlignment="1">
      <alignment horizontal="center" vertical="center" wrapText="1"/>
    </xf>
    <xf numFmtId="0" fontId="21" fillId="2" borderId="1" xfId="3" applyFont="1" applyFill="1" applyBorder="1" applyAlignment="1">
      <alignment horizontal="left" vertical="center" wrapText="1"/>
    </xf>
    <xf numFmtId="0" fontId="21" fillId="2" borderId="1" xfId="3" applyFont="1" applyFill="1" applyBorder="1" applyAlignment="1">
      <alignment horizontal="right" vertical="center" wrapText="1"/>
    </xf>
    <xf numFmtId="0" fontId="11" fillId="2" borderId="1" xfId="4" applyFont="1" applyFill="1" applyBorder="1"/>
    <xf numFmtId="0" fontId="11" fillId="2" borderId="4" xfId="4" applyFont="1" applyFill="1" applyBorder="1"/>
    <xf numFmtId="0" fontId="23" fillId="2" borderId="0" xfId="3" applyFont="1" applyFill="1"/>
    <xf numFmtId="0" fontId="23" fillId="2" borderId="10" xfId="3" applyFont="1" applyFill="1" applyBorder="1"/>
    <xf numFmtId="3" fontId="11" fillId="2" borderId="0" xfId="4" applyNumberFormat="1" applyFont="1" applyFill="1"/>
    <xf numFmtId="0" fontId="24" fillId="2" borderId="0" xfId="4" applyFont="1" applyFill="1" applyAlignment="1">
      <alignment wrapText="1"/>
    </xf>
    <xf numFmtId="0" fontId="22" fillId="2" borderId="0" xfId="0" applyFont="1" applyFill="1" applyAlignment="1">
      <alignment horizontal="left" vertical="center" wrapText="1"/>
    </xf>
    <xf numFmtId="0" fontId="22" fillId="2" borderId="0" xfId="0" applyFont="1" applyFill="1" applyAlignment="1">
      <alignment vertical="center" wrapText="1"/>
    </xf>
    <xf numFmtId="3" fontId="22" fillId="2" borderId="0" xfId="0" applyNumberFormat="1" applyFont="1" applyFill="1" applyAlignment="1">
      <alignment horizontal="center" vertical="center" wrapText="1"/>
    </xf>
    <xf numFmtId="0" fontId="22" fillId="2" borderId="0" xfId="0" applyFont="1" applyFill="1" applyAlignment="1">
      <alignment horizontal="center" vertical="center" wrapText="1"/>
    </xf>
    <xf numFmtId="0" fontId="14" fillId="2" borderId="0" xfId="5" applyFont="1" applyFill="1"/>
    <xf numFmtId="0" fontId="14" fillId="2" borderId="0" xfId="5" applyFont="1" applyFill="1" applyAlignment="1">
      <alignment wrapText="1"/>
    </xf>
    <xf numFmtId="3" fontId="14" fillId="2" borderId="0" xfId="5" applyNumberFormat="1" applyFont="1" applyFill="1" applyAlignment="1">
      <alignment horizontal="center"/>
    </xf>
    <xf numFmtId="0" fontId="15" fillId="2" borderId="0" xfId="5" applyFill="1"/>
    <xf numFmtId="0" fontId="15" fillId="2" borderId="9" xfId="5" applyFill="1" applyBorder="1"/>
    <xf numFmtId="3" fontId="4" fillId="2" borderId="0" xfId="3" applyNumberFormat="1" applyFill="1"/>
    <xf numFmtId="0" fontId="5" fillId="2" borderId="0" xfId="4" applyFill="1"/>
    <xf numFmtId="0" fontId="7" fillId="2" borderId="9" xfId="4" applyFont="1" applyFill="1" applyBorder="1"/>
    <xf numFmtId="0" fontId="13" fillId="3" borderId="16" xfId="4" applyFont="1" applyFill="1" applyBorder="1" applyAlignment="1">
      <alignment horizontal="center"/>
    </xf>
    <xf numFmtId="3" fontId="14" fillId="2" borderId="16" xfId="4" applyNumberFormat="1" applyFont="1" applyFill="1" applyBorder="1" applyAlignment="1">
      <alignment horizontal="right"/>
    </xf>
    <xf numFmtId="0" fontId="25" fillId="2" borderId="0" xfId="4" applyFont="1" applyFill="1"/>
    <xf numFmtId="3" fontId="13" fillId="3" borderId="16" xfId="4" applyNumberFormat="1" applyFont="1" applyFill="1" applyBorder="1" applyAlignment="1">
      <alignment horizontal="right"/>
    </xf>
    <xf numFmtId="0" fontId="12" fillId="2" borderId="0" xfId="4" applyFont="1" applyFill="1" applyAlignment="1">
      <alignment wrapText="1"/>
    </xf>
    <xf numFmtId="3" fontId="12" fillId="2" borderId="0" xfId="4" applyNumberFormat="1" applyFont="1" applyFill="1" applyAlignment="1">
      <alignment horizontal="center"/>
    </xf>
    <xf numFmtId="0" fontId="26" fillId="2" borderId="19" xfId="5" applyFont="1" applyFill="1" applyBorder="1"/>
    <xf numFmtId="0" fontId="15" fillId="2" borderId="19" xfId="5" applyFill="1" applyBorder="1"/>
    <xf numFmtId="0" fontId="15" fillId="2" borderId="20" xfId="5" applyFill="1" applyBorder="1"/>
    <xf numFmtId="0" fontId="7" fillId="2" borderId="0" xfId="5" applyFont="1" applyFill="1"/>
    <xf numFmtId="0" fontId="14" fillId="2" borderId="0" xfId="5" applyFont="1" applyFill="1" applyAlignment="1">
      <alignment horizontal="center" vertical="center"/>
    </xf>
    <xf numFmtId="0" fontId="7" fillId="2" borderId="0" xfId="5" applyFont="1" applyFill="1" applyAlignment="1">
      <alignment horizontal="center" vertical="center"/>
    </xf>
    <xf numFmtId="0" fontId="15" fillId="2" borderId="0" xfId="5" applyFill="1" applyAlignment="1">
      <alignment horizontal="center" vertical="center"/>
    </xf>
    <xf numFmtId="0" fontId="15" fillId="2" borderId="9" xfId="5" applyFill="1" applyBorder="1" applyAlignment="1">
      <alignment horizontal="center" vertical="center"/>
    </xf>
    <xf numFmtId="3" fontId="14" fillId="2" borderId="0" xfId="5" applyNumberFormat="1" applyFont="1" applyFill="1" applyAlignment="1">
      <alignment horizontal="right" vertical="center"/>
    </xf>
    <xf numFmtId="3" fontId="14" fillId="2" borderId="12" xfId="5" applyNumberFormat="1" applyFont="1" applyFill="1" applyBorder="1" applyAlignment="1">
      <alignment horizontal="center" vertical="center"/>
    </xf>
    <xf numFmtId="3" fontId="26" fillId="2" borderId="0" xfId="5" applyNumberFormat="1" applyFont="1" applyFill="1" applyAlignment="1">
      <alignment horizontal="right" vertical="center"/>
    </xf>
    <xf numFmtId="0" fontId="4" fillId="2" borderId="9" xfId="3" applyFill="1" applyBorder="1"/>
    <xf numFmtId="0" fontId="13" fillId="2" borderId="0" xfId="4" applyFont="1" applyFill="1"/>
    <xf numFmtId="3" fontId="13" fillId="2" borderId="0" xfId="4" applyNumberFormat="1" applyFont="1" applyFill="1" applyAlignment="1">
      <alignment horizontal="right"/>
    </xf>
    <xf numFmtId="0" fontId="7" fillId="2" borderId="6" xfId="4" applyFont="1" applyFill="1" applyBorder="1"/>
    <xf numFmtId="0" fontId="4" fillId="2" borderId="6" xfId="3" applyFill="1" applyBorder="1"/>
    <xf numFmtId="0" fontId="4" fillId="2" borderId="7" xfId="3" applyFill="1" applyBorder="1"/>
    <xf numFmtId="0" fontId="4" fillId="2" borderId="4" xfId="3" applyFill="1" applyBorder="1"/>
    <xf numFmtId="0" fontId="27" fillId="2" borderId="0" xfId="4" applyFont="1" applyFill="1" applyAlignment="1">
      <alignment horizontal="left" indent="1"/>
    </xf>
    <xf numFmtId="0" fontId="13" fillId="3" borderId="12" xfId="4" applyFont="1" applyFill="1" applyBorder="1" applyAlignment="1">
      <alignment horizontal="center"/>
    </xf>
    <xf numFmtId="0" fontId="14" fillId="2" borderId="11" xfId="4" applyFont="1" applyFill="1" applyBorder="1"/>
    <xf numFmtId="3" fontId="14" fillId="2" borderId="12" xfId="4" applyNumberFormat="1" applyFont="1" applyFill="1" applyBorder="1" applyAlignment="1">
      <alignment horizontal="right"/>
    </xf>
    <xf numFmtId="9" fontId="14" fillId="2" borderId="12" xfId="4" applyNumberFormat="1" applyFont="1" applyFill="1" applyBorder="1" applyAlignment="1">
      <alignment horizontal="right"/>
    </xf>
    <xf numFmtId="0" fontId="28" fillId="2" borderId="0" xfId="4" applyFont="1" applyFill="1"/>
    <xf numFmtId="0" fontId="29" fillId="2" borderId="0" xfId="4" applyFont="1" applyFill="1"/>
    <xf numFmtId="0" fontId="14" fillId="2" borderId="11" xfId="5" applyFont="1" applyFill="1" applyBorder="1"/>
    <xf numFmtId="0" fontId="30" fillId="2" borderId="0" xfId="4" applyFont="1" applyFill="1" applyAlignment="1">
      <alignment horizontal="center"/>
    </xf>
    <xf numFmtId="0" fontId="31" fillId="2" borderId="0" xfId="0" applyFont="1" applyFill="1"/>
    <xf numFmtId="0" fontId="32" fillId="2" borderId="0" xfId="4" applyFont="1" applyFill="1"/>
    <xf numFmtId="3" fontId="32" fillId="2" borderId="0" xfId="4" applyNumberFormat="1" applyFont="1" applyFill="1" applyAlignment="1">
      <alignment horizontal="right"/>
    </xf>
    <xf numFmtId="0" fontId="13" fillId="3" borderId="11" xfId="4" applyFont="1" applyFill="1" applyBorder="1"/>
    <xf numFmtId="3" fontId="13" fillId="3" borderId="12" xfId="4" applyNumberFormat="1" applyFont="1" applyFill="1" applyBorder="1" applyAlignment="1">
      <alignment horizontal="right"/>
    </xf>
    <xf numFmtId="9" fontId="13" fillId="3" borderId="12" xfId="4" applyNumberFormat="1" applyFont="1" applyFill="1" applyBorder="1" applyAlignment="1">
      <alignment horizontal="right"/>
    </xf>
    <xf numFmtId="0" fontId="30" fillId="2" borderId="0" xfId="4" applyFont="1" applyFill="1"/>
    <xf numFmtId="3" fontId="30" fillId="2" borderId="0" xfId="4" applyNumberFormat="1" applyFont="1" applyFill="1" applyAlignment="1">
      <alignment horizontal="right"/>
    </xf>
    <xf numFmtId="0" fontId="5" fillId="2" borderId="6" xfId="4" applyFill="1" applyBorder="1"/>
    <xf numFmtId="0" fontId="13" fillId="3" borderId="16" xfId="4" applyFont="1" applyFill="1" applyBorder="1" applyAlignment="1">
      <alignment horizontal="center" vertical="center" wrapText="1"/>
    </xf>
    <xf numFmtId="0" fontId="14" fillId="2" borderId="16" xfId="4" applyFont="1" applyFill="1" applyBorder="1" applyAlignment="1">
      <alignment horizontal="center"/>
    </xf>
    <xf numFmtId="9" fontId="14" fillId="2" borderId="16" xfId="2" applyFont="1" applyFill="1" applyBorder="1" applyAlignment="1">
      <alignment horizontal="center"/>
    </xf>
    <xf numFmtId="1" fontId="13" fillId="3" borderId="16" xfId="2" applyNumberFormat="1" applyFont="1" applyFill="1" applyBorder="1" applyAlignment="1">
      <alignment horizontal="center"/>
    </xf>
    <xf numFmtId="9" fontId="13" fillId="3" borderId="16" xfId="2" applyFont="1" applyFill="1" applyBorder="1" applyAlignment="1">
      <alignment horizontal="center"/>
    </xf>
    <xf numFmtId="9" fontId="14" fillId="2" borderId="0" xfId="2" applyFont="1" applyFill="1" applyBorder="1" applyAlignment="1">
      <alignment horizontal="center"/>
    </xf>
    <xf numFmtId="0" fontId="13" fillId="3" borderId="15" xfId="4" applyFont="1" applyFill="1" applyBorder="1" applyAlignment="1">
      <alignment horizontal="center" vertical="center" wrapText="1"/>
    </xf>
    <xf numFmtId="0" fontId="14" fillId="2" borderId="0" xfId="3" applyFont="1" applyFill="1" applyAlignment="1">
      <alignment horizontal="left"/>
    </xf>
    <xf numFmtId="0" fontId="13" fillId="3" borderId="12" xfId="3" applyFont="1" applyFill="1" applyBorder="1" applyAlignment="1">
      <alignment horizontal="center"/>
    </xf>
    <xf numFmtId="0" fontId="14" fillId="2" borderId="12" xfId="3" applyFont="1" applyFill="1" applyBorder="1" applyAlignment="1">
      <alignment horizontal="center"/>
    </xf>
    <xf numFmtId="165" fontId="14" fillId="2" borderId="12" xfId="1" applyNumberFormat="1" applyFont="1" applyFill="1" applyBorder="1" applyAlignment="1">
      <alignment horizontal="center" vertical="center"/>
    </xf>
    <xf numFmtId="9" fontId="14" fillId="2" borderId="12" xfId="2" applyFont="1" applyFill="1" applyBorder="1" applyAlignment="1">
      <alignment horizontal="center"/>
    </xf>
    <xf numFmtId="9" fontId="16" fillId="2" borderId="0" xfId="2" applyFont="1" applyFill="1" applyBorder="1" applyAlignment="1">
      <alignment horizontal="center"/>
    </xf>
    <xf numFmtId="0" fontId="13" fillId="2" borderId="12" xfId="3" applyFont="1" applyFill="1" applyBorder="1" applyAlignment="1">
      <alignment horizontal="center"/>
    </xf>
    <xf numFmtId="165" fontId="13" fillId="3" borderId="12" xfId="1" applyNumberFormat="1" applyFont="1" applyFill="1" applyBorder="1" applyAlignment="1">
      <alignment horizontal="center" vertical="center"/>
    </xf>
    <xf numFmtId="9" fontId="13" fillId="3" borderId="12" xfId="2" applyFont="1" applyFill="1" applyBorder="1" applyAlignment="1">
      <alignment horizontal="center"/>
    </xf>
    <xf numFmtId="0" fontId="10" fillId="2" borderId="0" xfId="4" applyFont="1" applyFill="1"/>
    <xf numFmtId="3" fontId="13" fillId="2" borderId="16" xfId="4" applyNumberFormat="1" applyFont="1" applyFill="1" applyBorder="1" applyAlignment="1">
      <alignment horizontal="right"/>
    </xf>
    <xf numFmtId="3" fontId="14" fillId="2" borderId="0" xfId="4" applyNumberFormat="1" applyFont="1" applyFill="1" applyAlignment="1">
      <alignment horizontal="center"/>
    </xf>
    <xf numFmtId="1" fontId="13" fillId="2" borderId="0" xfId="4" applyNumberFormat="1" applyFont="1" applyFill="1" applyAlignment="1">
      <alignment horizontal="right"/>
    </xf>
    <xf numFmtId="3" fontId="7" fillId="2" borderId="0" xfId="4" applyNumberFormat="1" applyFont="1" applyFill="1" applyAlignment="1">
      <alignment horizontal="center"/>
    </xf>
    <xf numFmtId="0" fontId="14" fillId="3" borderId="16" xfId="4" applyFont="1" applyFill="1" applyBorder="1" applyAlignment="1">
      <alignment horizontal="center" vertical="top"/>
    </xf>
    <xf numFmtId="0" fontId="14" fillId="3" borderId="16" xfId="4" applyFont="1" applyFill="1" applyBorder="1" applyAlignment="1">
      <alignment horizontal="center" vertical="top" wrapText="1"/>
    </xf>
    <xf numFmtId="3" fontId="14" fillId="2" borderId="16" xfId="5" applyNumberFormat="1" applyFont="1" applyFill="1" applyBorder="1" applyAlignment="1">
      <alignment horizontal="right"/>
    </xf>
    <xf numFmtId="1" fontId="13" fillId="3" borderId="16" xfId="4" applyNumberFormat="1" applyFont="1" applyFill="1" applyBorder="1" applyAlignment="1">
      <alignment horizontal="right"/>
    </xf>
    <xf numFmtId="0" fontId="13" fillId="2" borderId="0" xfId="4" applyFont="1" applyFill="1" applyAlignment="1">
      <alignment horizontal="left"/>
    </xf>
    <xf numFmtId="0" fontId="13" fillId="2" borderId="6" xfId="4" applyFont="1" applyFill="1" applyBorder="1" applyAlignment="1">
      <alignment horizontal="left"/>
    </xf>
    <xf numFmtId="3" fontId="13" fillId="2" borderId="6" xfId="4" applyNumberFormat="1" applyFont="1" applyFill="1" applyBorder="1" applyAlignment="1">
      <alignment horizontal="right"/>
    </xf>
    <xf numFmtId="1" fontId="13" fillId="2" borderId="6" xfId="4" applyNumberFormat="1" applyFont="1" applyFill="1" applyBorder="1" applyAlignment="1">
      <alignment horizontal="right"/>
    </xf>
    <xf numFmtId="3" fontId="7" fillId="2" borderId="6" xfId="4" applyNumberFormat="1" applyFont="1" applyFill="1" applyBorder="1" applyAlignment="1">
      <alignment horizontal="center"/>
    </xf>
    <xf numFmtId="3" fontId="34" fillId="2" borderId="0" xfId="4" applyNumberFormat="1" applyFont="1" applyFill="1" applyAlignment="1">
      <alignment horizontal="center"/>
    </xf>
    <xf numFmtId="0" fontId="14" fillId="3" borderId="16" xfId="4" applyFont="1" applyFill="1" applyBorder="1" applyAlignment="1">
      <alignment horizontal="center"/>
    </xf>
    <xf numFmtId="0" fontId="12" fillId="2" borderId="0" xfId="4" applyFont="1" applyFill="1" applyAlignment="1">
      <alignment horizontal="left"/>
    </xf>
    <xf numFmtId="9" fontId="14" fillId="2" borderId="16" xfId="4" applyNumberFormat="1" applyFont="1" applyFill="1" applyBorder="1" applyAlignment="1">
      <alignment horizontal="right"/>
    </xf>
    <xf numFmtId="9" fontId="13" fillId="3" borderId="16" xfId="4" applyNumberFormat="1" applyFont="1" applyFill="1" applyBorder="1" applyAlignment="1">
      <alignment horizontal="right"/>
    </xf>
    <xf numFmtId="9" fontId="7" fillId="2" borderId="0" xfId="4" applyNumberFormat="1" applyFont="1" applyFill="1" applyAlignment="1">
      <alignment horizontal="center"/>
    </xf>
    <xf numFmtId="3" fontId="7" fillId="2" borderId="0" xfId="4" applyNumberFormat="1" applyFont="1" applyFill="1"/>
    <xf numFmtId="9" fontId="7" fillId="2" borderId="6" xfId="4" applyNumberFormat="1" applyFont="1" applyFill="1" applyBorder="1" applyAlignment="1">
      <alignment horizontal="center"/>
    </xf>
    <xf numFmtId="9" fontId="7" fillId="2" borderId="0" xfId="4" applyNumberFormat="1" applyFont="1" applyFill="1" applyAlignment="1">
      <alignment horizontal="left"/>
    </xf>
    <xf numFmtId="0" fontId="35" fillId="3" borderId="25" xfId="0" applyFont="1" applyFill="1" applyBorder="1" applyAlignment="1">
      <alignment horizontal="center" vertical="top" wrapText="1"/>
    </xf>
    <xf numFmtId="0" fontId="36" fillId="3" borderId="25" xfId="0" applyFont="1" applyFill="1" applyBorder="1" applyAlignment="1">
      <alignment horizontal="center" vertical="top" wrapText="1"/>
    </xf>
    <xf numFmtId="0" fontId="13" fillId="3" borderId="25" xfId="0" applyFont="1" applyFill="1" applyBorder="1" applyAlignment="1">
      <alignment horizontal="center" vertical="top" wrapText="1"/>
    </xf>
    <xf numFmtId="165" fontId="14" fillId="2" borderId="25" xfId="1" applyNumberFormat="1" applyFont="1" applyFill="1" applyBorder="1" applyAlignment="1">
      <alignment horizontal="center" vertical="center" wrapText="1"/>
    </xf>
    <xf numFmtId="165" fontId="13" fillId="2" borderId="25" xfId="1" applyNumberFormat="1" applyFont="1" applyFill="1" applyBorder="1" applyAlignment="1">
      <alignment horizontal="center" vertical="center" wrapText="1"/>
    </xf>
    <xf numFmtId="165" fontId="13" fillId="3" borderId="25" xfId="1" applyNumberFormat="1" applyFont="1" applyFill="1" applyBorder="1" applyAlignment="1">
      <alignment horizontal="center" vertical="center" wrapText="1"/>
    </xf>
    <xf numFmtId="0" fontId="5" fillId="2" borderId="7" xfId="4" applyFill="1" applyBorder="1"/>
    <xf numFmtId="0" fontId="37" fillId="0" borderId="0" xfId="6" applyFont="1"/>
    <xf numFmtId="0" fontId="37" fillId="0" borderId="0" xfId="0" applyFont="1"/>
    <xf numFmtId="0" fontId="37" fillId="0" borderId="0" xfId="7" applyFont="1"/>
    <xf numFmtId="0" fontId="38" fillId="0" borderId="0" xfId="7" applyFont="1"/>
    <xf numFmtId="0" fontId="38" fillId="0" borderId="0" xfId="6" applyFont="1"/>
    <xf numFmtId="0" fontId="38" fillId="0" borderId="0" xfId="0" applyFont="1"/>
    <xf numFmtId="0" fontId="13" fillId="3" borderId="12" xfId="4" applyFont="1" applyFill="1" applyBorder="1" applyAlignment="1">
      <alignment horizontal="center" vertical="top" wrapText="1"/>
    </xf>
    <xf numFmtId="3" fontId="14" fillId="0" borderId="16" xfId="4" applyNumberFormat="1" applyFont="1" applyBorder="1" applyAlignment="1">
      <alignment horizontal="right"/>
    </xf>
    <xf numFmtId="9" fontId="14" fillId="0" borderId="16" xfId="4" applyNumberFormat="1" applyFont="1" applyBorder="1" applyAlignment="1">
      <alignment horizontal="right"/>
    </xf>
    <xf numFmtId="0" fontId="13" fillId="3" borderId="12" xfId="4" applyFont="1" applyFill="1" applyBorder="1" applyAlignment="1">
      <alignment horizontal="center" vertical="center" wrapText="1"/>
    </xf>
    <xf numFmtId="3" fontId="13" fillId="3" borderId="12" xfId="4" applyNumberFormat="1" applyFont="1" applyFill="1" applyBorder="1" applyAlignment="1">
      <alignment horizontal="center" vertical="center" wrapText="1"/>
    </xf>
    <xf numFmtId="3" fontId="13" fillId="2" borderId="16" xfId="3" applyNumberFormat="1" applyFont="1" applyFill="1" applyBorder="1" applyAlignment="1">
      <alignment horizontal="right" vertical="center" wrapText="1"/>
    </xf>
    <xf numFmtId="3" fontId="14" fillId="2" borderId="16" xfId="3" applyNumberFormat="1" applyFont="1" applyFill="1" applyBorder="1" applyAlignment="1">
      <alignment horizontal="right" vertical="center" wrapText="1"/>
    </xf>
    <xf numFmtId="9" fontId="13" fillId="2" borderId="16" xfId="3" applyNumberFormat="1" applyFont="1" applyFill="1" applyBorder="1" applyAlignment="1">
      <alignment horizontal="right" vertical="center" wrapText="1"/>
    </xf>
    <xf numFmtId="0" fontId="12" fillId="2" borderId="0" xfId="5" applyFont="1" applyFill="1"/>
    <xf numFmtId="0" fontId="14" fillId="3" borderId="12" xfId="5" applyFont="1" applyFill="1" applyBorder="1" applyAlignment="1">
      <alignment horizontal="center" vertical="top" wrapText="1"/>
    </xf>
    <xf numFmtId="0" fontId="14" fillId="2" borderId="12" xfId="5" applyFont="1" applyFill="1" applyBorder="1" applyAlignment="1">
      <alignment horizontal="center"/>
    </xf>
    <xf numFmtId="0" fontId="7" fillId="2" borderId="0" xfId="8" applyFont="1" applyFill="1" applyAlignment="1">
      <alignment horizontal="right"/>
    </xf>
    <xf numFmtId="0" fontId="7" fillId="2" borderId="0" xfId="8" applyFont="1" applyFill="1"/>
    <xf numFmtId="0" fontId="12" fillId="2" borderId="0" xfId="8" applyFont="1" applyFill="1" applyAlignment="1">
      <alignment horizontal="left"/>
    </xf>
    <xf numFmtId="3" fontId="44" fillId="4" borderId="1" xfId="10" applyNumberFormat="1" applyFont="1" applyFill="1" applyBorder="1" applyAlignment="1">
      <alignment horizontal="center" vertical="center"/>
    </xf>
    <xf numFmtId="0" fontId="14" fillId="0" borderId="25" xfId="11" applyFont="1" applyBorder="1" applyAlignment="1">
      <alignment horizontal="center" vertical="center"/>
    </xf>
    <xf numFmtId="3" fontId="14" fillId="0" borderId="25" xfId="9" applyNumberFormat="1" applyFont="1" applyBorder="1" applyAlignment="1">
      <alignment horizontal="center" vertical="center"/>
    </xf>
    <xf numFmtId="3" fontId="14" fillId="2" borderId="25" xfId="9" applyNumberFormat="1" applyFont="1" applyFill="1" applyBorder="1" applyAlignment="1">
      <alignment horizontal="center" vertical="center"/>
    </xf>
    <xf numFmtId="3" fontId="14" fillId="0" borderId="25" xfId="8" applyNumberFormat="1" applyFont="1" applyBorder="1" applyAlignment="1">
      <alignment horizontal="center" vertical="center"/>
    </xf>
    <xf numFmtId="0" fontId="13" fillId="0" borderId="25" xfId="11" applyFont="1" applyBorder="1" applyAlignment="1">
      <alignment horizontal="center" vertical="center"/>
    </xf>
    <xf numFmtId="1" fontId="14" fillId="0" borderId="25" xfId="11" applyNumberFormat="1" applyFont="1" applyBorder="1" applyAlignment="1">
      <alignment horizontal="center" vertical="center"/>
    </xf>
    <xf numFmtId="3" fontId="14" fillId="2" borderId="25" xfId="10" applyNumberFormat="1" applyFont="1" applyFill="1" applyBorder="1" applyAlignment="1">
      <alignment horizontal="center" vertical="center"/>
    </xf>
    <xf numFmtId="0" fontId="45" fillId="2" borderId="0" xfId="8" applyFont="1" applyFill="1" applyAlignment="1">
      <alignment horizontal="right"/>
    </xf>
    <xf numFmtId="0" fontId="45" fillId="2" borderId="0" xfId="8" applyFont="1" applyFill="1"/>
    <xf numFmtId="0" fontId="2" fillId="0" borderId="0" xfId="0" applyFont="1" applyAlignment="1">
      <alignment horizontal="center"/>
    </xf>
    <xf numFmtId="0" fontId="46" fillId="2" borderId="0" xfId="8" applyFont="1" applyFill="1" applyAlignment="1">
      <alignment horizontal="right"/>
    </xf>
    <xf numFmtId="3" fontId="46" fillId="2" borderId="0" xfId="8" applyNumberFormat="1" applyFont="1" applyFill="1" applyAlignment="1">
      <alignment horizontal="right"/>
    </xf>
    <xf numFmtId="9" fontId="13" fillId="2" borderId="12" xfId="2" applyFont="1" applyFill="1" applyBorder="1" applyAlignment="1">
      <alignment horizontal="center"/>
    </xf>
    <xf numFmtId="0" fontId="16" fillId="2" borderId="0" xfId="3" applyFont="1" applyFill="1" applyAlignment="1">
      <alignment horizontal="center" vertical="center" wrapText="1"/>
    </xf>
    <xf numFmtId="0" fontId="16" fillId="2" borderId="0" xfId="3" applyFont="1" applyFill="1" applyAlignment="1">
      <alignment horizontal="left" vertical="center" wrapText="1"/>
    </xf>
    <xf numFmtId="164" fontId="39" fillId="2" borderId="0" xfId="3" applyNumberFormat="1" applyFont="1" applyFill="1" applyAlignment="1">
      <alignment horizontal="right" vertical="center" wrapText="1"/>
    </xf>
    <xf numFmtId="0" fontId="47" fillId="2" borderId="0" xfId="3" applyFont="1" applyFill="1" applyAlignment="1">
      <alignment horizontal="center" vertical="center" wrapText="1"/>
    </xf>
    <xf numFmtId="0" fontId="47" fillId="2" borderId="0" xfId="3" applyFont="1" applyFill="1" applyAlignment="1">
      <alignment horizontal="left" vertical="center" wrapText="1"/>
    </xf>
    <xf numFmtId="164" fontId="48" fillId="2" borderId="0" xfId="3" applyNumberFormat="1" applyFont="1" applyFill="1" applyAlignment="1">
      <alignment horizontal="right" vertical="center" wrapText="1"/>
    </xf>
    <xf numFmtId="0" fontId="49" fillId="2" borderId="0" xfId="4" applyFont="1" applyFill="1"/>
    <xf numFmtId="0" fontId="14" fillId="2" borderId="45" xfId="3" applyFont="1" applyFill="1" applyBorder="1" applyAlignment="1">
      <alignment horizontal="center" vertical="center" wrapText="1"/>
    </xf>
    <xf numFmtId="0" fontId="13" fillId="4" borderId="0" xfId="9" applyFont="1" applyFill="1" applyAlignment="1">
      <alignment horizontal="right" vertical="center"/>
    </xf>
    <xf numFmtId="0" fontId="13" fillId="4" borderId="49" xfId="9" applyFont="1" applyFill="1" applyBorder="1" applyAlignment="1">
      <alignment horizontal="right" vertical="center"/>
    </xf>
    <xf numFmtId="0" fontId="13" fillId="4" borderId="50" xfId="9" applyFont="1" applyFill="1" applyBorder="1" applyAlignment="1">
      <alignment horizontal="right" vertical="center"/>
    </xf>
    <xf numFmtId="3" fontId="44" fillId="4" borderId="51" xfId="10" applyNumberFormat="1" applyFont="1" applyFill="1" applyBorder="1" applyAlignment="1">
      <alignment horizontal="center" vertical="center"/>
    </xf>
    <xf numFmtId="3" fontId="44" fillId="4" borderId="52" xfId="10" applyNumberFormat="1" applyFont="1" applyFill="1" applyBorder="1" applyAlignment="1">
      <alignment horizontal="center" vertical="center"/>
    </xf>
    <xf numFmtId="0" fontId="14" fillId="0" borderId="53" xfId="11" applyFont="1" applyBorder="1" applyAlignment="1">
      <alignment horizontal="center" vertical="center"/>
    </xf>
    <xf numFmtId="3" fontId="14" fillId="0" borderId="54" xfId="9" applyNumberFormat="1" applyFont="1" applyBorder="1" applyAlignment="1">
      <alignment horizontal="center" vertical="center"/>
    </xf>
    <xf numFmtId="3" fontId="14" fillId="0" borderId="53" xfId="10" applyNumberFormat="1" applyFont="1" applyBorder="1" applyAlignment="1">
      <alignment horizontal="center" vertical="center"/>
    </xf>
    <xf numFmtId="1" fontId="14" fillId="0" borderId="54" xfId="11" applyNumberFormat="1" applyFont="1" applyBorder="1" applyAlignment="1">
      <alignment horizontal="center" vertical="center"/>
    </xf>
    <xf numFmtId="3" fontId="14" fillId="2" borderId="53" xfId="10" applyNumberFormat="1" applyFont="1" applyFill="1" applyBorder="1" applyAlignment="1">
      <alignment horizontal="center" vertical="center"/>
    </xf>
    <xf numFmtId="3" fontId="14" fillId="2" borderId="54" xfId="10" applyNumberFormat="1" applyFont="1" applyFill="1" applyBorder="1" applyAlignment="1">
      <alignment horizontal="center" vertical="center"/>
    </xf>
    <xf numFmtId="3" fontId="14" fillId="2" borderId="53" xfId="9" applyNumberFormat="1" applyFont="1" applyFill="1" applyBorder="1" applyAlignment="1">
      <alignment horizontal="center" vertical="center"/>
    </xf>
    <xf numFmtId="3" fontId="14" fillId="2" borderId="55" xfId="9" applyNumberFormat="1" applyFont="1" applyFill="1" applyBorder="1" applyAlignment="1">
      <alignment horizontal="center" vertical="center"/>
    </xf>
    <xf numFmtId="3" fontId="14" fillId="2" borderId="56" xfId="8" applyNumberFormat="1" applyFont="1" applyFill="1" applyBorder="1" applyAlignment="1">
      <alignment horizontal="center" vertical="center"/>
    </xf>
    <xf numFmtId="3" fontId="14" fillId="0" borderId="53" xfId="9" applyNumberFormat="1" applyFont="1" applyBorder="1" applyAlignment="1">
      <alignment horizontal="center" vertical="center"/>
    </xf>
    <xf numFmtId="3" fontId="14" fillId="2" borderId="54" xfId="9" applyNumberFormat="1" applyFont="1" applyFill="1" applyBorder="1" applyAlignment="1">
      <alignment horizontal="center" vertical="center"/>
    </xf>
    <xf numFmtId="0" fontId="14" fillId="4" borderId="40" xfId="9" applyFont="1" applyFill="1" applyBorder="1" applyAlignment="1">
      <alignment vertical="center" wrapText="1"/>
    </xf>
    <xf numFmtId="0" fontId="14" fillId="4" borderId="40" xfId="9" applyFont="1" applyFill="1" applyBorder="1" applyAlignment="1">
      <alignment horizontal="left" vertical="center" wrapText="1"/>
    </xf>
    <xf numFmtId="0" fontId="14" fillId="0" borderId="54" xfId="11" applyFont="1" applyBorder="1" applyAlignment="1">
      <alignment horizontal="center" vertical="center"/>
    </xf>
    <xf numFmtId="3" fontId="14" fillId="2" borderId="56" xfId="9" applyNumberFormat="1" applyFont="1" applyFill="1" applyBorder="1" applyAlignment="1">
      <alignment horizontal="center" vertical="center"/>
    </xf>
    <xf numFmtId="3" fontId="14" fillId="2" borderId="57" xfId="9" applyNumberFormat="1" applyFont="1" applyFill="1" applyBorder="1" applyAlignment="1">
      <alignment horizontal="center" vertical="center"/>
    </xf>
    <xf numFmtId="3" fontId="44" fillId="4" borderId="2" xfId="10" applyNumberFormat="1" applyFont="1" applyFill="1" applyBorder="1" applyAlignment="1">
      <alignment horizontal="center" vertical="center"/>
    </xf>
    <xf numFmtId="0" fontId="13" fillId="4" borderId="6" xfId="9" applyFont="1" applyFill="1" applyBorder="1" applyAlignment="1">
      <alignment horizontal="right" vertical="center"/>
    </xf>
    <xf numFmtId="3" fontId="13" fillId="2" borderId="0" xfId="4" applyNumberFormat="1" applyFont="1" applyFill="1"/>
    <xf numFmtId="3" fontId="13" fillId="2" borderId="12" xfId="4" applyNumberFormat="1" applyFont="1" applyFill="1" applyBorder="1" applyAlignment="1">
      <alignment horizontal="center" wrapText="1"/>
    </xf>
    <xf numFmtId="9" fontId="13" fillId="2" borderId="12" xfId="4" applyNumberFormat="1" applyFont="1" applyFill="1" applyBorder="1" applyAlignment="1">
      <alignment horizontal="center" wrapText="1"/>
    </xf>
    <xf numFmtId="0" fontId="2" fillId="0" borderId="8" xfId="0" applyFont="1" applyBorder="1"/>
    <xf numFmtId="0" fontId="50" fillId="2" borderId="0" xfId="8" applyFont="1" applyFill="1" applyAlignment="1">
      <alignment horizontal="right"/>
    </xf>
    <xf numFmtId="0" fontId="42" fillId="0" borderId="0" xfId="6" applyFont="1"/>
    <xf numFmtId="0" fontId="40" fillId="2" borderId="0" xfId="4" applyFont="1" applyFill="1"/>
    <xf numFmtId="3" fontId="14" fillId="2" borderId="66" xfId="4" applyNumberFormat="1" applyFont="1" applyFill="1" applyBorder="1" applyAlignment="1">
      <alignment horizontal="right"/>
    </xf>
    <xf numFmtId="3" fontId="14" fillId="2" borderId="67" xfId="4" applyNumberFormat="1" applyFont="1" applyFill="1" applyBorder="1" applyAlignment="1">
      <alignment horizontal="right"/>
    </xf>
    <xf numFmtId="0" fontId="4" fillId="6" borderId="0" xfId="0" applyFont="1" applyFill="1"/>
    <xf numFmtId="0" fontId="4" fillId="6" borderId="8" xfId="0" applyFont="1" applyFill="1" applyBorder="1"/>
    <xf numFmtId="0" fontId="12" fillId="6" borderId="0" xfId="0" applyFont="1" applyFill="1"/>
    <xf numFmtId="0" fontId="7" fillId="6" borderId="0" xfId="0" applyFont="1" applyFill="1"/>
    <xf numFmtId="0" fontId="52" fillId="6" borderId="0" xfId="0" applyFont="1" applyFill="1"/>
    <xf numFmtId="0" fontId="52" fillId="6" borderId="9" xfId="0" applyFont="1" applyFill="1" applyBorder="1"/>
    <xf numFmtId="0" fontId="4" fillId="6" borderId="10" xfId="0" applyFont="1" applyFill="1" applyBorder="1"/>
    <xf numFmtId="0" fontId="14" fillId="6" borderId="68" xfId="0" applyFont="1" applyFill="1" applyBorder="1" applyAlignment="1">
      <alignment horizontal="center" vertical="center" wrapText="1"/>
    </xf>
    <xf numFmtId="3" fontId="13" fillId="6" borderId="70" xfId="0" applyNumberFormat="1" applyFont="1" applyFill="1" applyBorder="1" applyAlignment="1">
      <alignment horizontal="right" vertical="center" wrapText="1"/>
    </xf>
    <xf numFmtId="3" fontId="14" fillId="6" borderId="70" xfId="0" applyNumberFormat="1" applyFont="1" applyFill="1" applyBorder="1" applyAlignment="1">
      <alignment horizontal="right" vertical="center" wrapText="1"/>
    </xf>
    <xf numFmtId="0" fontId="14" fillId="6" borderId="70" xfId="0" applyFont="1" applyFill="1" applyBorder="1" applyAlignment="1">
      <alignment horizontal="right" vertical="center" wrapText="1"/>
    </xf>
    <xf numFmtId="164" fontId="13" fillId="0" borderId="16" xfId="3" applyNumberFormat="1" applyFont="1" applyBorder="1" applyAlignment="1">
      <alignment horizontal="right" vertical="center" wrapText="1"/>
    </xf>
    <xf numFmtId="3" fontId="13" fillId="0" borderId="70" xfId="0" applyNumberFormat="1" applyFont="1" applyBorder="1" applyAlignment="1">
      <alignment horizontal="right" vertical="center" wrapText="1"/>
    </xf>
    <xf numFmtId="9" fontId="16" fillId="6" borderId="0" xfId="2" applyFont="1" applyFill="1"/>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xf>
    <xf numFmtId="0" fontId="2" fillId="0" borderId="0" xfId="0" applyFont="1" applyAlignment="1">
      <alignment vertical="top" wrapText="1"/>
    </xf>
    <xf numFmtId="0" fontId="53" fillId="0" borderId="0" xfId="0" applyFont="1"/>
    <xf numFmtId="0" fontId="2" fillId="0" borderId="0" xfId="0" applyFont="1" applyAlignment="1">
      <alignment horizontal="left"/>
    </xf>
    <xf numFmtId="0" fontId="2" fillId="0" borderId="0" xfId="0" applyFont="1" applyAlignment="1">
      <alignment wrapText="1"/>
    </xf>
    <xf numFmtId="164" fontId="2" fillId="0" borderId="0" xfId="0" applyNumberFormat="1" applyFont="1" applyAlignment="1">
      <alignment horizontal="center"/>
    </xf>
    <xf numFmtId="2" fontId="2" fillId="0" borderId="0" xfId="0" applyNumberFormat="1" applyFont="1" applyAlignment="1">
      <alignment horizontal="center"/>
    </xf>
    <xf numFmtId="0" fontId="2" fillId="0" borderId="8" xfId="0" applyFont="1" applyBorder="1" applyAlignment="1">
      <alignment horizontal="center" vertical="top" wrapText="1"/>
    </xf>
    <xf numFmtId="0" fontId="13" fillId="4" borderId="9" xfId="9" applyFont="1" applyFill="1" applyBorder="1" applyAlignment="1">
      <alignment horizontal="right" vertical="center"/>
    </xf>
    <xf numFmtId="3" fontId="44" fillId="4" borderId="24" xfId="10" applyNumberFormat="1" applyFont="1" applyFill="1" applyBorder="1" applyAlignment="1">
      <alignment horizontal="center" vertical="center"/>
    </xf>
    <xf numFmtId="3" fontId="14" fillId="0" borderId="54" xfId="10" applyNumberFormat="1" applyFont="1" applyBorder="1" applyAlignment="1">
      <alignment horizontal="center" vertical="center"/>
    </xf>
    <xf numFmtId="1" fontId="14" fillId="0" borderId="53" xfId="11" applyNumberFormat="1" applyFont="1" applyBorder="1" applyAlignment="1">
      <alignment horizontal="center" vertical="center"/>
    </xf>
    <xf numFmtId="3" fontId="14" fillId="2" borderId="57" xfId="8" applyNumberFormat="1" applyFont="1" applyFill="1" applyBorder="1" applyAlignment="1">
      <alignment horizontal="center" vertical="center"/>
    </xf>
    <xf numFmtId="3" fontId="14" fillId="2" borderId="55" xfId="8" applyNumberFormat="1" applyFont="1" applyFill="1" applyBorder="1" applyAlignment="1">
      <alignment horizontal="center" vertical="center"/>
    </xf>
    <xf numFmtId="3" fontId="54" fillId="2" borderId="0" xfId="8" applyNumberFormat="1" applyFont="1" applyFill="1" applyAlignment="1">
      <alignment horizontal="right"/>
    </xf>
    <xf numFmtId="3" fontId="13" fillId="2" borderId="0" xfId="4" applyNumberFormat="1" applyFont="1" applyFill="1" applyAlignment="1">
      <alignment horizontal="center" wrapText="1"/>
    </xf>
    <xf numFmtId="9" fontId="13" fillId="2" borderId="0" xfId="4" applyNumberFormat="1" applyFont="1" applyFill="1" applyAlignment="1">
      <alignment horizontal="center" wrapText="1"/>
    </xf>
    <xf numFmtId="0" fontId="37" fillId="0" borderId="26" xfId="0" applyFont="1" applyBorder="1"/>
    <xf numFmtId="0" fontId="37" fillId="0" borderId="27" xfId="0" applyFont="1" applyBorder="1"/>
    <xf numFmtId="0" fontId="37" fillId="0" borderId="28" xfId="0" applyFont="1" applyBorder="1"/>
    <xf numFmtId="0" fontId="37" fillId="0" borderId="31" xfId="0" applyFont="1" applyBorder="1"/>
    <xf numFmtId="0" fontId="37" fillId="0" borderId="29" xfId="0" applyFont="1" applyBorder="1"/>
    <xf numFmtId="0" fontId="37" fillId="0" borderId="30" xfId="0" applyFont="1" applyBorder="1"/>
    <xf numFmtId="0" fontId="37" fillId="0" borderId="32" xfId="0" applyFont="1" applyBorder="1" applyAlignment="1">
      <alignment horizontal="left"/>
    </xf>
    <xf numFmtId="0" fontId="37" fillId="0" borderId="33" xfId="0" applyFont="1" applyBorder="1"/>
    <xf numFmtId="0" fontId="37" fillId="0" borderId="34" xfId="0" applyFont="1" applyBorder="1" applyAlignment="1">
      <alignment horizontal="left"/>
    </xf>
    <xf numFmtId="0" fontId="37" fillId="0" borderId="35" xfId="0" applyFont="1" applyBorder="1"/>
    <xf numFmtId="0" fontId="37" fillId="0" borderId="36" xfId="0" applyFont="1" applyBorder="1" applyAlignment="1">
      <alignment horizontal="left" vertical="top" wrapText="1"/>
    </xf>
    <xf numFmtId="0" fontId="37" fillId="0" borderId="36" xfId="0" applyFont="1" applyBorder="1"/>
    <xf numFmtId="0" fontId="37" fillId="0" borderId="30" xfId="0" applyFont="1" applyBorder="1" applyAlignment="1">
      <alignment horizontal="left" vertical="top" wrapText="1"/>
    </xf>
    <xf numFmtId="0" fontId="37" fillId="0" borderId="37" xfId="0" applyFont="1" applyBorder="1"/>
    <xf numFmtId="0" fontId="37" fillId="0" borderId="38" xfId="0" applyFont="1" applyBorder="1"/>
    <xf numFmtId="164" fontId="37" fillId="0" borderId="37" xfId="0" applyNumberFormat="1" applyFont="1" applyBorder="1"/>
    <xf numFmtId="164" fontId="37" fillId="0" borderId="35" xfId="0" applyNumberFormat="1" applyFont="1" applyBorder="1"/>
    <xf numFmtId="1" fontId="37" fillId="0" borderId="0" xfId="0" applyNumberFormat="1" applyFont="1"/>
    <xf numFmtId="1" fontId="37" fillId="0" borderId="33" xfId="0" applyNumberFormat="1" applyFont="1" applyBorder="1"/>
    <xf numFmtId="1" fontId="37" fillId="0" borderId="37" xfId="0" applyNumberFormat="1" applyFont="1" applyBorder="1"/>
    <xf numFmtId="1" fontId="37" fillId="0" borderId="35" xfId="0" applyNumberFormat="1" applyFont="1" applyBorder="1"/>
    <xf numFmtId="164" fontId="37" fillId="0" borderId="34" xfId="0" applyNumberFormat="1" applyFont="1" applyBorder="1"/>
    <xf numFmtId="165" fontId="14" fillId="0" borderId="25" xfId="1" applyNumberFormat="1" applyFont="1" applyFill="1" applyBorder="1" applyAlignment="1">
      <alignment horizontal="center" vertical="center" wrapText="1"/>
    </xf>
    <xf numFmtId="0" fontId="55" fillId="6" borderId="0" xfId="0" applyFont="1" applyFill="1"/>
    <xf numFmtId="0" fontId="37" fillId="0" borderId="39" xfId="0" applyFont="1" applyBorder="1"/>
    <xf numFmtId="0" fontId="37" fillId="0" borderId="38" xfId="0" applyFont="1" applyBorder="1" applyAlignment="1">
      <alignment horizontal="left"/>
    </xf>
    <xf numFmtId="0" fontId="37" fillId="0" borderId="25" xfId="0" applyFont="1" applyBorder="1" applyAlignment="1">
      <alignment horizontal="left" vertical="center"/>
    </xf>
    <xf numFmtId="0" fontId="14" fillId="2" borderId="0" xfId="3" applyFont="1" applyFill="1" applyAlignment="1">
      <alignment horizontal="center" vertical="center" wrapText="1"/>
    </xf>
    <xf numFmtId="2" fontId="13" fillId="0" borderId="0" xfId="3" applyNumberFormat="1" applyFont="1" applyAlignment="1">
      <alignment horizontal="right" vertical="center" wrapText="1"/>
    </xf>
    <xf numFmtId="0" fontId="14" fillId="6" borderId="75" xfId="0" applyFont="1" applyFill="1" applyBorder="1" applyAlignment="1">
      <alignment horizontal="center" vertical="center" wrapText="1"/>
    </xf>
    <xf numFmtId="2" fontId="13" fillId="0" borderId="79" xfId="3" applyNumberFormat="1" applyFont="1" applyBorder="1" applyAlignment="1">
      <alignment horizontal="right" vertical="center" wrapText="1"/>
    </xf>
    <xf numFmtId="0" fontId="2" fillId="0" borderId="25" xfId="0" applyFont="1" applyBorder="1" applyAlignment="1">
      <alignment horizontal="left" vertical="top"/>
    </xf>
    <xf numFmtId="1" fontId="2" fillId="0" borderId="25" xfId="0" applyNumberFormat="1" applyFont="1" applyBorder="1" applyAlignment="1">
      <alignment horizontal="right"/>
    </xf>
    <xf numFmtId="0" fontId="2" fillId="0" borderId="25" xfId="0" applyFont="1" applyBorder="1"/>
    <xf numFmtId="14" fontId="2" fillId="0" borderId="25" xfId="0" applyNumberFormat="1" applyFont="1" applyBorder="1" applyAlignment="1">
      <alignment vertical="center"/>
    </xf>
    <xf numFmtId="14" fontId="2" fillId="0" borderId="25" xfId="0" applyNumberFormat="1" applyFont="1" applyBorder="1"/>
    <xf numFmtId="0" fontId="2" fillId="0" borderId="25" xfId="0" applyFont="1" applyBorder="1" applyAlignment="1">
      <alignment horizontal="right"/>
    </xf>
    <xf numFmtId="14" fontId="2" fillId="0" borderId="25" xfId="0" applyNumberFormat="1" applyFont="1" applyBorder="1" applyAlignment="1">
      <alignment vertical="top"/>
    </xf>
    <xf numFmtId="0" fontId="2" fillId="0" borderId="25" xfId="0" applyFont="1" applyBorder="1" applyAlignment="1">
      <alignment vertical="top"/>
    </xf>
    <xf numFmtId="14" fontId="2" fillId="0" borderId="25" xfId="0" applyNumberFormat="1" applyFont="1" applyBorder="1" applyAlignment="1">
      <alignment horizontal="right" vertical="top"/>
    </xf>
    <xf numFmtId="0" fontId="2" fillId="0" borderId="25" xfId="0" applyFont="1" applyBorder="1" applyAlignment="1">
      <alignment horizontal="right" vertical="top"/>
    </xf>
    <xf numFmtId="164" fontId="2" fillId="0" borderId="25" xfId="0" applyNumberFormat="1" applyFont="1" applyBorder="1" applyAlignment="1">
      <alignment horizontal="right" vertical="top"/>
    </xf>
    <xf numFmtId="1" fontId="2" fillId="0" borderId="25" xfId="0" applyNumberFormat="1" applyFont="1" applyBorder="1" applyAlignment="1">
      <alignment horizontal="right" vertical="top"/>
    </xf>
    <xf numFmtId="164" fontId="2" fillId="0" borderId="0" xfId="0" applyNumberFormat="1" applyFont="1"/>
    <xf numFmtId="0" fontId="7" fillId="8" borderId="25" xfId="0" applyFont="1" applyFill="1" applyBorder="1" applyAlignment="1">
      <alignment horizontal="left" vertical="top" wrapText="1"/>
    </xf>
    <xf numFmtId="0" fontId="2" fillId="8" borderId="25" xfId="0" applyFont="1" applyFill="1" applyBorder="1" applyAlignment="1">
      <alignment horizontal="left" vertical="top" wrapText="1"/>
    </xf>
    <xf numFmtId="0" fontId="2" fillId="8" borderId="25" xfId="0" applyFont="1" applyFill="1" applyBorder="1" applyAlignment="1">
      <alignment vertical="top" wrapText="1"/>
    </xf>
    <xf numFmtId="0" fontId="2" fillId="8" borderId="0" xfId="0" applyFont="1" applyFill="1" applyAlignment="1">
      <alignment horizontal="left" vertical="top" wrapText="1"/>
    </xf>
    <xf numFmtId="0" fontId="2" fillId="0" borderId="40" xfId="0" applyFont="1" applyBorder="1" applyAlignment="1">
      <alignment horizontal="left" vertical="top" wrapText="1"/>
    </xf>
    <xf numFmtId="164" fontId="2" fillId="0" borderId="8" xfId="0" applyNumberFormat="1" applyFont="1" applyBorder="1" applyAlignment="1">
      <alignment horizontal="center" vertical="top" wrapText="1"/>
    </xf>
    <xf numFmtId="164" fontId="2" fillId="0" borderId="0" xfId="0" applyNumberFormat="1" applyFont="1" applyAlignment="1">
      <alignment horizontal="center" vertical="top" wrapText="1"/>
    </xf>
    <xf numFmtId="0" fontId="2" fillId="0" borderId="9" xfId="0" applyFont="1" applyBorder="1" applyAlignment="1">
      <alignment horizontal="center" vertical="top" wrapText="1"/>
    </xf>
    <xf numFmtId="0" fontId="2" fillId="0" borderId="8" xfId="0" applyFont="1" applyBorder="1" applyAlignment="1">
      <alignment horizontal="center"/>
    </xf>
    <xf numFmtId="0" fontId="2" fillId="0" borderId="9" xfId="0" applyFont="1" applyBorder="1" applyAlignment="1">
      <alignment horizontal="center"/>
    </xf>
    <xf numFmtId="164" fontId="2" fillId="0" borderId="9" xfId="0" applyNumberFormat="1" applyFont="1" applyBorder="1" applyAlignment="1">
      <alignment horizontal="center"/>
    </xf>
    <xf numFmtId="1" fontId="2" fillId="0" borderId="0" xfId="0" applyNumberFormat="1" applyFont="1"/>
    <xf numFmtId="164" fontId="2" fillId="0" borderId="8" xfId="0" applyNumberFormat="1" applyFont="1" applyBorder="1" applyAlignment="1">
      <alignment horizontal="center"/>
    </xf>
    <xf numFmtId="2" fontId="2" fillId="0" borderId="9" xfId="0" applyNumberFormat="1" applyFont="1" applyBorder="1" applyAlignment="1">
      <alignment horizontal="center"/>
    </xf>
    <xf numFmtId="0" fontId="2" fillId="0" borderId="38" xfId="0" applyFont="1" applyBorder="1" applyAlignment="1">
      <alignment horizontal="left" vertical="top" wrapText="1"/>
    </xf>
    <xf numFmtId="0" fontId="14" fillId="6" borderId="71" xfId="0" applyFont="1" applyFill="1" applyBorder="1" applyAlignment="1">
      <alignment horizontal="left" vertical="center" wrapText="1"/>
    </xf>
    <xf numFmtId="0" fontId="14" fillId="6" borderId="69" xfId="0" applyFont="1" applyFill="1" applyBorder="1" applyAlignment="1">
      <alignment horizontal="left" vertical="center" wrapText="1"/>
    </xf>
    <xf numFmtId="0" fontId="14" fillId="6" borderId="68" xfId="0" applyFont="1" applyFill="1" applyBorder="1" applyAlignment="1">
      <alignment horizontal="left" vertical="center" wrapText="1"/>
    </xf>
    <xf numFmtId="0" fontId="14" fillId="6" borderId="71"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6" fillId="2" borderId="0" xfId="0" applyFont="1" applyFill="1" applyAlignment="1">
      <alignment horizontal="left" vertical="center" wrapText="1"/>
    </xf>
    <xf numFmtId="0" fontId="39" fillId="2" borderId="0" xfId="0" applyFont="1" applyFill="1" applyAlignment="1">
      <alignment horizontal="left" vertical="center" wrapText="1"/>
    </xf>
    <xf numFmtId="0" fontId="39" fillId="2" borderId="0" xfId="0" applyFont="1" applyFill="1" applyAlignment="1">
      <alignment horizontal="center" vertical="center" wrapText="1"/>
    </xf>
    <xf numFmtId="0" fontId="14" fillId="2" borderId="0" xfId="3" applyFont="1" applyFill="1" applyAlignment="1">
      <alignment horizontal="left" vertical="center" wrapText="1"/>
    </xf>
    <xf numFmtId="0" fontId="14" fillId="6" borderId="0" xfId="0" applyFont="1" applyFill="1" applyAlignment="1">
      <alignment horizontal="center" vertical="center" wrapText="1"/>
    </xf>
    <xf numFmtId="0" fontId="33" fillId="2" borderId="15" xfId="0" applyFont="1" applyFill="1" applyBorder="1" applyAlignment="1">
      <alignment horizontal="left"/>
    </xf>
    <xf numFmtId="0" fontId="33" fillId="2" borderId="16" xfId="0" applyFont="1" applyFill="1" applyBorder="1" applyAlignment="1">
      <alignment horizontal="left"/>
    </xf>
    <xf numFmtId="0" fontId="14" fillId="3" borderId="15" xfId="4" applyFont="1" applyFill="1" applyBorder="1" applyAlignment="1">
      <alignment horizontal="center"/>
    </xf>
    <xf numFmtId="0" fontId="14" fillId="3" borderId="16" xfId="4" applyFont="1" applyFill="1" applyBorder="1" applyAlignment="1">
      <alignment horizontal="center"/>
    </xf>
    <xf numFmtId="0" fontId="14" fillId="2" borderId="15" xfId="4" applyFont="1" applyFill="1" applyBorder="1" applyAlignment="1">
      <alignment horizontal="left" vertical="center"/>
    </xf>
    <xf numFmtId="0" fontId="14" fillId="2" borderId="16" xfId="4" applyFont="1" applyFill="1" applyBorder="1" applyAlignment="1">
      <alignment horizontal="left" vertical="center"/>
    </xf>
    <xf numFmtId="0" fontId="13" fillId="3" borderId="15" xfId="4" applyFont="1" applyFill="1" applyBorder="1" applyAlignment="1">
      <alignment horizontal="left" vertical="center"/>
    </xf>
    <xf numFmtId="0" fontId="13" fillId="3" borderId="16" xfId="4" applyFont="1" applyFill="1" applyBorder="1" applyAlignment="1">
      <alignment horizontal="left" vertical="center"/>
    </xf>
    <xf numFmtId="0" fontId="13" fillId="3" borderId="15" xfId="4" applyFont="1" applyFill="1" applyBorder="1" applyAlignment="1">
      <alignment horizontal="left"/>
    </xf>
    <xf numFmtId="0" fontId="13" fillId="3" borderId="16" xfId="4" applyFont="1" applyFill="1" applyBorder="1" applyAlignment="1">
      <alignment horizontal="left"/>
    </xf>
    <xf numFmtId="9" fontId="7" fillId="3" borderId="24" xfId="4" applyNumberFormat="1" applyFont="1" applyFill="1" applyBorder="1" applyAlignment="1">
      <alignment horizontal="left"/>
    </xf>
    <xf numFmtId="9" fontId="7" fillId="3" borderId="25" xfId="4" applyNumberFormat="1" applyFont="1" applyFill="1" applyBorder="1" applyAlignment="1">
      <alignment horizontal="left"/>
    </xf>
    <xf numFmtId="0" fontId="33" fillId="2" borderId="24"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2" borderId="24" xfId="0" applyFont="1" applyFill="1" applyBorder="1" applyAlignment="1">
      <alignment horizontal="left" vertical="center"/>
    </xf>
    <xf numFmtId="0" fontId="33" fillId="2" borderId="25" xfId="0" applyFont="1" applyFill="1" applyBorder="1" applyAlignment="1">
      <alignment horizontal="left" vertical="center"/>
    </xf>
    <xf numFmtId="0" fontId="14" fillId="3" borderId="25" xfId="0" applyFont="1" applyFill="1" applyBorder="1" applyAlignment="1">
      <alignment horizontal="center" vertical="center" wrapText="1"/>
    </xf>
    <xf numFmtId="0" fontId="22" fillId="3" borderId="24" xfId="0" applyFont="1" applyFill="1" applyBorder="1" applyAlignment="1">
      <alignment horizontal="left" vertical="center" wrapText="1"/>
    </xf>
    <xf numFmtId="0" fontId="22" fillId="3" borderId="25" xfId="0" applyFont="1" applyFill="1" applyBorder="1" applyAlignment="1">
      <alignment horizontal="left" vertical="center" wrapText="1"/>
    </xf>
    <xf numFmtId="0" fontId="14" fillId="2" borderId="15" xfId="0" applyFont="1" applyFill="1" applyBorder="1" applyAlignment="1">
      <alignment horizontal="left"/>
    </xf>
    <xf numFmtId="0" fontId="14" fillId="2" borderId="16" xfId="0" applyFont="1" applyFill="1" applyBorder="1" applyAlignment="1">
      <alignment horizontal="left"/>
    </xf>
    <xf numFmtId="0" fontId="13" fillId="3" borderId="15" xfId="4" applyFont="1" applyFill="1" applyBorder="1" applyAlignment="1"/>
    <xf numFmtId="0" fontId="13" fillId="3" borderId="16" xfId="4" applyFont="1" applyFill="1" applyBorder="1" applyAlignment="1"/>
    <xf numFmtId="0" fontId="33" fillId="2" borderId="17" xfId="0" applyFont="1" applyFill="1" applyBorder="1" applyAlignment="1">
      <alignment horizontal="left"/>
    </xf>
    <xf numFmtId="3" fontId="14" fillId="2" borderId="16" xfId="5" applyNumberFormat="1" applyFont="1" applyFill="1" applyBorder="1" applyAlignment="1">
      <alignment horizontal="left"/>
    </xf>
    <xf numFmtId="3" fontId="14" fillId="2" borderId="15" xfId="5" applyNumberFormat="1" applyFont="1" applyFill="1" applyBorder="1" applyAlignment="1">
      <alignment horizontal="left"/>
    </xf>
    <xf numFmtId="3" fontId="14" fillId="2" borderId="18" xfId="5" applyNumberFormat="1" applyFont="1" applyFill="1" applyBorder="1" applyAlignment="1">
      <alignment horizontal="left"/>
    </xf>
    <xf numFmtId="0" fontId="13" fillId="3" borderId="23" xfId="4" applyFont="1" applyFill="1" applyBorder="1" applyAlignment="1">
      <alignment horizontal="center"/>
    </xf>
    <xf numFmtId="0" fontId="13" fillId="3" borderId="15" xfId="4" applyFont="1" applyFill="1" applyBorder="1" applyAlignment="1">
      <alignment horizontal="center"/>
    </xf>
    <xf numFmtId="9" fontId="13" fillId="3" borderId="18" xfId="2" applyFont="1" applyFill="1" applyBorder="1" applyAlignment="1">
      <alignment horizontal="center"/>
    </xf>
    <xf numFmtId="9" fontId="13" fillId="3" borderId="15" xfId="2" applyFont="1" applyFill="1" applyBorder="1" applyAlignment="1">
      <alignment horizontal="center"/>
    </xf>
    <xf numFmtId="165" fontId="13" fillId="3" borderId="18" xfId="1" applyNumberFormat="1" applyFont="1" applyFill="1" applyBorder="1" applyAlignment="1">
      <alignment horizontal="center" vertical="center"/>
    </xf>
    <xf numFmtId="165" fontId="13" fillId="3" borderId="15" xfId="1" applyNumberFormat="1" applyFont="1" applyFill="1" applyBorder="1" applyAlignment="1">
      <alignment horizontal="center" vertical="center"/>
    </xf>
    <xf numFmtId="0" fontId="14" fillId="2" borderId="23" xfId="4" applyFont="1" applyFill="1" applyBorder="1" applyAlignment="1">
      <alignment horizontal="center"/>
    </xf>
    <xf numFmtId="0" fontId="14" fillId="2" borderId="15" xfId="4" applyFont="1" applyFill="1" applyBorder="1" applyAlignment="1">
      <alignment horizontal="center"/>
    </xf>
    <xf numFmtId="165" fontId="14" fillId="2" borderId="18" xfId="1" applyNumberFormat="1" applyFont="1" applyFill="1" applyBorder="1" applyAlignment="1">
      <alignment horizontal="center" vertical="center"/>
    </xf>
    <xf numFmtId="165" fontId="14" fillId="2" borderId="15" xfId="1" applyNumberFormat="1" applyFont="1" applyFill="1" applyBorder="1" applyAlignment="1">
      <alignment horizontal="center" vertical="center"/>
    </xf>
    <xf numFmtId="9" fontId="14" fillId="2" borderId="18" xfId="2" applyFont="1" applyFill="1" applyBorder="1" applyAlignment="1">
      <alignment horizontal="center"/>
    </xf>
    <xf numFmtId="9" fontId="14" fillId="2" borderId="15" xfId="2" applyFont="1" applyFill="1" applyBorder="1" applyAlignment="1">
      <alignment horizontal="center"/>
    </xf>
    <xf numFmtId="0" fontId="13" fillId="2" borderId="23" xfId="4" applyFont="1" applyFill="1" applyBorder="1" applyAlignment="1">
      <alignment horizontal="center"/>
    </xf>
    <xf numFmtId="0" fontId="13" fillId="2" borderId="15" xfId="4" applyFont="1" applyFill="1" applyBorder="1" applyAlignment="1">
      <alignment horizontal="center"/>
    </xf>
    <xf numFmtId="165" fontId="13" fillId="2" borderId="18" xfId="1" applyNumberFormat="1" applyFont="1" applyFill="1" applyBorder="1" applyAlignment="1">
      <alignment horizontal="center" vertical="center"/>
    </xf>
    <xf numFmtId="165" fontId="13" fillId="2" borderId="15" xfId="1" applyNumberFormat="1" applyFont="1" applyFill="1" applyBorder="1" applyAlignment="1">
      <alignment horizontal="center" vertical="center"/>
    </xf>
    <xf numFmtId="0" fontId="13" fillId="3" borderId="15" xfId="4" applyFont="1" applyFill="1" applyBorder="1" applyAlignment="1">
      <alignment horizontal="center" vertical="center" wrapText="1"/>
    </xf>
    <xf numFmtId="0" fontId="13" fillId="3" borderId="16" xfId="4" applyFont="1" applyFill="1" applyBorder="1" applyAlignment="1">
      <alignment horizontal="center" vertical="center" wrapText="1"/>
    </xf>
    <xf numFmtId="0" fontId="13" fillId="3" borderId="18" xfId="4" applyFont="1" applyFill="1" applyBorder="1" applyAlignment="1">
      <alignment horizontal="center" vertical="center" wrapText="1"/>
    </xf>
    <xf numFmtId="0" fontId="13" fillId="3" borderId="17" xfId="4" applyFont="1" applyFill="1" applyBorder="1" applyAlignment="1">
      <alignment horizontal="center"/>
    </xf>
    <xf numFmtId="1" fontId="13" fillId="3" borderId="16" xfId="2" applyNumberFormat="1" applyFont="1" applyFill="1" applyBorder="1" applyAlignment="1">
      <alignment horizontal="center"/>
    </xf>
    <xf numFmtId="1" fontId="13" fillId="3" borderId="18" xfId="2" applyNumberFormat="1" applyFont="1" applyFill="1" applyBorder="1" applyAlignment="1">
      <alignment horizontal="center"/>
    </xf>
    <xf numFmtId="1" fontId="13" fillId="3" borderId="15" xfId="2" applyNumberFormat="1" applyFont="1" applyFill="1" applyBorder="1" applyAlignment="1">
      <alignment horizontal="center"/>
    </xf>
    <xf numFmtId="0" fontId="13" fillId="3" borderId="16" xfId="4" applyFont="1" applyFill="1" applyBorder="1" applyAlignment="1">
      <alignment horizontal="center"/>
    </xf>
    <xf numFmtId="9" fontId="13" fillId="3" borderId="16" xfId="2" applyFont="1" applyFill="1" applyBorder="1" applyAlignment="1">
      <alignment horizontal="center"/>
    </xf>
    <xf numFmtId="0" fontId="14" fillId="2" borderId="16" xfId="4" applyFont="1" applyFill="1" applyBorder="1" applyAlignment="1">
      <alignment horizontal="center"/>
    </xf>
    <xf numFmtId="0" fontId="14" fillId="2" borderId="18" xfId="4" applyFont="1" applyFill="1" applyBorder="1" applyAlignment="1">
      <alignment horizontal="center"/>
    </xf>
    <xf numFmtId="0" fontId="13" fillId="3" borderId="21" xfId="4" applyFont="1" applyFill="1" applyBorder="1" applyAlignment="1">
      <alignment horizontal="center" wrapText="1"/>
    </xf>
    <xf numFmtId="0" fontId="13" fillId="3" borderId="22" xfId="4" applyFont="1" applyFill="1" applyBorder="1" applyAlignment="1">
      <alignment horizontal="center"/>
    </xf>
    <xf numFmtId="0" fontId="30" fillId="2" borderId="0" xfId="4" applyFont="1" applyFill="1" applyAlignment="1">
      <alignment horizontal="center" vertical="center" wrapText="1"/>
    </xf>
    <xf numFmtId="0" fontId="30" fillId="2" borderId="0" xfId="4" applyFont="1" applyFill="1" applyAlignment="1">
      <alignment horizontal="center"/>
    </xf>
    <xf numFmtId="0" fontId="14" fillId="2" borderId="15" xfId="5" applyFont="1" applyFill="1" applyBorder="1" applyAlignment="1"/>
    <xf numFmtId="0" fontId="14" fillId="2" borderId="16" xfId="5" applyFont="1" applyFill="1" applyBorder="1" applyAlignment="1"/>
    <xf numFmtId="0" fontId="13" fillId="3" borderId="15" xfId="5" applyFont="1" applyFill="1" applyBorder="1" applyAlignment="1">
      <alignment wrapText="1"/>
    </xf>
    <xf numFmtId="0" fontId="13" fillId="3" borderId="16" xfId="5" applyFont="1" applyFill="1" applyBorder="1" applyAlignment="1">
      <alignment wrapText="1"/>
    </xf>
    <xf numFmtId="0" fontId="13" fillId="3" borderId="11" xfId="4" applyFont="1" applyFill="1" applyBorder="1" applyAlignment="1">
      <alignment horizontal="center" vertical="center" wrapText="1"/>
    </xf>
    <xf numFmtId="0" fontId="13" fillId="3" borderId="13" xfId="4" applyFont="1" applyFill="1" applyBorder="1" applyAlignment="1">
      <alignment horizontal="center"/>
    </xf>
    <xf numFmtId="0" fontId="13" fillId="3" borderId="11" xfId="4" applyFont="1" applyFill="1" applyBorder="1" applyAlignment="1">
      <alignment horizontal="center"/>
    </xf>
    <xf numFmtId="0" fontId="14" fillId="2" borderId="64" xfId="5" applyFont="1" applyFill="1" applyBorder="1" applyAlignment="1"/>
    <xf numFmtId="0" fontId="14" fillId="2" borderId="67" xfId="5" applyFont="1" applyFill="1" applyBorder="1" applyAlignment="1"/>
    <xf numFmtId="0" fontId="14" fillId="2" borderId="65" xfId="5" applyFont="1" applyFill="1" applyBorder="1" applyAlignment="1"/>
    <xf numFmtId="0" fontId="14" fillId="2" borderId="66" xfId="5" applyFont="1" applyFill="1" applyBorder="1" applyAlignment="1"/>
    <xf numFmtId="0" fontId="14" fillId="2" borderId="23"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15" xfId="0" applyFont="1" applyFill="1" applyBorder="1" applyAlignment="1">
      <alignment horizontal="left" vertical="center" wrapText="1"/>
    </xf>
    <xf numFmtId="3" fontId="14" fillId="2" borderId="18" xfId="0" applyNumberFormat="1" applyFont="1" applyFill="1" applyBorder="1" applyAlignment="1">
      <alignment horizontal="center" vertical="center" wrapText="1"/>
    </xf>
    <xf numFmtId="3" fontId="14" fillId="2" borderId="15" xfId="0" applyNumberFormat="1" applyFont="1" applyFill="1" applyBorder="1" applyAlignment="1">
      <alignment horizontal="center" vertical="center" wrapText="1"/>
    </xf>
    <xf numFmtId="0" fontId="13" fillId="3" borderId="2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5" xfId="0" applyFont="1" applyFill="1" applyBorder="1" applyAlignment="1">
      <alignment horizontal="left" vertical="center" wrapText="1"/>
    </xf>
    <xf numFmtId="3" fontId="13" fillId="3" borderId="18" xfId="0" applyNumberFormat="1" applyFont="1" applyFill="1" applyBorder="1" applyAlignment="1">
      <alignment horizontal="center" vertical="center" wrapText="1"/>
    </xf>
    <xf numFmtId="3" fontId="13" fillId="3" borderId="15" xfId="0" applyNumberFormat="1" applyFont="1" applyFill="1" applyBorder="1" applyAlignment="1">
      <alignment horizontal="center" vertical="center" wrapText="1"/>
    </xf>
    <xf numFmtId="0" fontId="14" fillId="2" borderId="18" xfId="3" applyFont="1" applyFill="1" applyBorder="1" applyAlignment="1">
      <alignment horizontal="left" vertical="center" wrapText="1"/>
    </xf>
    <xf numFmtId="0" fontId="14" fillId="2" borderId="17" xfId="3" applyFont="1" applyFill="1" applyBorder="1" applyAlignment="1">
      <alignment horizontal="left" vertical="center" wrapText="1"/>
    </xf>
    <xf numFmtId="0" fontId="14" fillId="2" borderId="15" xfId="3" applyFont="1" applyFill="1" applyBorder="1" applyAlignment="1">
      <alignment horizontal="left" vertical="center" wrapText="1"/>
    </xf>
    <xf numFmtId="0" fontId="14" fillId="2" borderId="18" xfId="3" applyFont="1" applyFill="1" applyBorder="1" applyAlignment="1">
      <alignment horizontal="center" vertical="center" wrapText="1"/>
    </xf>
    <xf numFmtId="0" fontId="14" fillId="2" borderId="15" xfId="3"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12" fillId="7" borderId="72" xfId="0" applyFont="1" applyFill="1" applyBorder="1" applyAlignment="1">
      <alignment horizontal="center"/>
    </xf>
    <xf numFmtId="0" fontId="12" fillId="7" borderId="69" xfId="0" applyFont="1" applyFill="1" applyBorder="1" applyAlignment="1">
      <alignment horizontal="center"/>
    </xf>
    <xf numFmtId="0" fontId="12" fillId="7" borderId="68" xfId="0" applyFont="1" applyFill="1" applyBorder="1" applyAlignment="1">
      <alignment horizontal="center"/>
    </xf>
    <xf numFmtId="0" fontId="14" fillId="6" borderId="76" xfId="0" applyFont="1" applyFill="1" applyBorder="1" applyAlignment="1">
      <alignment horizontal="left" vertical="center" wrapText="1"/>
    </xf>
    <xf numFmtId="0" fontId="14" fillId="6" borderId="77" xfId="0" applyFont="1" applyFill="1" applyBorder="1" applyAlignment="1">
      <alignment horizontal="left" vertical="center" wrapText="1"/>
    </xf>
    <xf numFmtId="0" fontId="14" fillId="6" borderId="78" xfId="0" applyFont="1" applyFill="1" applyBorder="1" applyAlignment="1">
      <alignment horizontal="left" vertical="center" wrapText="1"/>
    </xf>
    <xf numFmtId="0" fontId="14" fillId="6" borderId="76"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3" fillId="3" borderId="12" xfId="4" applyFont="1" applyFill="1" applyBorder="1" applyAlignment="1">
      <alignment horizontal="center" vertical="top" wrapText="1"/>
    </xf>
    <xf numFmtId="0" fontId="8" fillId="2" borderId="3" xfId="4"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8" fillId="2" borderId="5" xfId="4" applyFont="1" applyFill="1" applyBorder="1" applyAlignment="1">
      <alignment horizontal="center" vertical="center" wrapText="1"/>
    </xf>
    <xf numFmtId="0" fontId="8" fillId="2" borderId="6" xfId="4" applyFont="1" applyFill="1" applyBorder="1" applyAlignment="1">
      <alignment horizontal="center" vertical="center" wrapText="1"/>
    </xf>
    <xf numFmtId="0" fontId="8" fillId="2" borderId="7" xfId="4" applyFont="1" applyFill="1" applyBorder="1" applyAlignment="1">
      <alignment horizontal="center" vertical="center" wrapText="1"/>
    </xf>
    <xf numFmtId="0" fontId="13" fillId="3" borderId="12" xfId="4" applyFont="1" applyFill="1" applyBorder="1" applyAlignment="1">
      <alignment horizontal="center" vertical="center" wrapText="1"/>
    </xf>
    <xf numFmtId="0" fontId="13" fillId="3" borderId="13" xfId="4" applyFont="1" applyFill="1" applyBorder="1" applyAlignment="1">
      <alignment horizontal="center" vertical="center" wrapText="1"/>
    </xf>
    <xf numFmtId="0" fontId="13" fillId="3" borderId="14" xfId="4" applyFont="1" applyFill="1" applyBorder="1" applyAlignment="1">
      <alignment horizontal="center" vertical="center" wrapText="1"/>
    </xf>
    <xf numFmtId="0" fontId="13" fillId="3" borderId="21" xfId="4" applyFont="1" applyFill="1" applyBorder="1" applyAlignment="1">
      <alignment horizontal="center" vertical="top" wrapText="1"/>
    </xf>
    <xf numFmtId="0" fontId="13" fillId="3" borderId="22" xfId="4" applyFont="1" applyFill="1" applyBorder="1" applyAlignment="1">
      <alignment horizontal="center" vertical="top" wrapText="1"/>
    </xf>
    <xf numFmtId="0" fontId="14" fillId="2" borderId="11" xfId="4" applyFont="1" applyFill="1" applyBorder="1" applyAlignment="1">
      <alignment horizontal="left" wrapText="1"/>
    </xf>
    <xf numFmtId="0" fontId="14" fillId="2" borderId="12" xfId="4" applyFont="1" applyFill="1" applyBorder="1" applyAlignment="1">
      <alignment horizontal="left" wrapText="1"/>
    </xf>
    <xf numFmtId="0" fontId="14" fillId="2" borderId="74" xfId="4" applyFont="1" applyFill="1" applyBorder="1" applyAlignment="1">
      <alignment horizontal="left" wrapText="1"/>
    </xf>
    <xf numFmtId="0" fontId="14" fillId="2" borderId="63" xfId="4" applyFont="1" applyFill="1" applyBorder="1" applyAlignment="1">
      <alignment horizontal="left" wrapText="1"/>
    </xf>
    <xf numFmtId="0" fontId="12" fillId="3" borderId="15" xfId="4" applyFont="1" applyFill="1" applyBorder="1" applyAlignment="1">
      <alignment horizontal="center"/>
    </xf>
    <xf numFmtId="0" fontId="12" fillId="3" borderId="16" xfId="4" applyFont="1" applyFill="1" applyBorder="1" applyAlignment="1">
      <alignment horizontal="center"/>
    </xf>
    <xf numFmtId="0" fontId="51" fillId="2" borderId="40" xfId="4" applyFont="1" applyFill="1" applyBorder="1" applyAlignment="1">
      <alignment horizontal="center" vertical="center" wrapText="1"/>
    </xf>
    <xf numFmtId="0" fontId="51" fillId="2" borderId="2" xfId="4" applyFont="1" applyFill="1" applyBorder="1" applyAlignment="1">
      <alignment horizontal="center" vertical="center" wrapText="1"/>
    </xf>
    <xf numFmtId="0" fontId="51" fillId="2" borderId="24" xfId="4" applyFont="1" applyFill="1" applyBorder="1" applyAlignment="1">
      <alignment horizontal="center" vertical="center" wrapText="1"/>
    </xf>
    <xf numFmtId="0" fontId="13" fillId="5" borderId="42" xfId="9" applyFont="1" applyFill="1" applyBorder="1" applyAlignment="1">
      <alignment horizontal="right" vertical="center" indent="3"/>
    </xf>
    <xf numFmtId="0" fontId="13" fillId="5" borderId="14" xfId="9" applyFont="1" applyFill="1" applyBorder="1" applyAlignment="1">
      <alignment horizontal="right" vertical="center" indent="3"/>
    </xf>
    <xf numFmtId="0" fontId="13" fillId="5" borderId="58" xfId="9" applyFont="1" applyFill="1" applyBorder="1" applyAlignment="1">
      <alignment horizontal="center" vertical="center"/>
    </xf>
    <xf numFmtId="0" fontId="13" fillId="5" borderId="59" xfId="9" applyFont="1" applyFill="1" applyBorder="1" applyAlignment="1">
      <alignment horizontal="center" vertical="center"/>
    </xf>
    <xf numFmtId="0" fontId="13" fillId="5" borderId="60" xfId="9" applyFont="1" applyFill="1" applyBorder="1" applyAlignment="1">
      <alignment horizontal="center" vertical="center"/>
    </xf>
    <xf numFmtId="3" fontId="13" fillId="5" borderId="46" xfId="10" applyNumberFormat="1" applyFont="1" applyFill="1" applyBorder="1" applyAlignment="1">
      <alignment horizontal="center" vertical="center"/>
    </xf>
    <xf numFmtId="3" fontId="13" fillId="5" borderId="47" xfId="10" applyNumberFormat="1" applyFont="1" applyFill="1" applyBorder="1" applyAlignment="1">
      <alignment horizontal="center" vertical="center"/>
    </xf>
    <xf numFmtId="3" fontId="13" fillId="5" borderId="48" xfId="10" applyNumberFormat="1" applyFont="1" applyFill="1" applyBorder="1" applyAlignment="1">
      <alignment horizontal="center" vertical="center"/>
    </xf>
    <xf numFmtId="3" fontId="13" fillId="5" borderId="61" xfId="9" applyNumberFormat="1" applyFont="1" applyFill="1" applyBorder="1" applyAlignment="1">
      <alignment horizontal="center" vertical="center"/>
    </xf>
    <xf numFmtId="3" fontId="13" fillId="5" borderId="62" xfId="9" applyNumberFormat="1" applyFont="1" applyFill="1" applyBorder="1" applyAlignment="1">
      <alignment horizontal="center" vertical="center"/>
    </xf>
    <xf numFmtId="3" fontId="13" fillId="5" borderId="73" xfId="9" applyNumberFormat="1" applyFont="1" applyFill="1" applyBorder="1" applyAlignment="1">
      <alignment horizontal="center" vertical="center"/>
    </xf>
    <xf numFmtId="0" fontId="43" fillId="5" borderId="3" xfId="9" applyFont="1" applyFill="1" applyBorder="1" applyAlignment="1">
      <alignment horizontal="center" vertical="center"/>
    </xf>
    <xf numFmtId="0" fontId="43" fillId="5" borderId="1" xfId="9" applyFont="1" applyFill="1" applyBorder="1" applyAlignment="1">
      <alignment horizontal="center" vertical="center"/>
    </xf>
    <xf numFmtId="0" fontId="43" fillId="5" borderId="4" xfId="9" applyFont="1" applyFill="1" applyBorder="1" applyAlignment="1">
      <alignment horizontal="center" vertical="center"/>
    </xf>
    <xf numFmtId="0" fontId="13" fillId="5" borderId="8" xfId="8" applyFont="1" applyFill="1" applyBorder="1" applyAlignment="1">
      <alignment horizontal="right" vertical="center" indent="3"/>
    </xf>
    <xf numFmtId="0" fontId="13" fillId="5" borderId="0" xfId="8" applyFont="1" applyFill="1" applyAlignment="1">
      <alignment horizontal="right" vertical="center" indent="3"/>
    </xf>
    <xf numFmtId="0" fontId="13" fillId="5" borderId="41" xfId="9" applyFont="1" applyFill="1" applyBorder="1" applyAlignment="1">
      <alignment horizontal="right" vertical="center" wrapText="1" indent="3"/>
    </xf>
    <xf numFmtId="0" fontId="13" fillId="5" borderId="1" xfId="9" applyFont="1" applyFill="1" applyBorder="1" applyAlignment="1">
      <alignment horizontal="right" vertical="center" wrapText="1" indent="3"/>
    </xf>
    <xf numFmtId="0" fontId="13" fillId="5" borderId="43" xfId="8" applyFont="1" applyFill="1" applyBorder="1" applyAlignment="1">
      <alignment horizontal="left" vertical="center" wrapText="1"/>
    </xf>
    <xf numFmtId="0" fontId="13" fillId="5" borderId="8" xfId="8" applyFont="1" applyFill="1" applyBorder="1" applyAlignment="1">
      <alignment horizontal="left" vertical="center" wrapText="1"/>
    </xf>
    <xf numFmtId="0" fontId="13" fillId="5" borderId="44" xfId="8" applyFont="1" applyFill="1" applyBorder="1" applyAlignment="1">
      <alignment horizontal="left" vertical="center" wrapText="1"/>
    </xf>
    <xf numFmtId="0" fontId="13" fillId="5" borderId="5" xfId="8" applyFont="1" applyFill="1" applyBorder="1" applyAlignment="1">
      <alignment horizontal="left" vertical="center" wrapText="1"/>
    </xf>
  </cellXfs>
  <cellStyles count="12">
    <cellStyle name="Comma" xfId="1" builtinId="3"/>
    <cellStyle name="Normal" xfId="0" builtinId="0"/>
    <cellStyle name="Normal 16" xfId="11" xr:uid="{984D2605-41D2-47B0-965E-9BD94213A0BF}"/>
    <cellStyle name="Normal 28" xfId="3" xr:uid="{77F9C29A-1FE1-4A25-A193-DA884B75EF51}"/>
    <cellStyle name="Normal 29" xfId="6" xr:uid="{A41FB21A-D921-4C1C-9354-6435B57990E3}"/>
    <cellStyle name="Normal 30" xfId="7" xr:uid="{9382EEDD-1B8B-43CB-96F0-5056066BF015}"/>
    <cellStyle name="Normal 33" xfId="8" xr:uid="{A96D1151-7C3F-43EB-8E86-CDE89AA4CBFD}"/>
    <cellStyle name="Normal_Sheet1_3" xfId="9" xr:uid="{5AC4B9F3-3CFD-4C0A-8526-C4963D37C21F}"/>
    <cellStyle name="Normal_Sheet2_1" xfId="4" xr:uid="{CBE175E5-0A90-48D8-9BF7-A1B19A52A88F}"/>
    <cellStyle name="Normal_Summary Tables" xfId="5" xr:uid="{E35C63D4-CEBE-4A1F-BA11-2417EA96218D}"/>
    <cellStyle name="Normal_Trajectory" xfId="10" xr:uid="{6C1585FC-A33B-454F-9F44-927ADC4EF42D}"/>
    <cellStyle name="Percent" xfId="2" builtinId="5"/>
  </cellStyles>
  <dxfs count="2794">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 formatCode="0"/>
    </dxf>
    <dxf>
      <fill>
        <patternFill patternType="solid">
          <bgColor rgb="FFFFC000"/>
        </patternFill>
      </fill>
    </dxf>
    <dxf>
      <fill>
        <patternFill patternType="solid">
          <bgColor rgb="FFFFC000"/>
        </patternFill>
      </fill>
    </dxf>
    <dxf>
      <fill>
        <patternFill patternType="solid">
          <bgColor rgb="FFFFC000"/>
        </patternFill>
      </fill>
    </dxf>
    <dxf>
      <font>
        <sz val="10"/>
      </font>
    </dxf>
    <dxf>
      <font>
        <sz val="10"/>
      </font>
    </dxf>
    <dxf>
      <font>
        <sz val="10"/>
      </font>
    </dxf>
    <dxf>
      <font>
        <sz val="10"/>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 formatCode="0"/>
    </dxf>
    <dxf>
      <numFmt numFmtId="1" formatCode="0"/>
    </dxf>
    <dxf>
      <fill>
        <patternFill patternType="solid">
          <bgColor rgb="FFFFC000"/>
        </patternFill>
      </fill>
    </dxf>
    <dxf>
      <fill>
        <patternFill patternType="solid">
          <bgColor rgb="FFFFC000"/>
        </patternFill>
      </fill>
    </dxf>
    <dxf>
      <fill>
        <patternFill patternType="solid">
          <bgColor rgb="FFFFC000"/>
        </patternFill>
      </fill>
    </dxf>
    <dxf>
      <font>
        <sz val="10"/>
      </font>
    </dxf>
    <dxf>
      <font>
        <sz val="10"/>
      </font>
    </dxf>
    <dxf>
      <font>
        <sz val="10"/>
      </font>
    </dxf>
    <dxf>
      <font>
        <sz val="10"/>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left"/>
    </dxf>
    <dxf>
      <alignment vertical="center"/>
    </dxf>
    <dxf>
      <fill>
        <patternFill>
          <bgColor rgb="FF92D050"/>
        </patternFill>
      </fill>
    </dxf>
    <dxf>
      <fill>
        <patternFill>
          <bgColor rgb="FF92D050"/>
        </patternFill>
      </fill>
    </dxf>
    <dxf>
      <fill>
        <patternFill patternType="solid">
          <bgColor rgb="FFFFC000"/>
        </patternFill>
      </fill>
    </dxf>
    <dxf>
      <fill>
        <patternFill patternType="solid">
          <bgColor rgb="FFFFC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ont>
        <b val="0"/>
      </font>
    </dxf>
    <dxf>
      <font>
        <b val="0"/>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left"/>
    </dxf>
    <dxf>
      <alignment vertical="center"/>
    </dxf>
    <dxf>
      <fill>
        <patternFill>
          <bgColor rgb="FF92D050"/>
        </patternFill>
      </fill>
    </dxf>
    <dxf>
      <fill>
        <patternFill>
          <bgColor rgb="FF92D050"/>
        </patternFill>
      </fill>
    </dxf>
    <dxf>
      <fill>
        <patternFill patternType="solid">
          <bgColor rgb="FFFFC000"/>
        </patternFill>
      </fill>
    </dxf>
    <dxf>
      <fill>
        <patternFill patternType="solid">
          <bgColor rgb="FFFFC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ont>
        <b val="0"/>
      </font>
    </dxf>
    <dxf>
      <font>
        <b val="0"/>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64" formatCode="0.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color rgb="FFFF0000"/>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solid">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solid">
          <bgColor rgb="FFFFFF00"/>
        </patternFill>
      </fill>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GB" sz="900" b="0"/>
              <a:t>Breakdown of development pipeline (net dwellings)</a:t>
            </a:r>
          </a:p>
        </c:rich>
      </c:tx>
      <c:layout>
        <c:manualLayout>
          <c:xMode val="edge"/>
          <c:yMode val="edge"/>
          <c:x val="0.13378677929811045"/>
          <c:y val="4.1043553766305536E-3"/>
        </c:manualLayout>
      </c:layout>
      <c:overlay val="0"/>
      <c:spPr>
        <a:noFill/>
        <a:ln w="25400">
          <a:noFill/>
        </a:ln>
      </c:spPr>
    </c:title>
    <c:autoTitleDeleted val="0"/>
    <c:plotArea>
      <c:layout>
        <c:manualLayout>
          <c:layoutTarget val="inner"/>
          <c:xMode val="edge"/>
          <c:yMode val="edge"/>
          <c:x val="0.10163788736934198"/>
          <c:y val="0.12198068991376078"/>
          <c:w val="0.82010429617350467"/>
          <c:h val="0.73208941299399188"/>
        </c:manualLayout>
      </c:layout>
      <c:barChart>
        <c:barDir val="col"/>
        <c:grouping val="clustered"/>
        <c:varyColors val="0"/>
        <c:ser>
          <c:idx val="0"/>
          <c:order val="0"/>
          <c:spPr>
            <a:solidFill>
              <a:srgbClr val="0070C0"/>
            </a:solidFill>
            <a:ln w="12700">
              <a:solidFill>
                <a:srgbClr val="0070C0"/>
              </a:solidFill>
              <a:prstDash val="solid"/>
            </a:ln>
          </c:spPr>
          <c:invertIfNegative val="0"/>
          <c:dPt>
            <c:idx val="0"/>
            <c:invertIfNegative val="0"/>
            <c:bubble3D val="0"/>
            <c:extLst>
              <c:ext xmlns:c16="http://schemas.microsoft.com/office/drawing/2014/chart" uri="{C3380CC4-5D6E-409C-BE32-E72D297353CC}">
                <c16:uniqueId val="{00000000-C852-4C91-AFAC-316BB882231F}"/>
              </c:ext>
            </c:extLst>
          </c:dPt>
          <c:dPt>
            <c:idx val="1"/>
            <c:invertIfNegative val="0"/>
            <c:bubble3D val="0"/>
            <c:extLst>
              <c:ext xmlns:c16="http://schemas.microsoft.com/office/drawing/2014/chart" uri="{C3380CC4-5D6E-409C-BE32-E72D297353CC}">
                <c16:uniqueId val="{00000001-C852-4C91-AFAC-316BB882231F}"/>
              </c:ext>
            </c:extLst>
          </c:dPt>
          <c:dPt>
            <c:idx val="2"/>
            <c:invertIfNegative val="0"/>
            <c:bubble3D val="0"/>
            <c:extLst>
              <c:ext xmlns:c16="http://schemas.microsoft.com/office/drawing/2014/chart" uri="{C3380CC4-5D6E-409C-BE32-E72D297353CC}">
                <c16:uniqueId val="{00000002-C852-4C91-AFAC-316BB882231F}"/>
              </c:ext>
            </c:extLst>
          </c:dPt>
          <c:dPt>
            <c:idx val="3"/>
            <c:invertIfNegative val="0"/>
            <c:bubble3D val="0"/>
            <c:extLst>
              <c:ext xmlns:c16="http://schemas.microsoft.com/office/drawing/2014/chart" uri="{C3380CC4-5D6E-409C-BE32-E72D297353CC}">
                <c16:uniqueId val="{00000003-C852-4C91-AFAC-316BB882231F}"/>
              </c:ext>
            </c:extLst>
          </c:dPt>
          <c:cat>
            <c:strRef>
              <c:f>'Summary Tables'!$C$63:$E$65</c:f>
              <c:strCache>
                <c:ptCount val="3"/>
                <c:pt idx="0">
                  <c:v>Under Construction</c:v>
                </c:pt>
                <c:pt idx="1">
                  <c:v>Planning Permissions</c:v>
                </c:pt>
                <c:pt idx="2">
                  <c:v>Deliverable Sites</c:v>
                </c:pt>
              </c:strCache>
            </c:strRef>
          </c:cat>
          <c:val>
            <c:numRef>
              <c:f>'Summary Tables'!$K$63:$K$65</c:f>
              <c:numCache>
                <c:formatCode>#,##0</c:formatCode>
                <c:ptCount val="3"/>
                <c:pt idx="0">
                  <c:v>523</c:v>
                </c:pt>
                <c:pt idx="1">
                  <c:v>541</c:v>
                </c:pt>
                <c:pt idx="2">
                  <c:v>1023.25</c:v>
                </c:pt>
              </c:numCache>
            </c:numRef>
          </c:val>
          <c:extLst>
            <c:ext xmlns:c16="http://schemas.microsoft.com/office/drawing/2014/chart" uri="{C3380CC4-5D6E-409C-BE32-E72D297353CC}">
              <c16:uniqueId val="{00000004-C852-4C91-AFAC-316BB882231F}"/>
            </c:ext>
          </c:extLst>
        </c:ser>
        <c:dLbls>
          <c:showLegendKey val="0"/>
          <c:showVal val="0"/>
          <c:showCatName val="0"/>
          <c:showSerName val="0"/>
          <c:showPercent val="0"/>
          <c:showBubbleSize val="0"/>
        </c:dLbls>
        <c:gapWidth val="40"/>
        <c:axId val="303027712"/>
        <c:axId val="303026176"/>
      </c:barChart>
      <c:valAx>
        <c:axId val="303026176"/>
        <c:scaling>
          <c:orientation val="minMax"/>
        </c:scaling>
        <c:delete val="0"/>
        <c:axPos val="l"/>
        <c:majorGridlines/>
        <c:numFmt formatCode="#,##0" sourceLinked="1"/>
        <c:majorTickMark val="out"/>
        <c:minorTickMark val="none"/>
        <c:tickLblPos val="nextTo"/>
        <c:txPr>
          <a:bodyPr/>
          <a:lstStyle/>
          <a:p>
            <a:pPr>
              <a:defRPr sz="900"/>
            </a:pPr>
            <a:endParaRPr lang="en-US"/>
          </a:p>
        </c:txPr>
        <c:crossAx val="303027712"/>
        <c:crosses val="autoZero"/>
        <c:crossBetween val="between"/>
      </c:valAx>
      <c:catAx>
        <c:axId val="303027712"/>
        <c:scaling>
          <c:orientation val="minMax"/>
        </c:scaling>
        <c:delete val="0"/>
        <c:axPos val="b"/>
        <c:numFmt formatCode="General" sourceLinked="0"/>
        <c:majorTickMark val="out"/>
        <c:minorTickMark val="none"/>
        <c:tickLblPos val="nextTo"/>
        <c:spPr>
          <a:ln>
            <a:solidFill>
              <a:schemeClr val="accent1"/>
            </a:solidFill>
          </a:ln>
        </c:spPr>
        <c:txPr>
          <a:bodyPr/>
          <a:lstStyle/>
          <a:p>
            <a:pPr>
              <a:defRPr sz="900"/>
            </a:pPr>
            <a:endParaRPr lang="en-US"/>
          </a:p>
        </c:txPr>
        <c:crossAx val="303026176"/>
        <c:crossesAt val="0"/>
        <c:auto val="0"/>
        <c:lblAlgn val="ctr"/>
        <c:lblOffset val="100"/>
        <c:noMultiLvlLbl val="0"/>
      </c:catAx>
      <c:spPr>
        <a:noFill/>
        <a:ln w="12700">
          <a:noFill/>
        </a:ln>
      </c:spPr>
    </c:plotArea>
    <c:plotVisOnly val="1"/>
    <c:dispBlanksAs val="zero"/>
    <c:showDLblsOverMax val="0"/>
  </c:chart>
  <c:spPr>
    <a:solidFill>
      <a:srgbClr val="FFFFFF"/>
    </a:solidFill>
    <a:ln w="9525">
      <a:solidFill>
        <a:schemeClr val="bg1">
          <a:lumMod val="50000"/>
        </a:schemeClr>
      </a:solid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Under</a:t>
            </a:r>
            <a:r>
              <a:rPr lang="en-GB" baseline="0"/>
              <a:t> Construction</a:t>
            </a:r>
            <a:r>
              <a:rPr lang="en-GB"/>
              <a:t> by Ward 2020/21</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40203382947539906"/>
          <c:y val="7.2401732915915631E-2"/>
          <c:w val="0.56490969759946374"/>
          <c:h val="0.84446573696360239"/>
        </c:manualLayout>
      </c:layout>
      <c:barChart>
        <c:barDir val="bar"/>
        <c:grouping val="clustered"/>
        <c:varyColors val="0"/>
        <c:ser>
          <c:idx val="1"/>
          <c:order val="0"/>
          <c:tx>
            <c:strRef>
              <c:f>'Summary Tables'!$G$209</c:f>
              <c:strCache>
                <c:ptCount val="1"/>
                <c:pt idx="0">
                  <c:v>Under Construction</c:v>
                </c:pt>
              </c:strCache>
            </c:strRef>
          </c:tx>
          <c:spPr>
            <a:solidFill>
              <a:schemeClr val="tx2">
                <a:lumMod val="60000"/>
                <a:lumOff val="40000"/>
              </a:schemeClr>
            </a:solidFill>
            <a:ln w="12700">
              <a:solidFill>
                <a:srgbClr val="000000"/>
              </a:solidFill>
            </a:ln>
          </c:spPr>
          <c:invertIfNegative val="0"/>
          <c:dLbls>
            <c:delete val="1"/>
          </c:dLbls>
          <c:cat>
            <c:strRef>
              <c:f>'Summary Tables'!$C$210:$C$227</c:f>
              <c:strCache>
                <c:ptCount val="18"/>
                <c:pt idx="0">
                  <c:v>Barnes</c:v>
                </c:pt>
                <c:pt idx="1">
                  <c:v>East Sheen</c:v>
                </c:pt>
                <c:pt idx="2">
                  <c:v>Fulwell, Hampton Hill</c:v>
                </c:pt>
                <c:pt idx="3">
                  <c:v>Ham, Petersham and Richmond Riverside</c:v>
                </c:pt>
                <c:pt idx="4">
                  <c:v>Hampton</c:v>
                </c:pt>
                <c:pt idx="5">
                  <c:v>Hampton North</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Tables'!$G$210:$G$227</c:f>
              <c:numCache>
                <c:formatCode>#,##0</c:formatCode>
                <c:ptCount val="18"/>
                <c:pt idx="0">
                  <c:v>1</c:v>
                </c:pt>
                <c:pt idx="1">
                  <c:v>4</c:v>
                </c:pt>
                <c:pt idx="2">
                  <c:v>12</c:v>
                </c:pt>
                <c:pt idx="3">
                  <c:v>-1</c:v>
                </c:pt>
                <c:pt idx="4">
                  <c:v>19</c:v>
                </c:pt>
                <c:pt idx="5">
                  <c:v>1</c:v>
                </c:pt>
                <c:pt idx="6">
                  <c:v>74</c:v>
                </c:pt>
                <c:pt idx="7">
                  <c:v>1</c:v>
                </c:pt>
                <c:pt idx="8">
                  <c:v>35</c:v>
                </c:pt>
                <c:pt idx="9">
                  <c:v>8</c:v>
                </c:pt>
                <c:pt idx="10">
                  <c:v>75</c:v>
                </c:pt>
                <c:pt idx="11">
                  <c:v>18</c:v>
                </c:pt>
                <c:pt idx="12">
                  <c:v>12</c:v>
                </c:pt>
                <c:pt idx="13">
                  <c:v>214</c:v>
                </c:pt>
                <c:pt idx="14">
                  <c:v>43</c:v>
                </c:pt>
                <c:pt idx="15">
                  <c:v>6</c:v>
                </c:pt>
                <c:pt idx="16">
                  <c:v>5</c:v>
                </c:pt>
                <c:pt idx="17">
                  <c:v>-4</c:v>
                </c:pt>
              </c:numCache>
            </c:numRef>
          </c:val>
          <c:extLst>
            <c:ext xmlns:c16="http://schemas.microsoft.com/office/drawing/2014/chart" uri="{C3380CC4-5D6E-409C-BE32-E72D297353CC}">
              <c16:uniqueId val="{00000000-2001-491B-9A4F-216AA4D6A905}"/>
            </c:ext>
          </c:extLst>
        </c:ser>
        <c:dLbls>
          <c:showLegendKey val="0"/>
          <c:showVal val="1"/>
          <c:showCatName val="0"/>
          <c:showSerName val="0"/>
          <c:showPercent val="0"/>
          <c:showBubbleSize val="0"/>
        </c:dLbls>
        <c:gapWidth val="0"/>
        <c:overlap val="100"/>
        <c:axId val="325048192"/>
        <c:axId val="325049728"/>
      </c:barChart>
      <c:catAx>
        <c:axId val="325048192"/>
        <c:scaling>
          <c:orientation val="maxMin"/>
        </c:scaling>
        <c:delete val="0"/>
        <c:axPos val="l"/>
        <c:numFmt formatCode="General" sourceLinked="1"/>
        <c:majorTickMark val="out"/>
        <c:minorTickMark val="none"/>
        <c:tickLblPos val="nextTo"/>
        <c:txPr>
          <a:bodyPr rot="0" vert="horz"/>
          <a:lstStyle/>
          <a:p>
            <a:pPr>
              <a:defRPr/>
            </a:pPr>
            <a:endParaRPr lang="en-US"/>
          </a:p>
        </c:txPr>
        <c:crossAx val="325049728"/>
        <c:crosses val="autoZero"/>
        <c:auto val="1"/>
        <c:lblAlgn val="ctr"/>
        <c:lblOffset val="10"/>
        <c:tickLblSkip val="1"/>
        <c:noMultiLvlLbl val="0"/>
      </c:catAx>
      <c:valAx>
        <c:axId val="325049728"/>
        <c:scaling>
          <c:orientation val="minMax"/>
          <c:max val="250"/>
          <c:min val="0"/>
        </c:scaling>
        <c:delete val="0"/>
        <c:axPos val="b"/>
        <c:majorGridlines>
          <c:spPr>
            <a:ln w="3175">
              <a:solidFill>
                <a:srgbClr val="BEBEBE"/>
              </a:solidFill>
              <a:prstDash val="solid"/>
            </a:ln>
          </c:spPr>
        </c:majorGridlines>
        <c:minorGridlines/>
        <c:numFmt formatCode="General" sourceLinked="0"/>
        <c:majorTickMark val="out"/>
        <c:minorTickMark val="none"/>
        <c:tickLblPos val="high"/>
        <c:spPr>
          <a:ln>
            <a:solidFill>
              <a:schemeClr val="bg1">
                <a:lumMod val="75000"/>
              </a:schemeClr>
            </a:solidFill>
          </a:ln>
        </c:spPr>
        <c:txPr>
          <a:bodyPr rot="0" vert="horz"/>
          <a:lstStyle/>
          <a:p>
            <a:pPr>
              <a:defRPr/>
            </a:pPr>
            <a:endParaRPr lang="en-US"/>
          </a:p>
        </c:txPr>
        <c:crossAx val="325048192"/>
        <c:crosses val="max"/>
        <c:crossBetween val="between"/>
        <c:majorUnit val="50"/>
        <c:minorUnit val="50"/>
      </c:valAx>
    </c:plotArea>
    <c:plotVisOnly val="1"/>
    <c:dispBlanksAs val="gap"/>
    <c:showDLblsOverMax val="0"/>
  </c:chart>
  <c:spPr>
    <a:solidFill>
      <a:srgbClr val="FFFFFF"/>
    </a:solidFill>
    <a:ln w="3175">
      <a:solidFill>
        <a:schemeClr val="bg1">
          <a:lumMod val="50000"/>
        </a:schemeClr>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33727034122E-2"/>
          <c:y val="2.4980700941794044E-2"/>
          <c:w val="0.61764640748031496"/>
          <c:h val="0.9301028253821213"/>
        </c:manualLayout>
      </c:layout>
      <c:pieChart>
        <c:varyColors val="1"/>
        <c:ser>
          <c:idx val="0"/>
          <c:order val="0"/>
          <c:tx>
            <c:strRef>
              <c:f>'Summary Tables'!$C$291:$D$291</c:f>
              <c:strCache>
                <c:ptCount val="2"/>
                <c:pt idx="0">
                  <c:v>Market</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9439-40D1-B6FC-12DCAB1F8739}"/>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9439-40D1-B6FC-12DCAB1F8739}"/>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9439-40D1-B6FC-12DCAB1F8739}"/>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9439-40D1-B6FC-12DCAB1F8739}"/>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9439-40D1-B6FC-12DCAB1F8739}"/>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9439-40D1-B6FC-12DCAB1F8739}"/>
              </c:ext>
            </c:extLst>
          </c:dPt>
          <c:cat>
            <c:strRef>
              <c:f>'Summary Tables'!$E$290:$H$290</c:f>
              <c:strCache>
                <c:ptCount val="4"/>
                <c:pt idx="0">
                  <c:v>1 bed</c:v>
                </c:pt>
                <c:pt idx="1">
                  <c:v>2 bed</c:v>
                </c:pt>
                <c:pt idx="2">
                  <c:v>3 bed</c:v>
                </c:pt>
                <c:pt idx="3">
                  <c:v>4 + bed</c:v>
                </c:pt>
              </c:strCache>
            </c:strRef>
          </c:cat>
          <c:val>
            <c:numRef>
              <c:f>'Summary Tables'!$E$291:$H$291</c:f>
              <c:numCache>
                <c:formatCode>#,##0</c:formatCode>
                <c:ptCount val="4"/>
                <c:pt idx="0">
                  <c:v>115</c:v>
                </c:pt>
                <c:pt idx="1">
                  <c:v>168</c:v>
                </c:pt>
                <c:pt idx="2">
                  <c:v>42</c:v>
                </c:pt>
                <c:pt idx="3">
                  <c:v>26</c:v>
                </c:pt>
              </c:numCache>
            </c:numRef>
          </c:val>
          <c:extLst>
            <c:ext xmlns:c16="http://schemas.microsoft.com/office/drawing/2014/chart" uri="{C3380CC4-5D6E-409C-BE32-E72D297353CC}">
              <c16:uniqueId val="{0000000C-9439-40D1-B6FC-12DCAB1F8739}"/>
            </c:ext>
          </c:extLst>
        </c:ser>
        <c:ser>
          <c:idx val="1"/>
          <c:order val="1"/>
          <c:tx>
            <c:strRef>
              <c:f>'Summary Tables'!$C$292:$D$292</c:f>
              <c:strCache>
                <c:ptCount val="2"/>
                <c:pt idx="0">
                  <c:v>Market</c:v>
                </c:pt>
              </c:strCache>
            </c:strRef>
          </c:tx>
          <c:cat>
            <c:strRef>
              <c:f>'Summary Tables'!$E$290:$H$290</c:f>
              <c:strCache>
                <c:ptCount val="4"/>
                <c:pt idx="0">
                  <c:v>1 bed</c:v>
                </c:pt>
                <c:pt idx="1">
                  <c:v>2 bed</c:v>
                </c:pt>
                <c:pt idx="2">
                  <c:v>3 bed</c:v>
                </c:pt>
                <c:pt idx="3">
                  <c:v>4 + bed</c:v>
                </c:pt>
              </c:strCache>
            </c:strRef>
          </c:cat>
          <c:val>
            <c:numRef>
              <c:f>'Summary Tables'!$E$292:$H$292</c:f>
              <c:numCache>
                <c:formatCode>0%</c:formatCode>
                <c:ptCount val="4"/>
                <c:pt idx="0">
                  <c:v>0.32857142857142857</c:v>
                </c:pt>
                <c:pt idx="1">
                  <c:v>0.48</c:v>
                </c:pt>
                <c:pt idx="2">
                  <c:v>0.12</c:v>
                </c:pt>
                <c:pt idx="3">
                  <c:v>7.4285714285714288E-2</c:v>
                </c:pt>
              </c:numCache>
            </c:numRef>
          </c:val>
          <c:extLst>
            <c:ext xmlns:c16="http://schemas.microsoft.com/office/drawing/2014/chart" uri="{C3380CC4-5D6E-409C-BE32-E72D297353CC}">
              <c16:uniqueId val="{0000000D-9439-40D1-B6FC-12DCAB1F8739}"/>
            </c:ext>
          </c:extLst>
        </c:ser>
        <c:ser>
          <c:idx val="2"/>
          <c:order val="2"/>
          <c:tx>
            <c:strRef>
              <c:f>'Summary Tables'!$C$293:$D$293</c:f>
              <c:strCache>
                <c:ptCount val="2"/>
                <c:pt idx="0">
                  <c:v>Intermediate</c:v>
                </c:pt>
              </c:strCache>
            </c:strRef>
          </c:tx>
          <c:cat>
            <c:strRef>
              <c:f>'Summary Tables'!$E$290:$H$290</c:f>
              <c:strCache>
                <c:ptCount val="4"/>
                <c:pt idx="0">
                  <c:v>1 bed</c:v>
                </c:pt>
                <c:pt idx="1">
                  <c:v>2 bed</c:v>
                </c:pt>
                <c:pt idx="2">
                  <c:v>3 bed</c:v>
                </c:pt>
                <c:pt idx="3">
                  <c:v>4 + bed</c:v>
                </c:pt>
              </c:strCache>
            </c:strRef>
          </c:cat>
          <c:val>
            <c:numRef>
              <c:f>'Summary Tables'!$E$293:$H$293</c:f>
              <c:numCache>
                <c:formatCode>#,##0</c:formatCode>
                <c:ptCount val="4"/>
                <c:pt idx="0">
                  <c:v>9</c:v>
                </c:pt>
                <c:pt idx="1">
                  <c:v>7</c:v>
                </c:pt>
                <c:pt idx="2">
                  <c:v>3</c:v>
                </c:pt>
                <c:pt idx="3">
                  <c:v>0</c:v>
                </c:pt>
              </c:numCache>
            </c:numRef>
          </c:val>
          <c:extLst>
            <c:ext xmlns:c16="http://schemas.microsoft.com/office/drawing/2014/chart" uri="{C3380CC4-5D6E-409C-BE32-E72D297353CC}">
              <c16:uniqueId val="{0000000E-9439-40D1-B6FC-12DCAB1F8739}"/>
            </c:ext>
          </c:extLst>
        </c:ser>
        <c:ser>
          <c:idx val="3"/>
          <c:order val="3"/>
          <c:tx>
            <c:strRef>
              <c:f>'Summary Tables'!$C$294:$D$294</c:f>
              <c:strCache>
                <c:ptCount val="2"/>
                <c:pt idx="0">
                  <c:v>Intermediate</c:v>
                </c:pt>
              </c:strCache>
            </c:strRef>
          </c:tx>
          <c:cat>
            <c:strRef>
              <c:f>'Summary Tables'!$E$290:$H$290</c:f>
              <c:strCache>
                <c:ptCount val="4"/>
                <c:pt idx="0">
                  <c:v>1 bed</c:v>
                </c:pt>
                <c:pt idx="1">
                  <c:v>2 bed</c:v>
                </c:pt>
                <c:pt idx="2">
                  <c:v>3 bed</c:v>
                </c:pt>
                <c:pt idx="3">
                  <c:v>4 + bed</c:v>
                </c:pt>
              </c:strCache>
            </c:strRef>
          </c:cat>
          <c:val>
            <c:numRef>
              <c:f>'Summary Tables'!$E$294:$H$294</c:f>
              <c:numCache>
                <c:formatCode>0%</c:formatCode>
                <c:ptCount val="4"/>
                <c:pt idx="0">
                  <c:v>2.5714285714285714E-2</c:v>
                </c:pt>
                <c:pt idx="1">
                  <c:v>0.02</c:v>
                </c:pt>
                <c:pt idx="2">
                  <c:v>8.5714285714285719E-3</c:v>
                </c:pt>
                <c:pt idx="3">
                  <c:v>0</c:v>
                </c:pt>
              </c:numCache>
            </c:numRef>
          </c:val>
          <c:extLst>
            <c:ext xmlns:c16="http://schemas.microsoft.com/office/drawing/2014/chart" uri="{C3380CC4-5D6E-409C-BE32-E72D297353CC}">
              <c16:uniqueId val="{0000000F-9439-40D1-B6FC-12DCAB1F8739}"/>
            </c:ext>
          </c:extLst>
        </c:ser>
        <c:ser>
          <c:idx val="4"/>
          <c:order val="4"/>
          <c:tx>
            <c:strRef>
              <c:f>'Summary Tables'!$C$295:$D$295</c:f>
              <c:strCache>
                <c:ptCount val="2"/>
                <c:pt idx="0">
                  <c:v>Affordable Rented</c:v>
                </c:pt>
              </c:strCache>
            </c:strRef>
          </c:tx>
          <c:cat>
            <c:strRef>
              <c:f>'Summary Tables'!$E$290:$H$290</c:f>
              <c:strCache>
                <c:ptCount val="4"/>
                <c:pt idx="0">
                  <c:v>1 bed</c:v>
                </c:pt>
                <c:pt idx="1">
                  <c:v>2 bed</c:v>
                </c:pt>
                <c:pt idx="2">
                  <c:v>3 bed</c:v>
                </c:pt>
                <c:pt idx="3">
                  <c:v>4 + bed</c:v>
                </c:pt>
              </c:strCache>
            </c:strRef>
          </c:cat>
          <c:val>
            <c:numRef>
              <c:f>'Summary Tables'!$E$295:$H$295</c:f>
              <c:numCache>
                <c:formatCode>#,##0</c:formatCode>
                <c:ptCount val="4"/>
                <c:pt idx="0">
                  <c:v>15</c:v>
                </c:pt>
                <c:pt idx="1">
                  <c:v>12</c:v>
                </c:pt>
                <c:pt idx="2">
                  <c:v>6</c:v>
                </c:pt>
                <c:pt idx="3">
                  <c:v>0</c:v>
                </c:pt>
              </c:numCache>
            </c:numRef>
          </c:val>
          <c:extLst>
            <c:ext xmlns:c16="http://schemas.microsoft.com/office/drawing/2014/chart" uri="{C3380CC4-5D6E-409C-BE32-E72D297353CC}">
              <c16:uniqueId val="{00000010-9439-40D1-B6FC-12DCAB1F8739}"/>
            </c:ext>
          </c:extLst>
        </c:ser>
        <c:ser>
          <c:idx val="5"/>
          <c:order val="5"/>
          <c:tx>
            <c:strRef>
              <c:f>'Summary Tables'!$C$296:$D$296</c:f>
              <c:strCache>
                <c:ptCount val="2"/>
                <c:pt idx="0">
                  <c:v>Affordable Rented</c:v>
                </c:pt>
              </c:strCache>
            </c:strRef>
          </c:tx>
          <c:cat>
            <c:strRef>
              <c:f>'Summary Tables'!$E$290:$H$290</c:f>
              <c:strCache>
                <c:ptCount val="4"/>
                <c:pt idx="0">
                  <c:v>1 bed</c:v>
                </c:pt>
                <c:pt idx="1">
                  <c:v>2 bed</c:v>
                </c:pt>
                <c:pt idx="2">
                  <c:v>3 bed</c:v>
                </c:pt>
                <c:pt idx="3">
                  <c:v>4 + bed</c:v>
                </c:pt>
              </c:strCache>
            </c:strRef>
          </c:cat>
          <c:val>
            <c:numRef>
              <c:f>'Summary Tables'!$E$296:$H$296</c:f>
              <c:numCache>
                <c:formatCode>0%</c:formatCode>
                <c:ptCount val="4"/>
                <c:pt idx="0">
                  <c:v>4.2857142857142858E-2</c:v>
                </c:pt>
                <c:pt idx="1">
                  <c:v>3.4285714285714287E-2</c:v>
                </c:pt>
                <c:pt idx="2">
                  <c:v>1.7142857142857144E-2</c:v>
                </c:pt>
                <c:pt idx="3">
                  <c:v>0</c:v>
                </c:pt>
              </c:numCache>
            </c:numRef>
          </c:val>
          <c:extLst>
            <c:ext xmlns:c16="http://schemas.microsoft.com/office/drawing/2014/chart" uri="{C3380CC4-5D6E-409C-BE32-E72D297353CC}">
              <c16:uniqueId val="{00000011-9439-40D1-B6FC-12DCAB1F873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23543615452958339"/>
          <c:h val="0.5523645907897876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GB" sz="1100">
                <a:latin typeface="Arial" panose="020B0604020202020204" pitchFamily="34" charset="0"/>
                <a:cs typeface="Arial" panose="020B0604020202020204" pitchFamily="34" charset="0"/>
              </a:rPr>
              <a:t>Housing Delivery</a:t>
            </a:r>
            <a:r>
              <a:rPr lang="en-GB" sz="1100" baseline="0">
                <a:latin typeface="Arial" panose="020B0604020202020204" pitchFamily="34" charset="0"/>
                <a:cs typeface="Arial" panose="020B0604020202020204" pitchFamily="34" charset="0"/>
              </a:rPr>
              <a:t> Trajectory and Managed Target</a:t>
            </a:r>
            <a:endParaRPr lang="en-GB" sz="1100">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Trajectory!$C$8</c:f>
              <c:strCache>
                <c:ptCount val="1"/>
                <c:pt idx="0">
                  <c:v>Past Completions</c:v>
                </c:pt>
              </c:strCache>
            </c:strRef>
          </c:tx>
          <c:spPr>
            <a:solidFill>
              <a:schemeClr val="tx2"/>
            </a:solidFill>
          </c:spPr>
          <c:invertIfNegative val="0"/>
          <c:dPt>
            <c:idx val="7"/>
            <c:invertIfNegative val="0"/>
            <c:bubble3D val="0"/>
            <c:extLst>
              <c:ext xmlns:c16="http://schemas.microsoft.com/office/drawing/2014/chart" uri="{C3380CC4-5D6E-409C-BE32-E72D297353CC}">
                <c16:uniqueId val="{00000000-9BE2-47D6-9C04-24B2A658BCCC}"/>
              </c:ext>
            </c:extLst>
          </c:dPt>
          <c:dPt>
            <c:idx val="8"/>
            <c:invertIfNegative val="0"/>
            <c:bubble3D val="0"/>
            <c:extLst>
              <c:ext xmlns:c16="http://schemas.microsoft.com/office/drawing/2014/chart" uri="{C3380CC4-5D6E-409C-BE32-E72D297353CC}">
                <c16:uniqueId val="{00000002-9BE2-47D6-9C04-24B2A658BCCC}"/>
              </c:ext>
            </c:extLst>
          </c:dPt>
          <c:dPt>
            <c:idx val="9"/>
            <c:invertIfNegative val="0"/>
            <c:bubble3D val="0"/>
            <c:spPr>
              <a:solidFill>
                <a:schemeClr val="accent5"/>
              </a:solidFill>
            </c:spPr>
            <c:extLst>
              <c:ext xmlns:c16="http://schemas.microsoft.com/office/drawing/2014/chart" uri="{C3380CC4-5D6E-409C-BE32-E72D297353CC}">
                <c16:uniqueId val="{00000008-9BE2-47D6-9C04-24B2A658BCCC}"/>
              </c:ext>
            </c:extLst>
          </c:dPt>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Trajectory!$D$6:$W$6</c:f>
              <c:strCache>
                <c:ptCount val="20"/>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strCache>
            </c:strRef>
          </c:cat>
          <c:val>
            <c:numRef>
              <c:f>Trajectory!$D$8:$W$8</c:f>
              <c:numCache>
                <c:formatCode>General</c:formatCode>
                <c:ptCount val="20"/>
                <c:pt idx="0">
                  <c:v>208</c:v>
                </c:pt>
                <c:pt idx="1">
                  <c:v>695</c:v>
                </c:pt>
                <c:pt idx="2">
                  <c:v>235</c:v>
                </c:pt>
                <c:pt idx="3">
                  <c:v>304</c:v>
                </c:pt>
                <c:pt idx="4">
                  <c:v>491</c:v>
                </c:pt>
                <c:pt idx="5">
                  <c:v>460</c:v>
                </c:pt>
                <c:pt idx="6">
                  <c:v>382</c:v>
                </c:pt>
                <c:pt idx="7">
                  <c:v>419</c:v>
                </c:pt>
                <c:pt idx="8" formatCode="#,##0">
                  <c:v>331</c:v>
                </c:pt>
                <c:pt idx="9" formatCode="#,##0">
                  <c:v>206</c:v>
                </c:pt>
              </c:numCache>
            </c:numRef>
          </c:val>
          <c:extLst>
            <c:ext xmlns:c16="http://schemas.microsoft.com/office/drawing/2014/chart" uri="{C3380CC4-5D6E-409C-BE32-E72D297353CC}">
              <c16:uniqueId val="{00000003-9BE2-47D6-9C04-24B2A658BCCC}"/>
            </c:ext>
          </c:extLst>
        </c:ser>
        <c:ser>
          <c:idx val="1"/>
          <c:order val="1"/>
          <c:tx>
            <c:strRef>
              <c:f>Trajectory!$C$9</c:f>
              <c:strCache>
                <c:ptCount val="1"/>
                <c:pt idx="0">
                  <c:v>Projected Completions</c:v>
                </c:pt>
              </c:strCache>
            </c:strRef>
          </c:tx>
          <c:spPr>
            <a:solidFill>
              <a:schemeClr val="accent1"/>
            </a:solidFill>
          </c:spPr>
          <c:invertIfNegative val="0"/>
          <c:dLbls>
            <c:numFmt formatCode="#,##0" sourceLinked="0"/>
            <c:spPr>
              <a:noFill/>
              <a:effectLst/>
            </c:spPr>
            <c:txPr>
              <a:bodyPr wrap="square" lIns="38100" tIns="19050" rIns="38100" bIns="19050" anchor="ctr">
                <a:spAutoFit/>
              </a:bodyPr>
              <a:lstStyle/>
              <a:p>
                <a:pPr>
                  <a:defRPr>
                    <a:solidFill>
                      <a:schemeClr val="tx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Trajectory!$D$6:$W$6</c:f>
              <c:strCache>
                <c:ptCount val="20"/>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strCache>
            </c:strRef>
          </c:cat>
          <c:val>
            <c:numRef>
              <c:f>Trajectory!$D$9:$W$9</c:f>
              <c:numCache>
                <c:formatCode>#,##0</c:formatCode>
                <c:ptCount val="20"/>
                <c:pt idx="10" formatCode="0">
                  <c:v>217.25</c:v>
                </c:pt>
                <c:pt idx="11" formatCode="0">
                  <c:v>338</c:v>
                </c:pt>
                <c:pt idx="12" formatCode="0">
                  <c:v>574.5</c:v>
                </c:pt>
                <c:pt idx="13" formatCode="0">
                  <c:v>432.5</c:v>
                </c:pt>
                <c:pt idx="14" formatCode="0">
                  <c:v>665</c:v>
                </c:pt>
                <c:pt idx="15" formatCode="0">
                  <c:v>510.25</c:v>
                </c:pt>
                <c:pt idx="16" formatCode="0">
                  <c:v>515.25</c:v>
                </c:pt>
                <c:pt idx="17" formatCode="0">
                  <c:v>515.25</c:v>
                </c:pt>
                <c:pt idx="18" formatCode="0">
                  <c:v>419</c:v>
                </c:pt>
                <c:pt idx="19" formatCode="0">
                  <c:v>419</c:v>
                </c:pt>
              </c:numCache>
            </c:numRef>
          </c:val>
          <c:extLst>
            <c:ext xmlns:c16="http://schemas.microsoft.com/office/drawing/2014/chart" uri="{C3380CC4-5D6E-409C-BE32-E72D297353CC}">
              <c16:uniqueId val="{00000004-9BE2-47D6-9C04-24B2A658BCCC}"/>
            </c:ext>
          </c:extLst>
        </c:ser>
        <c:dLbls>
          <c:showLegendKey val="0"/>
          <c:showVal val="0"/>
          <c:showCatName val="0"/>
          <c:showSerName val="0"/>
          <c:showPercent val="0"/>
          <c:showBubbleSize val="0"/>
        </c:dLbls>
        <c:gapWidth val="100"/>
        <c:overlap val="100"/>
        <c:axId val="320841984"/>
        <c:axId val="320852352"/>
      </c:barChart>
      <c:lineChart>
        <c:grouping val="standard"/>
        <c:varyColors val="0"/>
        <c:ser>
          <c:idx val="2"/>
          <c:order val="2"/>
          <c:tx>
            <c:strRef>
              <c:f>Trajectory!$C$11</c:f>
              <c:strCache>
                <c:ptCount val="1"/>
                <c:pt idx="0">
                  <c:v>Annual Target</c:v>
                </c:pt>
              </c:strCache>
            </c:strRef>
          </c:tx>
          <c:spPr>
            <a:ln>
              <a:solidFill>
                <a:schemeClr val="accent6">
                  <a:lumMod val="50000"/>
                </a:schemeClr>
              </a:solidFill>
            </a:ln>
          </c:spPr>
          <c:marker>
            <c:symbol val="none"/>
          </c:marker>
          <c:cat>
            <c:strRef>
              <c:f>Trajectory!$D$6:$W$6</c:f>
              <c:strCache>
                <c:ptCount val="20"/>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strCache>
            </c:strRef>
          </c:cat>
          <c:val>
            <c:numRef>
              <c:f>Trajectory!$D$11:$W$11</c:f>
              <c:numCache>
                <c:formatCode>#,##0</c:formatCode>
                <c:ptCount val="20"/>
                <c:pt idx="0">
                  <c:v>245</c:v>
                </c:pt>
                <c:pt idx="1">
                  <c:v>245</c:v>
                </c:pt>
                <c:pt idx="2">
                  <c:v>245</c:v>
                </c:pt>
                <c:pt idx="3">
                  <c:v>245</c:v>
                </c:pt>
                <c:pt idx="4">
                  <c:v>315</c:v>
                </c:pt>
                <c:pt idx="5">
                  <c:v>315</c:v>
                </c:pt>
                <c:pt idx="6">
                  <c:v>315</c:v>
                </c:pt>
                <c:pt idx="7">
                  <c:v>315</c:v>
                </c:pt>
                <c:pt idx="8">
                  <c:v>315</c:v>
                </c:pt>
                <c:pt idx="9">
                  <c:v>315</c:v>
                </c:pt>
                <c:pt idx="10">
                  <c:v>411</c:v>
                </c:pt>
                <c:pt idx="11">
                  <c:v>411</c:v>
                </c:pt>
                <c:pt idx="12">
                  <c:v>411</c:v>
                </c:pt>
                <c:pt idx="13">
                  <c:v>411</c:v>
                </c:pt>
                <c:pt idx="14">
                  <c:v>411</c:v>
                </c:pt>
                <c:pt idx="15">
                  <c:v>411</c:v>
                </c:pt>
                <c:pt idx="16">
                  <c:v>411</c:v>
                </c:pt>
                <c:pt idx="17">
                  <c:v>411</c:v>
                </c:pt>
                <c:pt idx="18">
                  <c:v>411</c:v>
                </c:pt>
                <c:pt idx="19">
                  <c:v>411</c:v>
                </c:pt>
              </c:numCache>
            </c:numRef>
          </c:val>
          <c:smooth val="0"/>
          <c:extLst>
            <c:ext xmlns:c16="http://schemas.microsoft.com/office/drawing/2014/chart" uri="{C3380CC4-5D6E-409C-BE32-E72D297353CC}">
              <c16:uniqueId val="{00000005-9BE2-47D6-9C04-24B2A658BCCC}"/>
            </c:ext>
          </c:extLst>
        </c:ser>
        <c:ser>
          <c:idx val="3"/>
          <c:order val="3"/>
          <c:tx>
            <c:strRef>
              <c:f>Trajectory!$C$14</c:f>
              <c:strCache>
                <c:ptCount val="1"/>
                <c:pt idx="0">
                  <c:v>Managed Annual Target incorporating Past and Projected Completions</c:v>
                </c:pt>
              </c:strCache>
            </c:strRef>
          </c:tx>
          <c:spPr>
            <a:ln w="22225">
              <a:solidFill>
                <a:schemeClr val="bg1">
                  <a:lumMod val="75000"/>
                </a:schemeClr>
              </a:solidFill>
              <a:prstDash val="solid"/>
            </a:ln>
          </c:spPr>
          <c:marker>
            <c:symbol val="none"/>
          </c:marker>
          <c:cat>
            <c:strRef>
              <c:f>Trajectory!$D$6:$W$6</c:f>
              <c:strCache>
                <c:ptCount val="20"/>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strCache>
            </c:strRef>
          </c:cat>
          <c:val>
            <c:numRef>
              <c:f>Trajectory!$D$15:$X$15</c:f>
              <c:numCache>
                <c:formatCode>General</c:formatCode>
                <c:ptCount val="21"/>
                <c:pt idx="4" formatCode="#,##0">
                  <c:v>315</c:v>
                </c:pt>
                <c:pt idx="5" formatCode="#,##0">
                  <c:v>295.44444444444446</c:v>
                </c:pt>
                <c:pt idx="6" formatCode="#,##0">
                  <c:v>274.875</c:v>
                </c:pt>
                <c:pt idx="7" formatCode="#,##0">
                  <c:v>259.57142857142856</c:v>
                </c:pt>
                <c:pt idx="8" formatCode="#,##0">
                  <c:v>233</c:v>
                </c:pt>
                <c:pt idx="9" formatCode="#,##0">
                  <c:v>213.4</c:v>
                </c:pt>
                <c:pt idx="10" formatCode="#,##0">
                  <c:v>182.1</c:v>
                </c:pt>
                <c:pt idx="11" formatCode="#,##0">
                  <c:v>432.52777777777777</c:v>
                </c:pt>
                <c:pt idx="12" formatCode="#,##0">
                  <c:v>444.34375</c:v>
                </c:pt>
                <c:pt idx="13" formatCode="#,##0">
                  <c:v>425.75</c:v>
                </c:pt>
                <c:pt idx="14" formatCode="#,##0">
                  <c:v>424.625</c:v>
                </c:pt>
                <c:pt idx="15" formatCode="#,##0">
                  <c:v>376.55</c:v>
                </c:pt>
                <c:pt idx="16" formatCode="#,##0">
                  <c:v>343.125</c:v>
                </c:pt>
                <c:pt idx="17" formatCode="#,##0">
                  <c:v>285.75</c:v>
                </c:pt>
                <c:pt idx="18" formatCode="#,##0">
                  <c:v>171</c:v>
                </c:pt>
                <c:pt idx="19" formatCode="#,##0">
                  <c:v>0</c:v>
                </c:pt>
              </c:numCache>
            </c:numRef>
          </c:val>
          <c:smooth val="0"/>
          <c:extLst>
            <c:ext xmlns:c16="http://schemas.microsoft.com/office/drawing/2014/chart" uri="{C3380CC4-5D6E-409C-BE32-E72D297353CC}">
              <c16:uniqueId val="{00000006-9BE2-47D6-9C04-24B2A658BCCC}"/>
            </c:ext>
          </c:extLst>
        </c:ser>
        <c:dLbls>
          <c:showLegendKey val="0"/>
          <c:showVal val="0"/>
          <c:showCatName val="0"/>
          <c:showSerName val="0"/>
          <c:showPercent val="0"/>
          <c:showBubbleSize val="0"/>
        </c:dLbls>
        <c:marker val="1"/>
        <c:smooth val="0"/>
        <c:axId val="320841984"/>
        <c:axId val="320852352"/>
      </c:lineChart>
      <c:catAx>
        <c:axId val="320841984"/>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0852352"/>
        <c:crosses val="autoZero"/>
        <c:auto val="1"/>
        <c:lblAlgn val="ctr"/>
        <c:lblOffset val="100"/>
        <c:noMultiLvlLbl val="0"/>
      </c:catAx>
      <c:valAx>
        <c:axId val="320852352"/>
        <c:scaling>
          <c:orientation val="minMax"/>
          <c:max val="800"/>
        </c:scaling>
        <c:delete val="0"/>
        <c:axPos val="l"/>
        <c:majorGridlines>
          <c:spPr>
            <a:ln>
              <a:noFill/>
            </a:ln>
          </c:spPr>
        </c:majorGridlines>
        <c:title>
          <c:tx>
            <c:rich>
              <a:bodyPr rot="-5400000" vert="horz"/>
              <a:lstStyle/>
              <a:p>
                <a:pPr>
                  <a:defRPr/>
                </a:pPr>
                <a:r>
                  <a:rPr lang="en-GB"/>
                  <a:t>Dwellings</a:t>
                </a:r>
              </a:p>
            </c:rich>
          </c:tx>
          <c:overlay val="0"/>
        </c:title>
        <c:numFmt formatCode="General" sourceLinked="1"/>
        <c:majorTickMark val="out"/>
        <c:minorTickMark val="none"/>
        <c:tickLblPos val="nextTo"/>
        <c:crossAx val="32084198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tx1"/>
      </a:solidFill>
    </a:ln>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43369734789394E-2"/>
          <c:y val="5.8823754686560537E-2"/>
          <c:w val="0.90795631825273015"/>
          <c:h val="0.81348429272427891"/>
        </c:manualLayout>
      </c:layout>
      <c:barChart>
        <c:barDir val="col"/>
        <c:grouping val="clustered"/>
        <c:varyColors val="0"/>
        <c:ser>
          <c:idx val="0"/>
          <c:order val="0"/>
          <c:tx>
            <c:strRef>
              <c:f>'Summary Tables'!$D$75</c:f>
              <c:strCache>
                <c:ptCount val="1"/>
                <c:pt idx="0">
                  <c:v>Completions</c:v>
                </c:pt>
              </c:strCache>
            </c:strRef>
          </c:tx>
          <c:spPr>
            <a:solidFill>
              <a:srgbClr val="0070C0"/>
            </a:solidFill>
            <a:ln w="63500">
              <a:solidFill>
                <a:srgbClr val="0070C0"/>
              </a:solidFill>
              <a:prstDash val="solid"/>
              <a:miter lim="800000"/>
            </a:ln>
          </c:spPr>
          <c:invertIfNegative val="0"/>
          <c:cat>
            <c:strRef>
              <c:f>'Summary Tables'!$C$76:$C$95</c:f>
              <c:strCache>
                <c:ptCount val="20"/>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strCache>
            </c:strRef>
          </c:cat>
          <c:val>
            <c:numRef>
              <c:f>'Summary Tables'!$D$76:$D$95</c:f>
              <c:numCache>
                <c:formatCode>#,##0</c:formatCode>
                <c:ptCount val="20"/>
                <c:pt idx="0">
                  <c:v>160</c:v>
                </c:pt>
                <c:pt idx="1">
                  <c:v>319</c:v>
                </c:pt>
                <c:pt idx="2">
                  <c:v>246</c:v>
                </c:pt>
                <c:pt idx="3">
                  <c:v>582</c:v>
                </c:pt>
                <c:pt idx="4">
                  <c:v>842</c:v>
                </c:pt>
                <c:pt idx="5">
                  <c:v>230</c:v>
                </c:pt>
                <c:pt idx="6">
                  <c:v>260</c:v>
                </c:pt>
                <c:pt idx="7">
                  <c:v>436</c:v>
                </c:pt>
                <c:pt idx="8">
                  <c:v>145</c:v>
                </c:pt>
                <c:pt idx="9">
                  <c:v>399</c:v>
                </c:pt>
                <c:pt idx="10">
                  <c:v>208</c:v>
                </c:pt>
                <c:pt idx="11">
                  <c:v>695</c:v>
                </c:pt>
                <c:pt idx="12">
                  <c:v>235</c:v>
                </c:pt>
                <c:pt idx="13">
                  <c:v>304</c:v>
                </c:pt>
                <c:pt idx="14">
                  <c:v>491</c:v>
                </c:pt>
                <c:pt idx="15">
                  <c:v>460</c:v>
                </c:pt>
                <c:pt idx="16">
                  <c:v>382</c:v>
                </c:pt>
                <c:pt idx="17">
                  <c:v>419</c:v>
                </c:pt>
                <c:pt idx="18">
                  <c:v>331</c:v>
                </c:pt>
                <c:pt idx="19">
                  <c:v>206</c:v>
                </c:pt>
              </c:numCache>
            </c:numRef>
          </c:val>
          <c:extLst>
            <c:ext xmlns:c16="http://schemas.microsoft.com/office/drawing/2014/chart" uri="{C3380CC4-5D6E-409C-BE32-E72D297353CC}">
              <c16:uniqueId val="{00000000-4D53-4BCD-8056-2FE222B6490D}"/>
            </c:ext>
          </c:extLst>
        </c:ser>
        <c:dLbls>
          <c:showLegendKey val="0"/>
          <c:showVal val="0"/>
          <c:showCatName val="0"/>
          <c:showSerName val="0"/>
          <c:showPercent val="0"/>
          <c:showBubbleSize val="0"/>
        </c:dLbls>
        <c:gapWidth val="78"/>
        <c:axId val="261322240"/>
        <c:axId val="261323776"/>
      </c:barChart>
      <c:lineChart>
        <c:grouping val="standard"/>
        <c:varyColors val="0"/>
        <c:ser>
          <c:idx val="1"/>
          <c:order val="1"/>
          <c:tx>
            <c:strRef>
              <c:f>'Summary Tables'!$E$75</c:f>
              <c:strCache>
                <c:ptCount val="1"/>
                <c:pt idx="0">
                  <c:v>5 Year Average</c:v>
                </c:pt>
              </c:strCache>
            </c:strRef>
          </c:tx>
          <c:marker>
            <c:symbol val="none"/>
          </c:marker>
          <c:cat>
            <c:strRef>
              <c:f>'Summary Tables'!$C$76:$C$95</c:f>
              <c:strCache>
                <c:ptCount val="20"/>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strCache>
            </c:strRef>
          </c:cat>
          <c:val>
            <c:numRef>
              <c:f>'Summary Tables'!$E$76:$E$95</c:f>
              <c:numCache>
                <c:formatCode>#,##0</c:formatCode>
                <c:ptCount val="20"/>
                <c:pt idx="4">
                  <c:v>429.8</c:v>
                </c:pt>
                <c:pt idx="5">
                  <c:v>443.8</c:v>
                </c:pt>
                <c:pt idx="6">
                  <c:v>432</c:v>
                </c:pt>
                <c:pt idx="7">
                  <c:v>470</c:v>
                </c:pt>
                <c:pt idx="8">
                  <c:v>382.6</c:v>
                </c:pt>
                <c:pt idx="9">
                  <c:v>294</c:v>
                </c:pt>
                <c:pt idx="10">
                  <c:v>289.60000000000002</c:v>
                </c:pt>
                <c:pt idx="11">
                  <c:v>376.6</c:v>
                </c:pt>
                <c:pt idx="12">
                  <c:v>336.4</c:v>
                </c:pt>
                <c:pt idx="13">
                  <c:v>368.2</c:v>
                </c:pt>
                <c:pt idx="14">
                  <c:v>386.6</c:v>
                </c:pt>
                <c:pt idx="15">
                  <c:v>437</c:v>
                </c:pt>
                <c:pt idx="16">
                  <c:v>374.4</c:v>
                </c:pt>
                <c:pt idx="17">
                  <c:v>411.2</c:v>
                </c:pt>
                <c:pt idx="18">
                  <c:v>416.6</c:v>
                </c:pt>
                <c:pt idx="19">
                  <c:v>359.6</c:v>
                </c:pt>
              </c:numCache>
            </c:numRef>
          </c:val>
          <c:smooth val="0"/>
          <c:extLst>
            <c:ext xmlns:c16="http://schemas.microsoft.com/office/drawing/2014/chart" uri="{C3380CC4-5D6E-409C-BE32-E72D297353CC}">
              <c16:uniqueId val="{00000001-4D53-4BCD-8056-2FE222B6490D}"/>
            </c:ext>
          </c:extLst>
        </c:ser>
        <c:dLbls>
          <c:showLegendKey val="0"/>
          <c:showVal val="0"/>
          <c:showCatName val="0"/>
          <c:showSerName val="0"/>
          <c:showPercent val="0"/>
          <c:showBubbleSize val="0"/>
        </c:dLbls>
        <c:marker val="1"/>
        <c:smooth val="0"/>
        <c:axId val="261322240"/>
        <c:axId val="261323776"/>
      </c:lineChart>
      <c:catAx>
        <c:axId val="26132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1320000" vert="horz"/>
          <a:lstStyle/>
          <a:p>
            <a:pPr>
              <a:defRPr sz="800" b="0" i="0" u="none" strike="noStrike" baseline="0">
                <a:solidFill>
                  <a:srgbClr val="000000"/>
                </a:solidFill>
                <a:latin typeface="Arial"/>
                <a:ea typeface="Arial"/>
                <a:cs typeface="Arial"/>
              </a:defRPr>
            </a:pPr>
            <a:endParaRPr lang="en-US"/>
          </a:p>
        </c:txPr>
        <c:crossAx val="261323776"/>
        <c:crosses val="autoZero"/>
        <c:auto val="1"/>
        <c:lblAlgn val="ctr"/>
        <c:lblOffset val="100"/>
        <c:noMultiLvlLbl val="0"/>
      </c:catAx>
      <c:valAx>
        <c:axId val="261323776"/>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1322240"/>
        <c:crosses val="autoZero"/>
        <c:crossBetween val="between"/>
      </c:valAx>
      <c:spPr>
        <a:noFill/>
        <a:ln w="12700">
          <a:noFill/>
          <a:prstDash val="solid"/>
        </a:ln>
      </c:spPr>
    </c:plotArea>
    <c:legend>
      <c:legendPos val="r"/>
      <c:layout>
        <c:manualLayout>
          <c:xMode val="edge"/>
          <c:yMode val="edge"/>
          <c:x val="7.102630086548628E-2"/>
          <c:y val="6.3268613162485124E-2"/>
          <c:w val="0.15672466708532598"/>
          <c:h val="0.157903814652024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50000"/>
        </a:schemeClr>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78034954054069E-2"/>
          <c:y val="5.905511811023622E-2"/>
          <c:w val="0.93777804232354312"/>
          <c:h val="0.83639682697237672"/>
        </c:manualLayout>
      </c:layout>
      <c:barChart>
        <c:barDir val="col"/>
        <c:grouping val="stacked"/>
        <c:varyColors val="0"/>
        <c:ser>
          <c:idx val="0"/>
          <c:order val="0"/>
          <c:tx>
            <c:strRef>
              <c:f>'Summary Tables'!$D$102</c:f>
              <c:strCache>
                <c:ptCount val="1"/>
                <c:pt idx="0">
                  <c:v> Open Market</c:v>
                </c:pt>
              </c:strCache>
            </c:strRef>
          </c:tx>
          <c:spPr>
            <a:solidFill>
              <a:schemeClr val="tx2">
                <a:lumMod val="60000"/>
                <a:lumOff val="40000"/>
              </a:schemeClr>
            </a:solidFill>
            <a:ln w="25400">
              <a:solidFill>
                <a:schemeClr val="tx2">
                  <a:lumMod val="60000"/>
                  <a:lumOff val="40000"/>
                </a:schemeClr>
              </a:solidFill>
              <a:prstDash val="solid"/>
              <a:miter lim="800000"/>
            </a:ln>
          </c:spPr>
          <c:invertIfNegative val="0"/>
          <c:cat>
            <c:strRef>
              <c:f>'Summary Tables'!$C$104:$C$119</c:f>
              <c:strCache>
                <c:ptCount val="16"/>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strCache>
            </c:strRef>
          </c:cat>
          <c:val>
            <c:numRef>
              <c:f>'Summary Tables'!$D$104:$D$119</c:f>
              <c:numCache>
                <c:formatCode>#,##0</c:formatCode>
                <c:ptCount val="16"/>
                <c:pt idx="0">
                  <c:v>611</c:v>
                </c:pt>
                <c:pt idx="1">
                  <c:v>192</c:v>
                </c:pt>
                <c:pt idx="2">
                  <c:v>257</c:v>
                </c:pt>
                <c:pt idx="3">
                  <c:v>338</c:v>
                </c:pt>
                <c:pt idx="4">
                  <c:v>145</c:v>
                </c:pt>
                <c:pt idx="5">
                  <c:v>273</c:v>
                </c:pt>
                <c:pt idx="6">
                  <c:v>133</c:v>
                </c:pt>
                <c:pt idx="7">
                  <c:v>468</c:v>
                </c:pt>
                <c:pt idx="8">
                  <c:v>202</c:v>
                </c:pt>
                <c:pt idx="9">
                  <c:v>298</c:v>
                </c:pt>
                <c:pt idx="10">
                  <c:v>392</c:v>
                </c:pt>
                <c:pt idx="11">
                  <c:v>398</c:v>
                </c:pt>
                <c:pt idx="12">
                  <c:v>341</c:v>
                </c:pt>
                <c:pt idx="13">
                  <c:v>349</c:v>
                </c:pt>
                <c:pt idx="14">
                  <c:v>297</c:v>
                </c:pt>
                <c:pt idx="15">
                  <c:v>189</c:v>
                </c:pt>
              </c:numCache>
            </c:numRef>
          </c:val>
          <c:extLst>
            <c:ext xmlns:c16="http://schemas.microsoft.com/office/drawing/2014/chart" uri="{C3380CC4-5D6E-409C-BE32-E72D297353CC}">
              <c16:uniqueId val="{00000000-A234-4C66-8637-2EDCAD3E0F1F}"/>
            </c:ext>
          </c:extLst>
        </c:ser>
        <c:ser>
          <c:idx val="4"/>
          <c:order val="1"/>
          <c:tx>
            <c:strRef>
              <c:f>'Summary Tables'!$F$102</c:f>
              <c:strCache>
                <c:ptCount val="1"/>
                <c:pt idx="0">
                  <c:v> Affordable</c:v>
                </c:pt>
              </c:strCache>
            </c:strRef>
          </c:tx>
          <c:spPr>
            <a:solidFill>
              <a:schemeClr val="accent3"/>
            </a:solidFill>
            <a:ln w="25400">
              <a:solidFill>
                <a:schemeClr val="accent3"/>
              </a:solidFill>
              <a:prstDash val="solid"/>
              <a:miter lim="800000"/>
            </a:ln>
          </c:spPr>
          <c:invertIfNegative val="0"/>
          <c:cat>
            <c:strRef>
              <c:f>'Summary Tables'!$C$104:$C$119</c:f>
              <c:strCache>
                <c:ptCount val="16"/>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strCache>
            </c:strRef>
          </c:cat>
          <c:val>
            <c:numRef>
              <c:f>'Summary Tables'!$F$104:$F$119</c:f>
              <c:numCache>
                <c:formatCode>#,##0</c:formatCode>
                <c:ptCount val="16"/>
                <c:pt idx="0">
                  <c:v>231</c:v>
                </c:pt>
                <c:pt idx="1">
                  <c:v>38</c:v>
                </c:pt>
                <c:pt idx="2">
                  <c:v>3</c:v>
                </c:pt>
                <c:pt idx="3">
                  <c:v>98</c:v>
                </c:pt>
                <c:pt idx="4">
                  <c:v>0</c:v>
                </c:pt>
                <c:pt idx="5">
                  <c:v>126</c:v>
                </c:pt>
                <c:pt idx="6">
                  <c:v>75</c:v>
                </c:pt>
                <c:pt idx="7">
                  <c:v>227</c:v>
                </c:pt>
                <c:pt idx="8">
                  <c:v>33</c:v>
                </c:pt>
                <c:pt idx="9">
                  <c:v>6</c:v>
                </c:pt>
                <c:pt idx="10">
                  <c:v>99</c:v>
                </c:pt>
                <c:pt idx="11">
                  <c:v>62</c:v>
                </c:pt>
                <c:pt idx="12">
                  <c:v>41</c:v>
                </c:pt>
                <c:pt idx="13">
                  <c:v>70</c:v>
                </c:pt>
                <c:pt idx="14">
                  <c:v>34</c:v>
                </c:pt>
                <c:pt idx="15">
                  <c:v>17</c:v>
                </c:pt>
              </c:numCache>
            </c:numRef>
          </c:val>
          <c:extLst>
            <c:ext xmlns:c16="http://schemas.microsoft.com/office/drawing/2014/chart" uri="{C3380CC4-5D6E-409C-BE32-E72D297353CC}">
              <c16:uniqueId val="{00000001-A234-4C66-8637-2EDCAD3E0F1F}"/>
            </c:ext>
          </c:extLst>
        </c:ser>
        <c:dLbls>
          <c:showLegendKey val="0"/>
          <c:showVal val="0"/>
          <c:showCatName val="0"/>
          <c:showSerName val="0"/>
          <c:showPercent val="0"/>
          <c:showBubbleSize val="0"/>
        </c:dLbls>
        <c:gapWidth val="118"/>
        <c:overlap val="100"/>
        <c:axId val="324841856"/>
        <c:axId val="324843392"/>
      </c:barChart>
      <c:catAx>
        <c:axId val="3248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3392"/>
        <c:crosses val="autoZero"/>
        <c:auto val="1"/>
        <c:lblAlgn val="ctr"/>
        <c:lblOffset val="100"/>
        <c:tickLblSkip val="1"/>
        <c:tickMarkSkip val="1"/>
        <c:noMultiLvlLbl val="0"/>
      </c:catAx>
      <c:valAx>
        <c:axId val="32484339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1856"/>
        <c:crosses val="autoZero"/>
        <c:crossBetween val="between"/>
      </c:valAx>
      <c:spPr>
        <a:noFill/>
        <a:ln w="12700">
          <a:solidFill>
            <a:schemeClr val="bg1">
              <a:lumMod val="50000"/>
            </a:schemeClr>
          </a:solidFill>
          <a:prstDash val="solid"/>
        </a:ln>
      </c:spPr>
    </c:plotArea>
    <c:legend>
      <c:legendPos val="r"/>
      <c:layout>
        <c:manualLayout>
          <c:xMode val="edge"/>
          <c:yMode val="edge"/>
          <c:x val="0.84742787895495542"/>
          <c:y val="7.339772030995903E-2"/>
          <c:w val="0.13210852423144731"/>
          <c:h val="0.1948244632697946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50000"/>
        </a:schemeClr>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50" b="0">
                <a:latin typeface="Arial" panose="020B0604020202020204" pitchFamily="34" charset="0"/>
                <a:cs typeface="Arial" panose="020B0604020202020204" pitchFamily="34" charset="0"/>
              </a:defRPr>
            </a:pPr>
            <a:r>
              <a:rPr lang="en-GB" sz="1050" b="0">
                <a:latin typeface="Arial" panose="020B0604020202020204" pitchFamily="34" charset="0"/>
                <a:cs typeface="Arial" panose="020B0604020202020204" pitchFamily="34" charset="0"/>
              </a:rPr>
              <a:t>Net completions by tenure and financial year (2005/06 to 2020/21)</a:t>
            </a:r>
          </a:p>
        </c:rich>
      </c:tx>
      <c:layout>
        <c:manualLayout>
          <c:xMode val="edge"/>
          <c:yMode val="edge"/>
          <c:x val="8.3698380331717452E-4"/>
          <c:y val="6.7942616538728894E-4"/>
        </c:manualLayout>
      </c:layout>
      <c:overlay val="0"/>
    </c:title>
    <c:autoTitleDeleted val="0"/>
    <c:plotArea>
      <c:layout>
        <c:manualLayout>
          <c:layoutTarget val="inner"/>
          <c:xMode val="edge"/>
          <c:yMode val="edge"/>
          <c:x val="2.058656869891911E-2"/>
          <c:y val="0.15693824167538528"/>
          <c:w val="0.45464096332246212"/>
          <c:h val="0.71658670308437811"/>
        </c:manualLayout>
      </c:layout>
      <c:pieChart>
        <c:varyColors val="1"/>
        <c:ser>
          <c:idx val="0"/>
          <c:order val="0"/>
          <c:tx>
            <c:strRef>
              <c:f>'Summary Tables'!$D$101</c:f>
              <c:strCache>
                <c:ptCount val="1"/>
                <c:pt idx="0">
                  <c:v>Net completions by tenure and financial year (2005/06 to 2020/21)</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0BAB-4B60-9492-0D12258154B6}"/>
              </c:ext>
            </c:extLst>
          </c:dPt>
          <c:dPt>
            <c:idx val="1"/>
            <c:bubble3D val="0"/>
            <c:spPr>
              <a:solidFill>
                <a:schemeClr val="accent3"/>
              </a:solidFill>
              <a:ln>
                <a:solidFill>
                  <a:schemeClr val="accent3"/>
                </a:solidFill>
              </a:ln>
            </c:spPr>
            <c:extLst>
              <c:ext xmlns:c16="http://schemas.microsoft.com/office/drawing/2014/chart" uri="{C3380CC4-5D6E-409C-BE32-E72D297353CC}">
                <c16:uniqueId val="{00000003-0BAB-4B60-9492-0D12258154B6}"/>
              </c:ext>
            </c:extLst>
          </c:dPt>
          <c:dLbls>
            <c:dLbl>
              <c:idx val="0"/>
              <c:layout>
                <c:manualLayout>
                  <c:x val="-0.10983299522488398"/>
                  <c:y val="-0.200234113859452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AB-4B60-9492-0D12258154B6}"/>
                </c:ext>
              </c:extLst>
            </c:dLbl>
            <c:dLbl>
              <c:idx val="1"/>
              <c:layout>
                <c:manualLayout>
                  <c:x val="9.1572856156541427E-2"/>
                  <c:y val="0.141839177051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AB-4B60-9492-0D12258154B6}"/>
                </c:ext>
              </c:extLst>
            </c:dLbl>
            <c:spPr>
              <a:noFill/>
              <a:ln>
                <a:noFill/>
              </a:ln>
              <a:effectLst/>
            </c:spPr>
            <c:txPr>
              <a:bodyPr/>
              <a:lstStyle/>
              <a:p>
                <a:pPr>
                  <a:defRPr sz="9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('Summary Tables'!$D$102,'Summary Tables'!$F$102)</c:f>
              <c:strCache>
                <c:ptCount val="2"/>
                <c:pt idx="0">
                  <c:v> Open Market</c:v>
                </c:pt>
                <c:pt idx="1">
                  <c:v> Affordable</c:v>
                </c:pt>
              </c:strCache>
            </c:strRef>
          </c:cat>
          <c:val>
            <c:numRef>
              <c:f>('Summary Tables'!$E$120,'Summary Tables'!$G$120)</c:f>
              <c:numCache>
                <c:formatCode>0%</c:formatCode>
                <c:ptCount val="2"/>
                <c:pt idx="0">
                  <c:v>0.80804236306470301</c:v>
                </c:pt>
                <c:pt idx="1">
                  <c:v>0.19195763693529705</c:v>
                </c:pt>
              </c:numCache>
            </c:numRef>
          </c:val>
          <c:extLst>
            <c:ext xmlns:c16="http://schemas.microsoft.com/office/drawing/2014/chart" uri="{C3380CC4-5D6E-409C-BE32-E72D297353CC}">
              <c16:uniqueId val="{00000004-0BAB-4B60-9492-0D12258154B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9256896981170933"/>
          <c:y val="9.8474941701411273E-2"/>
          <c:w val="0.25406419049563556"/>
          <c:h val="0.16566268878512203"/>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alignWithMargins="0"/>
    <c:pageMargins b="1" l="0.75" r="0.75" t="1" header="0.5" footer="0.5"/>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Dwelling </a:t>
            </a:r>
            <a:r>
              <a:rPr lang="en-GB" sz="900" b="1" baseline="0"/>
              <a:t>Size of Net Completions in 2020/21 (All tenures)</a:t>
            </a:r>
            <a:endParaRPr lang="en-GB" sz="900" b="1"/>
          </a:p>
        </c:rich>
      </c:tx>
      <c:layout>
        <c:manualLayout>
          <c:xMode val="edge"/>
          <c:yMode val="edge"/>
          <c:x val="0.24331769806643258"/>
          <c:y val="1.6425863093670771E-2"/>
        </c:manualLayout>
      </c:layout>
      <c:overlay val="0"/>
    </c:title>
    <c:autoTitleDeleted val="0"/>
    <c:plotArea>
      <c:layout>
        <c:manualLayout>
          <c:layoutTarget val="inner"/>
          <c:xMode val="edge"/>
          <c:yMode val="edge"/>
          <c:x val="0.10406571332698999"/>
          <c:y val="0.11901703731972575"/>
          <c:w val="0.86596894923846879"/>
          <c:h val="0.7715330980126005"/>
        </c:manualLayout>
      </c:layout>
      <c:barChart>
        <c:barDir val="col"/>
        <c:grouping val="stacked"/>
        <c:varyColors val="0"/>
        <c:ser>
          <c:idx val="1"/>
          <c:order val="0"/>
          <c:tx>
            <c:strRef>
              <c:f>'Summary Tables'!$G$142</c:f>
              <c:strCache>
                <c:ptCount val="1"/>
                <c:pt idx="0">
                  <c:v>Prior Approvals</c:v>
                </c:pt>
              </c:strCache>
            </c:strRef>
          </c:tx>
          <c:invertIfNegative val="0"/>
          <c:cat>
            <c:strRef>
              <c:f>'Summary Tables'!$C$143:$D$146</c:f>
              <c:strCache>
                <c:ptCount val="4"/>
                <c:pt idx="0">
                  <c:v>1 bed </c:v>
                </c:pt>
                <c:pt idx="1">
                  <c:v>2 bed </c:v>
                </c:pt>
                <c:pt idx="2">
                  <c:v>3 bed </c:v>
                </c:pt>
                <c:pt idx="3">
                  <c:v>4+ bed </c:v>
                </c:pt>
              </c:strCache>
            </c:strRef>
          </c:cat>
          <c:val>
            <c:numRef>
              <c:f>'Summary Tables'!$G$143:$G$146</c:f>
              <c:numCache>
                <c:formatCode>General</c:formatCode>
                <c:ptCount val="4"/>
                <c:pt idx="0">
                  <c:v>19</c:v>
                </c:pt>
                <c:pt idx="1">
                  <c:v>4</c:v>
                </c:pt>
                <c:pt idx="2">
                  <c:v>2</c:v>
                </c:pt>
                <c:pt idx="3">
                  <c:v>1</c:v>
                </c:pt>
              </c:numCache>
            </c:numRef>
          </c:val>
          <c:extLst>
            <c:ext xmlns:c16="http://schemas.microsoft.com/office/drawing/2014/chart" uri="{C3380CC4-5D6E-409C-BE32-E72D297353CC}">
              <c16:uniqueId val="{00000000-BA01-491C-A8F1-9D36D0623DCE}"/>
            </c:ext>
          </c:extLst>
        </c:ser>
        <c:ser>
          <c:idx val="0"/>
          <c:order val="1"/>
          <c:tx>
            <c:strRef>
              <c:f>'Summary Tables'!$E$142</c:f>
              <c:strCache>
                <c:ptCount val="1"/>
                <c:pt idx="0">
                  <c:v>Permissions</c:v>
                </c:pt>
              </c:strCache>
            </c:strRef>
          </c:tx>
          <c:invertIfNegative val="0"/>
          <c:cat>
            <c:strRef>
              <c:f>'Summary Tables'!$C$143:$D$146</c:f>
              <c:strCache>
                <c:ptCount val="4"/>
                <c:pt idx="0">
                  <c:v>1 bed </c:v>
                </c:pt>
                <c:pt idx="1">
                  <c:v>2 bed </c:v>
                </c:pt>
                <c:pt idx="2">
                  <c:v>3 bed </c:v>
                </c:pt>
                <c:pt idx="3">
                  <c:v>4+ bed </c:v>
                </c:pt>
              </c:strCache>
            </c:strRef>
          </c:cat>
          <c:val>
            <c:numRef>
              <c:f>'Summary Tables'!$E$143:$E$146</c:f>
              <c:numCache>
                <c:formatCode>General</c:formatCode>
                <c:ptCount val="4"/>
                <c:pt idx="0">
                  <c:v>50</c:v>
                </c:pt>
                <c:pt idx="1">
                  <c:v>89</c:v>
                </c:pt>
                <c:pt idx="2">
                  <c:v>20</c:v>
                </c:pt>
                <c:pt idx="3">
                  <c:v>21</c:v>
                </c:pt>
              </c:numCache>
            </c:numRef>
          </c:val>
          <c:extLst>
            <c:ext xmlns:c16="http://schemas.microsoft.com/office/drawing/2014/chart" uri="{C3380CC4-5D6E-409C-BE32-E72D297353CC}">
              <c16:uniqueId val="{00000001-BA01-491C-A8F1-9D36D0623DCE}"/>
            </c:ext>
          </c:extLst>
        </c:ser>
        <c:dLbls>
          <c:showLegendKey val="0"/>
          <c:showVal val="0"/>
          <c:showCatName val="0"/>
          <c:showSerName val="0"/>
          <c:showPercent val="0"/>
          <c:showBubbleSize val="0"/>
        </c:dLbls>
        <c:gapWidth val="113"/>
        <c:overlap val="100"/>
        <c:axId val="324678400"/>
        <c:axId val="324679936"/>
      </c:barChart>
      <c:catAx>
        <c:axId val="324678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rtl="0">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9936"/>
        <c:crosses val="autoZero"/>
        <c:auto val="1"/>
        <c:lblAlgn val="ctr"/>
        <c:lblOffset val="100"/>
        <c:noMultiLvlLbl val="0"/>
      </c:catAx>
      <c:valAx>
        <c:axId val="324679936"/>
        <c:scaling>
          <c:orientation val="minMax"/>
          <c:min val="0"/>
        </c:scaling>
        <c:delete val="0"/>
        <c:axPos val="l"/>
        <c:majorGridlines>
          <c:spPr>
            <a:ln w="3175">
              <a:solidFill>
                <a:srgbClr val="969696"/>
              </a:solidFill>
              <a:prstDash val="solid"/>
            </a:ln>
          </c:spPr>
        </c:majorGridlines>
        <c:title>
          <c:tx>
            <c:rich>
              <a:bodyPr rot="-5400000" vert="horz"/>
              <a:lstStyle/>
              <a:p>
                <a:pPr>
                  <a:defRPr/>
                </a:pPr>
                <a:r>
                  <a:rPr lang="en-GB" b="1"/>
                  <a:t>Numberr of units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8400"/>
        <c:crosses val="autoZero"/>
        <c:crossBetween val="between"/>
        <c:majorUnit val="20"/>
      </c:valAx>
      <c:spPr>
        <a:noFill/>
        <a:ln w="12700">
          <a:solidFill>
            <a:srgbClr val="969696"/>
          </a:solidFill>
          <a:prstDash val="solid"/>
        </a:ln>
      </c:spPr>
    </c:plotArea>
    <c:legend>
      <c:legendPos val="t"/>
      <c:layout>
        <c:manualLayout>
          <c:xMode val="edge"/>
          <c:yMode val="edge"/>
          <c:x val="0.76772064616433"/>
          <c:y val="0.12919556422574219"/>
          <c:w val="0.19927232559796706"/>
          <c:h val="0.16059247481859873"/>
        </c:manualLayout>
      </c:layout>
      <c:overlay val="0"/>
      <c:spPr>
        <a:solidFill>
          <a:schemeClr val="bg1"/>
        </a:solidFill>
      </c:spPr>
    </c:legend>
    <c:plotVisOnly val="1"/>
    <c:dispBlanksAs val="gap"/>
    <c:showDLblsOverMax val="0"/>
  </c:chart>
  <c:spPr>
    <a:solidFill>
      <a:srgbClr val="FFFFFF"/>
    </a:solidFill>
    <a:ln w="3175">
      <a:solidFill>
        <a:schemeClr val="bg1">
          <a:lumMod val="50000"/>
        </a:schemeClr>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Proportion of housing completions provided by large sites</a:t>
            </a:r>
          </a:p>
        </c:rich>
      </c:tx>
      <c:overlay val="1"/>
    </c:title>
    <c:autoTitleDeleted val="0"/>
    <c:plotArea>
      <c:layout>
        <c:manualLayout>
          <c:layoutTarget val="inner"/>
          <c:xMode val="edge"/>
          <c:yMode val="edge"/>
          <c:x val="8.6616442099943791E-2"/>
          <c:y val="0.1274504604450217"/>
          <c:w val="0.88456888861387417"/>
          <c:h val="0.66614786553742644"/>
        </c:manualLayout>
      </c:layout>
      <c:barChart>
        <c:barDir val="col"/>
        <c:grouping val="clustered"/>
        <c:varyColors val="0"/>
        <c:ser>
          <c:idx val="0"/>
          <c:order val="0"/>
          <c:tx>
            <c:strRef>
              <c:f>'Summary Tables'!$D$170</c:f>
              <c:strCache>
                <c:ptCount val="1"/>
                <c:pt idx="0">
                  <c:v>%</c:v>
                </c:pt>
              </c:strCache>
            </c:strRef>
          </c:tx>
          <c:spPr>
            <a:solidFill>
              <a:schemeClr val="accent1">
                <a:lumMod val="75000"/>
              </a:schemeClr>
            </a:solidFill>
          </c:spPr>
          <c:invertIfNegative val="0"/>
          <c:dLbls>
            <c:dLbl>
              <c:idx val="0"/>
              <c:layout>
                <c:manualLayout>
                  <c:x val="5.6251137698787009E-3"/>
                  <c:y val="4.67289719626168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9A-46CE-B1A9-13F17996A96D}"/>
                </c:ext>
              </c:extLst>
            </c:dLbl>
            <c:dLbl>
              <c:idx val="15"/>
              <c:numFmt formatCode="0%" sourceLinked="0"/>
              <c:spPr>
                <a:noFill/>
                <a:ln w="3175">
                  <a:noFill/>
                </a:ln>
              </c:spPr>
              <c:txPr>
                <a:bodyPr/>
                <a:lstStyle/>
                <a:p>
                  <a:pPr>
                    <a:defRPr sz="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D9A-46CE-B1A9-13F17996A96D}"/>
                </c:ext>
              </c:extLst>
            </c:dLbl>
            <c:dLbl>
              <c:idx val="16"/>
              <c:numFmt formatCode="0%" sourceLinked="0"/>
              <c:spPr>
                <a:noFill/>
                <a:ln w="3175">
                  <a:noFill/>
                </a:ln>
              </c:spPr>
              <c:txPr>
                <a:bodyPr/>
                <a:lstStyle/>
                <a:p>
                  <a:pPr>
                    <a:defRPr sz="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2-9D9A-46CE-B1A9-13F17996A96D}"/>
                </c:ext>
              </c:extLst>
            </c:dLbl>
            <c:numFmt formatCode="0%" sourceLinked="0"/>
            <c:spPr>
              <a:solidFill>
                <a:schemeClr val="bg1"/>
              </a:solidFill>
              <a:ln w="3175">
                <a:noFill/>
              </a:ln>
            </c:spPr>
            <c:txPr>
              <a:bodyPr/>
              <a:lstStyle/>
              <a:p>
                <a:pPr>
                  <a:defRPr sz="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Tables'!$C$171:$C$188</c:f>
              <c:strCache>
                <c:ptCount val="18"/>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strCache>
            </c:strRef>
          </c:cat>
          <c:val>
            <c:numRef>
              <c:f>'Summary Tables'!$D$171:$D$188</c:f>
              <c:numCache>
                <c:formatCode>0%</c:formatCode>
                <c:ptCount val="18"/>
                <c:pt idx="0">
                  <c:v>0.5</c:v>
                </c:pt>
                <c:pt idx="1">
                  <c:v>0.72</c:v>
                </c:pt>
                <c:pt idx="2">
                  <c:v>0.83</c:v>
                </c:pt>
                <c:pt idx="3">
                  <c:v>0.41</c:v>
                </c:pt>
                <c:pt idx="4">
                  <c:v>0.27</c:v>
                </c:pt>
                <c:pt idx="5">
                  <c:v>0.61</c:v>
                </c:pt>
                <c:pt idx="6">
                  <c:v>7.0000000000000007E-2</c:v>
                </c:pt>
                <c:pt idx="7">
                  <c:v>0.67</c:v>
                </c:pt>
                <c:pt idx="8">
                  <c:v>0.3</c:v>
                </c:pt>
                <c:pt idx="9">
                  <c:v>0.79</c:v>
                </c:pt>
                <c:pt idx="10">
                  <c:v>0.73</c:v>
                </c:pt>
                <c:pt idx="11">
                  <c:v>0.22</c:v>
                </c:pt>
                <c:pt idx="12">
                  <c:v>0.38</c:v>
                </c:pt>
                <c:pt idx="13">
                  <c:v>0.47</c:v>
                </c:pt>
                <c:pt idx="14">
                  <c:v>0.56999999999999995</c:v>
                </c:pt>
                <c:pt idx="15">
                  <c:v>0.70167064439140814</c:v>
                </c:pt>
                <c:pt idx="16">
                  <c:v>0.70392749244712993</c:v>
                </c:pt>
                <c:pt idx="17">
                  <c:v>0.48058252427184467</c:v>
                </c:pt>
              </c:numCache>
            </c:numRef>
          </c:val>
          <c:extLst>
            <c:ext xmlns:c16="http://schemas.microsoft.com/office/drawing/2014/chart" uri="{C3380CC4-5D6E-409C-BE32-E72D297353CC}">
              <c16:uniqueId val="{00000003-9D9A-46CE-B1A9-13F17996A96D}"/>
            </c:ext>
          </c:extLst>
        </c:ser>
        <c:dLbls>
          <c:showLegendKey val="0"/>
          <c:showVal val="0"/>
          <c:showCatName val="0"/>
          <c:showSerName val="0"/>
          <c:showPercent val="0"/>
          <c:showBubbleSize val="0"/>
        </c:dLbls>
        <c:gapWidth val="54"/>
        <c:axId val="325008000"/>
        <c:axId val="325013888"/>
      </c:barChart>
      <c:catAx>
        <c:axId val="32500800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13888"/>
        <c:crosses val="autoZero"/>
        <c:auto val="1"/>
        <c:lblAlgn val="ctr"/>
        <c:lblOffset val="100"/>
        <c:noMultiLvlLbl val="0"/>
      </c:catAx>
      <c:valAx>
        <c:axId val="325013888"/>
        <c:scaling>
          <c:orientation val="minMax"/>
          <c:max val="0.9"/>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08000"/>
        <c:crosses val="autoZero"/>
        <c:crossBetween val="between"/>
      </c:valAx>
    </c:plotArea>
    <c:plotVisOnly val="1"/>
    <c:dispBlanksAs val="gap"/>
    <c:showDLblsOverMax val="0"/>
  </c:chart>
  <c:spPr>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Completions by Ward 2020/21</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7868124718705576"/>
          <c:y val="7.2401732915915631E-2"/>
          <c:w val="0.5882621463488541"/>
          <c:h val="0.84446573696360239"/>
        </c:manualLayout>
      </c:layout>
      <c:barChart>
        <c:barDir val="bar"/>
        <c:grouping val="clustered"/>
        <c:varyColors val="0"/>
        <c:ser>
          <c:idx val="1"/>
          <c:order val="0"/>
          <c:tx>
            <c:strRef>
              <c:f>'Summary Tables'!$H$235</c:f>
              <c:strCache>
                <c:ptCount val="1"/>
                <c:pt idx="0">
                  <c:v>Net Gain</c:v>
                </c:pt>
              </c:strCache>
            </c:strRef>
          </c:tx>
          <c:spPr>
            <a:solidFill>
              <a:schemeClr val="tx2">
                <a:lumMod val="60000"/>
                <a:lumOff val="40000"/>
              </a:schemeClr>
            </a:solidFill>
            <a:ln w="12700">
              <a:solidFill>
                <a:srgbClr val="000000"/>
              </a:solidFill>
            </a:ln>
          </c:spPr>
          <c:invertIfNegative val="0"/>
          <c:dLbls>
            <c:delete val="1"/>
          </c:dLbls>
          <c:cat>
            <c:strRef>
              <c:f>'Summary Tables'!$C$236:$C$253</c:f>
              <c:strCache>
                <c:ptCount val="18"/>
                <c:pt idx="0">
                  <c:v>Barnes</c:v>
                </c:pt>
                <c:pt idx="1">
                  <c:v>East Sheen</c:v>
                </c:pt>
                <c:pt idx="2">
                  <c:v>Fulwell and Hampton Hill</c:v>
                </c:pt>
                <c:pt idx="3">
                  <c:v>Ham, Petersham and Richmond Riverside</c:v>
                </c:pt>
                <c:pt idx="4">
                  <c:v>Hampton</c:v>
                </c:pt>
                <c:pt idx="5">
                  <c:v>Hampton North</c:v>
                </c:pt>
                <c:pt idx="6">
                  <c:v>Hampton Wick</c:v>
                </c:pt>
                <c:pt idx="7">
                  <c:v>Heathfield</c:v>
                </c:pt>
                <c:pt idx="8">
                  <c:v>Kew</c:v>
                </c:pt>
                <c:pt idx="9">
                  <c:v>Mortlake and Barnes Common</c:v>
                </c:pt>
                <c:pt idx="10">
                  <c:v>North Richmond</c:v>
                </c:pt>
                <c:pt idx="11">
                  <c:v>South Richmond</c:v>
                </c:pt>
                <c:pt idx="12">
                  <c:v>South Twickenham</c:v>
                </c:pt>
                <c:pt idx="13">
                  <c:v>St. Margarets and North Twickenham</c:v>
                </c:pt>
                <c:pt idx="14">
                  <c:v>Teddington</c:v>
                </c:pt>
                <c:pt idx="15">
                  <c:v>Twickenham Riverside</c:v>
                </c:pt>
                <c:pt idx="16">
                  <c:v>West Twickenham</c:v>
                </c:pt>
                <c:pt idx="17">
                  <c:v>Whitton</c:v>
                </c:pt>
              </c:strCache>
            </c:strRef>
          </c:cat>
          <c:val>
            <c:numRef>
              <c:f>'Summary Tables'!$H$236:$H$253</c:f>
              <c:numCache>
                <c:formatCode>#,##0</c:formatCode>
                <c:ptCount val="18"/>
                <c:pt idx="0">
                  <c:v>3</c:v>
                </c:pt>
                <c:pt idx="1">
                  <c:v>8</c:v>
                </c:pt>
                <c:pt idx="2">
                  <c:v>8</c:v>
                </c:pt>
                <c:pt idx="3">
                  <c:v>20</c:v>
                </c:pt>
                <c:pt idx="4">
                  <c:v>13</c:v>
                </c:pt>
                <c:pt idx="5">
                  <c:v>2</c:v>
                </c:pt>
                <c:pt idx="6">
                  <c:v>12</c:v>
                </c:pt>
                <c:pt idx="7">
                  <c:v>3</c:v>
                </c:pt>
                <c:pt idx="8">
                  <c:v>9</c:v>
                </c:pt>
                <c:pt idx="9">
                  <c:v>3</c:v>
                </c:pt>
                <c:pt idx="10">
                  <c:v>4</c:v>
                </c:pt>
                <c:pt idx="11">
                  <c:v>7</c:v>
                </c:pt>
                <c:pt idx="12">
                  <c:v>12</c:v>
                </c:pt>
                <c:pt idx="13">
                  <c:v>78</c:v>
                </c:pt>
                <c:pt idx="14">
                  <c:v>6</c:v>
                </c:pt>
                <c:pt idx="15">
                  <c:v>10</c:v>
                </c:pt>
                <c:pt idx="16">
                  <c:v>7</c:v>
                </c:pt>
                <c:pt idx="17">
                  <c:v>1</c:v>
                </c:pt>
              </c:numCache>
            </c:numRef>
          </c:val>
          <c:extLst>
            <c:ext xmlns:c16="http://schemas.microsoft.com/office/drawing/2014/chart" uri="{C3380CC4-5D6E-409C-BE32-E72D297353CC}">
              <c16:uniqueId val="{00000000-3C7B-4669-952F-0D9C9CC12623}"/>
            </c:ext>
          </c:extLst>
        </c:ser>
        <c:dLbls>
          <c:showLegendKey val="0"/>
          <c:showVal val="1"/>
          <c:showCatName val="0"/>
          <c:showSerName val="0"/>
          <c:showPercent val="0"/>
          <c:showBubbleSize val="0"/>
        </c:dLbls>
        <c:gapWidth val="0"/>
        <c:overlap val="100"/>
        <c:axId val="324732032"/>
        <c:axId val="324733568"/>
      </c:barChart>
      <c:catAx>
        <c:axId val="324732032"/>
        <c:scaling>
          <c:orientation val="maxMin"/>
        </c:scaling>
        <c:delete val="0"/>
        <c:axPos val="l"/>
        <c:numFmt formatCode="General" sourceLinked="1"/>
        <c:majorTickMark val="out"/>
        <c:minorTickMark val="none"/>
        <c:tickLblPos val="low"/>
        <c:txPr>
          <a:bodyPr rot="0" vert="horz"/>
          <a:lstStyle/>
          <a:p>
            <a:pPr>
              <a:defRPr/>
            </a:pPr>
            <a:endParaRPr lang="en-US"/>
          </a:p>
        </c:txPr>
        <c:crossAx val="324733568"/>
        <c:crossesAt val="0"/>
        <c:auto val="1"/>
        <c:lblAlgn val="ctr"/>
        <c:lblOffset val="100"/>
        <c:tickLblSkip val="1"/>
        <c:noMultiLvlLbl val="0"/>
      </c:catAx>
      <c:valAx>
        <c:axId val="324733568"/>
        <c:scaling>
          <c:orientation val="minMax"/>
          <c:min val="0"/>
        </c:scaling>
        <c:delete val="0"/>
        <c:axPos val="b"/>
        <c:majorGridlines>
          <c:spPr>
            <a:ln w="3175">
              <a:solidFill>
                <a:srgbClr val="BEBEBE"/>
              </a:solidFill>
              <a:prstDash val="solid"/>
            </a:ln>
          </c:spPr>
        </c:majorGridlines>
        <c:minorGridlines/>
        <c:numFmt formatCode="General" sourceLinked="0"/>
        <c:majorTickMark val="out"/>
        <c:minorTickMark val="out"/>
        <c:tickLblPos val="high"/>
        <c:spPr>
          <a:ln>
            <a:solidFill>
              <a:schemeClr val="bg1">
                <a:lumMod val="75000"/>
              </a:schemeClr>
            </a:solidFill>
          </a:ln>
        </c:spPr>
        <c:txPr>
          <a:bodyPr rot="0" vert="horz"/>
          <a:lstStyle/>
          <a:p>
            <a:pPr>
              <a:defRPr/>
            </a:pPr>
            <a:endParaRPr lang="en-US"/>
          </a:p>
        </c:txPr>
        <c:crossAx val="324732032"/>
        <c:crosses val="max"/>
        <c:crossBetween val="between"/>
        <c:minorUnit val="25"/>
      </c:valAx>
    </c:plotArea>
    <c:plotVisOnly val="1"/>
    <c:dispBlanksAs val="gap"/>
    <c:showDLblsOverMax val="0"/>
  </c:chart>
  <c:spPr>
    <a:solidFill>
      <a:srgbClr val="FFFFFF"/>
    </a:solidFill>
    <a:ln w="3175">
      <a:solidFill>
        <a:schemeClr val="bg1">
          <a:lumMod val="50000"/>
        </a:schemeClr>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85735601933279E-2"/>
          <c:y val="2.2194088484037533E-2"/>
          <c:w val="0.5950272836468723"/>
          <c:h val="0.94294752371639823"/>
        </c:manualLayout>
      </c:layout>
      <c:pieChart>
        <c:varyColors val="1"/>
        <c:ser>
          <c:idx val="0"/>
          <c:order val="0"/>
          <c:tx>
            <c:strRef>
              <c:f>'Summary Tables'!$C$264:$D$264</c:f>
              <c:strCache>
                <c:ptCount val="2"/>
                <c:pt idx="0">
                  <c:v>Market</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53C7-4D70-8A3A-070D41E23217}"/>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53C7-4D70-8A3A-070D41E23217}"/>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53C7-4D70-8A3A-070D41E23217}"/>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53C7-4D70-8A3A-070D41E23217}"/>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53C7-4D70-8A3A-070D41E23217}"/>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53C7-4D70-8A3A-070D41E23217}"/>
              </c:ext>
            </c:extLst>
          </c:dPt>
          <c:cat>
            <c:strRef>
              <c:f>'Summary Tables'!$E$263:$H$263</c:f>
              <c:strCache>
                <c:ptCount val="4"/>
                <c:pt idx="0">
                  <c:v>1 bed</c:v>
                </c:pt>
                <c:pt idx="1">
                  <c:v>2 bed</c:v>
                </c:pt>
                <c:pt idx="2">
                  <c:v>3 bed</c:v>
                </c:pt>
                <c:pt idx="3">
                  <c:v>4 + bed</c:v>
                </c:pt>
              </c:strCache>
            </c:strRef>
          </c:cat>
          <c:val>
            <c:numRef>
              <c:f>'Summary Tables'!$E$270:$H$270</c:f>
              <c:numCache>
                <c:formatCode>#,##0</c:formatCode>
                <c:ptCount val="4"/>
                <c:pt idx="0">
                  <c:v>44</c:v>
                </c:pt>
                <c:pt idx="1">
                  <c:v>82</c:v>
                </c:pt>
                <c:pt idx="2">
                  <c:v>21</c:v>
                </c:pt>
                <c:pt idx="3">
                  <c:v>16</c:v>
                </c:pt>
              </c:numCache>
            </c:numRef>
          </c:val>
          <c:extLst>
            <c:ext xmlns:c16="http://schemas.microsoft.com/office/drawing/2014/chart" uri="{C3380CC4-5D6E-409C-BE32-E72D297353CC}">
              <c16:uniqueId val="{0000000C-53C7-4D70-8A3A-070D41E23217}"/>
            </c:ext>
          </c:extLst>
        </c:ser>
        <c:ser>
          <c:idx val="1"/>
          <c:order val="1"/>
          <c:tx>
            <c:strRef>
              <c:f>'Summary Tables'!$C$265:$D$265</c:f>
              <c:strCache>
                <c:ptCount val="2"/>
                <c:pt idx="0">
                  <c:v>Market</c:v>
                </c:pt>
              </c:strCache>
            </c:strRef>
          </c:tx>
          <c:cat>
            <c:strRef>
              <c:f>'Summary Tables'!$E$263:$H$263</c:f>
              <c:strCache>
                <c:ptCount val="4"/>
                <c:pt idx="0">
                  <c:v>1 bed</c:v>
                </c:pt>
                <c:pt idx="1">
                  <c:v>2 bed</c:v>
                </c:pt>
                <c:pt idx="2">
                  <c:v>3 bed</c:v>
                </c:pt>
                <c:pt idx="3">
                  <c:v>4 + bed</c:v>
                </c:pt>
              </c:strCache>
            </c:strRef>
          </c:cat>
          <c:val>
            <c:numRef>
              <c:f>'Summary Tables'!$E$265:$H$265</c:f>
              <c:numCache>
                <c:formatCode>0%</c:formatCode>
                <c:ptCount val="4"/>
                <c:pt idx="0">
                  <c:v>0.20858895705521471</c:v>
                </c:pt>
                <c:pt idx="1">
                  <c:v>0.49079754601226994</c:v>
                </c:pt>
                <c:pt idx="2">
                  <c:v>9.815950920245399E-2</c:v>
                </c:pt>
                <c:pt idx="3">
                  <c:v>9.815950920245399E-2</c:v>
                </c:pt>
              </c:numCache>
            </c:numRef>
          </c:val>
          <c:extLst>
            <c:ext xmlns:c16="http://schemas.microsoft.com/office/drawing/2014/chart" uri="{C3380CC4-5D6E-409C-BE32-E72D297353CC}">
              <c16:uniqueId val="{0000000D-53C7-4D70-8A3A-070D41E23217}"/>
            </c:ext>
          </c:extLst>
        </c:ser>
        <c:ser>
          <c:idx val="2"/>
          <c:order val="2"/>
          <c:tx>
            <c:strRef>
              <c:f>'Summary Tables'!$C$266:$D$266</c:f>
              <c:strCache>
                <c:ptCount val="2"/>
                <c:pt idx="0">
                  <c:v>Intermediate</c:v>
                </c:pt>
              </c:strCache>
            </c:strRef>
          </c:tx>
          <c:cat>
            <c:strRef>
              <c:f>'Summary Tables'!$E$263:$H$263</c:f>
              <c:strCache>
                <c:ptCount val="4"/>
                <c:pt idx="0">
                  <c:v>1 bed</c:v>
                </c:pt>
                <c:pt idx="1">
                  <c:v>2 bed</c:v>
                </c:pt>
                <c:pt idx="2">
                  <c:v>3 bed</c:v>
                </c:pt>
                <c:pt idx="3">
                  <c:v>4 + bed</c:v>
                </c:pt>
              </c:strCache>
            </c:strRef>
          </c:cat>
          <c:val>
            <c:numRef>
              <c:f>'Summary Tables'!$E$266:$H$266</c:f>
              <c:numCache>
                <c:formatCode>#,##0</c:formatCode>
                <c:ptCount val="4"/>
                <c:pt idx="0">
                  <c:v>0</c:v>
                </c:pt>
                <c:pt idx="1">
                  <c:v>0</c:v>
                </c:pt>
                <c:pt idx="2">
                  <c:v>0</c:v>
                </c:pt>
                <c:pt idx="3">
                  <c:v>0</c:v>
                </c:pt>
              </c:numCache>
            </c:numRef>
          </c:val>
          <c:extLst>
            <c:ext xmlns:c16="http://schemas.microsoft.com/office/drawing/2014/chart" uri="{C3380CC4-5D6E-409C-BE32-E72D297353CC}">
              <c16:uniqueId val="{0000000E-53C7-4D70-8A3A-070D41E23217}"/>
            </c:ext>
          </c:extLst>
        </c:ser>
        <c:ser>
          <c:idx val="3"/>
          <c:order val="3"/>
          <c:tx>
            <c:strRef>
              <c:f>'Summary Tables'!$C$267:$D$267</c:f>
              <c:strCache>
                <c:ptCount val="2"/>
                <c:pt idx="0">
                  <c:v>Intermediate</c:v>
                </c:pt>
              </c:strCache>
            </c:strRef>
          </c:tx>
          <c:cat>
            <c:strRef>
              <c:f>'Summary Tables'!$E$263:$H$263</c:f>
              <c:strCache>
                <c:ptCount val="4"/>
                <c:pt idx="0">
                  <c:v>1 bed</c:v>
                </c:pt>
                <c:pt idx="1">
                  <c:v>2 bed</c:v>
                </c:pt>
                <c:pt idx="2">
                  <c:v>3 bed</c:v>
                </c:pt>
                <c:pt idx="3">
                  <c:v>4 + bed</c:v>
                </c:pt>
              </c:strCache>
            </c:strRef>
          </c:cat>
          <c:val>
            <c:numRef>
              <c:f>'Summary Tables'!$E$267:$H$267</c:f>
              <c:numCache>
                <c:formatCode>0%</c:formatCode>
                <c:ptCount val="4"/>
                <c:pt idx="0">
                  <c:v>0</c:v>
                </c:pt>
                <c:pt idx="1">
                  <c:v>0</c:v>
                </c:pt>
                <c:pt idx="2">
                  <c:v>0</c:v>
                </c:pt>
                <c:pt idx="3">
                  <c:v>0</c:v>
                </c:pt>
              </c:numCache>
            </c:numRef>
          </c:val>
          <c:extLst>
            <c:ext xmlns:c16="http://schemas.microsoft.com/office/drawing/2014/chart" uri="{C3380CC4-5D6E-409C-BE32-E72D297353CC}">
              <c16:uniqueId val="{0000000F-53C7-4D70-8A3A-070D41E23217}"/>
            </c:ext>
          </c:extLst>
        </c:ser>
        <c:ser>
          <c:idx val="4"/>
          <c:order val="4"/>
          <c:tx>
            <c:strRef>
              <c:f>'Summary Tables'!$C$268:$D$268</c:f>
              <c:strCache>
                <c:ptCount val="2"/>
                <c:pt idx="0">
                  <c:v>Affordable Rented</c:v>
                </c:pt>
              </c:strCache>
            </c:strRef>
          </c:tx>
          <c:cat>
            <c:strRef>
              <c:f>'Summary Tables'!$E$263:$H$263</c:f>
              <c:strCache>
                <c:ptCount val="4"/>
                <c:pt idx="0">
                  <c:v>1 bed</c:v>
                </c:pt>
                <c:pt idx="1">
                  <c:v>2 bed</c:v>
                </c:pt>
                <c:pt idx="2">
                  <c:v>3 bed</c:v>
                </c:pt>
                <c:pt idx="3">
                  <c:v>4 + bed</c:v>
                </c:pt>
              </c:strCache>
            </c:strRef>
          </c:cat>
          <c:val>
            <c:numRef>
              <c:f>'Summary Tables'!$E$268:$H$268</c:f>
              <c:numCache>
                <c:formatCode>#,##0</c:formatCode>
                <c:ptCount val="4"/>
                <c:pt idx="0">
                  <c:v>10</c:v>
                </c:pt>
                <c:pt idx="1">
                  <c:v>2</c:v>
                </c:pt>
                <c:pt idx="2">
                  <c:v>5</c:v>
                </c:pt>
                <c:pt idx="3">
                  <c:v>0</c:v>
                </c:pt>
              </c:numCache>
            </c:numRef>
          </c:val>
          <c:extLst>
            <c:ext xmlns:c16="http://schemas.microsoft.com/office/drawing/2014/chart" uri="{C3380CC4-5D6E-409C-BE32-E72D297353CC}">
              <c16:uniqueId val="{00000010-53C7-4D70-8A3A-070D41E23217}"/>
            </c:ext>
          </c:extLst>
        </c:ser>
        <c:ser>
          <c:idx val="5"/>
          <c:order val="5"/>
          <c:tx>
            <c:strRef>
              <c:f>'Summary Tables'!$C$269:$D$269</c:f>
              <c:strCache>
                <c:ptCount val="2"/>
                <c:pt idx="0">
                  <c:v>Affordable Rented</c:v>
                </c:pt>
              </c:strCache>
            </c:strRef>
          </c:tx>
          <c:cat>
            <c:strRef>
              <c:f>'Summary Tables'!$E$263:$H$263</c:f>
              <c:strCache>
                <c:ptCount val="4"/>
                <c:pt idx="0">
                  <c:v>1 bed</c:v>
                </c:pt>
                <c:pt idx="1">
                  <c:v>2 bed</c:v>
                </c:pt>
                <c:pt idx="2">
                  <c:v>3 bed</c:v>
                </c:pt>
                <c:pt idx="3">
                  <c:v>4 + bed</c:v>
                </c:pt>
              </c:strCache>
            </c:strRef>
          </c:cat>
          <c:val>
            <c:numRef>
              <c:f>'Summary Tables'!$E$269:$H$269</c:f>
              <c:numCache>
                <c:formatCode>0%</c:formatCode>
                <c:ptCount val="4"/>
                <c:pt idx="0">
                  <c:v>6.1349693251533742E-2</c:v>
                </c:pt>
                <c:pt idx="1">
                  <c:v>1.2269938650306749E-2</c:v>
                </c:pt>
                <c:pt idx="2">
                  <c:v>3.0674846625766871E-2</c:v>
                </c:pt>
                <c:pt idx="3">
                  <c:v>0</c:v>
                </c:pt>
              </c:numCache>
            </c:numRef>
          </c:val>
          <c:extLst>
            <c:ext xmlns:c16="http://schemas.microsoft.com/office/drawing/2014/chart" uri="{C3380CC4-5D6E-409C-BE32-E72D297353CC}">
              <c16:uniqueId val="{00000011-53C7-4D70-8A3A-070D41E2321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874345549738221"/>
          <c:y val="0.15686343128677543"/>
          <c:w val="0.23790150246967159"/>
          <c:h val="0.5559748168733810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chemeClr val="bg1">
          <a:lumMod val="50000"/>
        </a:schemeClr>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33727034122E-2"/>
          <c:y val="3.7866913694611704E-2"/>
          <c:w val="0.62285474081364833"/>
          <c:h val="0.93794596263702334"/>
        </c:manualLayout>
      </c:layout>
      <c:pieChart>
        <c:varyColors val="1"/>
        <c:ser>
          <c:idx val="0"/>
          <c:order val="0"/>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EDA3-4F33-8695-1AB6C801C511}"/>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EDA3-4F33-8695-1AB6C801C511}"/>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EDA3-4F33-8695-1AB6C801C511}"/>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EDA3-4F33-8695-1AB6C801C511}"/>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EDA3-4F33-8695-1AB6C801C511}"/>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EDA3-4F33-8695-1AB6C801C511}"/>
              </c:ext>
            </c:extLst>
          </c:dPt>
          <c:cat>
            <c:strRef>
              <c:f>'Summary Tables'!$E$275:$H$275</c:f>
              <c:strCache>
                <c:ptCount val="4"/>
                <c:pt idx="0">
                  <c:v>1 bed</c:v>
                </c:pt>
                <c:pt idx="1">
                  <c:v>2 bed</c:v>
                </c:pt>
                <c:pt idx="2">
                  <c:v>3 bed</c:v>
                </c:pt>
                <c:pt idx="3">
                  <c:v>4 + bed</c:v>
                </c:pt>
              </c:strCache>
            </c:strRef>
          </c:cat>
          <c:val>
            <c:numRef>
              <c:f>'Summary Tables'!$E$284:$H$284</c:f>
              <c:numCache>
                <c:formatCode>#,##0</c:formatCode>
                <c:ptCount val="4"/>
                <c:pt idx="0">
                  <c:v>103</c:v>
                </c:pt>
                <c:pt idx="1">
                  <c:v>157</c:v>
                </c:pt>
                <c:pt idx="2">
                  <c:v>47</c:v>
                </c:pt>
                <c:pt idx="3">
                  <c:v>43</c:v>
                </c:pt>
              </c:numCache>
            </c:numRef>
          </c:val>
          <c:extLst>
            <c:ext xmlns:c16="http://schemas.microsoft.com/office/drawing/2014/chart" uri="{C3380CC4-5D6E-409C-BE32-E72D297353CC}">
              <c16:uniqueId val="{0000000C-EDA3-4F33-8695-1AB6C801C511}"/>
            </c:ext>
          </c:extLst>
        </c:ser>
        <c:ser>
          <c:idx val="1"/>
          <c:order val="1"/>
          <c:cat>
            <c:strRef>
              <c:f>'Summary Tables'!$E$275:$H$275</c:f>
              <c:strCache>
                <c:ptCount val="4"/>
                <c:pt idx="0">
                  <c:v>1 bed</c:v>
                </c:pt>
                <c:pt idx="1">
                  <c:v>2 bed</c:v>
                </c:pt>
                <c:pt idx="2">
                  <c:v>3 bed</c:v>
                </c:pt>
                <c:pt idx="3">
                  <c:v>4 + bed</c:v>
                </c:pt>
              </c:strCache>
            </c:strRef>
          </c:cat>
          <c:val>
            <c:numRef>
              <c:f>'Summary Tables'!$E$277:$H$277</c:f>
              <c:numCache>
                <c:formatCode>0%</c:formatCode>
                <c:ptCount val="4"/>
                <c:pt idx="0">
                  <c:v>0.24857142857142858</c:v>
                </c:pt>
                <c:pt idx="1">
                  <c:v>0.37714285714285717</c:v>
                </c:pt>
                <c:pt idx="2">
                  <c:v>0.11142857142857143</c:v>
                </c:pt>
                <c:pt idx="3">
                  <c:v>0.10285714285714286</c:v>
                </c:pt>
              </c:numCache>
            </c:numRef>
          </c:val>
          <c:extLst>
            <c:ext xmlns:c16="http://schemas.microsoft.com/office/drawing/2014/chart" uri="{C3380CC4-5D6E-409C-BE32-E72D297353CC}">
              <c16:uniqueId val="{0000000D-EDA3-4F33-8695-1AB6C801C511}"/>
            </c:ext>
          </c:extLst>
        </c:ser>
        <c:ser>
          <c:idx val="2"/>
          <c:order val="2"/>
          <c:cat>
            <c:strRef>
              <c:f>'Summary Tables'!$E$275:$H$275</c:f>
              <c:strCache>
                <c:ptCount val="4"/>
                <c:pt idx="0">
                  <c:v>1 bed</c:v>
                </c:pt>
                <c:pt idx="1">
                  <c:v>2 bed</c:v>
                </c:pt>
                <c:pt idx="2">
                  <c:v>3 bed</c:v>
                </c:pt>
                <c:pt idx="3">
                  <c:v>4 + bed</c:v>
                </c:pt>
              </c:strCache>
            </c:strRef>
          </c:cat>
          <c:val>
            <c:numRef>
              <c:f>'Summary Tables'!$E$278:$H$278</c:f>
              <c:numCache>
                <c:formatCode>#,##0</c:formatCode>
                <c:ptCount val="4"/>
                <c:pt idx="0">
                  <c:v>15</c:v>
                </c:pt>
                <c:pt idx="1">
                  <c:v>12</c:v>
                </c:pt>
                <c:pt idx="2">
                  <c:v>0</c:v>
                </c:pt>
                <c:pt idx="3">
                  <c:v>0</c:v>
                </c:pt>
              </c:numCache>
            </c:numRef>
          </c:val>
          <c:extLst>
            <c:ext xmlns:c16="http://schemas.microsoft.com/office/drawing/2014/chart" uri="{C3380CC4-5D6E-409C-BE32-E72D297353CC}">
              <c16:uniqueId val="{0000000E-EDA3-4F33-8695-1AB6C801C511}"/>
            </c:ext>
          </c:extLst>
        </c:ser>
        <c:ser>
          <c:idx val="3"/>
          <c:order val="3"/>
          <c:cat>
            <c:strRef>
              <c:f>'Summary Tables'!$E$275:$H$275</c:f>
              <c:strCache>
                <c:ptCount val="4"/>
                <c:pt idx="0">
                  <c:v>1 bed</c:v>
                </c:pt>
                <c:pt idx="1">
                  <c:v>2 bed</c:v>
                </c:pt>
                <c:pt idx="2">
                  <c:v>3 bed</c:v>
                </c:pt>
                <c:pt idx="3">
                  <c:v>4 + bed</c:v>
                </c:pt>
              </c:strCache>
            </c:strRef>
          </c:cat>
          <c:val>
            <c:numRef>
              <c:f>'Summary Tables'!$E$279:$H$279</c:f>
              <c:numCache>
                <c:formatCode>0%</c:formatCode>
                <c:ptCount val="4"/>
                <c:pt idx="0">
                  <c:v>4.2857142857142858E-2</c:v>
                </c:pt>
                <c:pt idx="1">
                  <c:v>3.4285714285714287E-2</c:v>
                </c:pt>
                <c:pt idx="2">
                  <c:v>0</c:v>
                </c:pt>
                <c:pt idx="3">
                  <c:v>0</c:v>
                </c:pt>
              </c:numCache>
            </c:numRef>
          </c:val>
          <c:extLst>
            <c:ext xmlns:c16="http://schemas.microsoft.com/office/drawing/2014/chart" uri="{C3380CC4-5D6E-409C-BE32-E72D297353CC}">
              <c16:uniqueId val="{0000000F-EDA3-4F33-8695-1AB6C801C511}"/>
            </c:ext>
          </c:extLst>
        </c:ser>
        <c:ser>
          <c:idx val="4"/>
          <c:order val="4"/>
          <c:cat>
            <c:strRef>
              <c:f>'Summary Tables'!$E$275:$H$275</c:f>
              <c:strCache>
                <c:ptCount val="4"/>
                <c:pt idx="0">
                  <c:v>1 bed</c:v>
                </c:pt>
                <c:pt idx="1">
                  <c:v>2 bed</c:v>
                </c:pt>
                <c:pt idx="2">
                  <c:v>3 bed</c:v>
                </c:pt>
                <c:pt idx="3">
                  <c:v>4 + bed</c:v>
                </c:pt>
              </c:strCache>
            </c:strRef>
          </c:cat>
          <c:val>
            <c:numRef>
              <c:f>'Summary Tables'!$E$280:$H$280</c:f>
              <c:numCache>
                <c:formatCode>#,##0</c:formatCode>
                <c:ptCount val="4"/>
                <c:pt idx="0">
                  <c:v>6</c:v>
                </c:pt>
                <c:pt idx="1">
                  <c:v>14</c:v>
                </c:pt>
                <c:pt idx="2">
                  <c:v>8</c:v>
                </c:pt>
                <c:pt idx="3">
                  <c:v>7</c:v>
                </c:pt>
              </c:numCache>
            </c:numRef>
          </c:val>
          <c:extLst>
            <c:ext xmlns:c16="http://schemas.microsoft.com/office/drawing/2014/chart" uri="{C3380CC4-5D6E-409C-BE32-E72D297353CC}">
              <c16:uniqueId val="{00000010-EDA3-4F33-8695-1AB6C801C511}"/>
            </c:ext>
          </c:extLst>
        </c:ser>
        <c:ser>
          <c:idx val="5"/>
          <c:order val="5"/>
          <c:cat>
            <c:strRef>
              <c:f>'Summary Tables'!$E$275:$H$275</c:f>
              <c:strCache>
                <c:ptCount val="4"/>
                <c:pt idx="0">
                  <c:v>1 bed</c:v>
                </c:pt>
                <c:pt idx="1">
                  <c:v>2 bed</c:v>
                </c:pt>
                <c:pt idx="2">
                  <c:v>3 bed</c:v>
                </c:pt>
                <c:pt idx="3">
                  <c:v>4 + bed</c:v>
                </c:pt>
              </c:strCache>
            </c:strRef>
          </c:cat>
          <c:val>
            <c:numRef>
              <c:f>'Summary Tables'!$E$281:$H$281</c:f>
              <c:numCache>
                <c:formatCode>0%</c:formatCode>
                <c:ptCount val="4"/>
                <c:pt idx="0">
                  <c:v>1.7142857142857144E-2</c:v>
                </c:pt>
                <c:pt idx="1">
                  <c:v>0.04</c:v>
                </c:pt>
                <c:pt idx="2">
                  <c:v>2.2857142857142857E-2</c:v>
                </c:pt>
                <c:pt idx="3">
                  <c:v>0.02</c:v>
                </c:pt>
              </c:numCache>
            </c:numRef>
          </c:val>
          <c:extLst>
            <c:ext xmlns:c16="http://schemas.microsoft.com/office/drawing/2014/chart" uri="{C3380CC4-5D6E-409C-BE32-E72D297353CC}">
              <c16:uniqueId val="{00000011-EDA3-4F33-8695-1AB6C801C511}"/>
            </c:ext>
          </c:extLst>
        </c:ser>
        <c:ser>
          <c:idx val="6"/>
          <c:order val="6"/>
          <c:cat>
            <c:strRef>
              <c:f>'Summary Tables'!$E$275:$H$275</c:f>
              <c:strCache>
                <c:ptCount val="4"/>
                <c:pt idx="0">
                  <c:v>1 bed</c:v>
                </c:pt>
                <c:pt idx="1">
                  <c:v>2 bed</c:v>
                </c:pt>
                <c:pt idx="2">
                  <c:v>3 bed</c:v>
                </c:pt>
                <c:pt idx="3">
                  <c:v>4 + bed</c:v>
                </c:pt>
              </c:strCache>
            </c:strRef>
          </c:cat>
          <c:val>
            <c:numRef>
              <c:f>'Summary Tables'!$E$282:$H$282</c:f>
              <c:numCache>
                <c:formatCode>#,##0</c:formatCode>
                <c:ptCount val="4"/>
                <c:pt idx="0">
                  <c:v>-5</c:v>
                </c:pt>
                <c:pt idx="1">
                  <c:v>-1</c:v>
                </c:pt>
                <c:pt idx="2">
                  <c:v>0</c:v>
                </c:pt>
                <c:pt idx="3">
                  <c:v>0</c:v>
                </c:pt>
              </c:numCache>
            </c:numRef>
          </c:val>
          <c:extLst>
            <c:ext xmlns:c16="http://schemas.microsoft.com/office/drawing/2014/chart" uri="{C3380CC4-5D6E-409C-BE32-E72D297353CC}">
              <c16:uniqueId val="{00000012-EDA3-4F33-8695-1AB6C801C511}"/>
            </c:ext>
          </c:extLst>
        </c:ser>
        <c:ser>
          <c:idx val="7"/>
          <c:order val="7"/>
          <c:cat>
            <c:strRef>
              <c:f>'Summary Tables'!$E$275:$H$275</c:f>
              <c:strCache>
                <c:ptCount val="4"/>
                <c:pt idx="0">
                  <c:v>1 bed</c:v>
                </c:pt>
                <c:pt idx="1">
                  <c:v>2 bed</c:v>
                </c:pt>
                <c:pt idx="2">
                  <c:v>3 bed</c:v>
                </c:pt>
                <c:pt idx="3">
                  <c:v>4 + bed</c:v>
                </c:pt>
              </c:strCache>
            </c:strRef>
          </c:cat>
          <c:val>
            <c:numRef>
              <c:f>'Summary Tables'!$E$283:$H$283</c:f>
              <c:numCache>
                <c:formatCode>0%</c:formatCode>
                <c:ptCount val="4"/>
                <c:pt idx="0">
                  <c:v>-1.4285714285714285E-2</c:v>
                </c:pt>
                <c:pt idx="1">
                  <c:v>-2.8571428571428571E-3</c:v>
                </c:pt>
                <c:pt idx="2">
                  <c:v>0</c:v>
                </c:pt>
                <c:pt idx="3">
                  <c:v>0</c:v>
                </c:pt>
              </c:numCache>
            </c:numRef>
          </c:val>
          <c:extLst>
            <c:ext xmlns:c16="http://schemas.microsoft.com/office/drawing/2014/chart" uri="{C3380CC4-5D6E-409C-BE32-E72D297353CC}">
              <c16:uniqueId val="{00000013-EDA3-4F33-8695-1AB6C801C51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23543615452958339"/>
          <c:h val="0.4524688669235494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image" Target="../media/image1.png"/><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11</xdr:col>
      <xdr:colOff>381001</xdr:colOff>
      <xdr:row>57</xdr:row>
      <xdr:rowOff>0</xdr:rowOff>
    </xdr:from>
    <xdr:to>
      <xdr:col>18</xdr:col>
      <xdr:colOff>457201</xdr:colOff>
      <xdr:row>70</xdr:row>
      <xdr:rowOff>0</xdr:rowOff>
    </xdr:to>
    <xdr:graphicFrame macro="">
      <xdr:nvGraphicFramePr>
        <xdr:cNvPr id="2" name="Chart 1">
          <a:extLst>
            <a:ext uri="{FF2B5EF4-FFF2-40B4-BE49-F238E27FC236}">
              <a16:creationId xmlns:a16="http://schemas.microsoft.com/office/drawing/2014/main" id="{FBAB2BE9-BB7F-4EAE-AB13-54DF97C16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180975</xdr:colOff>
      <xdr:row>74</xdr:row>
      <xdr:rowOff>1</xdr:rowOff>
    </xdr:from>
    <xdr:to>
      <xdr:col>18</xdr:col>
      <xdr:colOff>0</xdr:colOff>
      <xdr:row>94</xdr:row>
      <xdr:rowOff>2</xdr:rowOff>
    </xdr:to>
    <xdr:graphicFrame macro="">
      <xdr:nvGraphicFramePr>
        <xdr:cNvPr id="3" name="Chart 12">
          <a:extLst>
            <a:ext uri="{FF2B5EF4-FFF2-40B4-BE49-F238E27FC236}">
              <a16:creationId xmlns:a16="http://schemas.microsoft.com/office/drawing/2014/main" id="{060767D9-652D-49E1-A221-A79F2799A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120</xdr:row>
      <xdr:rowOff>149088</xdr:rowOff>
    </xdr:from>
    <xdr:to>
      <xdr:col>16</xdr:col>
      <xdr:colOff>228600</xdr:colOff>
      <xdr:row>137</xdr:row>
      <xdr:rowOff>76201</xdr:rowOff>
    </xdr:to>
    <xdr:graphicFrame macro="">
      <xdr:nvGraphicFramePr>
        <xdr:cNvPr id="4" name="Chart 62">
          <a:extLst>
            <a:ext uri="{FF2B5EF4-FFF2-40B4-BE49-F238E27FC236}">
              <a16:creationId xmlns:a16="http://schemas.microsoft.com/office/drawing/2014/main" id="{435D78A8-EDA9-491E-B130-3B1E776C0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82826</xdr:colOff>
      <xdr:row>101</xdr:row>
      <xdr:rowOff>74544</xdr:rowOff>
    </xdr:from>
    <xdr:to>
      <xdr:col>16</xdr:col>
      <xdr:colOff>248478</xdr:colOff>
      <xdr:row>119</xdr:row>
      <xdr:rowOff>47625</xdr:rowOff>
    </xdr:to>
    <xdr:graphicFrame macro="">
      <xdr:nvGraphicFramePr>
        <xdr:cNvPr id="5" name="Chart 4">
          <a:extLst>
            <a:ext uri="{FF2B5EF4-FFF2-40B4-BE49-F238E27FC236}">
              <a16:creationId xmlns:a16="http://schemas.microsoft.com/office/drawing/2014/main" id="{BBF3F9D0-DF38-4803-BB5B-509C45515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118109</xdr:colOff>
      <xdr:row>1</xdr:row>
      <xdr:rowOff>265845</xdr:rowOff>
    </xdr:from>
    <xdr:to>
      <xdr:col>4</xdr:col>
      <xdr:colOff>0</xdr:colOff>
      <xdr:row>2</xdr:row>
      <xdr:rowOff>0</xdr:rowOff>
    </xdr:to>
    <xdr:pic>
      <xdr:nvPicPr>
        <xdr:cNvPr id="6" name="Picture 5">
          <a:extLst>
            <a:ext uri="{FF2B5EF4-FFF2-40B4-BE49-F238E27FC236}">
              <a16:creationId xmlns:a16="http://schemas.microsoft.com/office/drawing/2014/main" id="{05A658C8-B316-494C-A503-21341F8722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7709" y="561120"/>
          <a:ext cx="1786891" cy="362805"/>
        </a:xfrm>
        <a:prstGeom prst="rect">
          <a:avLst/>
        </a:prstGeom>
      </xdr:spPr>
    </xdr:pic>
    <xdr:clientData/>
  </xdr:twoCellAnchor>
  <xdr:twoCellAnchor>
    <xdr:from>
      <xdr:col>10</xdr:col>
      <xdr:colOff>314325</xdr:colOff>
      <xdr:row>140</xdr:row>
      <xdr:rowOff>161924</xdr:rowOff>
    </xdr:from>
    <xdr:to>
      <xdr:col>18</xdr:col>
      <xdr:colOff>440531</xdr:colOff>
      <xdr:row>153</xdr:row>
      <xdr:rowOff>161924</xdr:rowOff>
    </xdr:to>
    <xdr:graphicFrame macro="">
      <xdr:nvGraphicFramePr>
        <xdr:cNvPr id="7" name="Chart 26">
          <a:extLst>
            <a:ext uri="{FF2B5EF4-FFF2-40B4-BE49-F238E27FC236}">
              <a16:creationId xmlns:a16="http://schemas.microsoft.com/office/drawing/2014/main" id="{948FD385-B02F-4F39-A178-49A423582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308113</xdr:colOff>
      <xdr:row>169</xdr:row>
      <xdr:rowOff>0</xdr:rowOff>
    </xdr:from>
    <xdr:to>
      <xdr:col>18</xdr:col>
      <xdr:colOff>495300</xdr:colOff>
      <xdr:row>187</xdr:row>
      <xdr:rowOff>0</xdr:rowOff>
    </xdr:to>
    <xdr:graphicFrame macro="">
      <xdr:nvGraphicFramePr>
        <xdr:cNvPr id="8" name="Chart 7">
          <a:extLst>
            <a:ext uri="{FF2B5EF4-FFF2-40B4-BE49-F238E27FC236}">
              <a16:creationId xmlns:a16="http://schemas.microsoft.com/office/drawing/2014/main" id="{67C82ADC-FEE2-417E-96FE-69EBB76FE6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xdr:colOff>
      <xdr:row>234</xdr:row>
      <xdr:rowOff>0</xdr:rowOff>
    </xdr:from>
    <xdr:to>
      <xdr:col>18</xdr:col>
      <xdr:colOff>1</xdr:colOff>
      <xdr:row>254</xdr:row>
      <xdr:rowOff>0</xdr:rowOff>
    </xdr:to>
    <xdr:graphicFrame macro="">
      <xdr:nvGraphicFramePr>
        <xdr:cNvPr id="9" name="Chart 55">
          <a:extLst>
            <a:ext uri="{FF2B5EF4-FFF2-40B4-BE49-F238E27FC236}">
              <a16:creationId xmlns:a16="http://schemas.microsoft.com/office/drawing/2014/main" id="{8E387B64-648E-438D-B76B-D34938526A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1</xdr:colOff>
      <xdr:row>262</xdr:row>
      <xdr:rowOff>1</xdr:rowOff>
    </xdr:from>
    <xdr:to>
      <xdr:col>16</xdr:col>
      <xdr:colOff>1</xdr:colOff>
      <xdr:row>271</xdr:row>
      <xdr:rowOff>0</xdr:rowOff>
    </xdr:to>
    <xdr:graphicFrame macro="">
      <xdr:nvGraphicFramePr>
        <xdr:cNvPr id="10" name="Chart 56">
          <a:extLst>
            <a:ext uri="{FF2B5EF4-FFF2-40B4-BE49-F238E27FC236}">
              <a16:creationId xmlns:a16="http://schemas.microsoft.com/office/drawing/2014/main" id="{371D464F-803F-4CEA-ABF6-8CF307B37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274</xdr:row>
      <xdr:rowOff>0</xdr:rowOff>
    </xdr:from>
    <xdr:to>
      <xdr:col>16</xdr:col>
      <xdr:colOff>0</xdr:colOff>
      <xdr:row>284</xdr:row>
      <xdr:rowOff>0</xdr:rowOff>
    </xdr:to>
    <xdr:graphicFrame macro="">
      <xdr:nvGraphicFramePr>
        <xdr:cNvPr id="11" name="Chart 57">
          <a:extLst>
            <a:ext uri="{FF2B5EF4-FFF2-40B4-BE49-F238E27FC236}">
              <a16:creationId xmlns:a16="http://schemas.microsoft.com/office/drawing/2014/main" id="{A33E5A04-7054-4CF5-B16A-1E1FDC3DB3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xdr:colOff>
      <xdr:row>208</xdr:row>
      <xdr:rowOff>0</xdr:rowOff>
    </xdr:from>
    <xdr:to>
      <xdr:col>18</xdr:col>
      <xdr:colOff>0</xdr:colOff>
      <xdr:row>227</xdr:row>
      <xdr:rowOff>161924</xdr:rowOff>
    </xdr:to>
    <xdr:graphicFrame macro="">
      <xdr:nvGraphicFramePr>
        <xdr:cNvPr id="12" name="Chart 55">
          <a:extLst>
            <a:ext uri="{FF2B5EF4-FFF2-40B4-BE49-F238E27FC236}">
              <a16:creationId xmlns:a16="http://schemas.microsoft.com/office/drawing/2014/main" id="{DC1ACB42-825D-403D-9A27-DB9933C32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289</xdr:row>
      <xdr:rowOff>0</xdr:rowOff>
    </xdr:from>
    <xdr:to>
      <xdr:col>16</xdr:col>
      <xdr:colOff>0</xdr:colOff>
      <xdr:row>299</xdr:row>
      <xdr:rowOff>0</xdr:rowOff>
    </xdr:to>
    <xdr:graphicFrame macro="">
      <xdr:nvGraphicFramePr>
        <xdr:cNvPr id="13" name="Chart 57">
          <a:extLst>
            <a:ext uri="{FF2B5EF4-FFF2-40B4-BE49-F238E27FC236}">
              <a16:creationId xmlns:a16="http://schemas.microsoft.com/office/drawing/2014/main" id="{2CB390E3-8201-4CD3-9DB0-AE4C3ADFDE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xdr:row>
      <xdr:rowOff>0</xdr:rowOff>
    </xdr:from>
    <xdr:to>
      <xdr:col>23</xdr:col>
      <xdr:colOff>0</xdr:colOff>
      <xdr:row>41</xdr:row>
      <xdr:rowOff>152399</xdr:rowOff>
    </xdr:to>
    <xdr:graphicFrame macro="">
      <xdr:nvGraphicFramePr>
        <xdr:cNvPr id="2" name="Chart 1">
          <a:extLst>
            <a:ext uri="{FF2B5EF4-FFF2-40B4-BE49-F238E27FC236}">
              <a16:creationId xmlns:a16="http://schemas.microsoft.com/office/drawing/2014/main" id="{F57F97F4-7017-4A2E-A853-E4D939004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56030</xdr:colOff>
      <xdr:row>1</xdr:row>
      <xdr:rowOff>233827</xdr:rowOff>
    </xdr:from>
    <xdr:ext cx="1800499" cy="360084"/>
    <xdr:pic>
      <xdr:nvPicPr>
        <xdr:cNvPr id="3" name="Picture 2">
          <a:extLst>
            <a:ext uri="{FF2B5EF4-FFF2-40B4-BE49-F238E27FC236}">
              <a16:creationId xmlns:a16="http://schemas.microsoft.com/office/drawing/2014/main" id="{A09EC3CE-55F1-4940-AA92-9FAA867472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2720" y="384322"/>
          <a:ext cx="1800499" cy="36008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richmond.gov.uk/Users/cwilliams3/AppData/Local/Microsoft/Windows/Temporary%20Internet%20Files/Content.Outlook/WFTL1OK6/Traj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Scenario 1"/>
      <sheetName val="Scenario 1 Trajectory"/>
      <sheetName val="Scenario 2"/>
      <sheetName val="Scenario 2 Trajectory"/>
      <sheetName val="Assumptions and Abbreviations"/>
      <sheetName val="Pivots"/>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Williams, Chris" id="{EDB5A4E2-2911-4400-B3B1-0772CBBF07EA}" userId="S::Chris.Williams@richmondandwandsworth.gov.uk::d52c214e-cab3-4978-a4df-6c3b86f3276e"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742.641962268521" createdVersion="6" refreshedVersion="7" minRefreshableVersion="3" recordCount="341" xr:uid="{B1052FD3-394C-434A-94ED-EA6D3B42CBDB}">
  <cacheSource type="worksheet">
    <worksheetSource ref="A1:BT342" sheet="Data"/>
  </cacheSource>
  <cacheFields count="76">
    <cacheField name="Planning Ref" numFmtId="0">
      <sharedItems count="318">
        <s v="11/1443/FUL"/>
        <s v="13/0998/FUL"/>
        <s v="14/2257/FUL"/>
        <s v="14/3780/FUL"/>
        <s v="14/5306/FUL"/>
        <s v="15/2854/FUL"/>
        <s v="15/2855/FUL"/>
        <s v="16/0432/FUL"/>
        <s v="16/1373/FUL"/>
        <s v="16/1903/FUL"/>
        <s v="15/2857/FUL"/>
        <s v="16/2729/FUL"/>
        <s v="16/1145/FUL"/>
        <s v="16/3961/FUL"/>
        <s v="16/4772/GPD15"/>
        <s v="16/2637/FUL"/>
        <s v="15/5351/FUL"/>
        <s v="17/1285/GPD15"/>
        <s v="17/1139/GPD15"/>
        <s v="16/4902/FUL"/>
        <s v="16/4587/FUL"/>
        <s v="17/0330/FUL"/>
        <s v="17/2693/GPD15"/>
        <s v="17/2586/FUL"/>
        <s v="17/1286/VRC"/>
        <s v="16/3450/FUL"/>
        <s v="17/1996/FUL"/>
        <s v="17/2680/FUL"/>
        <s v="17/4517/VRC"/>
        <s v="16/3552/FUL"/>
        <s v="17/4268/FUL"/>
        <s v="18/0946/FUL"/>
        <s v="18/0771/FUL"/>
        <s v="18/0111/FUL"/>
        <s v="17/4303/FUL"/>
        <s v="18/0692/FUL"/>
        <s v="18/0449/FUL"/>
        <s v="17/1937/FUL"/>
        <s v="18/0929/FUL"/>
        <s v="18/2322/FUL"/>
        <s v="18/1808/FUL"/>
        <s v="18/1022/FUL"/>
        <s v="18/2114/FUL"/>
        <s v="18/3941/GPD15"/>
        <s v="18/3515/FUL"/>
        <s v="19/0181/GPD15"/>
        <s v="17/4368/FUL"/>
        <s v="15/3518/FUL"/>
        <s v="18/2494/FUL"/>
        <s v="19/0772/GPD15"/>
        <s v="18/3804/FUL"/>
        <s v="18/1619/FUL"/>
        <s v="19/0867/FUL"/>
        <s v="19/0092/FUL"/>
        <s v="19/0386/FUL"/>
        <s v="19/1332/GPD13"/>
        <s v="19/1602/GPD15"/>
        <s v="19/1361/FUL"/>
        <s v="19/1502/FUL"/>
        <s v="19/1620/GPD15"/>
        <s v="19/1455/FUL"/>
        <s v="19/0893/FUL"/>
        <s v="19/0950/FUL"/>
        <s v="19/1669/FUL"/>
        <s v="19/1029/FUL"/>
        <s v="19/1622/FUL"/>
        <s v="19/2246/FUL"/>
        <s v="19/1978/FUL"/>
        <s v="19/0111/FUL"/>
        <s v="19/3913/GPD15"/>
        <s v="20/1276/PS192"/>
        <s v="20/0852/FUL"/>
        <s v="19/0755/FUL"/>
        <s v="20/1874/ES191"/>
        <s v="20/1949/ES191"/>
        <s v="20/1388/FUL"/>
        <s v="19/3415/FUL"/>
        <s v="20/1579/FUL"/>
        <s v="20/3399/ES191"/>
        <s v="21/0056/PS192"/>
        <s v="20/3612/ES191"/>
        <s v="21/0496/ES191"/>
        <s v="07/3512/FUL"/>
        <s v="07/3348/FUL"/>
        <s v="11/0468/PS192"/>
        <s v="13/1327/FUL"/>
        <s v="14/0599/P3JPA"/>
        <s v="14/2118/FUL"/>
        <s v="13/2484/FUL"/>
        <s v="14/5284/FUL"/>
        <s v="14/3011/FUL"/>
        <s v="15/1486/FUL"/>
        <s v="14/2797/P3JPA"/>
        <s v="16/0680/FUL"/>
        <s v="14/4839/FUL"/>
        <s v="16/0058/FUL"/>
        <s v="16/2306/FUL"/>
        <s v="15/3072/FUL"/>
        <s v="16/3293/RES"/>
        <s v="16/0905/FUL"/>
        <s v="16/4635/FUL"/>
        <s v="16/4405/FUL"/>
        <s v="16/1882/FUL"/>
        <s v="17/2488/FUL"/>
        <s v="16/4890/FUL"/>
        <s v="17/3001/GPD16"/>
        <s v="17/3003/GPD16"/>
        <s v="16/2647/FUL"/>
        <s v="16/4384/FUL"/>
        <s v="16/3485/FUL"/>
        <s v="17/2939/FUL"/>
        <s v="17/0788/FUL"/>
        <s v="16/3625/FUL"/>
        <s v="17/4114/PS192"/>
        <s v="17/4292/FUL"/>
        <s v="17/3077/FUL"/>
        <s v="17/0323/FUL"/>
        <s v="18/0282/FUL"/>
        <s v="17/2769/FUL"/>
        <s v="17/1453/FUL"/>
        <s v="17/3667/FUL"/>
        <s v="17/1550/FUL"/>
        <s v="16/2288/FUL"/>
        <s v="18/2235/VRC"/>
        <s v="18/0723/FUL"/>
        <s v="16/3506/FUL"/>
        <s v="18/1743/FUL"/>
        <s v="18/0216/FUL"/>
        <s v="18/1248/FUL"/>
        <s v="18/3613/GPD15"/>
        <s v="18/3815/GPD15"/>
        <s v="18/2928/FUL"/>
        <s v="19/0347/GPD15"/>
        <s v="19/0171/GPD15"/>
        <s v="18/3768/FUL"/>
        <s v="18/3950/FUL"/>
        <s v="18/4183/FUL"/>
        <s v="19/0974/FUL"/>
        <s v="15/3296/FUL"/>
        <s v="15/3297/FUL"/>
        <s v="19/0551/FUL"/>
        <s v="19/1997/GPD23"/>
        <s v="19/3020/FUL"/>
        <s v="19/2377/GPD15"/>
        <s v="15/5217/NMA1"/>
        <s v="19/0954/VRC"/>
        <s v="19/2796/GPD15"/>
        <s v="18/4138/FUL"/>
        <s v="19/0382/FUL"/>
        <s v="19/2788/FUL"/>
        <s v="19/3852/GPD15"/>
        <s v="19/3419/FUL"/>
        <s v="19/1162/FUL"/>
        <s v="20/0136/FUL"/>
        <s v="19/3770/FUL"/>
        <s v="20/0384/GPD15"/>
        <s v="20/0303/FUL"/>
        <s v="19/3758/FUL"/>
        <s v="19/3672/FUL"/>
        <s v="19/2860/FUL"/>
        <s v="20/1071/FUL"/>
        <s v="19/3436/FUL"/>
        <s v="19/3568/FUL"/>
        <s v="20/0773/FUL"/>
        <s v="20/1405/GPD13"/>
        <s v="20/0714/FUL"/>
        <s v="20/0361/FUL"/>
        <s v="20/1274/FUL"/>
        <s v="20/1484/FUL"/>
        <s v="20/1560/FUL"/>
        <s v="18/3830/FUL"/>
        <s v="20/1867/FUL"/>
        <s v="20/1696/GPD15"/>
        <s v="20/2757/VRC"/>
        <s v="20/2721/FUL"/>
        <s v="21/0111/GPD15"/>
        <s v="20/2505/FUL"/>
        <s v="19/3211/FUL"/>
        <s v="16/0647/FUL"/>
        <s v="17/0346/FUL"/>
        <s v="16/0606/FUL"/>
        <s v="17/0798/FUL"/>
        <s v="17/3795/GPD15"/>
        <s v="17/2957/FUL"/>
        <s v="17/3696/GPD16"/>
        <s v="17/0600/FUL"/>
        <s v="17/4422/GPD15"/>
        <s v="18/0584/GPD15"/>
        <s v="15/4581/FUL"/>
        <s v="17/2314/FUL"/>
        <s v="17/4453/FUL"/>
        <s v="18/1064/GPD15"/>
        <s v="16/4553/FUL"/>
        <s v="18/0268/FUL"/>
        <s v="17/0315/FUL"/>
        <s v="15/2204/FUL"/>
        <s v="16/0510/FUL"/>
        <s v="17/3590/FUL"/>
        <s v="18/1446/FUL"/>
        <s v="18/2328/GPD15"/>
        <s v="17/4015/FUL"/>
        <s v="18/2716/GPD13"/>
        <s v="17/3054/FUL"/>
        <s v="18/3195/GPD15"/>
        <s v="17/1390/FUL"/>
        <s v="17/4014/FUL"/>
        <s v="18/1911/FUL"/>
        <s v="18/0301/FUL"/>
        <s v="17/4122/FUL"/>
        <s v="18/1442/FUL"/>
        <s v="17/1782/FUL"/>
        <s v="18/1038/FUL"/>
        <s v="18/4125/FUL"/>
        <s v="18/2038/FUL"/>
        <s v="18/3460/FUL"/>
        <s v="18/3285/FUL"/>
        <s v="18/3952/FUL"/>
        <s v="19/0823/GPD13"/>
        <s v="19/0175/FUL"/>
        <s v="17/4477/FUL"/>
        <s v="18/3003/FUL"/>
        <s v="19/0338/FUL"/>
        <s v="17/2872/FUL"/>
        <s v="19/1033/GPD23"/>
        <s v="18/0315/FUL"/>
        <s v="19/0228/FUL"/>
        <s v="18/3954/FUL"/>
        <s v="19/1649/GPD15"/>
        <s v="18/1114/FUL"/>
        <s v="19/1703/FUL"/>
        <s v="19/1731/FUL"/>
        <s v="19/1098/FUL"/>
        <s v="19/1759/FUL"/>
        <s v="18/1889/FUL"/>
        <s v="19/1763/FUL"/>
        <s v="19/2300/FUL"/>
        <s v="18/3930/FUL"/>
        <s v="18/2943/FUL"/>
        <s v="19/3101/GPD23"/>
        <s v="19/1219/FUL"/>
        <s v="18/3418/FUL"/>
        <s v="19/2273/FUL"/>
        <s v="19/0911/FUL"/>
        <s v="19/0414/FUL"/>
        <s v="20/0373/PS192"/>
        <s v="19/0391/FUL"/>
        <s v="17/4005/FUL"/>
        <s v="20/0238/GPD23"/>
        <s v="19/2471/FUL"/>
        <s v="19/1728/FUL"/>
        <s v="20/1056/FUL"/>
        <s v="19/1890/FUL"/>
        <s v="19/3857/FUL"/>
        <s v="19/2789/FUL"/>
        <s v="20/0740/FUL"/>
        <s v="19/3632/FUL"/>
        <s v="19/2729/FUL"/>
        <s v="19/2235/FUL"/>
        <s v="20/0838/FUL"/>
        <s v="19/3704/FUL"/>
        <s v="20/1223/FUL"/>
        <s v="20/1417/GPD15"/>
        <s v="19/3706/FUL"/>
        <s v="19/2765/FUL "/>
        <s v="20/0815/FUL"/>
        <s v="20/1985/GPD23"/>
        <s v="19/0495/FUL"/>
        <s v="18/3642/OUT"/>
        <s v="19/3324/FUL"/>
        <s v="18/3310/FUL"/>
        <s v="20/1333/FUL"/>
        <s v="19/3490/FUL"/>
        <s v="20/0595/FUL"/>
        <s v="20/1499/FUL"/>
        <s v="20/0990/FUL"/>
        <s v="20/1461/FUL"/>
        <s v="20/1885/FUL"/>
        <s v="20/0145/FUL"/>
        <s v="19/0633/FUL"/>
        <s v="20/2284/GPD15"/>
        <s v="20/0921/FUL"/>
        <s v="19/3905/FUL"/>
        <s v="20/2077/GPD15"/>
        <s v="20/0881/FUL"/>
        <s v="20/1080/FUL"/>
        <s v="20/1986/FUL"/>
        <s v="20/0256/FUL"/>
        <s v="20/2490/FUL"/>
        <s v="20/0997/FUL"/>
        <s v="19/3746/FUL"/>
        <s v="20/2000/FUL"/>
        <s v="20/2691/FUL"/>
        <s v="19/0198/HOT"/>
        <s v="20/2694/FUL"/>
        <s v="20/2500/FUL"/>
        <s v="19/2199/FUL"/>
        <s v="20/1025/FUL"/>
        <s v="20/0857/GPD15"/>
        <s v="20/2093/GPD15"/>
        <s v="20/0915/GPD15"/>
        <s v="20/2238/FUL"/>
        <s v="20/1846/FUL"/>
        <s v="20/2841/FUL"/>
        <s v="21/0110/GPD15"/>
        <s v="21/0129/PS192"/>
        <s v="19/3652/FUL"/>
        <s v="19/1663/FUL"/>
        <s v="20/3689/GPD15"/>
        <s v="20/3144/FUL"/>
        <s v="19/3616/FUL"/>
        <s v="20/3495/FUL "/>
        <s v="21/0323/GPD15"/>
        <s v="20/3754/FUL"/>
        <s v="18/0547/FUL"/>
        <s v="Site Allocation"/>
        <s v="19/0510/FUL"/>
        <s v="20/0539/FUL"/>
        <s v="Small Sites Trend"/>
      </sharedItems>
    </cacheField>
    <cacheField name="Development Category" numFmtId="0">
      <sharedItems count="5">
        <s v="NEW"/>
        <s v="MIX"/>
        <s v="CHU"/>
        <s v="CON"/>
        <s v="EXT"/>
      </sharedItems>
    </cacheField>
    <cacheField name="Application Type" numFmtId="0">
      <sharedItems containsBlank="1" count="3">
        <m/>
        <s v="PA"/>
        <s v="Extra Care"/>
      </sharedItems>
    </cacheField>
    <cacheField name="Decision Date" numFmtId="14">
      <sharedItems containsNonDate="0" containsDate="1" containsString="0" containsBlank="1" minDate="2008-01-30T00:00:00" maxDate="2021-03-30T00:00:00"/>
    </cacheField>
    <cacheField name="Expiry Date" numFmtId="14">
      <sharedItems containsNonDate="0" containsDate="1" containsString="0" containsBlank="1" minDate="2011-01-30T00:00:00" maxDate="2024-03-30T00:00:00"/>
    </cacheField>
    <cacheField name="Start Date" numFmtId="0">
      <sharedItems containsNonDate="0" containsDate="1" containsString="0" containsBlank="1" minDate="2011-01-25T00:00:00" maxDate="2022-03-31T00:00:00"/>
    </cacheField>
    <cacheField name="Completion Date" numFmtId="0">
      <sharedItems containsNonDate="0" containsDate="1" containsString="0" containsBlank="1" minDate="2020-04-21T00:00:00" maxDate="2021-07-17T00:00:00"/>
    </cacheField>
    <cacheField name="Site Status" numFmtId="0">
      <sharedItems count="5">
        <s v="01. Completion"/>
        <s v="02. Under Construction"/>
        <s v="03. Not Started"/>
        <s v="04. Site Allocation"/>
        <s v="05. Deliverable Sites"/>
      </sharedItems>
    </cacheField>
    <cacheField name="Tenure" numFmtId="0">
      <sharedItems count="6">
        <s v="Open Market"/>
        <s v="Affordable Rent"/>
        <s v="Intermediate"/>
        <s v="Social Rent"/>
        <s v="Open Market / Affordable"/>
        <s v="Affordable"/>
      </sharedItems>
    </cacheField>
    <cacheField name="5YHLS" numFmtId="0">
      <sharedItems containsBlank="1" count="11">
        <m/>
        <s v="Stag Brewery"/>
        <s v="Homebase Manor Road Richmond"/>
        <s v="The Strathmore Centre"/>
        <s v="Ham Central"/>
        <s v="Whitton Telephone Exchange"/>
        <s v="Twickenham Telephone Exchange"/>
        <s v="Teddington Police Station"/>
        <s v="Twickenham Riverside"/>
        <s v="Small Sites Trend"/>
        <s v="Y" u="1"/>
      </sharedItems>
    </cacheField>
    <cacheField name="5YHLS comment" numFmtId="0">
      <sharedItems containsBlank="1"/>
    </cacheField>
    <cacheField name="Proposal" numFmtId="0">
      <sharedItems containsBlank="1" longText="1"/>
    </cacheField>
    <cacheField name="Address_x000a_" numFmtId="0">
      <sharedItems count="324">
        <s v="Twickenham Railway Station_x000d_London Road_x000d_Twickenham_x000d_TW1 1BD_x000d_"/>
        <s v="Land At_x000d_139 - 141 Stanley Road_x000d_Teddington_x000d__x000d_"/>
        <s v="310 Nelson Road_x000d_Twickenham_x000d_TW2 7AJ_x000d_"/>
        <s v="Richmond Film Services_x000d_Park Lane_x000d_Richmond_x000d_TW9 2RA_x000d_"/>
        <s v="21 - 21A St Johns Road_x000d_Richmond_x000d__x000d_"/>
        <s v="Garages At_x000d_Riverside Drive_x000d_Ham_x000d__x000d_"/>
        <s v="Garages At_x000d_Maguire Drive_x000d_Ham_x000d__x000d_"/>
        <s v="48 Glentham Road_x000d_Barnes_x000d_London_x000d_SW13 9JJ"/>
        <s v="17 The Green_x000d_Richmond_x000d_TW9 1PX_x000d_"/>
        <s v="63 Kew Green_x000d_Kew_x000d__x000d_"/>
        <s v="Garages At_x000d_Clifford Road_x000d_Petersham_x000d__x000d_"/>
        <s v="41A Kings Road_x000d_Richmond_x000d_TW10 6EG_x000d_"/>
        <s v="19 - 21 Lower Teddington Road_x000d_Hampton Wick_x000d__x000d_"/>
        <s v="8 Barnes High Street_x000d_Barnes_x000d_London_x000d_SW13 9LW_x000d_"/>
        <s v="52 - 64 Heath Road_x000d_Twickenham_x000d__x000d_"/>
        <s v="9 Belgrave Road_x000d_Barnes_x000d_London_x000d_SW13 9NS_x000d_"/>
        <s v="11 Fifth Cross Road_x000d_Twickenham_x000d__x000d_"/>
        <s v="First Floor_x000d_300 - 302 Sandycombe Road_x000d_Richmond_x000d__x000d_"/>
        <s v="108 Sherland Road_x000d_Twickenham_x000d_TW1 4HD_x000d_"/>
        <s v="91 Sheen Road_x000d_Richmond_x000d_TW9 1YJ"/>
        <s v="24 Christchurch Road_x000d_East Sheen_x000d_London_x000d_SW14 7AA"/>
        <s v="58 Munster Road_x000d_Teddington_x000d_TW11 9LL"/>
        <s v="246 Upper Richmond Road West_x000a_East Sheen_x000a_London_x000a_SW14 8AG_x000a_"/>
        <s v="First Floor Flat_x000d_18 Percival Road_x000d_East Sheen_x000d_London_x000d_SW14 7QE_x000d_"/>
        <s v="Teddington Studios_x000d_Broom Road_x000d_Teddington_x000d__x000d_"/>
        <s v="Land At_x000d_149 - 151 Heath Road_x000d_Twickenham_x000d__x000d_"/>
        <s v="49 Clifford Avenue_x000d_East Sheen_x000d_London_x000d_SW14 7BW"/>
        <s v="4 Warwick Close_x000d_Hampton_x000d_TW12 2TY"/>
        <s v="66 Derby Road_x000d_East Sheen_x000d_London_x000d_SW14 7DP_x000d_"/>
        <s v="St Michaels Convent_x000d_56 Ham Common_x000d_Ham_x000d_Richmond_x000d_TW10 7JH_x000d_"/>
        <s v="41 Lonsdale Road_x000d_Barnes_x000d_London_x000d__x000d_"/>
        <s v="Second Floor Flat _x000d_302 Sandycombe Road_x000d_Richmond_x000d_TW9 3NG"/>
        <s v="Land Adjacent To_x000d_94 Pigeon Lane_x000d_Hampton_x000d_TW12 1AF_x000d_"/>
        <s v="1 Hospital Bridge Road_x000d_Twickenham_x000d_TW2 5UL"/>
        <s v="16 Elmtree Road_x000d_Teddington_x000d__x000d_"/>
        <s v="83 Wensleydale Road_x000d_Hampton_x000d_TW12 2LP"/>
        <s v="1 North Cottage_x000d_Hampton Court Road_x000d_Hampton_x000d_East Molesey_x000d_KT8 9BZ_x000d_"/>
        <s v="2 - 3 Stable Mews_x000d_Twickenham_x000d__x000d_"/>
        <s v="195 High Street_x000d_Hampton Hill_x000d_TW12 1NL"/>
        <s v="300 - 302 Sandycombe Road_x000d_Richmond_x000d_TW9 3NG_x000d_"/>
        <s v="12 - 14 Church Lane Teddington_x000a_"/>
        <s v="Elmfield House_x000d_High Street_x000d_Teddington_x000d_TW11 8EW_x000d_"/>
        <s v="7 Barnes High Street_x000d_Barnes_x000d_London_x000d_SW13 9LW"/>
        <s v="Sherwood House_x000d_Forest Road_x000d_Kew_x000d_TW9 3BY_x000d_"/>
        <s v="311 Upper Richmond Road West_x000d_East Sheen_x000d_London_x000d_SW14 8QR_x000d_"/>
        <s v="95 South Worple Way_x000d_East Sheen_x000d_London_x000d_SW14 8ND_x000d_"/>
        <s v="117 Rectory Grove_x000d_Hampton_x000d_TW12 1EG"/>
        <s v="58 Denton Road_x000d_Twickenham_x000d_TW1 2HQ_x000d_"/>
        <s v="4 West Temple Sheen_x000d_East Sheen_x000d_London_x000d_SW14 7RT"/>
        <s v="28 Second Cross Road_x000d_Twickenham_x000d_TW2 5RF_x000d_"/>
        <s v="139 - 143 Station Road_x000d_Hampton_x000d_TW12 2AL_x000d_"/>
        <s v="135A Sheen Lane_x000d_East Sheen_x000d_London_x000d_SW14 8AE"/>
        <s v="383 St Margarets Road_x000d_Twickenham_x000d_TW1 1PP"/>
        <s v="11 Grasmere Avenue_x000d_Whitton_x000d_Hounslow_x000d_TW3 2JG_x000d_"/>
        <s v="10 Constance Road_x000d_Twickenham_x000d_TW2 7JH"/>
        <s v="70 Hounslow Road_x000d_Twickenham_x000d_TW2 7EX_x000d_"/>
        <s v="106 Shacklegate Lane_x000d_Teddington_x000d_TW11 8SH_x000d_"/>
        <s v="2F Fifth Cross Road_x000d_Twickenham_x000d_TW2 5LQ"/>
        <s v="56A White Hart Lane_x000d_Barnes_x000d_London_x000d_SW13 0PZ"/>
        <s v="Argyle House_x000d_1 Dee Road_x000d_Richmond_x000d__x000d_"/>
        <s v="29 St Leonards Road_x000d_East Sheen_x000d_London_x000d_SW14 7LY_x000d_"/>
        <s v="320 Kew Road_x000d_Kew_x000d_Richmond_x000d_TW9 3DU_x000d_"/>
        <s v="11 Paved Court_x000d_Richmond_x000d_TW9 1LZ"/>
        <s v="Lower Ground Floor And_x000d_49B Petersham Road_x000d_Richmond_x000d__x000d_"/>
        <s v="67 Park Road_x000d_Hampton Hill_x000d_TW12 1HU"/>
        <s v="28 Second Cross Road_x000d_Twickenham_x000d_TW2 5RF"/>
        <s v="Teddington Riverside Development Site_x000d_Broom Road_x000d_Teddington_x000d__x000d_"/>
        <s v="14 Marlborough Road_x000d_Richmond_x000d_TW10 6JR"/>
        <s v="19 Lower Teddington Road_x000a__x000a_"/>
        <s v="2A Talbot Road_x000d_Isleworth_x000d_TW7 7HH_x000d_"/>
        <s v="65 Rosecroft Gardens_x000d_Twickenham_x000d_TW2 7PU"/>
        <s v="157 Sheen Road_x000d_Richmond_x000d_TW9 1YS"/>
        <s v="250A Upper Richmond Road West_x000d_East Sheen_x000d_London_x000d_SW14 8AG_x000d_"/>
        <s v="4 Magna Square_x000d_East Sheen_x000d_London_x000d_SW14 8LH"/>
        <s v="2A Ferry Road_x000d_Barnes_x000d_London_x000d_SW13 9RX"/>
        <s v="Royal Star And Garter Home_x000d_Richmond Hill_x000d_Richmond_x000d_TW10 6RR_x000d_"/>
        <s v="217 St Margarets Road_x000d_Twickenham_x000d_TW1 1LU_x000d_"/>
        <s v="73 High Street_x000d_Hampton Hill_x000d_TW12 1NH"/>
        <s v="1 Magna Square_x000d_East Sheen_x000d_London_x000d_SW14 8LH"/>
        <s v="42 Glebe Road_x000d_Barnes_x000d_London_x000d_SW13 0EA"/>
        <s v="Studio Flat At _x000d_31 Waldegrave Gardens_x000d_Twickenham_x000d_TW1 4PQ"/>
        <s v="Corner House_x000d_Vicarage Road_x000d_East Sheen_x000d_London_x000d__x000d_"/>
        <s v="64 Ormond Avenue_x000d_Hampton_x000d_Middlesex_x000d_TW12 2RX_x000d_"/>
        <s v="289 Petersham Road_x000d_Richmond_x000d_Surrey_x000d_TW10 7DA_x000d_"/>
        <s v="Becketts Wharf And Osbourne House_x000d_Becketts Place_x000d_Hampton Wick_x000d__x000d_"/>
        <s v="Doughty House And Doughty Cottage_x000d_142 - 142A Richmond Hill_x000d_Richmond_x000d__x000d_"/>
        <s v="9 Hanworth Road_x000d_Hampton_x000d_TW12 3DH"/>
        <s v="14 Sheen Gate Gardens_x000d_East Sheen_x000d_London_x000d__x000d_"/>
        <s v="The Bungalow Annexe_x000d_Willoughby Road_x000d_Twickenham_x000d_TW1 2QH_x000d_"/>
        <s v="46 Halford Road_x000d_Richmond_x000d__x000d_"/>
        <s v="2 Broad Street_x000d_Teddington_x000d_TW11 8RF_x000d_"/>
        <s v="8 Heathside_x000d_Whitton_x000d_Hounslow_x000d_TW4 5NN_x000d_"/>
        <s v="Crane Mews_x000d_32 Gould Road_x000d_Twickenham_x000d__x000d_"/>
        <s v="2 Firs Avenue East Sheen SW14 7NZ"/>
        <s v="The Cottage_x000d_Eel Pie Island_x000d_Twickenham_x000d_TW1 3DY_x000d_"/>
        <s v="29 George Street Richmond TW9 1HY_x000a_"/>
        <s v="112 Richmond Hill_x000d_Richmond_x000d__x000d_"/>
        <s v="Christ Church_x000d_Station Road_x000d_Teddington_x000d__x000d_"/>
        <s v="Land At Junction Of A316 And Langhorn Drive And Richmond College Site (Including Craneford Way East Playing Fields And Marsh Farm Lane) Egerton Road Twickenham"/>
        <s v="275 Sandycombe Road_x000d_Richmond_x000d_TW9 3LU_x000d_"/>
        <s v="Land Rear Of 12 To 36_x000d_Vincam Close_x000d_Twickenham_x000d__x000d_"/>
        <s v="46 Sixth Cross Road_x000d_Twickenham_x000d_TW2 5PB_x000d_"/>
        <s v="9 Charlotte Road_x000d_Barnes_x000d_London_x000d_SW13 9QJ_x000d_"/>
        <s v="32 Fife Road_x000d_East Sheen_x000d_London_x000d_SW14 7EL"/>
        <s v="1 - 9 Sandycombe Road Richmond_x000a__x000a_"/>
        <s v="Unit 3_x000d_Plough Lane_x000d_Teddington_x000d__x000d_"/>
        <s v="Unit 4 To 5A_x000d_Plough Lane_x000d_Teddington_x000d__x000d_"/>
        <s v="2 High Street_x000d_Teddington_x000d_TW11 8EW_x000d_"/>
        <s v="Land Junction Of North Worple Way And Wrights Walk Rear Of_x000d_31 Alder Road_x000d_Mortlake_x000d_London_x000d__x000d_"/>
        <s v="11 And 12 Upper Lodge Mews_x000d_Bushy Park_x000d_Hampton Hill_x000d__x000d_"/>
        <s v="54 White Hart Lane_x000d_Barnes_x000d_London_x000d_SW13 0PZ_x000d_"/>
        <s v="High Wigsell_x000d_35 Twickenham Road_x000d_Teddington_x000d__x000d_"/>
        <s v="65 Holly Road_x000d_Twickenham_x000d_TW1 4HF_x000d_"/>
        <s v="35A Broad Street_x000a_Teddington_x000a_TW11 8QZ_x000a_"/>
        <s v="Cliveden House_x000d_Victoria Villas_x000d_Richmond_x000d_TW9 2JX_x000d_"/>
        <s v="4 Church Street_x000d_Twickenham_x000d_TW1 3NJ"/>
        <s v="Courtyard Apartments_x000d_70B Hampton Road_x000d_Teddington_x000d__x000d_"/>
        <s v="Upton House_x000d_19 - 20 Queens Ride_x000d_Barnes_x000d_London_x000d_SW13 0HX_x000d_"/>
        <s v="54 Sandy Lane_x000d_Petersham_x000d_Richmond_x000d_TW10 7EL_x000d_"/>
        <s v="100 Colne Road_x000a_Twickenham_x000a_TW2 6QE_x000a_"/>
        <s v="Manor Farm Riding School_x000d_Petersham Road_x000d_Petersham_x000d_Richmond_x000d_TW10 7AH_x000d_"/>
        <s v="The Firs_x000d_Church Grove_x000d_Hampton Wick_x000d_Kingston Upon Thames_x000d_KT1 4AL_x000d_"/>
        <s v="179 - 181 High Street_x000d_Hampton Hill_x000d__x000d_"/>
        <s v="Jolly Coopers _x000d_16 High Street_x000d_Hampton_x000d_TW12 2SJ"/>
        <s v="3 Queens Rise_x000d_Richmond_x000d_TW10 6HL"/>
        <s v="Somerville House_x000d_1 Rodney Road_x000d_Twickenham_x000d__x000d_"/>
        <s v="168 Broom Road_x000d_Teddington_x000d_TW11 9PQ_x000d_"/>
        <s v="34 Colston Road_x000d_East Sheen_x000d_London_x000d_SW14 7PG"/>
        <s v="1 Trinity Road_x000d_Richmond_x000d_TW9 2LD"/>
        <s v="108 Shacklegate Lane_x000d_Teddington_x000d_TW11 8SH_x000d_"/>
        <s v="42 - 42A High Street_x000d_Hampton Wick_x000d_Kingston Upon Thames_x000d_KT1 4DB_x000d_"/>
        <s v="20 - 22 High Street_x000d_Teddington_x000d_TW11 8EW_x000d_"/>
        <s v="Albion House_x000d_Colne Road_x000d_Twickenham_x000d_TW2 6QL_x000d_"/>
        <s v="62 Glentham Road_x000d_Barnes_x000d_London_x000d_SW13 9JJ_x000d_"/>
        <s v="58 Oldfield Road_x000d_Hampton_x000d_TW12 2AE"/>
        <s v="Richmond Royal Hospital Kew Foot Road Richmond TW9 2TE_x000a_"/>
        <s v="Garage Site_x000d_Rosslyn Avenue/Treen Avenue_x000d_Barnes_x000d_London_x000d_SW13 0JT"/>
        <s v="Fairlight_x000d_4 Church Grove_x000d_Hampton Wick_x000d_Kingston Upon Thames_x000d_KT1 4AL_x000d_"/>
        <s v="Garages Site A_x000d_Bucklands Road_x000d_Teddington_x000d__x000d_"/>
        <s v="Garage Site B_x000d_Bucklands Road_x000d_Teddington_x000d__x000d_"/>
        <s v="32 Selwyn Avenue_x000d_Richmond_x000d_TW9 2HA_x000d_"/>
        <s v="1A - 3A Holly Road_x000d_Hampton Hill_x000d_Hampton_x000d_TW12 1QF_x000d_"/>
        <s v="44 Nassau Road_x000d_Barnes_x000d_London_x000d_SW13 9QE_x000d_"/>
        <s v="122 - 124 St Margarets Road_x000d_Twickenham_x000d__x000d_"/>
        <s v="Silver Birches_x000d_2 - 6 Marchmont Road_x000d_Richmond_x000d_TW10 6HH_x000d_"/>
        <s v="45 The Vineyard_x000d_Richmond_x000d_TW10 6AS_x000d_"/>
        <s v="115 White Hart Lane_x000d_Barnes_x000d_London_x000d_SW13 0JL_x000d_"/>
        <s v="2 West Park Avenue_x000d_Kew_x000d_Richmond_x000d_TW9 4AL_x000d_"/>
        <s v="Ajanta _x000d_13 Walpole Gardens_x000d_Twickenham_x000d_TW2 5SL"/>
        <s v="13 Lower Teddington Road _x000a__x000a_"/>
        <s v="25-29 Lower Teddington Road"/>
        <s v="Orione House - 12 Station Road _x000a__x000a_"/>
        <s v="2A And 5_x000d_South Avenue_x000d_Kew_x000d__x000d_"/>
        <s v="59 North Worple Way_x000d_Mortlake_x000d_London_x000d__x000d_"/>
        <s v="8 Sandy Lane_x000d_Petersham_x000d_Richmond_x000d_TW10 7EN_x000d_"/>
        <s v="82 - 84 Hill Rise_x000d_Richmond_x000d__x000d_"/>
        <s v="2 Belgrave Road_x000d_Barnes_x000d_London_x000d_SW13 9NS"/>
        <s v="31 St Albans Gardens_x000d_Teddington_x000d_TW11 8AE"/>
        <s v="21 Station Road_x000d_Barnes_x000d_London_x000d_SW13 0LF_x000d_"/>
        <s v="341 Upper Richmond Road West East Sheen SW14 8QN_x000a_"/>
        <s v="65 Palewell Park_x000d_East Sheen_x000d_London_x000d_SW14 8JJ"/>
        <s v="68 Mount Ararat Road_x000d_Richmond_x000d_TW10 6PJ"/>
        <s v="Schurlock Place 9 - 23 Third Cross Road Twickenham"/>
        <s v="25 Cranmer Road_x000d_Hampton Hill_x000d_TW12 1DN"/>
        <s v="49 - 49A King Street Parade_x000d_Twickenham_x000d__x000d_"/>
        <s v="73A High Street_x000d_Hampton_x000d_TW12 2SX"/>
        <s v="Land At_x000d_Railway Side_x000d_Barnes_x000d_London_x000d__x000d_"/>
        <s v="6 Cumberland Road_x000d_Barnes_x000d_London_x000d_SW13 9LY"/>
        <s v="26 - 28 York Street_x000d_Twickenham_x000d_TW1 3LJ_x000d_"/>
        <s v="29 Howsman Road_x000a_Barnes_x000a_London_x000a_SW13 9AW"/>
        <s v="Land To The Rear Of 178A - 184 _x000d_Kingston Lane_x000d_Teddington_x000d_TW11 9HD"/>
        <s v="Flat Above_x000d_203 Waldegrave Road_x000d_Teddington_x000d_TW11 8LX_x000d_"/>
        <s v="114 Sheen Road_x000d_Richmond_x000d_TW9 1UR"/>
        <s v="Rear Of_x000d_44 King Street_x000d_Twickenham_x000d_TW1 3SH_x000d_"/>
        <s v="18 - 22 Church Street_x000d_Hampton_x000d_TW12 2EG"/>
        <s v="63 Sandycombe Road_x000d_Richmond_x000d_TW9 2EP"/>
        <s v="54 Percy Road_x000d_Hampton_x000d_TW12 2JR"/>
        <s v="86 - 88 Lower Mortlake Road_x000d_Richmond_x000d__x000d_"/>
        <s v="1 Derwent Road_x000d_Twickenham_x000d_TW2 7HQ"/>
        <s v="33A Broad Street_x000d_Teddington_x000d_TW11 8QZ_x000d_"/>
        <s v="Garages Rear Of 8_x000d_Atbara Road_x000d_Teddington_x000d__x000d_"/>
        <s v="49 Manor Road_x000d_Richmond_x000d_TW9 1YA"/>
        <s v="Police Station_x000d_60 - 68 Station Road_x000d_Hampton_x000d__x000d_"/>
        <s v="25 Cedar Avenue_x000d_Twickenham_x000d_TW2 7HD"/>
        <s v="25 Church Road_x000d_Teddington_x000d_TW11 8PF_x000d_"/>
        <s v="4A New Broadway_x000d_Hampton Hill_x000d_Hampton_x000d_TW12 1JG_x000d_"/>
        <s v="1A St Leonards Road_x000d_East Sheen_x000d_London_x000d_SW14 7LY_x000d_"/>
        <s v="2-4 _x000d_Heath Road_x000d_Twickenham_x000d_TW1 4BZ"/>
        <s v="1 High Street_x000d_Hampton Hill_x000d__x000d_"/>
        <s v="45 - 49 Station Road_x000d_Hampton_x000d_TW12 2BT_x000d_"/>
        <s v="34 Courtlands Avenue_x000a_Hampton_x000a_TW12 3NT"/>
        <s v="286 Kew Road_x000d_Kew_x000d_Richmond_x000d_TW9 3DU_x000d_"/>
        <s v="21A St Leonards Road_x000d_East Sheen_x000d_London_x000d_SW14 7LY_x000d_"/>
        <s v="63 - 71 High Street_x000d_Hampton Hill_x000d__x000d_"/>
        <s v="36 Sunnyside Road_x000d_Teddington_x000d_TW11 0RT"/>
        <s v="Willoughby House_x000d_439 Richmond Road_x000d_Twickenham_x000d_TW1 2AG_x000d_"/>
        <s v="1E Colonial Avenue_x000d_Twickenham_x000d_TW2 7EE_x000d_"/>
        <s v="Shanklin House_x000d_70 Sheen Road_x000d_Richmond_x000d_TW9 1UF_x000d_"/>
        <s v="Garages Rear Of 48-52_x000d_Anlaby Road_x000d_Teddington_x000d__x000d_"/>
        <s v="32 Albion Road_x000d_Twickenham_x000d_TW2 6QJ"/>
        <s v="4 Udney Park Road_x000d_Teddington_x000d_TW11 9BG_x000d_"/>
        <s v="Land To Rear Of_x000d_34 - 40 The Quadrant_x000d_Richmond_x000d__x000d_"/>
        <s v="561 - 563 Upper Richmond Road West_x000d_East Sheen_x000d_London_x000d_SW14 7ED_x000d_"/>
        <s v="Garage Site _x000d_Marys Terrace_x000d_Twickenham_x000d_TW1 3JB"/>
        <s v="75 Sheen Lane_x000a_East Sheen_x000a_London_x000a_SW14 8AD_x000a_"/>
        <s v="Land Adjacent To No 1_x000d_South Western Road_x000d_Twickenham_x000d__x000d_"/>
        <s v="126 Heath Road_x000d_Twickenham_x000d_TW1 4BN_x000d_"/>
        <s v="74 Copthall Gardens_x000d_Twickenham_x000d_TW1 4HJ_x000d__x000d_"/>
        <s v="18 Cedar Heights_x000d_Petersham_x000d_Richmond_x000d_TW10 7AE_x000d_"/>
        <s v="Land Adjacent To 93_x000d_Elm Bank Gardens_x000d_Barnes_x000d_London_x000d__x000d_"/>
        <s v="Land Rear Of_x000d_48 Fourth Cross Road_x000d_Twickenham_x000d__x000d_"/>
        <s v="8 Atbara Road_x000d_Teddington_x000d_TW11 9PD"/>
        <s v="85 Connaught Road_x000d_Teddington_x000d_TW11 0QQ_x000d_"/>
        <s v="33 Parke Road_x000d_Barnes_x000d_London_x000d_SW13 9NJ"/>
        <s v="20A Red Lion Street_x000d_Richmond_x000d_TW9 1RW"/>
        <s v="74 Lowther Road_x000d_Barnes_x000d_London_x000d_SW13 9NU"/>
        <s v="45 Ormond Crescent_x000d_Hampton_x000d_TW12 2TJ"/>
        <s v="203 Sandycombe Road_x000d_Richmond_x000d_TW9 2EW_x000d_"/>
        <s v="The Haven _x000d_Eel Pie Island_x000d_Twickenham_x000d_TW1 3DY"/>
        <s v="15 Friars Stile Road_x000d_Richmond_x000d__x000d_"/>
        <s v="391 St Margarets Road_x000d_Twickenham_x000d_Isleworth_x000d_TW7 7BZ_x000d_"/>
        <s v="48 Fourth Cross Road_x000d_Twickenham_x000d_TW2 5EL"/>
        <s v="33 Wensleydale Road_x000d_Hampton_x000d_TW12 2LP"/>
        <s v="Unit 1 Hampton Works Rear Of_x000d_119 Sheen Lane_x000d_East Sheen_x000d_London_x000d__x000d_"/>
        <s v="All Saints Parish Church_x000d_The Avenue_x000d_Hampton_x000d_TW12 3RG_x000d_"/>
        <s v="173 Kew Road_x000d_Richmond_x000d_TW9 2BB"/>
        <s v="20 Sheen Common Drive_x000d_Richmond_x000d_TW10 5BN"/>
        <s v="57B York Street_x000d_Twickenham_x000d_TW1 3LP_x000d_"/>
        <s v="34 And 36 Taylor Close And 177 High Street Hampton Hill_x000a__x000a_"/>
        <s v="216 Hampton Road_x000d_Twickenham_x000d_TW2 5NJ"/>
        <s v="17A Tower Road_x000d_Twickenham_x000d_TW1 4PD"/>
        <s v="190 Sheen Lane_x000d_East Sheen_x000d_London_x000d_SW14 8LF_x000d_"/>
        <s v="Land To The Side Of 61 Acacia Road Hampton"/>
        <s v="Garages At_x000d_Craneford Way_x000d_Twickenham_x000d__x000d_"/>
        <s v="102 - 104 Kew Road_x000d_Richmond_x000d_TW9 2PQ_x000d_"/>
        <s v="38 Langham Road_x000d_Teddington_x000d_TW11 9HQ"/>
        <s v="A1 - A3 Kingsway_x000d_Oldfield Road_x000d_Hampton_x000d_TW12 2HD"/>
        <s v="Unit 4_x000d_Princes Works_x000d_Princes Road_x000d_Teddington_x000d_TW11 0RW_x000d_"/>
        <s v="21 Sunbury Avenue_x000d_East Sheen_x000d_London_x000d_SW14 8RA"/>
        <s v="332 Richmond Road_x000d_Twickenham_x000d_TW1 2DU"/>
        <s v="Old Farm Stables Flat_x000d_Oak Avenue_x000d_Hampton_x000d_TW12 3QD_x000d_"/>
        <s v="Wick House_x000d_10 Station Road_x000d_Hampton Wick_x000d_KT1 4HF_x000d_"/>
        <s v="56 - 58 Harvey Road_x000d_Whitton_x000d__x000d_"/>
        <s v="347 Upper Richmond Road West_x000d_East Sheen_x000d_London_x000d_SW14 8RH"/>
        <s v="26-28 _x000d_Priests Bridge_x000d_East Sheen_x000d_London_x000d_SW14 8TA"/>
        <s v="51 Kew Road_x000d_Richmond_x000d_TW9 2NQ"/>
        <s v="Unit 2_x000d_Princes Works_x000d_Princes Road_x000d_Teddington_x000d__x000d_"/>
        <s v="121 High Street_x000d_Whitton_x000d_Twickenham_x000d_TW2 7LG_x000d_"/>
        <s v="Manning House_x000d_3 Gloucester Road_x000d_Teddington_x000d_TW11 0NS_x000d_"/>
        <s v="Unit 6_x000d_13 St Johns Road_x000d_Hampton Wick_x000d_Kingston Upon Thames_x000d_KT1 4AN_x000d_"/>
        <s v="224 Hospital Bridge Road_x000d_Twickenham_x000d_TW2 6LF"/>
        <s v="20 London Road_x000d_Twickenham_x000d_TW1 3RR"/>
        <s v="Lockcorp House 75 Norcutt Road Twickenham TW2 6SR"/>
        <s v="Downlands_x000d_Petersham Close_x000d_Petersham_x000d_Richmond_x000d_TW10 7DZ_x000d_"/>
        <s v="1 - 3 Cromwell Road Teddington"/>
        <s v="The China Chef _x000d_78 White Hart Lane_x000d_Barnes_x000d_London_x000d_SW13 0PZ"/>
        <s v="10 Broad Lane_x000d_Hampton_x000d_TW12 3AW"/>
        <s v="4 And Part Of Ground Floor Of_x000d_5 King Edward Mews_x000d_Barnes_x000d_London_x000d__x000d_"/>
        <s v="3 - 4 New Broadway Hampton Hill"/>
        <s v="90 Ormond Avenue_x000d_Hampton_x000d_TW12 2RX_x000d_"/>
        <s v="112 Shacklegate Lane_x000d_Teddington_x000d_TW11 8SH_x000d_"/>
        <s v="Vineyard Heights_x000d_20 Mortlake High Street_x000d_Mortlake_x000d_London_x000d_SW14 8JN_x000d__x000d_"/>
        <s v="Land To The Northeast Of Simpson Road Whitton"/>
        <s v="East House _x000d_109 South Worple Way_x000d_East Sheen_x000d_London_x000d_SW14 8TN"/>
        <s v="12 High Street_x000d_Hampton Hill_x000d_TW12 1PD_x000d_"/>
        <s v="1 Curtis Road_x000d_Whitton_x000d_Hounslow_x000d_TW4 5PU_x000d_"/>
        <s v="Barnes Hospital South Worple Way East Sheen"/>
        <s v="Garages And Land Adjacent Railway_x000d_South Worple Way_x000d_East Sheen_x000d_London_x000d__x000d_"/>
        <s v="Kew Biothane Plant Melliss Avenue Kew_x000a__x000a_"/>
        <s v="5 Barnes High Street_x000d_Barnes_x000d_London_x000d_SW13 9LB"/>
        <s v="81 High Street Hampton Wick Kingston Upon Thames KT1 4DG "/>
        <s v="64 White Hart Lane_x000d_Barnes_x000d_London_x000d_SW13 0PZ"/>
        <s v="Boundaries_x000d_1 St James's Road_x000d_Hampton Hill_x000d_Hampton_x000d_TW12 1DH_x000d_"/>
        <s v="Land Rear Of_x000d_40 Pagoda Avenue_x000d_Richmond_x000d_TW9 2HF"/>
        <s v="3 Cedar Terrace_x000d_Richmond_x000d_TW9 2JE"/>
        <s v="80 Windmill Road_x000d_Hampton Hill_x000d_Hampton_x000d_TW12 1QU_x000d_"/>
        <s v="133A Percy Road_x000d_Twickenham_x000d_TW2 6HT"/>
        <s v="The Coach House _x000d_273A Sandycombe Road_x000d_Richmond_x000d_TW9 3LU"/>
        <s v="First And Second Floors_x000d_296 Sandycombe Road_x000d_Richmond_x000d_TW9 3NG_x000d_"/>
        <s v="22 Linden Road_x000d_Hampton_x000d_TW12 2JB"/>
        <s v="422 Upper Richmond Road West_x000d_East Sheen_x000d_London_x000d__x000d_"/>
        <s v="First Floor_x000d_23 - 25 King Street_x000d_Twickenham_x000d_TW1 3SD_x000d_"/>
        <s v="281 Lonsdale Road_x000d_Barnes_x000d_London_x000d_SW13 9QB"/>
        <s v="1 Butts Crescent_x000d_Hanworth_x000d_Feltham_x000d_TW13 6HU_x000d_"/>
        <s v="17A Strawberry Hill Road_x000d_Twickenham_x000d_TW1 4QB"/>
        <s v="195 Upper Richmond Road West_x000d_East Sheen_x000d_London_x000d_SW14 8QT_x000d_"/>
        <s v="112A Heath Road_x000d_Twickenham_x000d_TW1 4BW"/>
        <s v="2 Grand Parade_x000d_East Sheen_x000d_London_x000d_SW14 7PS"/>
        <s v="Tabard House_x000d_22 Upper Teddington Road_x000d_Hampton Wick_x000d__x000d_"/>
        <s v="192 Heath Road_x000d_Twickenham_x000d_TW2 5TX"/>
        <s v="51 Howsman Road_x000d_Barnes_x000d_London_x000d_SW13 9AW"/>
        <s v="Wick House _x000d_Richmond Hill_x000d_Richmond_x000d_TW10 6RN"/>
        <s v="86 Ormond Drive_x000a_Hampton_x000a_TW12 2TN"/>
        <s v="96 Wensleydale Road_x000d_Hampton_x000d_TW12 2LY_x000d_"/>
        <s v="14 St Leonards Road_x000d_East Sheen_x000d_London_x000d_SW14 7LY"/>
        <s v="Hampton Delivery Office _x000d_Rosehill_x000d_Hampton_x000d_TW12 2AA"/>
        <s v="2B Claremont Road_x000d_Teddington_x000d_TW11 8DG_x000d_"/>
        <s v="159 Mortlake Road Kew"/>
        <s v="2 Mount Mews_x000d_Hampton_x000d_TW12 2SH_x000d_"/>
        <s v="11 - 12 Cusack Close_x000d_Twickenham_x000d__x000d_"/>
        <s v="4 The Broadway_x000d_Barnes_x000d_London_x000d_SW13 0NY"/>
        <s v="118A - 118B High Street_x000d_Hampton Hill_x000d_Hampton_x000d_TW12 1NT_x000d_"/>
        <s v="Unit A_x000d_92 - 98 Lower Mortlake Road_x000d_Richmond_x000d__x000d_"/>
        <s v="1 London Road_x000d_Twickenham_x000d_TW1 3SX"/>
        <s v="600 Hanworth Road_x000d_Whitton_x000d_Hounslow_x000d_TW4 5LJ_x000d_"/>
        <s v="Workshop Rear Of 8 _x000d_High Street_x000d_Hampton_x000d_TW12 2SJ"/>
        <s v="171 Kingston Road_x000d_Teddington_x000d_TW11 9JP_x000d_"/>
        <s v="8 St Albans Gardens_x000d_Teddington_x000d_TW11 8AE"/>
        <s v="Old Station Forecourt_x000d_Railway Approach_x000d_Twickenham_x000d_TW1 4LJ_x000d_"/>
        <s v="Land To Rear Of_x000a_24 Marchmont Road, Richmond TW10 6HQ"/>
        <s v="1A May Road_x000d_Twickenham_x000d_TW2 6QW_x000d_"/>
        <s v="241 Sandycombe Road_x000d_Richmond_x000d_TW9 2EW"/>
        <s v="The Stag Brewery Lower Richmond Road Mortlake London SW14 7ET"/>
        <s v="Sainsbury’s, Manor Road/Lower Richmond Road"/>
        <s v="Mereway Day Centre"/>
        <s v="Telephone Exchange, 88 High Street, Teddington, TW1 18JD"/>
        <s v="Homebase 84 Manor Road Richmond TW9 1YB"/>
        <s v="The Strathmore Centre Strathmore Road Teddington TW11 8UH"/>
        <s v="Ham Central"/>
        <s v="Telephone Exchange, Ashdale Close, Whitton, TW1 7BE"/>
        <s v="Telephone Exchange, Garfield Road, Twickenham"/>
        <s v="Teddington Police Station"/>
        <s v="Twickenham Riverside"/>
        <s v="Small Sites Trend"/>
      </sharedItems>
    </cacheField>
    <cacheField name="PostCode" numFmtId="0">
      <sharedItems containsBlank="1"/>
    </cacheField>
    <cacheField name="1 BED EXISTING" numFmtId="0">
      <sharedItems containsString="0" containsBlank="1" containsNumber="1" containsInteger="1" minValue="1" maxValue="29"/>
    </cacheField>
    <cacheField name="2 BED EXISTING" numFmtId="0">
      <sharedItems containsString="0" containsBlank="1" containsNumber="1" containsInteger="1" minValue="1" maxValue="2"/>
    </cacheField>
    <cacheField name="3 BED EXISTING" numFmtId="0">
      <sharedItems containsString="0" containsBlank="1" containsNumber="1" containsInteger="1" minValue="1" maxValue="3"/>
    </cacheField>
    <cacheField name="4 BED EXISTING" numFmtId="0">
      <sharedItems containsString="0" containsBlank="1" containsNumber="1" containsInteger="1" minValue="1"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8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ount="3">
        <s v="N"/>
        <m/>
        <s v="Y"/>
      </sharedItems>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0" maxValue="75"/>
    </cacheField>
    <cacheField name="3 BED PROPOSED" numFmtId="0">
      <sharedItems containsString="0" containsBlank="1" containsNumber="1" containsInteger="1" minValue="1" maxValue="32"/>
    </cacheField>
    <cacheField name="4 BED PROPOSED" numFmtId="0">
      <sharedItems containsString="0" containsBlank="1" containsNumber="1" containsInteger="1" minValue="1" maxValue="15"/>
    </cacheField>
    <cacheField name="5 BED PROPOSED" numFmtId="0">
      <sharedItems containsString="0" containsBlank="1" containsNumber="1" containsInteger="1" minValue="0" maxValue="2"/>
    </cacheField>
    <cacheField name="6 BED PROPOSED" numFmtId="0">
      <sharedItems containsString="0" containsBlank="1" containsNumber="1" containsInteger="1" minValue="1" maxValue="2"/>
    </cacheField>
    <cacheField name="7 BED PROPOSED" numFmtId="0">
      <sharedItems containsString="0" containsBlank="1" containsNumber="1" containsInteger="1" minValue="1" maxValue="1"/>
    </cacheField>
    <cacheField name="Units Proposed" numFmtId="0">
      <sharedItems containsString="0" containsBlank="1" containsNumber="1" containsInteger="1" minValue="0" maxValue="153"/>
    </cacheField>
    <cacheField name="1 bed net" numFmtId="0">
      <sharedItems containsString="0" containsBlank="1" containsNumber="1" containsInteger="1" minValue="-5" maxValue="38"/>
    </cacheField>
    <cacheField name="2 bed net" numFmtId="0">
      <sharedItems containsString="0" containsBlank="1" containsNumber="1" containsInteger="1" minValue="-2" maxValue="75"/>
    </cacheField>
    <cacheField name="3 bed net" numFmtId="0">
      <sharedItems containsString="0" containsBlank="1" containsNumber="1" containsInteger="1" minValue="-2" maxValue="32"/>
    </cacheField>
    <cacheField name="4 bed net" numFmtId="0">
      <sharedItems containsString="0" containsBlank="1" containsNumber="1" containsInteger="1" minValue="-1" maxValue="15"/>
    </cacheField>
    <cacheField name="5 bed net" numFmtId="0">
      <sharedItems containsString="0" containsBlank="1" containsNumber="1" containsInteger="1" minValue="-1" maxValue="2"/>
    </cacheField>
    <cacheField name="6 bed net" numFmtId="0">
      <sharedItems containsString="0" containsBlank="1" containsNumber="1" containsInteger="1" minValue="-1" maxValue="2"/>
    </cacheField>
    <cacheField name="7 bed net" numFmtId="0">
      <sharedItems containsString="0" containsBlank="1" containsNumber="1" containsInteger="1" minValue="-1" maxValue="1"/>
    </cacheField>
    <cacheField name="8 bed net" numFmtId="0">
      <sharedItems containsString="0" containsBlank="1" containsNumber="1" containsInteger="1" minValue="-1" maxValue="-1"/>
    </cacheField>
    <cacheField name="9 bed net" numFmtId="0">
      <sharedItems containsString="0" containsBlank="1" containsNumber="1" containsInteger="1" minValue="-1" maxValue="-1"/>
    </cacheField>
    <cacheField name="Net Dwellings" numFmtId="0">
      <sharedItems containsSemiMixedTypes="0" containsString="0" containsNumber="1" containsInteger="1" minValue="-6" maxValue="742"/>
    </cacheField>
    <cacheField name="NET DWELLINGS CHECK" numFmtId="0">
      <sharedItems containsString="0" containsBlank="1" containsNumber="1" containsInteger="1" minValue="-6" maxValue="153"/>
    </cacheField>
    <cacheField name="Large Site" numFmtId="0">
      <sharedItems containsBlank="1" count="2">
        <s v="Y"/>
        <m/>
      </sharedItems>
    </cacheField>
    <cacheField name="2020/21( R)" numFmtId="0">
      <sharedItems containsString="0" containsBlank="1" containsNumber="1" containsInteger="1" minValue="-2" maxValue="77"/>
    </cacheField>
    <cacheField name="2021/22 (1)" numFmtId="0">
      <sharedItems containsString="0" containsBlank="1" containsNumber="1" minValue="-3" maxValue="30"/>
    </cacheField>
    <cacheField name="2022/23 (2)" numFmtId="0">
      <sharedItems containsString="0" containsBlank="1" containsNumber="1" minValue="-6" maxValue="44"/>
    </cacheField>
    <cacheField name="2023/24 (3)" numFmtId="0">
      <sharedItems containsString="0" containsBlank="1" containsNumber="1" minValue="-0.25" maxValue="234"/>
    </cacheField>
    <cacheField name="2024/25 (4)" numFmtId="0">
      <sharedItems containsString="0" containsBlank="1" containsNumber="1" minValue="-0.25" maxValue="234"/>
    </cacheField>
    <cacheField name="2025/26 (5)" numFmtId="0">
      <sharedItems containsString="0" containsBlank="1" containsNumber="1" minValue="-0.25" maxValue="234"/>
    </cacheField>
    <cacheField name="2026/27 (6)" numFmtId="0">
      <sharedItems containsString="0" containsBlank="1" containsNumber="1" minValue="0" maxValue="234"/>
    </cacheField>
    <cacheField name="2027/28 (7)" numFmtId="0">
      <sharedItems containsString="0" containsBlank="1" containsNumber="1" minValue="0" maxValue="234"/>
    </cacheField>
    <cacheField name="2028/29 (8)" numFmtId="0">
      <sharedItems containsString="0" containsBlank="1" containsNumber="1" minValue="0" maxValue="234"/>
    </cacheField>
    <cacheField name="2029/30 (9)" numFmtId="0">
      <sharedItems containsString="0" containsBlank="1" containsNumber="1" containsInteger="1" minValue="0" maxValue="234"/>
    </cacheField>
    <cacheField name="2030/31 (10)" numFmtId="0">
      <sharedItems containsString="0" containsBlank="1" containsNumber="1" containsInteger="1" minValue="0" maxValue="234"/>
    </cacheField>
    <cacheField name="2021/2025 Total" numFmtId="0">
      <sharedItems containsSemiMixedTypes="0" containsString="0" containsNumber="1" minValue="-6" maxValue="742"/>
    </cacheField>
    <cacheField name="2021-2031 Total" numFmtId="0">
      <sharedItems containsString="0" containsBlank="1" containsNumber="1" containsInteger="1" minValue="20" maxValue="1912"/>
    </cacheField>
    <cacheField name="OlderPeople" numFmtId="0">
      <sharedItems containsBlank="1"/>
    </cacheField>
    <cacheField name="ShelteredAccom" numFmtId="0">
      <sharedItems containsBlank="1"/>
    </cacheField>
    <cacheField name="MultipleOcc" numFmtId="0">
      <sharedItems containsBlank="1"/>
    </cacheField>
    <cacheField name="MAPEAST" numFmtId="0">
      <sharedItems containsString="0" containsBlank="1" containsNumber="1" containsInteger="1" minValue="512318" maxValue="522622"/>
    </cacheField>
    <cacheField name="MAPNORTH" numFmtId="0">
      <sharedItems containsString="0" containsBlank="1" containsNumber="1" containsInteger="1" minValue="168830" maxValue="177884"/>
    </cacheField>
    <cacheField name="WARD" numFmtId="0">
      <sharedItems containsBlank="1" count="19">
        <s v="STM"/>
        <s v="FHH"/>
        <s v="HEA"/>
        <s v="SRW"/>
        <s v="NRW"/>
        <s v="HPR"/>
        <s v="BAR"/>
        <s v="KWA"/>
        <s v="HWI"/>
        <s v="MBC"/>
        <s v="TWR"/>
        <s v="WET"/>
        <s v="EAS"/>
        <s v="TED"/>
        <s v="SOT"/>
        <s v="HTN"/>
        <s v="HNN"/>
        <s v="WHI"/>
        <m/>
      </sharedItems>
    </cacheField>
    <cacheField name="Garden Land" numFmtId="0">
      <sharedItems containsBlank="1" count="2">
        <m/>
        <s v="Garden Land"/>
      </sharedItems>
    </cacheField>
    <cacheField name="Ward_Name" numFmtId="0">
      <sharedItems containsBlank="1" count="20">
        <s v="St. Margarets and North Twickenham"/>
        <s v="Fulwell and Hampton Hill"/>
        <s v="Heathfield"/>
        <s v="South Richmond"/>
        <s v="North Richmond"/>
        <s v="Ham, Petersham and Richmond Riverside"/>
        <s v="Barnes"/>
        <s v="Kew"/>
        <s v="Hampton Wick"/>
        <s v="Mortlake and Barnes Common"/>
        <s v="Twickenham Riverside"/>
        <s v="West Twickenham"/>
        <s v="East Sheen"/>
        <s v="Teddington"/>
        <s v="South Twickenham"/>
        <s v="Hampton"/>
        <s v="Hampton North"/>
        <s v="Whitton"/>
        <s v="N/A"/>
        <m u="1"/>
      </sharedItems>
    </cacheField>
    <cacheField name="Town_Centre" numFmtId="0">
      <sharedItems containsBlank="1" count="6">
        <s v="Twickenham"/>
        <m/>
        <s v="Richmond"/>
        <s v="East Sheen"/>
        <s v="Teddington"/>
        <s v="Whitton"/>
      </sharedItems>
    </cacheField>
    <cacheField name="Thames_Policy_Area" numFmtId="0">
      <sharedItems containsBlank="1" count="2">
        <m/>
        <s v="Thames Policy Area"/>
      </sharedItems>
    </cacheField>
    <cacheField name="Mixed Use Area" numFmtId="0">
      <sharedItems containsBlank="1" count="2">
        <m/>
        <s v="Mixed Use Area"/>
      </sharedItems>
    </cacheField>
    <cacheField name="Mixed_Use_Name" numFmtId="0">
      <sharedItems containsBlank="1"/>
    </cacheField>
    <cacheField name="Green_Belt" numFmtId="0">
      <sharedItems containsBlank="1"/>
    </cacheField>
    <cacheField name="Met_Open_Land" numFmtId="0">
      <sharedItems containsBlank="1"/>
    </cacheField>
    <cacheField name="Conservation Area" numFmtId="0">
      <sharedItems containsBlank="1" count="2">
        <m/>
        <s v="Conservation Area"/>
      </sharedItems>
    </cacheField>
    <cacheField name="Conservation_Area_Name" numFmtId="0">
      <sharedItems containsBlank="1"/>
    </cacheField>
    <cacheField name="5 Year total" numFmtId="0" formula="'2021/22 (1)'+'2022/23 (2)'+'2023/24 (3)'+'2024/25 (4)'+'2025/26 (5)'" databaseField="0"/>
    <cacheField name="6-10 Year" numFmtId="0" formula="'2026/27 (6)'+'2027/28 (7)'+'2028/29 (8)'+'2029/30 (9)'+'2030/31 (1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1">
  <r>
    <x v="0"/>
    <x v="0"/>
    <x v="0"/>
    <d v="2012-03-30T00:00:00"/>
    <d v="2015-03-30T00:00:00"/>
    <d v="2015-03-14T00:00:00"/>
    <d v="2021-02-26T00:00:00"/>
    <x v="0"/>
    <x v="0"/>
    <x v="0"/>
    <m/>
    <s v="Demolition of existing station building and access gantries to the platforms and a phased redevelopment to provide;_x000d_1. Removal of existing footbridge structures, adjustment of existing platform canopies and rebuilding of a section of the London Road wall."/>
    <x v="0"/>
    <m/>
    <m/>
    <m/>
    <m/>
    <m/>
    <m/>
    <m/>
    <m/>
    <m/>
    <m/>
    <n v="0"/>
    <x v="0"/>
    <n v="19"/>
    <n v="51"/>
    <n v="7"/>
    <m/>
    <m/>
    <m/>
    <m/>
    <n v="77"/>
    <n v="19"/>
    <n v="51"/>
    <n v="7"/>
    <n v="0"/>
    <n v="0"/>
    <n v="0"/>
    <n v="0"/>
    <m/>
    <m/>
    <n v="77"/>
    <n v="77"/>
    <x v="0"/>
    <n v="77"/>
    <m/>
    <m/>
    <m/>
    <m/>
    <m/>
    <m/>
    <m/>
    <m/>
    <m/>
    <m/>
    <n v="0"/>
    <m/>
    <m/>
    <m/>
    <m/>
    <n v="516095"/>
    <n v="173690"/>
    <x v="0"/>
    <x v="0"/>
    <x v="0"/>
    <x v="0"/>
    <x v="0"/>
    <x v="0"/>
    <m/>
    <m/>
    <m/>
    <x v="0"/>
    <m/>
  </r>
  <r>
    <x v="1"/>
    <x v="0"/>
    <x v="0"/>
    <d v="2013-11-05T00:00:00"/>
    <d v="2016-11-05T00:00:00"/>
    <d v="2016-08-14T00:00:00"/>
    <d v="2021-03-31T00:00:00"/>
    <x v="0"/>
    <x v="0"/>
    <x v="0"/>
    <m/>
    <s v="Redevelopment of land at the rear of 139-141 Stanley Road, Teddington to provide two semi-detached, three storey, three bedroom houses with parking spaces following demolition of existing warehouse."/>
    <x v="1"/>
    <s v="TW11"/>
    <m/>
    <m/>
    <m/>
    <m/>
    <m/>
    <m/>
    <m/>
    <m/>
    <m/>
    <n v="0"/>
    <x v="0"/>
    <m/>
    <m/>
    <n v="2"/>
    <m/>
    <m/>
    <m/>
    <m/>
    <n v="2"/>
    <n v="0"/>
    <n v="0"/>
    <n v="2"/>
    <n v="0"/>
    <n v="0"/>
    <n v="0"/>
    <n v="0"/>
    <m/>
    <m/>
    <n v="2"/>
    <n v="2"/>
    <x v="1"/>
    <n v="2"/>
    <m/>
    <m/>
    <m/>
    <m/>
    <m/>
    <m/>
    <m/>
    <m/>
    <m/>
    <m/>
    <n v="0"/>
    <m/>
    <m/>
    <m/>
    <m/>
    <n v="515074"/>
    <n v="171654"/>
    <x v="1"/>
    <x v="0"/>
    <x v="1"/>
    <x v="1"/>
    <x v="0"/>
    <x v="1"/>
    <s v="Stanley Road, Teddington"/>
    <m/>
    <m/>
    <x v="0"/>
    <m/>
  </r>
  <r>
    <x v="2"/>
    <x v="1"/>
    <x v="0"/>
    <d v="2015-03-26T00:00:00"/>
    <d v="2018-03-27T00:00:00"/>
    <d v="2016-06-01T00:00:00"/>
    <d v="2021-03-31T00:00:00"/>
    <x v="0"/>
    <x v="0"/>
    <x v="0"/>
    <m/>
    <s v="Partial rebuild and refurbishment of existing building and erection of two-storey side / rear extension with 3No. rear dormers to facilitate the formation of a mixed use building comprising a ground floor retail shop unit (A1 Use Class) and 4 No. 1-bedroo"/>
    <x v="2"/>
    <m/>
    <m/>
    <n v="1"/>
    <m/>
    <m/>
    <m/>
    <m/>
    <m/>
    <m/>
    <m/>
    <n v="1"/>
    <x v="1"/>
    <n v="4"/>
    <m/>
    <m/>
    <m/>
    <m/>
    <m/>
    <m/>
    <n v="4"/>
    <n v="4"/>
    <n v="-1"/>
    <n v="0"/>
    <n v="0"/>
    <n v="0"/>
    <n v="0"/>
    <n v="0"/>
    <m/>
    <m/>
    <n v="3"/>
    <n v="3"/>
    <x v="1"/>
    <n v="3"/>
    <m/>
    <m/>
    <m/>
    <m/>
    <m/>
    <m/>
    <m/>
    <m/>
    <m/>
    <m/>
    <n v="0"/>
    <m/>
    <m/>
    <m/>
    <m/>
    <n v="513482"/>
    <n v="173963"/>
    <x v="2"/>
    <x v="0"/>
    <x v="2"/>
    <x v="1"/>
    <x v="0"/>
    <x v="0"/>
    <m/>
    <m/>
    <m/>
    <x v="0"/>
    <m/>
  </r>
  <r>
    <x v="3"/>
    <x v="1"/>
    <x v="0"/>
    <d v="2015-04-30T00:00:00"/>
    <d v="2018-04-30T00:00:00"/>
    <d v="2016-07-01T00:00:00"/>
    <d v="2021-01-11T00:00:00"/>
    <x v="0"/>
    <x v="0"/>
    <x v="0"/>
    <m/>
    <s v="The conversion and restoration of the Old School building to form 5 no. residential apartments, and 90 square metres of B1a Office space, and the erection of 3no. terraced townhouses with basement accommodation at the rear, with car parking, landscaping,"/>
    <x v="3"/>
    <m/>
    <m/>
    <m/>
    <m/>
    <m/>
    <m/>
    <m/>
    <m/>
    <m/>
    <m/>
    <n v="0"/>
    <x v="0"/>
    <m/>
    <n v="5"/>
    <m/>
    <m/>
    <m/>
    <m/>
    <m/>
    <n v="5"/>
    <n v="0"/>
    <n v="5"/>
    <n v="0"/>
    <n v="0"/>
    <n v="0"/>
    <n v="0"/>
    <n v="0"/>
    <m/>
    <m/>
    <n v="5"/>
    <n v="5"/>
    <x v="1"/>
    <n v="5"/>
    <m/>
    <m/>
    <m/>
    <m/>
    <m/>
    <m/>
    <m/>
    <m/>
    <m/>
    <m/>
    <n v="0"/>
    <m/>
    <m/>
    <m/>
    <m/>
    <n v="517917"/>
    <n v="175196"/>
    <x v="3"/>
    <x v="0"/>
    <x v="3"/>
    <x v="2"/>
    <x v="0"/>
    <x v="0"/>
    <m/>
    <m/>
    <m/>
    <x v="1"/>
    <s v="CA17 Central Richmond"/>
  </r>
  <r>
    <x v="3"/>
    <x v="1"/>
    <x v="0"/>
    <d v="2015-04-30T00:00:00"/>
    <d v="2018-04-30T00:00:00"/>
    <d v="2016-07-01T00:00:00"/>
    <d v="2021-03-31T00:00:00"/>
    <x v="0"/>
    <x v="0"/>
    <x v="0"/>
    <m/>
    <s v="The conversion and restoration of the Old School building to form 5 no. residential apartments, and 90 square metres of B1a Office space, and the erection of 3no. terraced townhouses with basement accommodation at the rear, with car parking, landscaping,"/>
    <x v="3"/>
    <m/>
    <m/>
    <m/>
    <m/>
    <m/>
    <m/>
    <m/>
    <m/>
    <m/>
    <m/>
    <n v="0"/>
    <x v="0"/>
    <m/>
    <m/>
    <n v="3"/>
    <m/>
    <m/>
    <m/>
    <m/>
    <n v="3"/>
    <n v="0"/>
    <n v="0"/>
    <n v="3"/>
    <n v="0"/>
    <n v="0"/>
    <n v="0"/>
    <n v="0"/>
    <m/>
    <m/>
    <n v="3"/>
    <n v="3"/>
    <x v="1"/>
    <n v="3"/>
    <m/>
    <m/>
    <m/>
    <m/>
    <m/>
    <m/>
    <m/>
    <m/>
    <m/>
    <m/>
    <n v="0"/>
    <m/>
    <m/>
    <m/>
    <m/>
    <n v="517917"/>
    <n v="175196"/>
    <x v="3"/>
    <x v="0"/>
    <x v="3"/>
    <x v="2"/>
    <x v="0"/>
    <x v="0"/>
    <m/>
    <m/>
    <m/>
    <x v="1"/>
    <s v="CA17 Central Richmond"/>
  </r>
  <r>
    <x v="4"/>
    <x v="2"/>
    <x v="0"/>
    <d v="2015-06-22T00:00:00"/>
    <d v="2018-06-22T00:00:00"/>
    <d v="2017-05-01T00:00:00"/>
    <d v="2020-08-22T00:00:00"/>
    <x v="0"/>
    <x v="0"/>
    <x v="0"/>
    <m/>
    <s v="Change of use from B1 to residential (Number 21) and demolition of existing 2-storey dwelling (21A) with erection of back extension with basement"/>
    <x v="4"/>
    <m/>
    <m/>
    <n v="1"/>
    <m/>
    <m/>
    <m/>
    <m/>
    <m/>
    <m/>
    <m/>
    <n v="1"/>
    <x v="1"/>
    <m/>
    <m/>
    <m/>
    <n v="1"/>
    <m/>
    <m/>
    <m/>
    <n v="1"/>
    <n v="0"/>
    <n v="-1"/>
    <n v="0"/>
    <n v="1"/>
    <n v="0"/>
    <n v="0"/>
    <n v="0"/>
    <m/>
    <m/>
    <n v="0"/>
    <n v="0"/>
    <x v="1"/>
    <n v="0"/>
    <m/>
    <m/>
    <m/>
    <m/>
    <m/>
    <m/>
    <m/>
    <m/>
    <m/>
    <m/>
    <n v="0"/>
    <m/>
    <m/>
    <m/>
    <m/>
    <n v="518248"/>
    <n v="175334"/>
    <x v="4"/>
    <x v="0"/>
    <x v="4"/>
    <x v="2"/>
    <x v="0"/>
    <x v="0"/>
    <m/>
    <m/>
    <m/>
    <x v="1"/>
    <s v="CA17 Central Richmond"/>
  </r>
  <r>
    <x v="5"/>
    <x v="0"/>
    <x v="0"/>
    <d v="2016-06-02T00:00:00"/>
    <d v="2019-06-02T00:00:00"/>
    <d v="2019-05-01T00:00:00"/>
    <d v="2020-09-18T00:00:00"/>
    <x v="0"/>
    <x v="1"/>
    <x v="0"/>
    <m/>
    <s v="Demolition of a row of 18 garages; Proposed to construct two two-bedroom Wheelchair Bungalows; Provision of two car parking spaces."/>
    <x v="5"/>
    <m/>
    <m/>
    <m/>
    <m/>
    <m/>
    <m/>
    <m/>
    <m/>
    <m/>
    <m/>
    <n v="0"/>
    <x v="2"/>
    <m/>
    <n v="2"/>
    <m/>
    <m/>
    <m/>
    <m/>
    <m/>
    <n v="2"/>
    <n v="0"/>
    <n v="2"/>
    <n v="0"/>
    <n v="0"/>
    <n v="0"/>
    <n v="0"/>
    <n v="0"/>
    <m/>
    <m/>
    <n v="2"/>
    <n v="2"/>
    <x v="1"/>
    <n v="2"/>
    <m/>
    <m/>
    <m/>
    <m/>
    <m/>
    <m/>
    <m/>
    <m/>
    <m/>
    <m/>
    <n v="0"/>
    <m/>
    <m/>
    <m/>
    <m/>
    <n v="517050"/>
    <n v="172680"/>
    <x v="5"/>
    <x v="0"/>
    <x v="5"/>
    <x v="1"/>
    <x v="0"/>
    <x v="0"/>
    <m/>
    <m/>
    <m/>
    <x v="0"/>
    <m/>
  </r>
  <r>
    <x v="6"/>
    <x v="0"/>
    <x v="0"/>
    <d v="2016-06-02T00:00:00"/>
    <d v="2019-06-02T00:00:00"/>
    <d v="2019-05-28T00:00:00"/>
    <d v="2020-11-26T00:00:00"/>
    <x v="0"/>
    <x v="1"/>
    <x v="0"/>
    <m/>
    <s v="Demolition of 20 garages in two rows; Construction of two three-bedroom houses"/>
    <x v="6"/>
    <m/>
    <m/>
    <m/>
    <m/>
    <m/>
    <m/>
    <m/>
    <m/>
    <m/>
    <m/>
    <n v="0"/>
    <x v="2"/>
    <m/>
    <m/>
    <n v="2"/>
    <m/>
    <m/>
    <m/>
    <m/>
    <n v="2"/>
    <n v="0"/>
    <n v="0"/>
    <n v="2"/>
    <n v="0"/>
    <n v="0"/>
    <n v="0"/>
    <n v="0"/>
    <m/>
    <m/>
    <n v="2"/>
    <n v="2"/>
    <x v="1"/>
    <n v="2"/>
    <m/>
    <m/>
    <m/>
    <m/>
    <m/>
    <m/>
    <m/>
    <m/>
    <m/>
    <m/>
    <n v="0"/>
    <m/>
    <m/>
    <m/>
    <m/>
    <n v="517476"/>
    <n v="171658"/>
    <x v="5"/>
    <x v="0"/>
    <x v="5"/>
    <x v="1"/>
    <x v="0"/>
    <x v="0"/>
    <m/>
    <m/>
    <m/>
    <x v="0"/>
    <m/>
  </r>
  <r>
    <x v="7"/>
    <x v="0"/>
    <x v="0"/>
    <d v="2016-08-31T00:00:00"/>
    <d v="2019-08-31T00:00:00"/>
    <d v="2017-05-09T00:00:00"/>
    <d v="2020-07-31T00:00:00"/>
    <x v="0"/>
    <x v="0"/>
    <x v="0"/>
    <m/>
    <s v="Demolition of existing building and erection of three storey building plus basement to provide B1 use at basement, ground floor and first floor, and one 2 bedroom apartment above at second floor level."/>
    <x v="7"/>
    <m/>
    <m/>
    <m/>
    <m/>
    <m/>
    <m/>
    <m/>
    <m/>
    <m/>
    <m/>
    <n v="0"/>
    <x v="1"/>
    <m/>
    <n v="1"/>
    <m/>
    <m/>
    <m/>
    <m/>
    <m/>
    <n v="1"/>
    <n v="0"/>
    <n v="1"/>
    <n v="0"/>
    <n v="0"/>
    <n v="0"/>
    <n v="0"/>
    <n v="0"/>
    <m/>
    <m/>
    <n v="1"/>
    <n v="1"/>
    <x v="1"/>
    <n v="1"/>
    <m/>
    <m/>
    <m/>
    <m/>
    <m/>
    <m/>
    <m/>
    <m/>
    <m/>
    <m/>
    <n v="0"/>
    <m/>
    <m/>
    <m/>
    <m/>
    <n v="522622"/>
    <n v="177876"/>
    <x v="6"/>
    <x v="0"/>
    <x v="6"/>
    <x v="1"/>
    <x v="0"/>
    <x v="0"/>
    <m/>
    <m/>
    <m/>
    <x v="1"/>
    <s v="CA25 Castelnau"/>
  </r>
  <r>
    <x v="8"/>
    <x v="2"/>
    <x v="0"/>
    <d v="2016-09-19T00:00:00"/>
    <d v="2019-09-19T00:00:00"/>
    <d v="2017-11-24T00:00:00"/>
    <d v="2020-09-16T00:00:00"/>
    <x v="0"/>
    <x v="0"/>
    <x v="0"/>
    <m/>
    <s v="Alterations and refurbishment to provide a single family dwelling house."/>
    <x v="8"/>
    <s v="TW9 1PX"/>
    <m/>
    <m/>
    <m/>
    <m/>
    <m/>
    <m/>
    <m/>
    <m/>
    <m/>
    <n v="0"/>
    <x v="0"/>
    <m/>
    <m/>
    <m/>
    <m/>
    <n v="1"/>
    <m/>
    <m/>
    <n v="1"/>
    <n v="0"/>
    <n v="0"/>
    <n v="0"/>
    <n v="0"/>
    <n v="1"/>
    <n v="0"/>
    <n v="0"/>
    <m/>
    <m/>
    <n v="1"/>
    <n v="1"/>
    <x v="1"/>
    <n v="1"/>
    <m/>
    <m/>
    <m/>
    <m/>
    <m/>
    <m/>
    <m/>
    <m/>
    <m/>
    <m/>
    <n v="0"/>
    <m/>
    <m/>
    <m/>
    <m/>
    <n v="517807"/>
    <n v="174892"/>
    <x v="3"/>
    <x v="0"/>
    <x v="3"/>
    <x v="2"/>
    <x v="0"/>
    <x v="0"/>
    <m/>
    <m/>
    <m/>
    <x v="1"/>
    <s v="CA3 Richmond Green"/>
  </r>
  <r>
    <x v="9"/>
    <x v="2"/>
    <x v="0"/>
    <d v="2016-11-15T00:00:00"/>
    <d v="2020-11-01T00:00:00"/>
    <d v="2019-01-14T00:00:00"/>
    <d v="2020-05-18T00:00:00"/>
    <x v="0"/>
    <x v="0"/>
    <x v="0"/>
    <m/>
    <s v="Change of use from office (B1) to residential (C3), demolition and rebuild of the existing single storey rear building, basement extension to Grade II listed building in the Kew Green Conservation Area."/>
    <x v="9"/>
    <m/>
    <m/>
    <m/>
    <m/>
    <m/>
    <m/>
    <m/>
    <m/>
    <m/>
    <m/>
    <n v="0"/>
    <x v="1"/>
    <m/>
    <n v="1"/>
    <m/>
    <m/>
    <m/>
    <m/>
    <m/>
    <n v="1"/>
    <n v="0"/>
    <n v="1"/>
    <n v="0"/>
    <n v="0"/>
    <n v="0"/>
    <n v="0"/>
    <n v="0"/>
    <m/>
    <m/>
    <n v="1"/>
    <n v="1"/>
    <x v="1"/>
    <n v="1"/>
    <m/>
    <m/>
    <m/>
    <m/>
    <m/>
    <m/>
    <m/>
    <m/>
    <m/>
    <m/>
    <n v="0"/>
    <m/>
    <m/>
    <m/>
    <m/>
    <n v="518846"/>
    <n v="177650"/>
    <x v="7"/>
    <x v="0"/>
    <x v="7"/>
    <x v="1"/>
    <x v="1"/>
    <x v="0"/>
    <m/>
    <m/>
    <m/>
    <x v="1"/>
    <s v="CA2 Kew Green"/>
  </r>
  <r>
    <x v="10"/>
    <x v="0"/>
    <x v="0"/>
    <d v="2016-11-17T00:00:00"/>
    <d v="2019-11-17T00:00:00"/>
    <d v="2019-10-16T00:00:00"/>
    <d v="2021-02-04T00:00:00"/>
    <x v="0"/>
    <x v="1"/>
    <x v="0"/>
    <m/>
    <s v="Removal of 26 garages; Creation of 3 two storey three-bedroom houses. Provision of 11 parking spaces in a shared surface courtyard"/>
    <x v="10"/>
    <m/>
    <m/>
    <m/>
    <m/>
    <m/>
    <m/>
    <m/>
    <m/>
    <m/>
    <m/>
    <n v="0"/>
    <x v="2"/>
    <m/>
    <m/>
    <n v="3"/>
    <m/>
    <m/>
    <m/>
    <m/>
    <n v="3"/>
    <n v="0"/>
    <n v="0"/>
    <n v="3"/>
    <n v="0"/>
    <n v="0"/>
    <n v="0"/>
    <n v="0"/>
    <m/>
    <m/>
    <n v="3"/>
    <n v="3"/>
    <x v="1"/>
    <n v="3"/>
    <m/>
    <m/>
    <m/>
    <m/>
    <m/>
    <m/>
    <m/>
    <m/>
    <m/>
    <m/>
    <n v="0"/>
    <m/>
    <m/>
    <m/>
    <m/>
    <n v="517848"/>
    <n v="172830"/>
    <x v="5"/>
    <x v="0"/>
    <x v="5"/>
    <x v="1"/>
    <x v="0"/>
    <x v="0"/>
    <m/>
    <m/>
    <m/>
    <x v="0"/>
    <m/>
  </r>
  <r>
    <x v="11"/>
    <x v="3"/>
    <x v="0"/>
    <d v="2016-11-24T00:00:00"/>
    <d v="2019-11-24T00:00:00"/>
    <d v="2019-11-22T00:00:00"/>
    <d v="2020-09-07T00:00:00"/>
    <x v="0"/>
    <x v="0"/>
    <x v="0"/>
    <m/>
    <s v="This Application proposes: 'Nos. 41 and 41a (currently a house and self-contained flat) to become a single dwelling house.'"/>
    <x v="11"/>
    <s v="TW10 6EG"/>
    <n v="1"/>
    <m/>
    <m/>
    <n v="1"/>
    <m/>
    <m/>
    <m/>
    <m/>
    <m/>
    <n v="2"/>
    <x v="1"/>
    <m/>
    <m/>
    <m/>
    <n v="1"/>
    <m/>
    <m/>
    <m/>
    <n v="1"/>
    <n v="-1"/>
    <n v="0"/>
    <n v="0"/>
    <n v="0"/>
    <n v="0"/>
    <n v="0"/>
    <n v="0"/>
    <m/>
    <m/>
    <n v="-1"/>
    <n v="-1"/>
    <x v="1"/>
    <n v="-1"/>
    <m/>
    <m/>
    <m/>
    <m/>
    <m/>
    <m/>
    <m/>
    <m/>
    <m/>
    <m/>
    <n v="0"/>
    <m/>
    <m/>
    <m/>
    <m/>
    <n v="518642"/>
    <n v="174770"/>
    <x v="3"/>
    <x v="0"/>
    <x v="3"/>
    <x v="1"/>
    <x v="0"/>
    <x v="0"/>
    <m/>
    <m/>
    <m/>
    <x v="1"/>
    <s v="CA30 St Matthias Richmond"/>
  </r>
  <r>
    <x v="12"/>
    <x v="3"/>
    <x v="0"/>
    <d v="2016-12-15T00:00:00"/>
    <d v="2019-12-15T00:00:00"/>
    <d v="2019-02-01T00:00:00"/>
    <d v="2020-06-26T00:00:00"/>
    <x v="0"/>
    <x v="0"/>
    <x v="0"/>
    <m/>
    <s v="Conversion of part lower ground floor to form 1 x 1 bed self contained flat. New external staircase to match existing"/>
    <x v="12"/>
    <s v="KT1 4EU"/>
    <m/>
    <m/>
    <m/>
    <m/>
    <m/>
    <m/>
    <m/>
    <m/>
    <m/>
    <n v="0"/>
    <x v="1"/>
    <n v="1"/>
    <m/>
    <m/>
    <m/>
    <m/>
    <m/>
    <m/>
    <n v="1"/>
    <n v="1"/>
    <n v="0"/>
    <n v="0"/>
    <n v="0"/>
    <n v="0"/>
    <n v="0"/>
    <n v="0"/>
    <m/>
    <m/>
    <n v="1"/>
    <n v="1"/>
    <x v="1"/>
    <n v="1"/>
    <m/>
    <m/>
    <m/>
    <m/>
    <m/>
    <m/>
    <m/>
    <m/>
    <m/>
    <m/>
    <n v="0"/>
    <m/>
    <m/>
    <m/>
    <m/>
    <n v="517615"/>
    <n v="169709"/>
    <x v="8"/>
    <x v="0"/>
    <x v="8"/>
    <x v="1"/>
    <x v="0"/>
    <x v="0"/>
    <m/>
    <m/>
    <m/>
    <x v="1"/>
    <s v="CA18 Hampton Wick"/>
  </r>
  <r>
    <x v="13"/>
    <x v="0"/>
    <x v="0"/>
    <d v="2017-02-20T00:00:00"/>
    <d v="2020-08-10T00:00:00"/>
    <d v="2019-01-14T00:00:00"/>
    <d v="2020-12-10T00:00:00"/>
    <x v="0"/>
    <x v="0"/>
    <x v="0"/>
    <m/>
    <s v="Demolition of rear stock room and yard to create a 2 bedroom dwelling over 2 floors with one integral parking space at ground level."/>
    <x v="13"/>
    <s v="SW13 9LW"/>
    <m/>
    <m/>
    <m/>
    <m/>
    <m/>
    <m/>
    <m/>
    <m/>
    <m/>
    <n v="0"/>
    <x v="0"/>
    <m/>
    <n v="1"/>
    <m/>
    <m/>
    <m/>
    <m/>
    <m/>
    <n v="1"/>
    <n v="0"/>
    <n v="1"/>
    <n v="0"/>
    <n v="0"/>
    <n v="0"/>
    <n v="0"/>
    <n v="0"/>
    <m/>
    <m/>
    <n v="1"/>
    <n v="1"/>
    <x v="1"/>
    <n v="1"/>
    <m/>
    <m/>
    <m/>
    <m/>
    <m/>
    <m/>
    <m/>
    <m/>
    <m/>
    <m/>
    <n v="0"/>
    <m/>
    <m/>
    <m/>
    <m/>
    <n v="521729"/>
    <n v="176400"/>
    <x v="9"/>
    <x v="0"/>
    <x v="9"/>
    <x v="1"/>
    <x v="0"/>
    <x v="1"/>
    <s v="High Street, Barnes"/>
    <m/>
    <m/>
    <x v="1"/>
    <s v="CA1 Barnes Green"/>
  </r>
  <r>
    <x v="14"/>
    <x v="2"/>
    <x v="1"/>
    <d v="2017-02-24T00:00:00"/>
    <d v="2020-12-21T00:00:00"/>
    <d v="2019-12-16T00:00:00"/>
    <d v="2020-10-02T00:00:00"/>
    <x v="0"/>
    <x v="0"/>
    <x v="0"/>
    <m/>
    <s v="Change of use of first floor from B1 office use to C3 residential use comprising 9 units (8 x 1 bed and 1 x 2 bed flats)"/>
    <x v="14"/>
    <s v="TW1"/>
    <m/>
    <m/>
    <m/>
    <m/>
    <m/>
    <m/>
    <m/>
    <m/>
    <m/>
    <n v="0"/>
    <x v="0"/>
    <n v="8"/>
    <n v="1"/>
    <m/>
    <m/>
    <m/>
    <m/>
    <m/>
    <n v="9"/>
    <n v="8"/>
    <n v="1"/>
    <n v="0"/>
    <n v="0"/>
    <n v="0"/>
    <n v="0"/>
    <n v="0"/>
    <m/>
    <m/>
    <n v="9"/>
    <n v="9"/>
    <x v="1"/>
    <n v="9"/>
    <m/>
    <m/>
    <m/>
    <m/>
    <m/>
    <m/>
    <m/>
    <m/>
    <m/>
    <m/>
    <n v="0"/>
    <m/>
    <m/>
    <m/>
    <m/>
    <n v="515974"/>
    <n v="173142"/>
    <x v="10"/>
    <x v="0"/>
    <x v="10"/>
    <x v="0"/>
    <x v="0"/>
    <x v="0"/>
    <m/>
    <m/>
    <m/>
    <x v="0"/>
    <m/>
  </r>
  <r>
    <x v="15"/>
    <x v="0"/>
    <x v="0"/>
    <d v="2017-03-07T00:00:00"/>
    <d v="2020-03-07T00:00:00"/>
    <d v="2017-05-10T00:00:00"/>
    <d v="2021-01-15T00:00:00"/>
    <x v="0"/>
    <x v="0"/>
    <x v="0"/>
    <m/>
    <s v="Demolition of the existing building and the erection of new two-storey house, with a basement and front and rear light wells and a rear dormer._x000d__x000d_"/>
    <x v="15"/>
    <m/>
    <m/>
    <m/>
    <m/>
    <n v="1"/>
    <m/>
    <m/>
    <m/>
    <m/>
    <m/>
    <n v="1"/>
    <x v="1"/>
    <m/>
    <m/>
    <m/>
    <n v="1"/>
    <m/>
    <m/>
    <m/>
    <n v="1"/>
    <n v="0"/>
    <n v="0"/>
    <n v="0"/>
    <n v="0"/>
    <n v="0"/>
    <n v="0"/>
    <n v="0"/>
    <m/>
    <m/>
    <n v="0"/>
    <n v="0"/>
    <x v="1"/>
    <n v="0"/>
    <m/>
    <m/>
    <m/>
    <m/>
    <m/>
    <m/>
    <m/>
    <m/>
    <m/>
    <m/>
    <n v="0"/>
    <m/>
    <m/>
    <m/>
    <m/>
    <n v="521872"/>
    <n v="177181"/>
    <x v="6"/>
    <x v="0"/>
    <x v="6"/>
    <x v="1"/>
    <x v="0"/>
    <x v="0"/>
    <m/>
    <m/>
    <m/>
    <x v="0"/>
    <m/>
  </r>
  <r>
    <x v="16"/>
    <x v="0"/>
    <x v="0"/>
    <d v="2017-04-06T00:00:00"/>
    <d v="2020-04-07T00:00:00"/>
    <d v="2020-02-23T00:00:00"/>
    <d v="2021-03-31T00:00:00"/>
    <x v="0"/>
    <x v="0"/>
    <x v="0"/>
    <m/>
    <s v="Erection of a pair of two-bedroom, semi-detached dwellings with associated access, car turntable, parking and amenity space following the demolition of existing dwelling."/>
    <x v="16"/>
    <m/>
    <m/>
    <m/>
    <n v="1"/>
    <m/>
    <m/>
    <m/>
    <m/>
    <m/>
    <m/>
    <n v="1"/>
    <x v="0"/>
    <m/>
    <n v="2"/>
    <m/>
    <m/>
    <m/>
    <m/>
    <m/>
    <n v="2"/>
    <n v="0"/>
    <n v="2"/>
    <n v="-1"/>
    <n v="0"/>
    <n v="0"/>
    <n v="0"/>
    <n v="0"/>
    <m/>
    <m/>
    <n v="1"/>
    <n v="1"/>
    <x v="1"/>
    <n v="1"/>
    <m/>
    <m/>
    <m/>
    <m/>
    <m/>
    <m/>
    <m/>
    <m/>
    <m/>
    <m/>
    <n v="0"/>
    <m/>
    <m/>
    <m/>
    <m/>
    <n v="514775"/>
    <n v="172397"/>
    <x v="11"/>
    <x v="0"/>
    <x v="11"/>
    <x v="1"/>
    <x v="0"/>
    <x v="0"/>
    <m/>
    <m/>
    <m/>
    <x v="0"/>
    <m/>
  </r>
  <r>
    <x v="17"/>
    <x v="2"/>
    <x v="1"/>
    <d v="2017-05-26T00:00:00"/>
    <d v="2021-12-08T00:00:00"/>
    <d v="2020-01-13T00:00:00"/>
    <d v="2021-02-25T00:00:00"/>
    <x v="0"/>
    <x v="0"/>
    <x v="0"/>
    <m/>
    <s v="Change of use from B1 office to C3 residential."/>
    <x v="17"/>
    <s v="TW9 3NG"/>
    <m/>
    <m/>
    <m/>
    <m/>
    <m/>
    <m/>
    <m/>
    <m/>
    <m/>
    <n v="0"/>
    <x v="0"/>
    <m/>
    <n v="2"/>
    <m/>
    <m/>
    <m/>
    <m/>
    <m/>
    <n v="2"/>
    <n v="0"/>
    <n v="2"/>
    <n v="0"/>
    <n v="0"/>
    <n v="0"/>
    <n v="0"/>
    <n v="0"/>
    <m/>
    <m/>
    <n v="2"/>
    <n v="2"/>
    <x v="1"/>
    <n v="2"/>
    <m/>
    <m/>
    <m/>
    <m/>
    <m/>
    <m/>
    <m/>
    <m/>
    <m/>
    <m/>
    <n v="0"/>
    <m/>
    <m/>
    <m/>
    <m/>
    <n v="519061"/>
    <n v="176662"/>
    <x v="7"/>
    <x v="0"/>
    <x v="7"/>
    <x v="1"/>
    <x v="0"/>
    <x v="0"/>
    <m/>
    <m/>
    <m/>
    <x v="1"/>
    <s v="CA15 Kew Gardens Kew"/>
  </r>
  <r>
    <x v="18"/>
    <x v="2"/>
    <x v="1"/>
    <d v="2017-05-31T00:00:00"/>
    <d v="2020-05-31T00:00:00"/>
    <d v="2020-05-29T00:00:00"/>
    <d v="2020-10-14T00:00:00"/>
    <x v="0"/>
    <x v="0"/>
    <x v="0"/>
    <m/>
    <s v="Change of use of property from B1a (office use) to C3 (residential) to provide 1 no. 4 bedroom dwellinghouse"/>
    <x v="18"/>
    <m/>
    <m/>
    <m/>
    <m/>
    <m/>
    <m/>
    <m/>
    <m/>
    <m/>
    <m/>
    <n v="0"/>
    <x v="0"/>
    <m/>
    <m/>
    <m/>
    <n v="1"/>
    <m/>
    <m/>
    <m/>
    <n v="1"/>
    <n v="0"/>
    <n v="0"/>
    <n v="0"/>
    <n v="1"/>
    <n v="0"/>
    <n v="0"/>
    <n v="0"/>
    <m/>
    <m/>
    <n v="1"/>
    <n v="1"/>
    <x v="1"/>
    <n v="1"/>
    <m/>
    <m/>
    <m/>
    <m/>
    <m/>
    <m/>
    <m/>
    <m/>
    <m/>
    <m/>
    <n v="0"/>
    <m/>
    <m/>
    <m/>
    <m/>
    <n v="516024"/>
    <n v="173277"/>
    <x v="10"/>
    <x v="0"/>
    <x v="10"/>
    <x v="1"/>
    <x v="0"/>
    <x v="0"/>
    <m/>
    <m/>
    <m/>
    <x v="0"/>
    <m/>
  </r>
  <r>
    <x v="19"/>
    <x v="0"/>
    <x v="0"/>
    <d v="2017-06-22T00:00:00"/>
    <d v="2021-11-12T00:00:00"/>
    <d v="2019-10-09T00:00:00"/>
    <d v="2020-05-29T00:00:00"/>
    <x v="0"/>
    <x v="0"/>
    <x v="0"/>
    <m/>
    <s v="Construction of a two storey, one bed dwelling-house along with associated cycle storage, car parking and landscaping."/>
    <x v="19"/>
    <s v="TW9 1YJ"/>
    <m/>
    <m/>
    <m/>
    <m/>
    <m/>
    <m/>
    <m/>
    <m/>
    <m/>
    <n v="0"/>
    <x v="0"/>
    <n v="1"/>
    <m/>
    <m/>
    <m/>
    <m/>
    <m/>
    <m/>
    <n v="1"/>
    <n v="1"/>
    <n v="0"/>
    <n v="0"/>
    <n v="0"/>
    <n v="0"/>
    <n v="0"/>
    <n v="0"/>
    <m/>
    <m/>
    <n v="1"/>
    <n v="1"/>
    <x v="1"/>
    <n v="1"/>
    <m/>
    <m/>
    <m/>
    <m/>
    <m/>
    <m/>
    <m/>
    <m/>
    <m/>
    <m/>
    <n v="0"/>
    <m/>
    <m/>
    <m/>
    <m/>
    <n v="518494"/>
    <n v="175035"/>
    <x v="3"/>
    <x v="0"/>
    <x v="3"/>
    <x v="1"/>
    <x v="0"/>
    <x v="0"/>
    <m/>
    <m/>
    <m/>
    <x v="1"/>
    <s v="CA31 Sheen Road Richmond"/>
  </r>
  <r>
    <x v="20"/>
    <x v="2"/>
    <x v="0"/>
    <d v="2017-06-27T00:00:00"/>
    <d v="2020-06-27T00:00:00"/>
    <d v="2020-06-02T00:00:00"/>
    <d v="2021-03-19T00:00:00"/>
    <x v="0"/>
    <x v="0"/>
    <x v="0"/>
    <m/>
    <s v="Proposed conversion of garden studio to one person residential studio incorporating the extension of depth and height of existing garden studio in order to create a first floor level, with installation of a rooflight to the eastern roofslope and a rooflig"/>
    <x v="20"/>
    <s v="SW14 7AA"/>
    <m/>
    <m/>
    <m/>
    <m/>
    <m/>
    <m/>
    <m/>
    <m/>
    <m/>
    <n v="0"/>
    <x v="0"/>
    <n v="1"/>
    <m/>
    <m/>
    <m/>
    <m/>
    <m/>
    <m/>
    <n v="1"/>
    <n v="1"/>
    <n v="0"/>
    <n v="0"/>
    <n v="0"/>
    <n v="0"/>
    <n v="0"/>
    <n v="0"/>
    <m/>
    <m/>
    <n v="1"/>
    <n v="1"/>
    <x v="1"/>
    <n v="1"/>
    <m/>
    <m/>
    <m/>
    <m/>
    <m/>
    <m/>
    <m/>
    <m/>
    <m/>
    <m/>
    <n v="0"/>
    <m/>
    <m/>
    <m/>
    <m/>
    <n v="520283"/>
    <n v="175017"/>
    <x v="12"/>
    <x v="0"/>
    <x v="12"/>
    <x v="1"/>
    <x v="0"/>
    <x v="0"/>
    <m/>
    <m/>
    <m/>
    <x v="0"/>
    <m/>
  </r>
  <r>
    <x v="21"/>
    <x v="0"/>
    <x v="0"/>
    <d v="2017-08-07T00:00:00"/>
    <d v="2020-08-07T00:00:00"/>
    <d v="2018-03-20T00:00:00"/>
    <d v="2021-03-31T00:00:00"/>
    <x v="0"/>
    <x v="0"/>
    <x v="0"/>
    <m/>
    <s v="1 no. 2 storey 6-bedroom dwellinghouse with rooms in the roof and 1 no. one storey with basement 5-bedroom dwelling house (following demolition of existing dwelling at No.58 Munster Road), and associated refuse/recycling store, cycle parking and parking a"/>
    <x v="21"/>
    <s v="TW11 9LL"/>
    <m/>
    <m/>
    <m/>
    <m/>
    <m/>
    <m/>
    <m/>
    <m/>
    <m/>
    <n v="0"/>
    <x v="0"/>
    <m/>
    <m/>
    <m/>
    <m/>
    <m/>
    <n v="1"/>
    <m/>
    <n v="1"/>
    <n v="0"/>
    <n v="0"/>
    <n v="0"/>
    <n v="0"/>
    <n v="0"/>
    <n v="1"/>
    <n v="0"/>
    <m/>
    <m/>
    <n v="1"/>
    <n v="1"/>
    <x v="1"/>
    <n v="1"/>
    <m/>
    <m/>
    <m/>
    <m/>
    <m/>
    <m/>
    <m/>
    <m/>
    <m/>
    <m/>
    <n v="0"/>
    <m/>
    <m/>
    <m/>
    <m/>
    <n v="517123"/>
    <n v="170663"/>
    <x v="8"/>
    <x v="1"/>
    <x v="8"/>
    <x v="1"/>
    <x v="0"/>
    <x v="0"/>
    <m/>
    <m/>
    <m/>
    <x v="0"/>
    <m/>
  </r>
  <r>
    <x v="21"/>
    <x v="0"/>
    <x v="0"/>
    <d v="2017-08-07T00:00:00"/>
    <d v="2020-08-07T00:00:00"/>
    <d v="2018-03-20T00:00:00"/>
    <d v="2021-03-31T00:00:00"/>
    <x v="0"/>
    <x v="0"/>
    <x v="0"/>
    <m/>
    <s v="1 no. 2 storey 6-bedroom dwellinghouse with rooms in the roof and 1 no. one storey with basement 5-bedroom dwelling house (following demolition of existing dwelling at No.58 Munster Road), and associated refuse/recycling store, cycle parking and parking a"/>
    <x v="21"/>
    <s v="TW11 9LL"/>
    <m/>
    <m/>
    <m/>
    <n v="1"/>
    <m/>
    <m/>
    <m/>
    <m/>
    <m/>
    <n v="1"/>
    <x v="0"/>
    <m/>
    <m/>
    <m/>
    <m/>
    <n v="1"/>
    <m/>
    <m/>
    <n v="1"/>
    <n v="0"/>
    <n v="0"/>
    <n v="0"/>
    <n v="-1"/>
    <n v="1"/>
    <n v="0"/>
    <n v="0"/>
    <m/>
    <m/>
    <n v="0"/>
    <n v="0"/>
    <x v="1"/>
    <n v="0"/>
    <m/>
    <m/>
    <m/>
    <m/>
    <m/>
    <m/>
    <m/>
    <m/>
    <m/>
    <m/>
    <n v="0"/>
    <m/>
    <m/>
    <m/>
    <m/>
    <n v="517123"/>
    <n v="170663"/>
    <x v="8"/>
    <x v="0"/>
    <x v="8"/>
    <x v="1"/>
    <x v="0"/>
    <x v="0"/>
    <m/>
    <m/>
    <m/>
    <x v="0"/>
    <m/>
  </r>
  <r>
    <x v="22"/>
    <x v="2"/>
    <x v="1"/>
    <d v="2017-09-08T00:00:00"/>
    <d v="2020-09-08T00:00:00"/>
    <d v="2020-06-29T00:00:00"/>
    <d v="2020-09-01T00:00:00"/>
    <x v="0"/>
    <x v="0"/>
    <x v="0"/>
    <m/>
    <s v="Change of use from Class B1(a) office to Class C3 residential."/>
    <x v="22"/>
    <s v="SW14 8AG"/>
    <m/>
    <m/>
    <m/>
    <m/>
    <m/>
    <m/>
    <m/>
    <m/>
    <m/>
    <n v="0"/>
    <x v="0"/>
    <n v="1"/>
    <m/>
    <m/>
    <m/>
    <m/>
    <m/>
    <m/>
    <n v="1"/>
    <n v="1"/>
    <n v="0"/>
    <n v="0"/>
    <n v="0"/>
    <n v="0"/>
    <n v="0"/>
    <n v="0"/>
    <m/>
    <m/>
    <n v="1"/>
    <n v="1"/>
    <x v="1"/>
    <n v="1"/>
    <m/>
    <m/>
    <m/>
    <m/>
    <m/>
    <m/>
    <m/>
    <m/>
    <m/>
    <m/>
    <n v="0"/>
    <m/>
    <m/>
    <m/>
    <m/>
    <n v="520531"/>
    <n v="175416"/>
    <x v="12"/>
    <x v="0"/>
    <x v="12"/>
    <x v="3"/>
    <x v="0"/>
    <x v="0"/>
    <m/>
    <m/>
    <m/>
    <x v="1"/>
    <s v="CA70 Sheen Lane Mortlake"/>
  </r>
  <r>
    <x v="23"/>
    <x v="3"/>
    <x v="0"/>
    <d v="2017-09-27T00:00:00"/>
    <d v="2020-09-27T00:00:00"/>
    <d v="2020-08-01T00:00:00"/>
    <d v="2020-09-07T00:00:00"/>
    <x v="0"/>
    <x v="0"/>
    <x v="0"/>
    <m/>
    <s v="Change of use from 2 no. flats back to a single family dwelling house."/>
    <x v="23"/>
    <s v="SW14 7QE"/>
    <n v="2"/>
    <m/>
    <m/>
    <m/>
    <m/>
    <m/>
    <m/>
    <m/>
    <m/>
    <n v="2"/>
    <x v="0"/>
    <m/>
    <m/>
    <n v="1"/>
    <m/>
    <m/>
    <m/>
    <m/>
    <n v="1"/>
    <n v="-2"/>
    <n v="0"/>
    <n v="1"/>
    <n v="0"/>
    <n v="0"/>
    <n v="0"/>
    <n v="0"/>
    <m/>
    <m/>
    <n v="-1"/>
    <n v="-1"/>
    <x v="1"/>
    <n v="-1"/>
    <m/>
    <m/>
    <m/>
    <m/>
    <m/>
    <m/>
    <m/>
    <m/>
    <m/>
    <m/>
    <n v="0"/>
    <m/>
    <m/>
    <m/>
    <m/>
    <n v="520088"/>
    <n v="175029"/>
    <x v="12"/>
    <x v="0"/>
    <x v="12"/>
    <x v="1"/>
    <x v="0"/>
    <x v="0"/>
    <m/>
    <m/>
    <m/>
    <x v="0"/>
    <m/>
  </r>
  <r>
    <x v="24"/>
    <x v="0"/>
    <x v="0"/>
    <d v="2017-10-05T00:00:00"/>
    <d v="2017-12-09T00:00:00"/>
    <d v="2017-10-05T00:00:00"/>
    <d v="2020-10-14T00:00:00"/>
    <x v="0"/>
    <x v="0"/>
    <x v="0"/>
    <m/>
    <s v="Variation of approved drawing nos attached to 14/0914/FUL to allow for the development of Block B as two blocks and an increase in the overall number of units from 220 to 238 and minor changes to the riverside walkway._x000d_To allow changes to the internal lay"/>
    <x v="24"/>
    <s v="TW11"/>
    <m/>
    <m/>
    <m/>
    <m/>
    <m/>
    <m/>
    <m/>
    <m/>
    <m/>
    <n v="0"/>
    <x v="0"/>
    <m/>
    <m/>
    <m/>
    <n v="6"/>
    <m/>
    <m/>
    <m/>
    <n v="6"/>
    <n v="0"/>
    <n v="0"/>
    <n v="0"/>
    <n v="6"/>
    <n v="0"/>
    <n v="0"/>
    <n v="0"/>
    <m/>
    <m/>
    <n v="6"/>
    <n v="6"/>
    <x v="1"/>
    <n v="6"/>
    <m/>
    <m/>
    <m/>
    <m/>
    <m/>
    <m/>
    <m/>
    <m/>
    <m/>
    <m/>
    <n v="0"/>
    <m/>
    <m/>
    <m/>
    <m/>
    <n v="516802"/>
    <n v="171333"/>
    <x v="13"/>
    <x v="0"/>
    <x v="13"/>
    <x v="1"/>
    <x v="1"/>
    <x v="0"/>
    <m/>
    <m/>
    <m/>
    <x v="0"/>
    <m/>
  </r>
  <r>
    <x v="24"/>
    <x v="0"/>
    <x v="0"/>
    <d v="2017-10-05T00:00:00"/>
    <d v="2017-12-09T00:00:00"/>
    <d v="2017-10-05T00:00:00"/>
    <d v="2020-10-14T00:00:00"/>
    <x v="0"/>
    <x v="0"/>
    <x v="0"/>
    <m/>
    <s v="Variation of approved drawing nos attached to 14/0914/FUL to allow for the development of Block B as two blocks and an increase in the overall number of units from 220 to 238 and minor changes to the riverside walkway._x000d_To allow changes to the internal lay"/>
    <x v="24"/>
    <s v="TW11"/>
    <m/>
    <m/>
    <m/>
    <m/>
    <m/>
    <m/>
    <m/>
    <m/>
    <m/>
    <n v="0"/>
    <x v="0"/>
    <m/>
    <m/>
    <m/>
    <m/>
    <n v="1"/>
    <m/>
    <m/>
    <n v="1"/>
    <n v="0"/>
    <n v="0"/>
    <n v="0"/>
    <n v="0"/>
    <n v="1"/>
    <n v="0"/>
    <n v="0"/>
    <m/>
    <m/>
    <n v="1"/>
    <n v="1"/>
    <x v="1"/>
    <n v="1"/>
    <m/>
    <m/>
    <m/>
    <m/>
    <m/>
    <m/>
    <m/>
    <m/>
    <m/>
    <m/>
    <n v="0"/>
    <m/>
    <m/>
    <m/>
    <m/>
    <n v="516802"/>
    <n v="171333"/>
    <x v="13"/>
    <x v="0"/>
    <x v="13"/>
    <x v="1"/>
    <x v="1"/>
    <x v="0"/>
    <m/>
    <m/>
    <m/>
    <x v="0"/>
    <m/>
  </r>
  <r>
    <x v="25"/>
    <x v="0"/>
    <x v="0"/>
    <d v="2017-10-16T00:00:00"/>
    <d v="2020-10-16T00:00:00"/>
    <d v="2018-09-03T00:00:00"/>
    <d v="2020-09-09T00:00:00"/>
    <x v="0"/>
    <x v="0"/>
    <x v="0"/>
    <m/>
    <s v="Demolition of existing buildings and removal of advertising hoardings. Resiting of existing recycling bins. Erection of a part 3 storey part 4 storey building with commercial use (Flexible Use Class A1, A2 and/or B1a) on the ground floor with 9 flats (4 x"/>
    <x v="25"/>
    <s v="TW1 4BH"/>
    <m/>
    <m/>
    <m/>
    <m/>
    <m/>
    <m/>
    <m/>
    <m/>
    <m/>
    <n v="0"/>
    <x v="0"/>
    <n v="8"/>
    <n v="1"/>
    <m/>
    <m/>
    <m/>
    <m/>
    <m/>
    <n v="9"/>
    <n v="8"/>
    <n v="1"/>
    <n v="0"/>
    <n v="0"/>
    <n v="0"/>
    <n v="0"/>
    <n v="0"/>
    <m/>
    <m/>
    <n v="9"/>
    <n v="9"/>
    <x v="1"/>
    <n v="9"/>
    <m/>
    <m/>
    <m/>
    <m/>
    <m/>
    <m/>
    <m/>
    <m/>
    <m/>
    <m/>
    <n v="0"/>
    <m/>
    <m/>
    <m/>
    <m/>
    <n v="515669"/>
    <n v="173102"/>
    <x v="14"/>
    <x v="0"/>
    <x v="14"/>
    <x v="0"/>
    <x v="0"/>
    <x v="0"/>
    <m/>
    <m/>
    <m/>
    <x v="0"/>
    <m/>
  </r>
  <r>
    <x v="26"/>
    <x v="0"/>
    <x v="0"/>
    <d v="2017-11-28T00:00:00"/>
    <d v="2020-11-28T00:00:00"/>
    <d v="2019-02-01T00:00:00"/>
    <d v="2020-07-24T00:00:00"/>
    <x v="0"/>
    <x v="0"/>
    <x v="0"/>
    <m/>
    <s v="Demolition of existing outbuildings and construction of 2 No. detached dwellinghouses."/>
    <x v="26"/>
    <s v="SW14 7BW"/>
    <m/>
    <m/>
    <m/>
    <m/>
    <m/>
    <m/>
    <m/>
    <m/>
    <m/>
    <n v="0"/>
    <x v="0"/>
    <m/>
    <m/>
    <m/>
    <n v="2"/>
    <m/>
    <m/>
    <m/>
    <n v="2"/>
    <n v="0"/>
    <n v="0"/>
    <n v="0"/>
    <n v="2"/>
    <n v="0"/>
    <n v="0"/>
    <n v="0"/>
    <m/>
    <m/>
    <n v="2"/>
    <n v="2"/>
    <x v="1"/>
    <n v="2"/>
    <m/>
    <m/>
    <m/>
    <m/>
    <m/>
    <m/>
    <m/>
    <m/>
    <m/>
    <m/>
    <n v="0"/>
    <m/>
    <m/>
    <m/>
    <m/>
    <n v="519840"/>
    <n v="175428"/>
    <x v="4"/>
    <x v="0"/>
    <x v="4"/>
    <x v="1"/>
    <x v="0"/>
    <x v="0"/>
    <m/>
    <m/>
    <m/>
    <x v="0"/>
    <m/>
  </r>
  <r>
    <x v="27"/>
    <x v="0"/>
    <x v="0"/>
    <d v="2017-12-11T00:00:00"/>
    <d v="2021-03-14T00:00:00"/>
    <d v="2020-06-01T00:00:00"/>
    <d v="2021-03-31T00:00:00"/>
    <x v="0"/>
    <x v="0"/>
    <x v="0"/>
    <m/>
    <s v="Demolition of existing detached house and erection of 3no. new residential units comprising 2x 4 bedroom semi detached houses and 1x detached 5 bedroom house, together with associated landscaping and parking"/>
    <x v="27"/>
    <s v="TW12 2TY"/>
    <m/>
    <m/>
    <m/>
    <n v="1"/>
    <m/>
    <m/>
    <m/>
    <m/>
    <m/>
    <n v="1"/>
    <x v="0"/>
    <m/>
    <m/>
    <m/>
    <n v="2"/>
    <n v="1"/>
    <m/>
    <m/>
    <n v="3"/>
    <n v="0"/>
    <n v="0"/>
    <n v="0"/>
    <n v="1"/>
    <n v="1"/>
    <n v="0"/>
    <n v="0"/>
    <m/>
    <m/>
    <n v="2"/>
    <n v="2"/>
    <x v="1"/>
    <n v="2"/>
    <m/>
    <m/>
    <m/>
    <m/>
    <m/>
    <m/>
    <m/>
    <m/>
    <m/>
    <m/>
    <n v="0"/>
    <m/>
    <m/>
    <m/>
    <m/>
    <n v="514169"/>
    <n v="170167"/>
    <x v="15"/>
    <x v="0"/>
    <x v="15"/>
    <x v="1"/>
    <x v="0"/>
    <x v="0"/>
    <m/>
    <m/>
    <m/>
    <x v="0"/>
    <m/>
  </r>
  <r>
    <x v="28"/>
    <x v="0"/>
    <x v="0"/>
    <d v="2018-02-26T00:00:00"/>
    <d v="2021-02-26T00:00:00"/>
    <d v="2019-03-01T00:00:00"/>
    <d v="2020-08-13T00:00:00"/>
    <x v="0"/>
    <x v="0"/>
    <x v="0"/>
    <m/>
    <s v="Variation of condition U30401 (Approved drawings) of planning permission 17/2624/FUL (Demolition of the existing four bedroom house and erection of two semi-detached, four bedroom townhouses incorporating basements) to allow for internal alterations to la"/>
    <x v="28"/>
    <s v="SW14 7DP"/>
    <m/>
    <m/>
    <m/>
    <n v="1"/>
    <m/>
    <m/>
    <m/>
    <m/>
    <m/>
    <n v="1"/>
    <x v="0"/>
    <m/>
    <m/>
    <m/>
    <m/>
    <n v="2"/>
    <m/>
    <m/>
    <n v="2"/>
    <n v="0"/>
    <n v="0"/>
    <n v="0"/>
    <n v="-1"/>
    <n v="2"/>
    <n v="0"/>
    <n v="0"/>
    <m/>
    <m/>
    <n v="1"/>
    <n v="1"/>
    <x v="1"/>
    <n v="1"/>
    <m/>
    <m/>
    <m/>
    <m/>
    <m/>
    <m/>
    <m/>
    <m/>
    <m/>
    <m/>
    <n v="0"/>
    <m/>
    <m/>
    <m/>
    <m/>
    <n v="519786"/>
    <n v="175060"/>
    <x v="12"/>
    <x v="0"/>
    <x v="12"/>
    <x v="1"/>
    <x v="0"/>
    <x v="0"/>
    <m/>
    <m/>
    <m/>
    <x v="0"/>
    <m/>
  </r>
  <r>
    <x v="29"/>
    <x v="1"/>
    <x v="0"/>
    <d v="2018-04-24T00:00:00"/>
    <d v="2021-04-24T00:00:00"/>
    <d v="2018-04-25T00:00:00"/>
    <d v="2021-03-11T00:00:00"/>
    <x v="0"/>
    <x v="0"/>
    <x v="0"/>
    <m/>
    <s v="Conversion and extension of the existing convent buildings (following demolition of some mid-20th century extensions), together with new build apartments and houses, to provide a total of 23 residential retirement units, an estate managers office and meet"/>
    <x v="29"/>
    <s v="TW10 7JH"/>
    <m/>
    <m/>
    <m/>
    <m/>
    <m/>
    <m/>
    <m/>
    <m/>
    <m/>
    <n v="0"/>
    <x v="0"/>
    <n v="1"/>
    <n v="11"/>
    <m/>
    <m/>
    <m/>
    <m/>
    <m/>
    <n v="12"/>
    <n v="1"/>
    <n v="11"/>
    <n v="0"/>
    <n v="0"/>
    <n v="0"/>
    <n v="0"/>
    <n v="0"/>
    <m/>
    <m/>
    <n v="12"/>
    <n v="12"/>
    <x v="0"/>
    <n v="12"/>
    <m/>
    <m/>
    <m/>
    <m/>
    <m/>
    <m/>
    <m/>
    <m/>
    <m/>
    <m/>
    <n v="0"/>
    <m/>
    <s v="Y"/>
    <m/>
    <m/>
    <n v="517752"/>
    <n v="172177"/>
    <x v="5"/>
    <x v="0"/>
    <x v="5"/>
    <x v="1"/>
    <x v="0"/>
    <x v="0"/>
    <m/>
    <m/>
    <m/>
    <x v="1"/>
    <s v="CA7 Ham Common"/>
  </r>
  <r>
    <x v="30"/>
    <x v="0"/>
    <x v="0"/>
    <d v="2018-05-09T00:00:00"/>
    <d v="2021-05-09T00:00:00"/>
    <d v="2019-03-01T00:00:00"/>
    <d v="2021-03-31T00:00:00"/>
    <x v="0"/>
    <x v="0"/>
    <x v="0"/>
    <m/>
    <s v="Demolition of existing garages and construction of a new part subterranean split level part two storey dwelling house, new landscaping to surrounding amenity space."/>
    <x v="30"/>
    <s v="SW13 9JR"/>
    <m/>
    <m/>
    <m/>
    <m/>
    <m/>
    <m/>
    <m/>
    <m/>
    <m/>
    <n v="0"/>
    <x v="0"/>
    <m/>
    <m/>
    <n v="1"/>
    <m/>
    <m/>
    <m/>
    <m/>
    <n v="1"/>
    <n v="0"/>
    <n v="0"/>
    <n v="1"/>
    <n v="0"/>
    <n v="0"/>
    <n v="0"/>
    <n v="0"/>
    <m/>
    <m/>
    <n v="1"/>
    <n v="1"/>
    <x v="1"/>
    <n v="1"/>
    <m/>
    <m/>
    <m/>
    <m/>
    <m/>
    <m/>
    <m/>
    <m/>
    <m/>
    <m/>
    <n v="0"/>
    <m/>
    <m/>
    <m/>
    <m/>
    <n v="522397"/>
    <n v="177790"/>
    <x v="6"/>
    <x v="0"/>
    <x v="6"/>
    <x v="1"/>
    <x v="0"/>
    <x v="0"/>
    <m/>
    <m/>
    <m/>
    <x v="1"/>
    <s v="CA25 Castelnau"/>
  </r>
  <r>
    <x v="31"/>
    <x v="2"/>
    <x v="0"/>
    <d v="2018-06-04T00:00:00"/>
    <d v="2021-06-04T00:00:00"/>
    <d v="2020-01-13T00:00:00"/>
    <d v="2021-02-25T00:00:00"/>
    <x v="0"/>
    <x v="0"/>
    <x v="0"/>
    <m/>
    <s v="Conversion of Second Floor Flat into 2 no. x 1-bedroom Flats"/>
    <x v="31"/>
    <s v="TW9 3NG"/>
    <m/>
    <n v="1"/>
    <m/>
    <m/>
    <m/>
    <m/>
    <m/>
    <m/>
    <m/>
    <n v="1"/>
    <x v="0"/>
    <n v="2"/>
    <m/>
    <m/>
    <m/>
    <m/>
    <m/>
    <m/>
    <n v="2"/>
    <n v="2"/>
    <n v="-1"/>
    <n v="0"/>
    <n v="0"/>
    <n v="0"/>
    <n v="0"/>
    <n v="0"/>
    <m/>
    <m/>
    <n v="1"/>
    <n v="1"/>
    <x v="1"/>
    <n v="1"/>
    <m/>
    <m/>
    <m/>
    <m/>
    <m/>
    <m/>
    <m/>
    <m/>
    <m/>
    <m/>
    <n v="0"/>
    <m/>
    <m/>
    <m/>
    <m/>
    <n v="519061"/>
    <n v="176659"/>
    <x v="7"/>
    <x v="0"/>
    <x v="7"/>
    <x v="1"/>
    <x v="0"/>
    <x v="0"/>
    <m/>
    <m/>
    <m/>
    <x v="1"/>
    <s v="CA15 Kew Gardens Kew"/>
  </r>
  <r>
    <x v="32"/>
    <x v="0"/>
    <x v="0"/>
    <d v="2018-06-21T00:00:00"/>
    <d v="2021-06-21T00:00:00"/>
    <d v="2019-01-13T00:00:00"/>
    <d v="2020-06-17T00:00:00"/>
    <x v="0"/>
    <x v="0"/>
    <x v="0"/>
    <m/>
    <s v="Erection of a 1B2P bungalow with associated hard and soft landscaping and cycle and refuse store.  Creation of dropped kerb to faclitate provision of 1 no. parking space."/>
    <x v="32"/>
    <s v="TW12 1AF"/>
    <m/>
    <m/>
    <m/>
    <m/>
    <m/>
    <m/>
    <m/>
    <m/>
    <m/>
    <n v="0"/>
    <x v="0"/>
    <n v="1"/>
    <m/>
    <m/>
    <m/>
    <m/>
    <m/>
    <m/>
    <n v="1"/>
    <n v="1"/>
    <n v="0"/>
    <n v="0"/>
    <n v="0"/>
    <n v="0"/>
    <n v="0"/>
    <n v="0"/>
    <m/>
    <m/>
    <n v="1"/>
    <n v="1"/>
    <x v="1"/>
    <n v="1"/>
    <m/>
    <m/>
    <m/>
    <m/>
    <m/>
    <m/>
    <m/>
    <m/>
    <m/>
    <m/>
    <n v="0"/>
    <m/>
    <m/>
    <m/>
    <m/>
    <n v="513452"/>
    <n v="171614"/>
    <x v="16"/>
    <x v="0"/>
    <x v="16"/>
    <x v="1"/>
    <x v="0"/>
    <x v="0"/>
    <m/>
    <m/>
    <m/>
    <x v="0"/>
    <m/>
  </r>
  <r>
    <x v="33"/>
    <x v="0"/>
    <x v="0"/>
    <d v="2018-06-27T00:00:00"/>
    <d v="2021-06-27T00:00:00"/>
    <d v="2019-07-15T00:00:00"/>
    <d v="2020-11-30T00:00:00"/>
    <x v="0"/>
    <x v="0"/>
    <x v="0"/>
    <m/>
    <s v="Demolition of the existing two-storey side extension to allow for the provision of a detached two-storey (3 bedroom) dwellinghouse; subdivision of land;  associated car parking, cycle storage, refuse and recycling storage, hard and soft landscaping to bot"/>
    <x v="33"/>
    <s v="TW2 5UL"/>
    <m/>
    <m/>
    <m/>
    <m/>
    <m/>
    <m/>
    <m/>
    <m/>
    <m/>
    <n v="0"/>
    <x v="0"/>
    <m/>
    <m/>
    <n v="1"/>
    <m/>
    <m/>
    <m/>
    <m/>
    <n v="1"/>
    <n v="0"/>
    <n v="0"/>
    <n v="1"/>
    <n v="0"/>
    <n v="0"/>
    <n v="0"/>
    <n v="0"/>
    <m/>
    <m/>
    <n v="1"/>
    <n v="1"/>
    <x v="1"/>
    <n v="1"/>
    <m/>
    <m/>
    <m/>
    <m/>
    <m/>
    <m/>
    <m/>
    <m/>
    <m/>
    <m/>
    <n v="0"/>
    <m/>
    <m/>
    <m/>
    <m/>
    <n v="513875"/>
    <n v="172459"/>
    <x v="11"/>
    <x v="0"/>
    <x v="11"/>
    <x v="1"/>
    <x v="0"/>
    <x v="0"/>
    <m/>
    <m/>
    <m/>
    <x v="0"/>
    <m/>
  </r>
  <r>
    <x v="34"/>
    <x v="4"/>
    <x v="0"/>
    <d v="2018-07-20T00:00:00"/>
    <d v="2021-07-20T00:00:00"/>
    <d v="2019-11-01T00:00:00"/>
    <d v="2020-07-07T00:00:00"/>
    <x v="0"/>
    <x v="0"/>
    <x v="0"/>
    <m/>
    <s v="Erection of a second floor roof extension to create a. two-bed flat with roof terraces"/>
    <x v="34"/>
    <s v="TW11 8ST"/>
    <m/>
    <m/>
    <m/>
    <m/>
    <m/>
    <m/>
    <m/>
    <m/>
    <m/>
    <n v="0"/>
    <x v="0"/>
    <m/>
    <n v="1"/>
    <m/>
    <m/>
    <m/>
    <m/>
    <m/>
    <n v="1"/>
    <n v="0"/>
    <n v="1"/>
    <n v="0"/>
    <n v="0"/>
    <n v="0"/>
    <n v="0"/>
    <n v="0"/>
    <m/>
    <m/>
    <n v="1"/>
    <n v="1"/>
    <x v="1"/>
    <n v="1"/>
    <m/>
    <m/>
    <m/>
    <m/>
    <m/>
    <m/>
    <m/>
    <m/>
    <m/>
    <m/>
    <n v="0"/>
    <m/>
    <m/>
    <m/>
    <m/>
    <n v="515426"/>
    <n v="171451"/>
    <x v="1"/>
    <x v="0"/>
    <x v="1"/>
    <x v="1"/>
    <x v="0"/>
    <x v="0"/>
    <m/>
    <m/>
    <m/>
    <x v="0"/>
    <m/>
  </r>
  <r>
    <x v="35"/>
    <x v="0"/>
    <x v="0"/>
    <d v="2018-08-17T00:00:00"/>
    <d v="2021-08-17T00:00:00"/>
    <d v="2019-08-12T00:00:00"/>
    <d v="2021-03-31T00:00:00"/>
    <x v="0"/>
    <x v="0"/>
    <x v="0"/>
    <m/>
    <s v="Part two-storey rear extensions with two rear gable roofs; part raising of the ridge height; removal of rear chimney; new windows (including removal) and door to the side (south elevation) at ground and first floor level; removal of side windows at ground"/>
    <x v="35"/>
    <s v="TW12 2LP"/>
    <m/>
    <m/>
    <m/>
    <m/>
    <m/>
    <m/>
    <m/>
    <m/>
    <m/>
    <n v="0"/>
    <x v="0"/>
    <m/>
    <m/>
    <m/>
    <n v="1"/>
    <m/>
    <m/>
    <m/>
    <n v="1"/>
    <n v="0"/>
    <n v="0"/>
    <n v="0"/>
    <n v="1"/>
    <n v="0"/>
    <n v="0"/>
    <n v="0"/>
    <m/>
    <m/>
    <n v="1"/>
    <n v="1"/>
    <x v="1"/>
    <n v="1"/>
    <m/>
    <m/>
    <m/>
    <m/>
    <m/>
    <m/>
    <m/>
    <m/>
    <m/>
    <m/>
    <n v="0"/>
    <m/>
    <m/>
    <m/>
    <m/>
    <n v="513446"/>
    <n v="170353"/>
    <x v="15"/>
    <x v="1"/>
    <x v="15"/>
    <x v="1"/>
    <x v="0"/>
    <x v="0"/>
    <m/>
    <m/>
    <m/>
    <x v="0"/>
    <m/>
  </r>
  <r>
    <x v="36"/>
    <x v="3"/>
    <x v="0"/>
    <d v="2018-09-07T00:00:00"/>
    <d v="2021-09-07T00:00:00"/>
    <d v="2018-11-01T00:00:00"/>
    <d v="2020-11-26T00:00:00"/>
    <x v="0"/>
    <x v="0"/>
    <x v="0"/>
    <m/>
    <s v="Replacement window on first floor front elevation to facilitate the conversion of existing 2 bed maisonette into 2 x 1bedroom flats."/>
    <x v="36"/>
    <s v="KT8 9BZ"/>
    <m/>
    <n v="1"/>
    <m/>
    <m/>
    <m/>
    <m/>
    <m/>
    <m/>
    <m/>
    <n v="1"/>
    <x v="0"/>
    <n v="2"/>
    <m/>
    <m/>
    <m/>
    <m/>
    <m/>
    <m/>
    <n v="2"/>
    <n v="2"/>
    <n v="-1"/>
    <n v="0"/>
    <n v="0"/>
    <n v="0"/>
    <n v="0"/>
    <n v="0"/>
    <m/>
    <m/>
    <n v="1"/>
    <n v="1"/>
    <x v="1"/>
    <n v="1"/>
    <m/>
    <m/>
    <m/>
    <m/>
    <m/>
    <m/>
    <m/>
    <m/>
    <m/>
    <m/>
    <n v="0"/>
    <m/>
    <m/>
    <m/>
    <m/>
    <n v="515991"/>
    <n v="168830"/>
    <x v="15"/>
    <x v="0"/>
    <x v="15"/>
    <x v="1"/>
    <x v="0"/>
    <x v="0"/>
    <m/>
    <m/>
    <m/>
    <x v="1"/>
    <s v="CA11 Hampton Court Green"/>
  </r>
  <r>
    <x v="37"/>
    <x v="2"/>
    <x v="0"/>
    <d v="2018-09-13T00:00:00"/>
    <d v="2021-09-13T00:00:00"/>
    <d v="2019-10-01T00:00:00"/>
    <d v="2021-01-21T00:00:00"/>
    <x v="0"/>
    <x v="0"/>
    <x v="0"/>
    <m/>
    <s v="Demolition of the existing coach houses to allow for the erection of two dwellinghouses (1x 2b 4p and 1x 2b 3p) with internal cycle and refuse/recycle storages."/>
    <x v="37"/>
    <s v="TW1 4DN"/>
    <m/>
    <m/>
    <m/>
    <m/>
    <m/>
    <m/>
    <m/>
    <m/>
    <m/>
    <n v="0"/>
    <x v="0"/>
    <m/>
    <n v="2"/>
    <m/>
    <m/>
    <m/>
    <m/>
    <m/>
    <n v="2"/>
    <n v="0"/>
    <n v="2"/>
    <n v="0"/>
    <n v="0"/>
    <n v="0"/>
    <n v="0"/>
    <n v="0"/>
    <m/>
    <m/>
    <n v="2"/>
    <n v="2"/>
    <x v="1"/>
    <n v="2"/>
    <m/>
    <m/>
    <m/>
    <m/>
    <m/>
    <m/>
    <m/>
    <m/>
    <m/>
    <m/>
    <n v="0"/>
    <m/>
    <m/>
    <m/>
    <m/>
    <n v="515790"/>
    <n v="173166"/>
    <x v="14"/>
    <x v="0"/>
    <x v="14"/>
    <x v="0"/>
    <x v="0"/>
    <x v="0"/>
    <m/>
    <m/>
    <m/>
    <x v="0"/>
    <m/>
  </r>
  <r>
    <x v="38"/>
    <x v="1"/>
    <x v="0"/>
    <d v="2018-11-07T00:00:00"/>
    <d v="2021-11-07T00:00:00"/>
    <d v="2018-12-03T00:00:00"/>
    <d v="2020-06-12T00:00:00"/>
    <x v="0"/>
    <x v="0"/>
    <x v="0"/>
    <m/>
    <s v="Replacement shopfront and new entrance door.  New doors/windows to the side and rear elevation of the existing rear extension.   Change of use of the front part of ground floor level from restaurant (Class A3) to retail (Class A1).  First floor rear exten"/>
    <x v="38"/>
    <s v="TW12 1NL"/>
    <n v="3"/>
    <m/>
    <m/>
    <m/>
    <m/>
    <m/>
    <m/>
    <m/>
    <m/>
    <n v="3"/>
    <x v="0"/>
    <m/>
    <n v="3"/>
    <m/>
    <m/>
    <m/>
    <m/>
    <m/>
    <n v="3"/>
    <n v="-3"/>
    <n v="3"/>
    <n v="0"/>
    <n v="0"/>
    <n v="0"/>
    <n v="0"/>
    <n v="0"/>
    <m/>
    <m/>
    <n v="0"/>
    <n v="0"/>
    <x v="1"/>
    <n v="0"/>
    <m/>
    <m/>
    <m/>
    <m/>
    <m/>
    <m/>
    <m/>
    <m/>
    <m/>
    <m/>
    <n v="0"/>
    <m/>
    <m/>
    <m/>
    <m/>
    <n v="514485"/>
    <n v="171271"/>
    <x v="1"/>
    <x v="0"/>
    <x v="1"/>
    <x v="1"/>
    <x v="0"/>
    <x v="1"/>
    <s v="High Street, Hampton Hill"/>
    <m/>
    <m/>
    <x v="1"/>
    <s v="CA38 High Street Hampton Hill"/>
  </r>
  <r>
    <x v="39"/>
    <x v="2"/>
    <x v="0"/>
    <d v="2018-11-13T00:00:00"/>
    <d v="2022-05-30T00:00:00"/>
    <d v="2020-01-13T00:00:00"/>
    <d v="2021-02-25T00:00:00"/>
    <x v="0"/>
    <x v="0"/>
    <x v="0"/>
    <m/>
    <s v="Demolition of existing single-storey rear lean-to extension and formation of new external patio and other external alterations to elevations.  Change of use of rear part of ground floor level from A1(retail) to C3 (residential) to faciliate its conversion"/>
    <x v="39"/>
    <s v="TW9 3NG"/>
    <m/>
    <m/>
    <m/>
    <m/>
    <m/>
    <m/>
    <m/>
    <m/>
    <m/>
    <n v="0"/>
    <x v="0"/>
    <m/>
    <n v="1"/>
    <m/>
    <m/>
    <m/>
    <m/>
    <m/>
    <n v="1"/>
    <n v="0"/>
    <n v="1"/>
    <n v="0"/>
    <n v="0"/>
    <n v="0"/>
    <n v="0"/>
    <n v="0"/>
    <m/>
    <m/>
    <n v="1"/>
    <n v="1"/>
    <x v="1"/>
    <n v="1"/>
    <m/>
    <m/>
    <m/>
    <m/>
    <m/>
    <m/>
    <m/>
    <m/>
    <m/>
    <m/>
    <n v="0"/>
    <m/>
    <m/>
    <m/>
    <m/>
    <n v="519061"/>
    <n v="176662"/>
    <x v="7"/>
    <x v="0"/>
    <x v="7"/>
    <x v="1"/>
    <x v="0"/>
    <x v="0"/>
    <m/>
    <m/>
    <m/>
    <x v="1"/>
    <s v="CA15 Kew Gardens Kew"/>
  </r>
  <r>
    <x v="40"/>
    <x v="0"/>
    <x v="0"/>
    <d v="2018-11-19T00:00:00"/>
    <d v="2021-11-19T00:00:00"/>
    <d v="2019-10-16T00:00:00"/>
    <d v="2021-03-31T00:00:00"/>
    <x v="0"/>
    <x v="0"/>
    <x v="0"/>
    <m/>
    <s v="Demolition of existing building in Use Class B8 (storage and distribution) and change of use of land to C3 (residential) use.  Erection of a part two storey part single storey building to provide 4 bed (4B8P) dwellinghouse with associated parking, hard and soft landscaping, green roof, cycle and refuse stores."/>
    <x v="40"/>
    <s v="TW11 8AP"/>
    <m/>
    <m/>
    <m/>
    <m/>
    <m/>
    <m/>
    <m/>
    <m/>
    <m/>
    <n v="0"/>
    <x v="0"/>
    <m/>
    <m/>
    <m/>
    <n v="1"/>
    <m/>
    <m/>
    <m/>
    <n v="1"/>
    <n v="0"/>
    <n v="0"/>
    <n v="0"/>
    <n v="1"/>
    <n v="0"/>
    <n v="0"/>
    <n v="0"/>
    <m/>
    <m/>
    <n v="1"/>
    <n v="1"/>
    <x v="1"/>
    <n v="1"/>
    <m/>
    <m/>
    <m/>
    <m/>
    <m/>
    <m/>
    <m/>
    <m/>
    <m/>
    <m/>
    <n v="0"/>
    <m/>
    <m/>
    <m/>
    <m/>
    <n v="515803"/>
    <n v="171071"/>
    <x v="13"/>
    <x v="0"/>
    <x v="13"/>
    <x v="1"/>
    <x v="0"/>
    <x v="0"/>
    <m/>
    <m/>
    <m/>
    <x v="0"/>
    <m/>
  </r>
  <r>
    <x v="41"/>
    <x v="3"/>
    <x v="0"/>
    <d v="2018-11-27T00:00:00"/>
    <d v="2021-11-27T00:00:00"/>
    <d v="2020-05-01T00:00:00"/>
    <d v="2021-03-31T00:00:00"/>
    <x v="0"/>
    <x v="0"/>
    <x v="0"/>
    <m/>
    <s v="Change of use of 1st floor from C3 (Residential) use to D1 use (Dental Surgery). Replacement 5 no. windows on second floor front elevation."/>
    <x v="41"/>
    <s v="TW11 8EW"/>
    <n v="1"/>
    <m/>
    <m/>
    <m/>
    <m/>
    <m/>
    <m/>
    <m/>
    <m/>
    <n v="1"/>
    <x v="1"/>
    <m/>
    <m/>
    <m/>
    <m/>
    <m/>
    <m/>
    <m/>
    <n v="0"/>
    <n v="-1"/>
    <n v="0"/>
    <n v="0"/>
    <n v="0"/>
    <n v="0"/>
    <n v="0"/>
    <n v="0"/>
    <m/>
    <m/>
    <n v="-1"/>
    <n v="-1"/>
    <x v="1"/>
    <n v="-1"/>
    <m/>
    <m/>
    <m/>
    <m/>
    <m/>
    <m/>
    <m/>
    <m/>
    <m/>
    <m/>
    <n v="0"/>
    <m/>
    <m/>
    <m/>
    <m/>
    <n v="515922"/>
    <n v="171125"/>
    <x v="13"/>
    <x v="0"/>
    <x v="13"/>
    <x v="4"/>
    <x v="0"/>
    <x v="0"/>
    <m/>
    <m/>
    <m/>
    <x v="1"/>
    <s v="CA37 High Street Teddington"/>
  </r>
  <r>
    <x v="42"/>
    <x v="2"/>
    <x v="0"/>
    <d v="2018-12-20T00:00:00"/>
    <d v="2021-12-20T00:00:00"/>
    <d v="2019-02-01T00:00:00"/>
    <d v="2020-05-04T00:00:00"/>
    <x v="0"/>
    <x v="0"/>
    <x v="0"/>
    <m/>
    <s v="Two-storey rear extension, rear roof extension and conversion of the rear part of the ground floor shop; in connection with the use of the property as a ground floor retail unit, 1x two-bedroom flat and 2 x one-bedroom flats."/>
    <x v="42"/>
    <s v="SW13 9LW"/>
    <n v="2"/>
    <m/>
    <m/>
    <m/>
    <m/>
    <m/>
    <m/>
    <m/>
    <m/>
    <n v="2"/>
    <x v="0"/>
    <n v="2"/>
    <n v="1"/>
    <m/>
    <m/>
    <m/>
    <m/>
    <m/>
    <n v="3"/>
    <n v="0"/>
    <n v="1"/>
    <n v="0"/>
    <n v="0"/>
    <n v="0"/>
    <n v="0"/>
    <n v="0"/>
    <m/>
    <m/>
    <n v="1"/>
    <n v="1"/>
    <x v="1"/>
    <n v="1"/>
    <m/>
    <m/>
    <m/>
    <m/>
    <m/>
    <m/>
    <m/>
    <m/>
    <m/>
    <m/>
    <n v="0"/>
    <m/>
    <m/>
    <m/>
    <m/>
    <n v="521729"/>
    <n v="176389"/>
    <x v="9"/>
    <x v="0"/>
    <x v="9"/>
    <x v="1"/>
    <x v="0"/>
    <x v="1"/>
    <s v="High Street, Barnes"/>
    <m/>
    <m/>
    <x v="1"/>
    <s v="CA1 Barnes Green"/>
  </r>
  <r>
    <x v="43"/>
    <x v="2"/>
    <x v="1"/>
    <d v="2019-01-30T00:00:00"/>
    <d v="2022-01-30T00:00:00"/>
    <d v="2019-08-14T00:00:00"/>
    <d v="2020-09-02T00:00:00"/>
    <x v="0"/>
    <x v="0"/>
    <x v="0"/>
    <m/>
    <s v="Change of use from office (B1) to three residential units (C3), with associated car parking provision."/>
    <x v="43"/>
    <s v="TW9 3BY"/>
    <m/>
    <m/>
    <m/>
    <m/>
    <m/>
    <m/>
    <m/>
    <m/>
    <m/>
    <n v="0"/>
    <x v="0"/>
    <m/>
    <n v="1"/>
    <n v="2"/>
    <m/>
    <m/>
    <m/>
    <m/>
    <n v="3"/>
    <n v="0"/>
    <n v="1"/>
    <n v="2"/>
    <n v="0"/>
    <n v="0"/>
    <n v="0"/>
    <n v="0"/>
    <m/>
    <m/>
    <n v="3"/>
    <n v="3"/>
    <x v="1"/>
    <n v="3"/>
    <m/>
    <m/>
    <m/>
    <m/>
    <m/>
    <m/>
    <m/>
    <m/>
    <m/>
    <m/>
    <n v="0"/>
    <m/>
    <m/>
    <m/>
    <m/>
    <n v="519311"/>
    <n v="177214"/>
    <x v="7"/>
    <x v="0"/>
    <x v="7"/>
    <x v="1"/>
    <x v="0"/>
    <x v="0"/>
    <m/>
    <m/>
    <m/>
    <x v="1"/>
    <s v="CA2 Kew Green"/>
  </r>
  <r>
    <x v="44"/>
    <x v="3"/>
    <x v="0"/>
    <d v="2019-02-18T00:00:00"/>
    <d v="2022-02-18T00:00:00"/>
    <d v="2019-10-01T00:00:00"/>
    <d v="2020-08-13T00:00:00"/>
    <x v="0"/>
    <x v="0"/>
    <x v="0"/>
    <m/>
    <s v="Conversion of first and second floor flat and construction of rear dormer roof extension to provide 4no. (3 x 1B1P and 1 x 2B3P) residential dwellings and other alterations."/>
    <x v="44"/>
    <s v="SW14 8QR"/>
    <m/>
    <n v="2"/>
    <m/>
    <m/>
    <m/>
    <m/>
    <m/>
    <m/>
    <m/>
    <n v="2"/>
    <x v="0"/>
    <n v="3"/>
    <n v="1"/>
    <m/>
    <m/>
    <m/>
    <m/>
    <m/>
    <n v="4"/>
    <n v="3"/>
    <n v="-1"/>
    <n v="0"/>
    <n v="0"/>
    <n v="0"/>
    <n v="0"/>
    <n v="0"/>
    <m/>
    <m/>
    <n v="2"/>
    <n v="2"/>
    <x v="1"/>
    <n v="2"/>
    <m/>
    <m/>
    <m/>
    <m/>
    <m/>
    <m/>
    <m/>
    <m/>
    <m/>
    <m/>
    <n v="0"/>
    <m/>
    <m/>
    <m/>
    <m/>
    <n v="520700"/>
    <n v="175411"/>
    <x v="12"/>
    <x v="0"/>
    <x v="12"/>
    <x v="3"/>
    <x v="0"/>
    <x v="0"/>
    <m/>
    <m/>
    <m/>
    <x v="0"/>
    <m/>
  </r>
  <r>
    <x v="45"/>
    <x v="2"/>
    <x v="1"/>
    <d v="2019-03-06T00:00:00"/>
    <d v="2022-03-06T00:00:00"/>
    <d v="2019-05-13T00:00:00"/>
    <d v="2020-07-02T00:00:00"/>
    <x v="0"/>
    <x v="0"/>
    <x v="0"/>
    <m/>
    <s v="Change of use from B1 (Offices) to C3(a) (Dwellings) (1 x 1 bed)."/>
    <x v="45"/>
    <s v="SW14 8ND"/>
    <m/>
    <m/>
    <m/>
    <m/>
    <m/>
    <m/>
    <m/>
    <m/>
    <m/>
    <n v="0"/>
    <x v="0"/>
    <n v="1"/>
    <m/>
    <m/>
    <m/>
    <m/>
    <m/>
    <m/>
    <n v="1"/>
    <n v="1"/>
    <n v="0"/>
    <n v="0"/>
    <n v="0"/>
    <n v="0"/>
    <n v="0"/>
    <n v="0"/>
    <m/>
    <m/>
    <n v="1"/>
    <n v="1"/>
    <x v="1"/>
    <n v="1"/>
    <m/>
    <m/>
    <m/>
    <m/>
    <m/>
    <m/>
    <m/>
    <m/>
    <m/>
    <m/>
    <n v="0"/>
    <m/>
    <m/>
    <m/>
    <m/>
    <n v="520540"/>
    <n v="175748"/>
    <x v="12"/>
    <x v="0"/>
    <x v="12"/>
    <x v="3"/>
    <x v="0"/>
    <x v="0"/>
    <m/>
    <m/>
    <m/>
    <x v="0"/>
    <m/>
  </r>
  <r>
    <x v="46"/>
    <x v="1"/>
    <x v="0"/>
    <d v="2019-03-06T00:00:00"/>
    <d v="2022-03-07T00:00:00"/>
    <d v="2019-09-02T00:00:00"/>
    <d v="2021-02-10T00:00:00"/>
    <x v="0"/>
    <x v="0"/>
    <x v="0"/>
    <m/>
    <s v="Alterations to no. 117 to include demolition of existing two storey side extension, erection of a single storey rear extension and front porch.  New cycle store to rear. Subdivison of garden plot and demolition of existing garage at no. 117 to facilitate"/>
    <x v="46"/>
    <s v="TW12 1EG"/>
    <m/>
    <m/>
    <m/>
    <n v="1"/>
    <m/>
    <m/>
    <m/>
    <m/>
    <m/>
    <n v="1"/>
    <x v="0"/>
    <m/>
    <n v="1"/>
    <n v="1"/>
    <m/>
    <m/>
    <m/>
    <m/>
    <n v="2"/>
    <n v="0"/>
    <n v="1"/>
    <n v="1"/>
    <n v="-1"/>
    <n v="0"/>
    <n v="0"/>
    <n v="0"/>
    <m/>
    <m/>
    <n v="1"/>
    <n v="1"/>
    <x v="1"/>
    <n v="1"/>
    <m/>
    <m/>
    <m/>
    <m/>
    <m/>
    <m/>
    <m/>
    <m/>
    <m/>
    <m/>
    <n v="0"/>
    <m/>
    <m/>
    <m/>
    <m/>
    <n v="512731"/>
    <n v="171617"/>
    <x v="16"/>
    <x v="0"/>
    <x v="16"/>
    <x v="1"/>
    <x v="0"/>
    <x v="0"/>
    <m/>
    <m/>
    <m/>
    <x v="0"/>
    <m/>
  </r>
  <r>
    <x v="47"/>
    <x v="0"/>
    <x v="0"/>
    <d v="2019-03-08T00:00:00"/>
    <d v="2022-03-08T00:00:00"/>
    <d v="2019-10-01T00:00:00"/>
    <d v="2021-01-25T00:00:00"/>
    <x v="0"/>
    <x v="0"/>
    <x v="0"/>
    <m/>
    <s v="Erection of a pair of semi-detached dwellings with associated access, parking and private amenity space following the demolition of the existing building comprising 2No. maisonettes and associated outbuildings."/>
    <x v="47"/>
    <s v="TW1 2HQ"/>
    <m/>
    <n v="2"/>
    <m/>
    <m/>
    <m/>
    <m/>
    <m/>
    <m/>
    <m/>
    <n v="2"/>
    <x v="0"/>
    <m/>
    <m/>
    <m/>
    <n v="2"/>
    <m/>
    <m/>
    <m/>
    <n v="2"/>
    <n v="0"/>
    <n v="-2"/>
    <n v="0"/>
    <n v="2"/>
    <n v="0"/>
    <n v="0"/>
    <n v="0"/>
    <m/>
    <m/>
    <n v="0"/>
    <n v="0"/>
    <x v="1"/>
    <n v="0"/>
    <m/>
    <m/>
    <m/>
    <m/>
    <m/>
    <m/>
    <m/>
    <m/>
    <m/>
    <m/>
    <n v="0"/>
    <m/>
    <m/>
    <m/>
    <m/>
    <n v="517831"/>
    <n v="174076"/>
    <x v="10"/>
    <x v="0"/>
    <x v="10"/>
    <x v="1"/>
    <x v="0"/>
    <x v="0"/>
    <m/>
    <m/>
    <m/>
    <x v="0"/>
    <m/>
  </r>
  <r>
    <x v="48"/>
    <x v="0"/>
    <x v="0"/>
    <d v="2019-03-22T00:00:00"/>
    <d v="2022-03-22T00:00:00"/>
    <d v="2020-01-29T00:00:00"/>
    <d v="2021-01-08T00:00:00"/>
    <x v="0"/>
    <x v="0"/>
    <x v="0"/>
    <m/>
    <s v="Demolition of an existing dwelling and erection of 2no. two-storey three-bedroom dwelling houses with roof space accommodation  and associated landscaping. Replacement of front boundary wall. Removal of crossover and closure of vehicular access."/>
    <x v="48"/>
    <s v="SW14 7RT"/>
    <m/>
    <n v="1"/>
    <m/>
    <m/>
    <m/>
    <m/>
    <m/>
    <m/>
    <m/>
    <n v="1"/>
    <x v="0"/>
    <m/>
    <m/>
    <n v="2"/>
    <m/>
    <m/>
    <m/>
    <m/>
    <n v="2"/>
    <n v="0"/>
    <n v="-1"/>
    <n v="2"/>
    <n v="0"/>
    <n v="0"/>
    <n v="0"/>
    <n v="0"/>
    <m/>
    <m/>
    <n v="1"/>
    <n v="1"/>
    <x v="1"/>
    <n v="1"/>
    <m/>
    <m/>
    <m/>
    <m/>
    <m/>
    <m/>
    <m/>
    <m/>
    <m/>
    <m/>
    <n v="0"/>
    <m/>
    <m/>
    <m/>
    <m/>
    <n v="519884"/>
    <n v="175023"/>
    <x v="12"/>
    <x v="1"/>
    <x v="12"/>
    <x v="1"/>
    <x v="0"/>
    <x v="0"/>
    <m/>
    <m/>
    <m/>
    <x v="0"/>
    <m/>
  </r>
  <r>
    <x v="49"/>
    <x v="2"/>
    <x v="1"/>
    <d v="2019-05-09T00:00:00"/>
    <d v="2022-05-09T00:00:00"/>
    <d v="2020-02-24T00:00:00"/>
    <d v="2021-01-17T00:00:00"/>
    <x v="0"/>
    <x v="0"/>
    <x v="0"/>
    <m/>
    <s v="Change of use of B1(a) offices on ground floor level to c3 (Residential) to provide 3 x 1 bed self-contained residential apartments."/>
    <x v="49"/>
    <s v="TW2 5RF"/>
    <m/>
    <m/>
    <m/>
    <m/>
    <m/>
    <m/>
    <m/>
    <m/>
    <m/>
    <n v="0"/>
    <x v="0"/>
    <n v="3"/>
    <m/>
    <m/>
    <m/>
    <m/>
    <m/>
    <m/>
    <n v="3"/>
    <n v="3"/>
    <n v="0"/>
    <n v="0"/>
    <n v="0"/>
    <n v="0"/>
    <n v="0"/>
    <n v="0"/>
    <m/>
    <m/>
    <n v="3"/>
    <n v="3"/>
    <x v="1"/>
    <n v="3"/>
    <m/>
    <m/>
    <m/>
    <m/>
    <m/>
    <m/>
    <m/>
    <m/>
    <m/>
    <m/>
    <n v="0"/>
    <m/>
    <m/>
    <m/>
    <m/>
    <n v="515069"/>
    <n v="172813"/>
    <x v="11"/>
    <x v="0"/>
    <x v="11"/>
    <x v="1"/>
    <x v="0"/>
    <x v="0"/>
    <m/>
    <m/>
    <m/>
    <x v="0"/>
    <m/>
  </r>
  <r>
    <x v="50"/>
    <x v="0"/>
    <x v="0"/>
    <d v="2019-05-14T00:00:00"/>
    <d v="2022-05-14T00:00:00"/>
    <d v="2019-10-17T00:00:00"/>
    <d v="2021-02-26T00:00:00"/>
    <x v="0"/>
    <x v="0"/>
    <x v="0"/>
    <m/>
    <s v="Demolition of buildings on site and construction of a 3 storey building fronting Station Road, comprising 254sqm ground floor light industrial use (B1c Use Class) with 7 apartments above (5No. 2B4P flats and 2No. 1B2P flats) and a 2 storey building fronti"/>
    <x v="50"/>
    <s v="TW12 2AL"/>
    <m/>
    <m/>
    <m/>
    <m/>
    <m/>
    <m/>
    <m/>
    <m/>
    <m/>
    <n v="0"/>
    <x v="0"/>
    <n v="2"/>
    <n v="5"/>
    <m/>
    <m/>
    <m/>
    <m/>
    <m/>
    <n v="7"/>
    <n v="2"/>
    <n v="5"/>
    <n v="0"/>
    <n v="0"/>
    <n v="0"/>
    <n v="0"/>
    <n v="0"/>
    <m/>
    <m/>
    <n v="7"/>
    <n v="7"/>
    <x v="1"/>
    <n v="7"/>
    <m/>
    <m/>
    <m/>
    <m/>
    <m/>
    <m/>
    <m/>
    <m/>
    <m/>
    <m/>
    <n v="0"/>
    <m/>
    <m/>
    <m/>
    <m/>
    <n v="513285"/>
    <n v="169757"/>
    <x v="15"/>
    <x v="0"/>
    <x v="15"/>
    <x v="1"/>
    <x v="0"/>
    <x v="1"/>
    <s v="Station Road West, Hampton"/>
    <m/>
    <m/>
    <x v="0"/>
    <m/>
  </r>
  <r>
    <x v="50"/>
    <x v="0"/>
    <x v="0"/>
    <d v="2019-05-14T00:00:00"/>
    <d v="2022-05-14T00:00:00"/>
    <d v="2019-10-17T00:00:00"/>
    <d v="2021-02-26T00:00:00"/>
    <x v="0"/>
    <x v="0"/>
    <x v="0"/>
    <m/>
    <s v="Demolition of buildings on site and construction of a 3 storey building fronting Station Road, comprising 254sqm ground floor light industrial use (B1c Use Class) with 7 apartments above (5No. 2B4P flats and 2No. 1B2P flats) and a 2 storey building fronti"/>
    <x v="50"/>
    <s v="TW12 2AL"/>
    <m/>
    <m/>
    <m/>
    <m/>
    <m/>
    <m/>
    <m/>
    <m/>
    <m/>
    <n v="0"/>
    <x v="0"/>
    <m/>
    <n v="2"/>
    <m/>
    <m/>
    <m/>
    <m/>
    <m/>
    <n v="2"/>
    <n v="0"/>
    <n v="2"/>
    <n v="0"/>
    <n v="0"/>
    <n v="0"/>
    <n v="0"/>
    <n v="0"/>
    <m/>
    <m/>
    <n v="2"/>
    <n v="2"/>
    <x v="1"/>
    <n v="2"/>
    <m/>
    <m/>
    <m/>
    <m/>
    <m/>
    <m/>
    <m/>
    <m/>
    <m/>
    <m/>
    <n v="0"/>
    <m/>
    <m/>
    <m/>
    <m/>
    <n v="513285"/>
    <n v="169757"/>
    <x v="15"/>
    <x v="0"/>
    <x v="15"/>
    <x v="1"/>
    <x v="0"/>
    <x v="1"/>
    <s v="Station Road West, Hampton"/>
    <m/>
    <m/>
    <x v="0"/>
    <m/>
  </r>
  <r>
    <x v="51"/>
    <x v="4"/>
    <x v="0"/>
    <d v="2019-05-28T00:00:00"/>
    <d v="2022-05-28T00:00:00"/>
    <d v="2019-08-07T00:00:00"/>
    <d v="2020-05-12T00:00:00"/>
    <x v="0"/>
    <x v="0"/>
    <x v="0"/>
    <m/>
    <s v="Erection of rear roof extension with roof lights to front roof slope and conversion of first floor flat and new roof space into two self-contained flats."/>
    <x v="51"/>
    <s v="SW14 8AE"/>
    <m/>
    <m/>
    <m/>
    <m/>
    <m/>
    <m/>
    <m/>
    <m/>
    <m/>
    <n v="0"/>
    <x v="0"/>
    <n v="1"/>
    <m/>
    <m/>
    <m/>
    <m/>
    <m/>
    <m/>
    <n v="1"/>
    <n v="1"/>
    <n v="0"/>
    <n v="0"/>
    <n v="0"/>
    <n v="0"/>
    <n v="0"/>
    <n v="0"/>
    <m/>
    <m/>
    <n v="1"/>
    <n v="1"/>
    <x v="1"/>
    <n v="1"/>
    <m/>
    <m/>
    <m/>
    <m/>
    <m/>
    <m/>
    <m/>
    <m/>
    <m/>
    <m/>
    <n v="0"/>
    <m/>
    <m/>
    <m/>
    <m/>
    <n v="520508"/>
    <n v="175448"/>
    <x v="12"/>
    <x v="0"/>
    <x v="12"/>
    <x v="3"/>
    <x v="0"/>
    <x v="0"/>
    <m/>
    <m/>
    <m/>
    <x v="1"/>
    <s v="CA70 Sheen Lane Mortlake"/>
  </r>
  <r>
    <x v="52"/>
    <x v="1"/>
    <x v="0"/>
    <d v="2019-06-03T00:00:00"/>
    <d v="2022-06-04T00:00:00"/>
    <d v="2019-09-23T00:00:00"/>
    <d v="2020-06-04T00:00:00"/>
    <x v="0"/>
    <x v="0"/>
    <x v="0"/>
    <m/>
    <s v="Conversion of ground and first floor store rooms and single-storey extension to form a new maisonette."/>
    <x v="52"/>
    <s v="TW1 1PP"/>
    <m/>
    <m/>
    <m/>
    <m/>
    <m/>
    <m/>
    <m/>
    <m/>
    <m/>
    <n v="0"/>
    <x v="0"/>
    <n v="1"/>
    <m/>
    <m/>
    <m/>
    <m/>
    <m/>
    <m/>
    <n v="1"/>
    <n v="1"/>
    <n v="0"/>
    <n v="0"/>
    <n v="0"/>
    <n v="0"/>
    <n v="0"/>
    <n v="0"/>
    <m/>
    <m/>
    <n v="1"/>
    <n v="1"/>
    <x v="1"/>
    <n v="1"/>
    <m/>
    <m/>
    <m/>
    <m/>
    <m/>
    <m/>
    <m/>
    <m/>
    <m/>
    <m/>
    <n v="0"/>
    <m/>
    <m/>
    <m/>
    <m/>
    <n v="516556"/>
    <n v="175236"/>
    <x v="0"/>
    <x v="0"/>
    <x v="0"/>
    <x v="1"/>
    <x v="0"/>
    <x v="0"/>
    <m/>
    <m/>
    <m/>
    <x v="0"/>
    <m/>
  </r>
  <r>
    <x v="53"/>
    <x v="1"/>
    <x v="0"/>
    <d v="2019-07-03T00:00:00"/>
    <d v="2022-07-03T00:00:00"/>
    <d v="2019-08-24T00:00:00"/>
    <d v="2020-09-16T00:00:00"/>
    <x v="0"/>
    <x v="0"/>
    <x v="0"/>
    <m/>
    <s v="Single-storey extension and conversion of the existing granny annexe to provide a new 1 bedroom, 2 person dwelling with associated new landscaping."/>
    <x v="53"/>
    <s v="TW3 2JG"/>
    <m/>
    <m/>
    <m/>
    <m/>
    <m/>
    <m/>
    <m/>
    <m/>
    <m/>
    <n v="0"/>
    <x v="0"/>
    <n v="1"/>
    <m/>
    <m/>
    <m/>
    <m/>
    <m/>
    <m/>
    <n v="1"/>
    <n v="1"/>
    <n v="0"/>
    <n v="0"/>
    <n v="0"/>
    <n v="0"/>
    <n v="0"/>
    <n v="0"/>
    <m/>
    <m/>
    <n v="1"/>
    <n v="1"/>
    <x v="1"/>
    <n v="1"/>
    <m/>
    <m/>
    <m/>
    <m/>
    <m/>
    <m/>
    <m/>
    <m/>
    <m/>
    <m/>
    <n v="0"/>
    <m/>
    <m/>
    <m/>
    <m/>
    <n v="513733"/>
    <n v="174333"/>
    <x v="17"/>
    <x v="0"/>
    <x v="17"/>
    <x v="1"/>
    <x v="0"/>
    <x v="0"/>
    <m/>
    <m/>
    <m/>
    <x v="0"/>
    <m/>
  </r>
  <r>
    <x v="54"/>
    <x v="0"/>
    <x v="0"/>
    <d v="2019-07-05T00:00:00"/>
    <d v="2022-07-05T00:00:00"/>
    <d v="2020-01-06T00:00:00"/>
    <d v="2020-10-22T00:00:00"/>
    <x v="0"/>
    <x v="0"/>
    <x v="0"/>
    <m/>
    <s v="Demolition of the existing self-contained single-storey detached dwelling and construction of replacement 2 storey dwelling with associated landscaping and boundary treatment alteration."/>
    <x v="54"/>
    <s v="TW2 7JH"/>
    <n v="1"/>
    <m/>
    <m/>
    <m/>
    <m/>
    <m/>
    <m/>
    <m/>
    <m/>
    <n v="1"/>
    <x v="0"/>
    <m/>
    <n v="1"/>
    <m/>
    <m/>
    <m/>
    <m/>
    <m/>
    <n v="1"/>
    <n v="-1"/>
    <n v="1"/>
    <n v="0"/>
    <n v="0"/>
    <n v="0"/>
    <n v="0"/>
    <n v="0"/>
    <m/>
    <m/>
    <n v="0"/>
    <n v="0"/>
    <x v="1"/>
    <n v="0"/>
    <m/>
    <m/>
    <m/>
    <m/>
    <m/>
    <m/>
    <m/>
    <m/>
    <m/>
    <m/>
    <n v="0"/>
    <m/>
    <m/>
    <m/>
    <m/>
    <n v="514120"/>
    <n v="173638"/>
    <x v="17"/>
    <x v="0"/>
    <x v="17"/>
    <x v="1"/>
    <x v="0"/>
    <x v="0"/>
    <m/>
    <m/>
    <m/>
    <x v="0"/>
    <m/>
  </r>
  <r>
    <x v="55"/>
    <x v="2"/>
    <x v="1"/>
    <d v="2019-07-11T00:00:00"/>
    <d v="2022-07-11T00:00:00"/>
    <d v="2019-08-01T00:00:00"/>
    <d v="2020-06-05T00:00:00"/>
    <x v="0"/>
    <x v="0"/>
    <x v="0"/>
    <m/>
    <s v="Change of use of the ground floor unit from A1 (hairdresser) to C3 (residential) to provide a 1 bed flat."/>
    <x v="55"/>
    <s v="TW2 7EX"/>
    <m/>
    <m/>
    <m/>
    <m/>
    <m/>
    <m/>
    <m/>
    <m/>
    <m/>
    <n v="0"/>
    <x v="0"/>
    <n v="1"/>
    <m/>
    <m/>
    <m/>
    <m/>
    <m/>
    <m/>
    <n v="1"/>
    <n v="1"/>
    <n v="0"/>
    <n v="0"/>
    <n v="0"/>
    <n v="0"/>
    <n v="0"/>
    <n v="0"/>
    <m/>
    <m/>
    <n v="1"/>
    <n v="1"/>
    <x v="1"/>
    <n v="1"/>
    <m/>
    <m/>
    <m/>
    <m/>
    <m/>
    <m/>
    <m/>
    <m/>
    <m/>
    <m/>
    <n v="0"/>
    <m/>
    <m/>
    <m/>
    <m/>
    <n v="514126"/>
    <n v="174159"/>
    <x v="17"/>
    <x v="0"/>
    <x v="17"/>
    <x v="1"/>
    <x v="0"/>
    <x v="0"/>
    <m/>
    <m/>
    <m/>
    <x v="0"/>
    <m/>
  </r>
  <r>
    <x v="56"/>
    <x v="2"/>
    <x v="1"/>
    <d v="2019-07-15T00:00:00"/>
    <d v="2022-07-15T00:00:00"/>
    <d v="2020-11-26T00:00:00"/>
    <d v="2021-03-31T00:00:00"/>
    <x v="0"/>
    <x v="0"/>
    <x v="0"/>
    <m/>
    <s v="Change of use from B1(a) (office) to C3 (residential) to provide 1 x 1 bed self-contained residential dwelling."/>
    <x v="56"/>
    <s v="TW11 8SH"/>
    <m/>
    <m/>
    <m/>
    <m/>
    <m/>
    <m/>
    <m/>
    <m/>
    <m/>
    <n v="0"/>
    <x v="0"/>
    <n v="1"/>
    <m/>
    <m/>
    <m/>
    <m/>
    <m/>
    <m/>
    <n v="1"/>
    <n v="1"/>
    <n v="0"/>
    <n v="0"/>
    <n v="0"/>
    <n v="0"/>
    <n v="0"/>
    <n v="0"/>
    <m/>
    <m/>
    <n v="1"/>
    <n v="1"/>
    <x v="1"/>
    <n v="1"/>
    <m/>
    <m/>
    <m/>
    <m/>
    <m/>
    <m/>
    <m/>
    <m/>
    <m/>
    <m/>
    <n v="0"/>
    <m/>
    <m/>
    <m/>
    <m/>
    <n v="515391"/>
    <n v="171652"/>
    <x v="1"/>
    <x v="0"/>
    <x v="1"/>
    <x v="1"/>
    <x v="0"/>
    <x v="0"/>
    <m/>
    <m/>
    <m/>
    <x v="0"/>
    <m/>
  </r>
  <r>
    <x v="57"/>
    <x v="4"/>
    <x v="0"/>
    <d v="2019-07-16T00:00:00"/>
    <d v="2022-07-16T00:00:00"/>
    <d v="2020-06-17T00:00:00"/>
    <d v="2020-09-30T00:00:00"/>
    <x v="0"/>
    <x v="0"/>
    <x v="0"/>
    <m/>
    <s v="Extension of 4-bedroom single family dwelling house and conversion to divide into 2No. 2-bedroom houses."/>
    <x v="57"/>
    <s v="TW2 5LQ"/>
    <m/>
    <m/>
    <m/>
    <n v="1"/>
    <m/>
    <m/>
    <m/>
    <m/>
    <m/>
    <n v="1"/>
    <x v="0"/>
    <m/>
    <n v="2"/>
    <m/>
    <m/>
    <m/>
    <m/>
    <m/>
    <n v="2"/>
    <n v="0"/>
    <n v="2"/>
    <n v="0"/>
    <n v="-1"/>
    <n v="0"/>
    <n v="0"/>
    <n v="0"/>
    <m/>
    <m/>
    <n v="1"/>
    <n v="1"/>
    <x v="1"/>
    <n v="1"/>
    <m/>
    <m/>
    <m/>
    <m/>
    <m/>
    <m/>
    <m/>
    <m/>
    <m/>
    <m/>
    <n v="0"/>
    <m/>
    <m/>
    <m/>
    <m/>
    <n v="514833"/>
    <n v="172367"/>
    <x v="11"/>
    <x v="0"/>
    <x v="11"/>
    <x v="1"/>
    <x v="0"/>
    <x v="0"/>
    <m/>
    <m/>
    <m/>
    <x v="0"/>
    <m/>
  </r>
  <r>
    <x v="58"/>
    <x v="2"/>
    <x v="0"/>
    <d v="2019-07-22T00:00:00"/>
    <d v="2022-07-22T00:00:00"/>
    <d v="2019-10-08T00:00:00"/>
    <d v="2020-07-31T00:00:00"/>
    <x v="0"/>
    <x v="0"/>
    <x v="0"/>
    <m/>
    <s v="Use of rear part of ground floor shop and single storey rear infill extension as extension to existing first floor flat and replacement of external staircase with spiral staircase."/>
    <x v="58"/>
    <s v="SW13 0PZ"/>
    <m/>
    <n v="1"/>
    <m/>
    <m/>
    <m/>
    <m/>
    <m/>
    <m/>
    <m/>
    <n v="1"/>
    <x v="0"/>
    <m/>
    <m/>
    <n v="1"/>
    <m/>
    <m/>
    <m/>
    <m/>
    <n v="1"/>
    <n v="0"/>
    <n v="-1"/>
    <n v="1"/>
    <n v="0"/>
    <n v="0"/>
    <n v="0"/>
    <n v="0"/>
    <m/>
    <m/>
    <n v="0"/>
    <n v="0"/>
    <x v="1"/>
    <n v="0"/>
    <m/>
    <m/>
    <m/>
    <m/>
    <m/>
    <m/>
    <m/>
    <m/>
    <m/>
    <m/>
    <n v="0"/>
    <m/>
    <m/>
    <m/>
    <m/>
    <n v="521312"/>
    <n v="175859"/>
    <x v="9"/>
    <x v="0"/>
    <x v="9"/>
    <x v="1"/>
    <x v="0"/>
    <x v="1"/>
    <s v="White Hart lane, Barnes"/>
    <m/>
    <m/>
    <x v="1"/>
    <s v="CA33 Mortlake"/>
  </r>
  <r>
    <x v="59"/>
    <x v="2"/>
    <x v="1"/>
    <d v="2019-07-26T00:00:00"/>
    <d v="2021-04-03T00:00:00"/>
    <d v="2020-09-01T00:00:00"/>
    <d v="2020-04-21T00:00:00"/>
    <x v="0"/>
    <x v="0"/>
    <x v="0"/>
    <m/>
    <s v="Conversion of basement from B1(a) office to C3 residential to provide 2 x 1 bed self-contained residential flats."/>
    <x v="59"/>
    <s v="TW9 2JW"/>
    <m/>
    <m/>
    <m/>
    <m/>
    <m/>
    <m/>
    <m/>
    <m/>
    <m/>
    <n v="0"/>
    <x v="0"/>
    <n v="2"/>
    <m/>
    <m/>
    <m/>
    <m/>
    <m/>
    <m/>
    <n v="2"/>
    <n v="2"/>
    <n v="0"/>
    <n v="0"/>
    <n v="0"/>
    <n v="0"/>
    <n v="0"/>
    <n v="0"/>
    <m/>
    <m/>
    <n v="2"/>
    <n v="2"/>
    <x v="1"/>
    <n v="2"/>
    <m/>
    <m/>
    <m/>
    <m/>
    <m/>
    <m/>
    <m/>
    <m/>
    <m/>
    <m/>
    <n v="0"/>
    <m/>
    <m/>
    <m/>
    <m/>
    <n v="518741"/>
    <n v="175360"/>
    <x v="4"/>
    <x v="0"/>
    <x v="4"/>
    <x v="1"/>
    <x v="0"/>
    <x v="0"/>
    <m/>
    <m/>
    <m/>
    <x v="0"/>
    <m/>
  </r>
  <r>
    <x v="60"/>
    <x v="3"/>
    <x v="0"/>
    <d v="2019-08-06T00:00:00"/>
    <d v="2022-08-06T00:00:00"/>
    <d v="2020-01-16T00:00:00"/>
    <d v="2020-11-16T00:00:00"/>
    <x v="0"/>
    <x v="0"/>
    <x v="0"/>
    <m/>
    <s v="Create 2 No. flats from existing dwelling . Ground floor 2 bed flat, first &amp; 2nd floor 2 bed flat."/>
    <x v="60"/>
    <s v="SW14 7LY"/>
    <m/>
    <m/>
    <m/>
    <m/>
    <n v="1"/>
    <m/>
    <m/>
    <m/>
    <m/>
    <n v="1"/>
    <x v="0"/>
    <m/>
    <n v="2"/>
    <m/>
    <m/>
    <m/>
    <m/>
    <m/>
    <n v="2"/>
    <n v="0"/>
    <n v="2"/>
    <n v="0"/>
    <n v="0"/>
    <n v="-1"/>
    <n v="0"/>
    <n v="0"/>
    <m/>
    <m/>
    <n v="1"/>
    <n v="1"/>
    <x v="1"/>
    <n v="1"/>
    <m/>
    <m/>
    <m/>
    <m/>
    <m/>
    <m/>
    <m/>
    <m/>
    <m/>
    <m/>
    <n v="0"/>
    <m/>
    <m/>
    <m/>
    <m/>
    <n v="520308"/>
    <n v="175588"/>
    <x v="12"/>
    <x v="0"/>
    <x v="12"/>
    <x v="1"/>
    <x v="0"/>
    <x v="0"/>
    <m/>
    <m/>
    <m/>
    <x v="0"/>
    <m/>
  </r>
  <r>
    <x v="61"/>
    <x v="2"/>
    <x v="0"/>
    <d v="2019-08-12T00:00:00"/>
    <d v="2022-08-12T00:00:00"/>
    <d v="2020-02-03T00:00:00"/>
    <d v="2020-09-30T00:00:00"/>
    <x v="0"/>
    <x v="0"/>
    <x v="0"/>
    <m/>
    <s v="Change of use of ground floor from dental surgery (D1 use class) to 1 no. residential dwelling (C3 use), demolition of side garage, alterations to side extension and fenestration."/>
    <x v="61"/>
    <s v="TW9 3DU"/>
    <m/>
    <m/>
    <m/>
    <m/>
    <m/>
    <m/>
    <m/>
    <m/>
    <m/>
    <n v="0"/>
    <x v="0"/>
    <m/>
    <m/>
    <n v="1"/>
    <m/>
    <m/>
    <m/>
    <m/>
    <n v="1"/>
    <n v="0"/>
    <n v="0"/>
    <n v="1"/>
    <n v="0"/>
    <n v="0"/>
    <n v="0"/>
    <n v="0"/>
    <m/>
    <m/>
    <n v="1"/>
    <n v="1"/>
    <x v="1"/>
    <n v="1"/>
    <m/>
    <m/>
    <m/>
    <m/>
    <m/>
    <m/>
    <m/>
    <m/>
    <m/>
    <m/>
    <n v="0"/>
    <m/>
    <m/>
    <m/>
    <m/>
    <n v="518999"/>
    <n v="177227"/>
    <x v="7"/>
    <x v="0"/>
    <x v="7"/>
    <x v="1"/>
    <x v="0"/>
    <x v="0"/>
    <m/>
    <m/>
    <m/>
    <x v="1"/>
    <s v="CA2 Kew Green"/>
  </r>
  <r>
    <x v="62"/>
    <x v="2"/>
    <x v="0"/>
    <d v="2019-08-13T00:00:00"/>
    <d v="2022-08-13T00:00:00"/>
    <d v="2020-01-28T00:00:00"/>
    <d v="2021-02-02T00:00:00"/>
    <x v="0"/>
    <x v="0"/>
    <x v="0"/>
    <m/>
    <s v="Change of use of first, second and part ground floors from retail and associated storage to a 1 bedroom flat, together with internal alterations and installation of a new door to ground floor side elevation (to front side alleyway)."/>
    <x v="62"/>
    <s v="TW9 1LZ"/>
    <m/>
    <m/>
    <m/>
    <m/>
    <m/>
    <m/>
    <m/>
    <m/>
    <m/>
    <n v="0"/>
    <x v="0"/>
    <n v="1"/>
    <m/>
    <m/>
    <m/>
    <m/>
    <m/>
    <m/>
    <n v="1"/>
    <n v="1"/>
    <n v="0"/>
    <n v="0"/>
    <n v="0"/>
    <n v="0"/>
    <n v="0"/>
    <n v="0"/>
    <m/>
    <m/>
    <n v="1"/>
    <n v="1"/>
    <x v="1"/>
    <n v="1"/>
    <m/>
    <m/>
    <m/>
    <m/>
    <m/>
    <m/>
    <m/>
    <m/>
    <m/>
    <m/>
    <n v="0"/>
    <m/>
    <m/>
    <m/>
    <m/>
    <n v="517726"/>
    <n v="174837"/>
    <x v="3"/>
    <x v="0"/>
    <x v="3"/>
    <x v="2"/>
    <x v="0"/>
    <x v="0"/>
    <m/>
    <m/>
    <m/>
    <x v="1"/>
    <s v="CA3 Richmond Green"/>
  </r>
  <r>
    <x v="63"/>
    <x v="2"/>
    <x v="0"/>
    <d v="2019-08-23T00:00:00"/>
    <d v="2022-08-23T00:00:00"/>
    <d v="2019-11-11T00:00:00"/>
    <d v="2020-10-21T00:00:00"/>
    <x v="0"/>
    <x v="0"/>
    <x v="0"/>
    <m/>
    <s v="Change of use of lower ground floor from retail (A1) to residential (C3) followed by amalgamation of lower ground floor with upper maisonette.  Upper and lower ground floor rear extension, formation of roof terrace, alterations to front entrance, replacem"/>
    <x v="63"/>
    <s v="TW10 6UH"/>
    <m/>
    <m/>
    <m/>
    <n v="1"/>
    <m/>
    <m/>
    <m/>
    <m/>
    <m/>
    <n v="1"/>
    <x v="0"/>
    <m/>
    <m/>
    <m/>
    <m/>
    <n v="1"/>
    <m/>
    <m/>
    <n v="1"/>
    <n v="0"/>
    <n v="0"/>
    <n v="0"/>
    <n v="-1"/>
    <n v="1"/>
    <n v="0"/>
    <n v="0"/>
    <m/>
    <m/>
    <n v="0"/>
    <n v="0"/>
    <x v="1"/>
    <n v="0"/>
    <m/>
    <m/>
    <m/>
    <m/>
    <m/>
    <m/>
    <m/>
    <m/>
    <m/>
    <m/>
    <n v="0"/>
    <m/>
    <m/>
    <m/>
    <m/>
    <n v="517949"/>
    <n v="174356"/>
    <x v="5"/>
    <x v="0"/>
    <x v="5"/>
    <x v="1"/>
    <x v="1"/>
    <x v="0"/>
    <m/>
    <m/>
    <m/>
    <x v="1"/>
    <s v="CA5 Richmond Hill"/>
  </r>
  <r>
    <x v="64"/>
    <x v="4"/>
    <x v="0"/>
    <d v="2019-09-17T00:00:00"/>
    <d v="2022-09-17T00:00:00"/>
    <d v="2020-01-30T00:00:00"/>
    <d v="2021-03-30T00:00:00"/>
    <x v="0"/>
    <x v="0"/>
    <x v="0"/>
    <m/>
    <s v="Demolition of existing single-storey side garage and workroom. Alterations to no. 67 comprising single storey rear extension, replacement roof, rear dormer roof extension and 2 no. rooflight on front roof slope. Erection of a new two-storey 4 bedroom dwel"/>
    <x v="64"/>
    <s v="TW12 1HU"/>
    <m/>
    <m/>
    <m/>
    <m/>
    <m/>
    <m/>
    <m/>
    <m/>
    <m/>
    <n v="0"/>
    <x v="0"/>
    <m/>
    <m/>
    <m/>
    <n v="1"/>
    <m/>
    <m/>
    <m/>
    <n v="1"/>
    <n v="0"/>
    <n v="0"/>
    <n v="0"/>
    <n v="1"/>
    <n v="0"/>
    <n v="0"/>
    <n v="0"/>
    <m/>
    <m/>
    <n v="1"/>
    <n v="1"/>
    <x v="1"/>
    <n v="1"/>
    <m/>
    <m/>
    <m/>
    <m/>
    <m/>
    <m/>
    <m/>
    <m/>
    <m/>
    <m/>
    <n v="0"/>
    <m/>
    <m/>
    <m/>
    <m/>
    <n v="513857"/>
    <n v="171464"/>
    <x v="1"/>
    <x v="1"/>
    <x v="1"/>
    <x v="1"/>
    <x v="0"/>
    <x v="0"/>
    <m/>
    <m/>
    <m/>
    <x v="0"/>
    <m/>
  </r>
  <r>
    <x v="64"/>
    <x v="4"/>
    <x v="0"/>
    <d v="2019-09-17T00:00:00"/>
    <d v="2022-09-17T00:00:00"/>
    <d v="2020-01-30T00:00:00"/>
    <d v="2021-03-30T00:00:00"/>
    <x v="0"/>
    <x v="0"/>
    <x v="0"/>
    <m/>
    <s v="Demolition of existing single-storey side garage and workroom. Alterations to no. 67 comprising single storey rear extension, replacement roof, rear dormer roof extension and 2 no. rooflight on front roof slope. Erection of a new two-storey 4 bedroom dwel"/>
    <x v="64"/>
    <s v="TW12 1HU"/>
    <m/>
    <m/>
    <n v="1"/>
    <m/>
    <m/>
    <m/>
    <m/>
    <m/>
    <m/>
    <n v="1"/>
    <x v="0"/>
    <m/>
    <m/>
    <m/>
    <n v="1"/>
    <m/>
    <m/>
    <m/>
    <n v="1"/>
    <n v="0"/>
    <n v="0"/>
    <n v="-1"/>
    <n v="1"/>
    <n v="0"/>
    <n v="0"/>
    <n v="0"/>
    <m/>
    <m/>
    <n v="0"/>
    <n v="0"/>
    <x v="1"/>
    <n v="0"/>
    <m/>
    <m/>
    <m/>
    <m/>
    <m/>
    <m/>
    <m/>
    <m/>
    <m/>
    <m/>
    <n v="0"/>
    <m/>
    <m/>
    <m/>
    <m/>
    <n v="513857"/>
    <n v="171464"/>
    <x v="1"/>
    <x v="0"/>
    <x v="1"/>
    <x v="1"/>
    <x v="0"/>
    <x v="0"/>
    <m/>
    <m/>
    <m/>
    <x v="0"/>
    <m/>
  </r>
  <r>
    <x v="65"/>
    <x v="2"/>
    <x v="0"/>
    <d v="2019-10-18T00:00:00"/>
    <d v="2022-10-18T00:00:00"/>
    <d v="2020-02-24T00:00:00"/>
    <d v="2021-01-17T00:00:00"/>
    <x v="0"/>
    <x v="0"/>
    <x v="0"/>
    <m/>
    <s v="New rear second floor addition, alterations to the existing roof to facilitate the conversion of 1 bedroom flat into 1 x 2 bed duplex flat with a study and 1 x 2 bed duplex flat.   Formation of an extended car park area to rear comprising 5 car spaces, cy"/>
    <x v="65"/>
    <s v="TW2 5RF"/>
    <m/>
    <m/>
    <n v="1"/>
    <m/>
    <m/>
    <m/>
    <m/>
    <m/>
    <m/>
    <n v="1"/>
    <x v="0"/>
    <m/>
    <n v="2"/>
    <m/>
    <m/>
    <m/>
    <m/>
    <m/>
    <n v="2"/>
    <n v="0"/>
    <n v="2"/>
    <n v="-1"/>
    <n v="0"/>
    <n v="0"/>
    <n v="0"/>
    <n v="0"/>
    <m/>
    <m/>
    <n v="1"/>
    <n v="1"/>
    <x v="1"/>
    <n v="1"/>
    <m/>
    <m/>
    <m/>
    <m/>
    <m/>
    <m/>
    <m/>
    <m/>
    <m/>
    <m/>
    <n v="0"/>
    <m/>
    <m/>
    <m/>
    <m/>
    <n v="515069"/>
    <n v="172813"/>
    <x v="11"/>
    <x v="0"/>
    <x v="11"/>
    <x v="1"/>
    <x v="0"/>
    <x v="0"/>
    <m/>
    <m/>
    <m/>
    <x v="0"/>
    <m/>
  </r>
  <r>
    <x v="66"/>
    <x v="3"/>
    <x v="0"/>
    <d v="2019-10-22T00:00:00"/>
    <d v="2022-10-22T00:00:00"/>
    <d v="2020-02-01T00:00:00"/>
    <d v="2020-06-15T00:00:00"/>
    <x v="0"/>
    <x v="0"/>
    <x v="0"/>
    <m/>
    <s v="Application for the conversion of apartments 18 and 19 to form 1no. four bedroom apartment at sixth floor level in block B2."/>
    <x v="66"/>
    <s v="TW11 9BE"/>
    <m/>
    <m/>
    <n v="2"/>
    <m/>
    <m/>
    <m/>
    <m/>
    <m/>
    <m/>
    <n v="2"/>
    <x v="0"/>
    <m/>
    <m/>
    <m/>
    <n v="1"/>
    <m/>
    <m/>
    <m/>
    <n v="1"/>
    <n v="0"/>
    <n v="0"/>
    <n v="-2"/>
    <n v="1"/>
    <n v="0"/>
    <n v="0"/>
    <n v="0"/>
    <m/>
    <m/>
    <n v="-1"/>
    <n v="-1"/>
    <x v="1"/>
    <n v="-1"/>
    <m/>
    <m/>
    <m/>
    <m/>
    <m/>
    <m/>
    <m/>
    <m/>
    <m/>
    <m/>
    <n v="0"/>
    <m/>
    <m/>
    <m/>
    <m/>
    <n v="516802"/>
    <n v="171333"/>
    <x v="13"/>
    <x v="0"/>
    <x v="13"/>
    <x v="1"/>
    <x v="1"/>
    <x v="0"/>
    <m/>
    <m/>
    <m/>
    <x v="0"/>
    <m/>
  </r>
  <r>
    <x v="67"/>
    <x v="3"/>
    <x v="0"/>
    <d v="2019-11-11T00:00:00"/>
    <d v="2022-11-11T00:00:00"/>
    <d v="2019-11-18T00:00:00"/>
    <d v="2021-01-13T00:00:00"/>
    <x v="0"/>
    <x v="0"/>
    <x v="0"/>
    <m/>
    <s v="Externals working comprising proposed full width rear extension across the lower and upper ground floors with lowering of garden levels to create a new terrace area to the rear, creation of a lightwell on the front elevation for access to new pair of Fren"/>
    <x v="67"/>
    <s v="TW10 6JR"/>
    <n v="1"/>
    <m/>
    <m/>
    <m/>
    <m/>
    <n v="1"/>
    <m/>
    <m/>
    <m/>
    <n v="2"/>
    <x v="0"/>
    <m/>
    <m/>
    <m/>
    <m/>
    <m/>
    <n v="1"/>
    <m/>
    <n v="1"/>
    <n v="-1"/>
    <n v="0"/>
    <n v="0"/>
    <n v="0"/>
    <n v="0"/>
    <n v="0"/>
    <n v="0"/>
    <m/>
    <m/>
    <n v="-1"/>
    <n v="-1"/>
    <x v="1"/>
    <n v="-1"/>
    <m/>
    <m/>
    <m/>
    <m/>
    <m/>
    <m/>
    <m/>
    <m/>
    <m/>
    <m/>
    <n v="0"/>
    <m/>
    <m/>
    <m/>
    <m/>
    <n v="518508"/>
    <n v="174268"/>
    <x v="3"/>
    <x v="0"/>
    <x v="3"/>
    <x v="1"/>
    <x v="0"/>
    <x v="0"/>
    <m/>
    <m/>
    <m/>
    <x v="1"/>
    <s v="CA30 St Matthias Richmond"/>
  </r>
  <r>
    <x v="68"/>
    <x v="1"/>
    <x v="0"/>
    <d v="2019-12-12T00:00:00"/>
    <d v="2022-12-12T00:00:00"/>
    <d v="2020-03-30T00:00:00"/>
    <d v="2020-06-26T00:00:00"/>
    <x v="0"/>
    <x v="1"/>
    <x v="0"/>
    <m/>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x v="68"/>
    <s v="KT1"/>
    <m/>
    <m/>
    <m/>
    <m/>
    <m/>
    <m/>
    <m/>
    <m/>
    <m/>
    <n v="0"/>
    <x v="2"/>
    <n v="10"/>
    <m/>
    <m/>
    <m/>
    <m/>
    <m/>
    <m/>
    <n v="10"/>
    <n v="10"/>
    <n v="0"/>
    <n v="0"/>
    <n v="0"/>
    <n v="0"/>
    <n v="0"/>
    <n v="0"/>
    <m/>
    <m/>
    <n v="10"/>
    <n v="10"/>
    <x v="0"/>
    <n v="10"/>
    <m/>
    <m/>
    <m/>
    <m/>
    <m/>
    <m/>
    <m/>
    <m/>
    <m/>
    <m/>
    <n v="0"/>
    <m/>
    <m/>
    <m/>
    <m/>
    <n v="517598"/>
    <n v="169722"/>
    <x v="8"/>
    <x v="0"/>
    <x v="8"/>
    <x v="1"/>
    <x v="0"/>
    <x v="0"/>
    <m/>
    <m/>
    <m/>
    <x v="1"/>
    <s v="CA18 Hampton Wick"/>
  </r>
  <r>
    <x v="69"/>
    <x v="2"/>
    <x v="1"/>
    <d v="2020-02-14T00:00:00"/>
    <d v="2020-06-30T00:00:00"/>
    <d v="2020-03-02T00:00:00"/>
    <d v="2020-10-06T00:00:00"/>
    <x v="0"/>
    <x v="0"/>
    <x v="0"/>
    <m/>
    <s v="Change of use from office (B1A )to residential  (C3) to create 2x 1 bedroom flats"/>
    <x v="69"/>
    <s v="TW7 7HH"/>
    <m/>
    <m/>
    <m/>
    <m/>
    <m/>
    <m/>
    <m/>
    <m/>
    <m/>
    <n v="0"/>
    <x v="0"/>
    <n v="2"/>
    <m/>
    <m/>
    <m/>
    <m/>
    <m/>
    <m/>
    <n v="2"/>
    <n v="2"/>
    <n v="0"/>
    <n v="0"/>
    <n v="0"/>
    <n v="0"/>
    <n v="0"/>
    <n v="0"/>
    <m/>
    <m/>
    <n v="2"/>
    <n v="2"/>
    <x v="1"/>
    <n v="2"/>
    <m/>
    <m/>
    <m/>
    <m/>
    <m/>
    <m/>
    <m/>
    <m/>
    <m/>
    <m/>
    <n v="0"/>
    <m/>
    <m/>
    <m/>
    <m/>
    <n v="516541"/>
    <n v="175254"/>
    <x v="0"/>
    <x v="0"/>
    <x v="0"/>
    <x v="1"/>
    <x v="0"/>
    <x v="0"/>
    <m/>
    <m/>
    <m/>
    <x v="0"/>
    <m/>
  </r>
  <r>
    <x v="70"/>
    <x v="3"/>
    <x v="0"/>
    <d v="2020-06-30T00:00:00"/>
    <d v="2020-06-30T00:00:00"/>
    <d v="2020-06-30T00:00:00"/>
    <d v="2020-06-30T00:00:00"/>
    <x v="0"/>
    <x v="0"/>
    <x v="0"/>
    <m/>
    <s v="Proposed change of use from C3 (Single-family dwelling) to C4 (Small HMO)"/>
    <x v="70"/>
    <s v="TW2 7PU"/>
    <m/>
    <m/>
    <m/>
    <n v="1"/>
    <m/>
    <m/>
    <m/>
    <m/>
    <m/>
    <n v="1"/>
    <x v="0"/>
    <m/>
    <m/>
    <m/>
    <m/>
    <n v="0"/>
    <m/>
    <m/>
    <n v="0"/>
    <n v="0"/>
    <n v="0"/>
    <n v="0"/>
    <n v="-1"/>
    <n v="0"/>
    <n v="0"/>
    <n v="0"/>
    <m/>
    <m/>
    <n v="-1"/>
    <n v="-1"/>
    <x v="1"/>
    <n v="-1"/>
    <m/>
    <m/>
    <m/>
    <m/>
    <m/>
    <m/>
    <m/>
    <m/>
    <m/>
    <m/>
    <n v="0"/>
    <m/>
    <m/>
    <m/>
    <s v="Y"/>
    <n v="514974"/>
    <n v="173441"/>
    <x v="17"/>
    <x v="0"/>
    <x v="17"/>
    <x v="1"/>
    <x v="0"/>
    <x v="0"/>
    <m/>
    <m/>
    <m/>
    <x v="1"/>
    <s v="CA46 Rosecroft Gardens Whitton"/>
  </r>
  <r>
    <x v="71"/>
    <x v="3"/>
    <x v="0"/>
    <d v="2020-07-16T00:00:00"/>
    <d v="2023-07-16T00:00:00"/>
    <d v="2020-07-16T00:00:00"/>
    <d v="2020-07-16T00:00:00"/>
    <x v="0"/>
    <x v="0"/>
    <x v="0"/>
    <m/>
    <s v="Enlargement of lightwell at lower ground floor level.  Single storey rear extension with railing above to facilitate roof to be used as roof terrace and replacement steps with railings to garden; new doors to rear on upper ground floor level; refurbishmen"/>
    <x v="71"/>
    <s v="TW9 1YS"/>
    <n v="2"/>
    <n v="1"/>
    <m/>
    <m/>
    <m/>
    <m/>
    <m/>
    <m/>
    <m/>
    <n v="3"/>
    <x v="0"/>
    <m/>
    <m/>
    <m/>
    <n v="1"/>
    <m/>
    <m/>
    <m/>
    <n v="1"/>
    <n v="-2"/>
    <n v="-1"/>
    <n v="0"/>
    <n v="1"/>
    <n v="0"/>
    <n v="0"/>
    <n v="0"/>
    <m/>
    <m/>
    <n v="-2"/>
    <n v="-2"/>
    <x v="1"/>
    <n v="-2"/>
    <m/>
    <m/>
    <m/>
    <m/>
    <m/>
    <m/>
    <m/>
    <m/>
    <m/>
    <m/>
    <n v="0"/>
    <m/>
    <m/>
    <m/>
    <m/>
    <n v="518716"/>
    <n v="175042"/>
    <x v="3"/>
    <x v="0"/>
    <x v="3"/>
    <x v="1"/>
    <x v="0"/>
    <x v="0"/>
    <m/>
    <m/>
    <m/>
    <x v="1"/>
    <s v="CA31 Sheen Road Richmond"/>
  </r>
  <r>
    <x v="72"/>
    <x v="3"/>
    <x v="0"/>
    <d v="2020-08-11T00:00:00"/>
    <d v="2023-08-11T00:00:00"/>
    <d v="2020-08-11T00:00:00"/>
    <d v="2020-08-21T00:00:00"/>
    <x v="0"/>
    <x v="0"/>
    <x v="0"/>
    <m/>
    <s v="Conversion (change of use) of upper floors (First and Second) from Single 6 Bed Flat to one 1Bed Flat and one 2 Bed Flat."/>
    <x v="72"/>
    <s v="SW14 8AG"/>
    <m/>
    <m/>
    <m/>
    <m/>
    <m/>
    <n v="1"/>
    <m/>
    <m/>
    <m/>
    <n v="1"/>
    <x v="0"/>
    <n v="1"/>
    <n v="1"/>
    <m/>
    <m/>
    <m/>
    <m/>
    <m/>
    <n v="2"/>
    <n v="1"/>
    <n v="1"/>
    <n v="0"/>
    <n v="0"/>
    <n v="0"/>
    <n v="-1"/>
    <n v="0"/>
    <m/>
    <m/>
    <n v="1"/>
    <n v="1"/>
    <x v="1"/>
    <n v="1"/>
    <m/>
    <m/>
    <m/>
    <m/>
    <m/>
    <m/>
    <m/>
    <m/>
    <m/>
    <m/>
    <n v="0"/>
    <m/>
    <m/>
    <m/>
    <m/>
    <n v="520518"/>
    <n v="175422"/>
    <x v="12"/>
    <x v="0"/>
    <x v="12"/>
    <x v="3"/>
    <x v="0"/>
    <x v="0"/>
    <m/>
    <m/>
    <m/>
    <x v="1"/>
    <s v="CA70 Sheen Lane Mortlake"/>
  </r>
  <r>
    <x v="73"/>
    <x v="2"/>
    <x v="0"/>
    <d v="2020-09-02T00:00:00"/>
    <d v="2020-09-02T00:00:00"/>
    <d v="2020-09-02T00:00:00"/>
    <d v="2020-09-02T00:00:00"/>
    <x v="0"/>
    <x v="0"/>
    <x v="0"/>
    <m/>
    <s v="Use of the property as a single dwellinghouse"/>
    <x v="73"/>
    <s v="SW14 8LH"/>
    <m/>
    <n v="1"/>
    <m/>
    <m/>
    <m/>
    <m/>
    <m/>
    <m/>
    <m/>
    <n v="1"/>
    <x v="0"/>
    <m/>
    <m/>
    <n v="1"/>
    <m/>
    <m/>
    <m/>
    <m/>
    <n v="1"/>
    <n v="0"/>
    <n v="-1"/>
    <n v="1"/>
    <n v="0"/>
    <n v="0"/>
    <n v="0"/>
    <n v="0"/>
    <m/>
    <m/>
    <n v="0"/>
    <n v="0"/>
    <x v="1"/>
    <n v="0"/>
    <m/>
    <m/>
    <m/>
    <m/>
    <m/>
    <m/>
    <m/>
    <m/>
    <m/>
    <m/>
    <n v="0"/>
    <m/>
    <m/>
    <m/>
    <m/>
    <n v="520460"/>
    <n v="175649"/>
    <x v="12"/>
    <x v="0"/>
    <x v="12"/>
    <x v="3"/>
    <x v="0"/>
    <x v="0"/>
    <m/>
    <m/>
    <m/>
    <x v="1"/>
    <s v="CA70 Sheen Lane Mortlake"/>
  </r>
  <r>
    <x v="74"/>
    <x v="2"/>
    <x v="0"/>
    <d v="2020-09-03T00:00:00"/>
    <d v="2020-09-03T00:00:00"/>
    <d v="2020-09-03T00:00:00"/>
    <d v="2020-09-03T00:00:00"/>
    <x v="0"/>
    <x v="0"/>
    <x v="0"/>
    <m/>
    <s v="Establish use of property as residential dwellinghouse."/>
    <x v="74"/>
    <s v="SW13 9RX"/>
    <m/>
    <m/>
    <m/>
    <m/>
    <m/>
    <m/>
    <m/>
    <m/>
    <m/>
    <n v="0"/>
    <x v="1"/>
    <n v="1"/>
    <m/>
    <m/>
    <m/>
    <m/>
    <m/>
    <m/>
    <n v="1"/>
    <n v="1"/>
    <n v="0"/>
    <n v="0"/>
    <n v="0"/>
    <n v="0"/>
    <n v="0"/>
    <n v="0"/>
    <m/>
    <m/>
    <n v="1"/>
    <n v="1"/>
    <x v="1"/>
    <n v="1"/>
    <m/>
    <m/>
    <m/>
    <m/>
    <m/>
    <m/>
    <m/>
    <m/>
    <m/>
    <m/>
    <n v="0"/>
    <m/>
    <m/>
    <m/>
    <m/>
    <n v="522340"/>
    <n v="176708"/>
    <x v="6"/>
    <x v="0"/>
    <x v="6"/>
    <x v="1"/>
    <x v="0"/>
    <x v="0"/>
    <m/>
    <m/>
    <m/>
    <x v="1"/>
    <s v="CA25 Castelnau"/>
  </r>
  <r>
    <x v="75"/>
    <x v="2"/>
    <x v="0"/>
    <d v="2020-09-04T00:00:00"/>
    <d v="2023-09-04T00:00:00"/>
    <d v="2020-09-04T00:00:00"/>
    <d v="2020-12-01T00:00:00"/>
    <x v="0"/>
    <x v="0"/>
    <x v="0"/>
    <m/>
    <s v="Conversion of the Customer Care Office at Level C of the building into a studio apartment."/>
    <x v="75"/>
    <s v="TW10 6BF"/>
    <m/>
    <m/>
    <m/>
    <m/>
    <m/>
    <m/>
    <m/>
    <m/>
    <m/>
    <n v="0"/>
    <x v="0"/>
    <n v="1"/>
    <m/>
    <m/>
    <m/>
    <m/>
    <m/>
    <m/>
    <n v="1"/>
    <n v="1"/>
    <n v="0"/>
    <n v="0"/>
    <n v="0"/>
    <n v="0"/>
    <n v="0"/>
    <n v="0"/>
    <m/>
    <m/>
    <n v="1"/>
    <n v="1"/>
    <x v="1"/>
    <n v="1"/>
    <m/>
    <m/>
    <m/>
    <m/>
    <m/>
    <m/>
    <m/>
    <m/>
    <m/>
    <m/>
    <n v="0"/>
    <m/>
    <m/>
    <m/>
    <m/>
    <n v="518424"/>
    <n v="173759"/>
    <x v="5"/>
    <x v="0"/>
    <x v="5"/>
    <x v="1"/>
    <x v="1"/>
    <x v="0"/>
    <m/>
    <m/>
    <m/>
    <x v="1"/>
    <s v="CA5 Richmond Hill"/>
  </r>
  <r>
    <x v="76"/>
    <x v="3"/>
    <x v="0"/>
    <d v="2020-09-24T00:00:00"/>
    <d v="2023-09-24T00:00:00"/>
    <d v="2020-12-01T00:00:00"/>
    <d v="2021-01-22T00:00:00"/>
    <x v="0"/>
    <x v="0"/>
    <x v="0"/>
    <m/>
    <s v="Change of use from 3 flats (2 x 1 bedroom, 1 x 2 bedroom) to a single family dwelling."/>
    <x v="76"/>
    <s v="TW1 1LU"/>
    <n v="2"/>
    <n v="1"/>
    <m/>
    <m/>
    <m/>
    <m/>
    <m/>
    <m/>
    <m/>
    <n v="3"/>
    <x v="0"/>
    <m/>
    <m/>
    <m/>
    <m/>
    <n v="1"/>
    <m/>
    <m/>
    <n v="1"/>
    <n v="-2"/>
    <n v="-1"/>
    <n v="0"/>
    <n v="0"/>
    <n v="1"/>
    <n v="0"/>
    <n v="0"/>
    <m/>
    <m/>
    <n v="-2"/>
    <n v="-2"/>
    <x v="1"/>
    <n v="-2"/>
    <m/>
    <m/>
    <m/>
    <m/>
    <m/>
    <m/>
    <m/>
    <m/>
    <m/>
    <m/>
    <n v="0"/>
    <m/>
    <m/>
    <m/>
    <m/>
    <n v="516602"/>
    <n v="174585"/>
    <x v="0"/>
    <x v="0"/>
    <x v="0"/>
    <x v="1"/>
    <x v="0"/>
    <x v="0"/>
    <m/>
    <m/>
    <m/>
    <x v="1"/>
    <s v="CA19 St Margarets"/>
  </r>
  <r>
    <x v="77"/>
    <x v="2"/>
    <x v="0"/>
    <d v="2020-10-16T00:00:00"/>
    <d v="2023-10-16T00:00:00"/>
    <d v="2019-03-01T00:00:00"/>
    <d v="2020-11-02T00:00:00"/>
    <x v="0"/>
    <x v="0"/>
    <x v="0"/>
    <m/>
    <s v="Alterations to the existing shopfront and reduction to ground floor floorspace to facilitate C3 (residential) M4 (2) 'accessible and adaptable dwelling' 2 bed flat at ground floor level. C3 (Residential) Use at part ground level and first floor level. Rep"/>
    <x v="77"/>
    <s v="TW12 1NH"/>
    <m/>
    <m/>
    <m/>
    <m/>
    <m/>
    <m/>
    <m/>
    <m/>
    <m/>
    <n v="0"/>
    <x v="0"/>
    <m/>
    <n v="3"/>
    <m/>
    <m/>
    <m/>
    <m/>
    <m/>
    <n v="3"/>
    <n v="0"/>
    <n v="3"/>
    <n v="0"/>
    <n v="0"/>
    <n v="0"/>
    <n v="0"/>
    <n v="0"/>
    <m/>
    <m/>
    <n v="3"/>
    <n v="3"/>
    <x v="1"/>
    <n v="3"/>
    <m/>
    <m/>
    <m/>
    <m/>
    <m/>
    <m/>
    <m/>
    <m/>
    <m/>
    <m/>
    <n v="0"/>
    <m/>
    <m/>
    <m/>
    <m/>
    <n v="514273"/>
    <n v="170844"/>
    <x v="1"/>
    <x v="0"/>
    <x v="1"/>
    <x v="1"/>
    <x v="0"/>
    <x v="1"/>
    <s v="High Street, Hampton Hill"/>
    <m/>
    <m/>
    <x v="1"/>
    <s v="CA38 High Street Hampton Hill"/>
  </r>
  <r>
    <x v="78"/>
    <x v="2"/>
    <x v="0"/>
    <d v="2020-12-18T00:00:00"/>
    <d v="2020-12-18T00:00:00"/>
    <d v="2020-12-18T00:00:00"/>
    <d v="2020-12-18T00:00:00"/>
    <x v="0"/>
    <x v="0"/>
    <x v="0"/>
    <m/>
    <s v="Use of the property as a single dwellinghouse"/>
    <x v="78"/>
    <s v="SW14 8LH"/>
    <m/>
    <n v="1"/>
    <m/>
    <m/>
    <m/>
    <m/>
    <m/>
    <m/>
    <m/>
    <n v="1"/>
    <x v="0"/>
    <m/>
    <m/>
    <n v="1"/>
    <m/>
    <m/>
    <m/>
    <m/>
    <n v="1"/>
    <n v="0"/>
    <n v="-1"/>
    <n v="1"/>
    <n v="0"/>
    <n v="0"/>
    <n v="0"/>
    <n v="0"/>
    <m/>
    <m/>
    <n v="0"/>
    <n v="0"/>
    <x v="1"/>
    <n v="0"/>
    <m/>
    <m/>
    <m/>
    <m/>
    <m/>
    <m/>
    <m/>
    <m/>
    <m/>
    <m/>
    <n v="0"/>
    <m/>
    <m/>
    <m/>
    <m/>
    <n v="520436"/>
    <n v="175651"/>
    <x v="12"/>
    <x v="0"/>
    <x v="12"/>
    <x v="3"/>
    <x v="0"/>
    <x v="0"/>
    <m/>
    <m/>
    <m/>
    <x v="0"/>
    <m/>
  </r>
  <r>
    <x v="79"/>
    <x v="2"/>
    <x v="0"/>
    <d v="2021-02-03T00:00:00"/>
    <d v="2024-02-03T00:00:00"/>
    <d v="2021-02-03T00:00:00"/>
    <d v="2021-03-31T00:00:00"/>
    <x v="0"/>
    <x v="0"/>
    <x v="0"/>
    <m/>
    <s v="Change of use of C4 (House in Multiple Occupation) to C3 (dwellinghouse)."/>
    <x v="79"/>
    <s v="SW13 0EA"/>
    <m/>
    <m/>
    <m/>
    <m/>
    <m/>
    <m/>
    <m/>
    <m/>
    <m/>
    <n v="0"/>
    <x v="0"/>
    <m/>
    <m/>
    <m/>
    <m/>
    <n v="1"/>
    <m/>
    <m/>
    <n v="1"/>
    <n v="0"/>
    <n v="0"/>
    <n v="0"/>
    <n v="0"/>
    <n v="1"/>
    <n v="0"/>
    <n v="0"/>
    <m/>
    <m/>
    <n v="1"/>
    <n v="1"/>
    <x v="1"/>
    <n v="1"/>
    <m/>
    <m/>
    <m/>
    <m/>
    <m/>
    <m/>
    <m/>
    <m/>
    <m/>
    <m/>
    <n v="0"/>
    <m/>
    <m/>
    <m/>
    <m/>
    <n v="522171"/>
    <n v="176288"/>
    <x v="9"/>
    <x v="0"/>
    <x v="9"/>
    <x v="1"/>
    <x v="0"/>
    <x v="0"/>
    <m/>
    <m/>
    <m/>
    <x v="1"/>
    <s v="CA32 Barnes Common"/>
  </r>
  <r>
    <x v="80"/>
    <x v="3"/>
    <x v="0"/>
    <d v="2021-03-15T00:00:00"/>
    <d v="2021-03-15T00:00:00"/>
    <d v="2021-03-15T00:00:00"/>
    <d v="2021-03-15T00:00:00"/>
    <x v="0"/>
    <x v="0"/>
    <x v="0"/>
    <m/>
    <s v="Use as a self-contained residential flat."/>
    <x v="80"/>
    <s v="TW1 4PQ"/>
    <m/>
    <m/>
    <m/>
    <m/>
    <m/>
    <m/>
    <m/>
    <m/>
    <m/>
    <n v="0"/>
    <x v="0"/>
    <n v="1"/>
    <m/>
    <m/>
    <m/>
    <m/>
    <m/>
    <m/>
    <n v="1"/>
    <n v="1"/>
    <n v="0"/>
    <n v="0"/>
    <n v="0"/>
    <n v="0"/>
    <n v="0"/>
    <n v="0"/>
    <m/>
    <m/>
    <n v="1"/>
    <n v="1"/>
    <x v="1"/>
    <n v="1"/>
    <m/>
    <m/>
    <m/>
    <m/>
    <m/>
    <m/>
    <m/>
    <m/>
    <m/>
    <m/>
    <n v="0"/>
    <m/>
    <m/>
    <m/>
    <m/>
    <n v="515672"/>
    <n v="172427"/>
    <x v="14"/>
    <x v="0"/>
    <x v="14"/>
    <x v="1"/>
    <x v="0"/>
    <x v="0"/>
    <m/>
    <m/>
    <m/>
    <x v="1"/>
    <s v="CA43 Strawberry Hill Road"/>
  </r>
  <r>
    <x v="81"/>
    <x v="3"/>
    <x v="0"/>
    <d v="2021-03-29T00:00:00"/>
    <d v="2021-03-29T00:00:00"/>
    <d v="2021-03-29T00:00:00"/>
    <d v="2021-03-29T00:00:00"/>
    <x v="0"/>
    <x v="0"/>
    <x v="0"/>
    <m/>
    <s v="To establish the use of the building as 2 self-contained flats"/>
    <x v="81"/>
    <s v="SW14 8RS"/>
    <m/>
    <m/>
    <n v="3"/>
    <m/>
    <m/>
    <m/>
    <m/>
    <m/>
    <m/>
    <n v="3"/>
    <x v="0"/>
    <m/>
    <m/>
    <n v="1"/>
    <n v="1"/>
    <m/>
    <m/>
    <m/>
    <n v="2"/>
    <n v="0"/>
    <n v="0"/>
    <n v="-2"/>
    <n v="1"/>
    <n v="0"/>
    <n v="0"/>
    <n v="0"/>
    <m/>
    <m/>
    <n v="-1"/>
    <n v="-1"/>
    <x v="1"/>
    <n v="-1"/>
    <m/>
    <m/>
    <m/>
    <m/>
    <m/>
    <m/>
    <m/>
    <m/>
    <m/>
    <m/>
    <n v="0"/>
    <m/>
    <m/>
    <m/>
    <m/>
    <n v="520454"/>
    <n v="174898"/>
    <x v="12"/>
    <x v="0"/>
    <x v="12"/>
    <x v="1"/>
    <x v="0"/>
    <x v="0"/>
    <m/>
    <m/>
    <m/>
    <x v="1"/>
    <s v="CA64 Sheen Lane East Sheen"/>
  </r>
  <r>
    <x v="82"/>
    <x v="0"/>
    <x v="0"/>
    <d v="2008-01-30T00:00:00"/>
    <d v="2011-01-30T00:00:00"/>
    <d v="2011-01-25T00:00:00"/>
    <m/>
    <x v="1"/>
    <x v="0"/>
    <x v="0"/>
    <m/>
    <s v="Demolition of an existing bungalow and construction of two new residential units. Separate entrance will be provided to both dwellings. The developments two main levels: above lower ground and a built out roof area underneath a pitch roof."/>
    <x v="82"/>
    <m/>
    <m/>
    <m/>
    <n v="1"/>
    <m/>
    <m/>
    <m/>
    <m/>
    <m/>
    <m/>
    <n v="1"/>
    <x v="1"/>
    <n v="1"/>
    <m/>
    <m/>
    <n v="1"/>
    <m/>
    <m/>
    <m/>
    <n v="2"/>
    <n v="1"/>
    <n v="0"/>
    <n v="-1"/>
    <n v="1"/>
    <n v="0"/>
    <n v="0"/>
    <n v="0"/>
    <m/>
    <m/>
    <n v="1"/>
    <n v="1"/>
    <x v="1"/>
    <m/>
    <n v="1"/>
    <m/>
    <m/>
    <m/>
    <m/>
    <m/>
    <m/>
    <m/>
    <m/>
    <m/>
    <n v="1"/>
    <m/>
    <m/>
    <m/>
    <m/>
    <n v="513713"/>
    <n v="169858"/>
    <x v="15"/>
    <x v="0"/>
    <x v="15"/>
    <x v="1"/>
    <x v="0"/>
    <x v="0"/>
    <m/>
    <m/>
    <m/>
    <x v="0"/>
    <m/>
  </r>
  <r>
    <x v="83"/>
    <x v="0"/>
    <x v="0"/>
    <d v="2008-04-01T00:00:00"/>
    <d v="2011-04-01T00:00:00"/>
    <d v="2012-08-17T00:00:00"/>
    <m/>
    <x v="1"/>
    <x v="0"/>
    <x v="0"/>
    <m/>
    <s v="Demolition of existing house and outbuildings, construction of 3 houses."/>
    <x v="83"/>
    <m/>
    <m/>
    <m/>
    <m/>
    <n v="1"/>
    <m/>
    <m/>
    <m/>
    <m/>
    <m/>
    <n v="1"/>
    <x v="1"/>
    <n v="1"/>
    <m/>
    <m/>
    <n v="2"/>
    <m/>
    <m/>
    <m/>
    <n v="3"/>
    <n v="1"/>
    <n v="0"/>
    <n v="0"/>
    <n v="1"/>
    <n v="0"/>
    <n v="0"/>
    <n v="0"/>
    <m/>
    <m/>
    <n v="2"/>
    <n v="2"/>
    <x v="1"/>
    <m/>
    <n v="2"/>
    <m/>
    <m/>
    <m/>
    <m/>
    <m/>
    <m/>
    <m/>
    <m/>
    <m/>
    <n v="2"/>
    <m/>
    <m/>
    <m/>
    <m/>
    <n v="517856"/>
    <n v="172364"/>
    <x v="5"/>
    <x v="0"/>
    <x v="5"/>
    <x v="1"/>
    <x v="0"/>
    <x v="0"/>
    <m/>
    <m/>
    <m/>
    <x v="0"/>
    <m/>
  </r>
  <r>
    <x v="84"/>
    <x v="0"/>
    <x v="1"/>
    <d v="2011-03-07T00:00:00"/>
    <d v="2014-03-07T00:00:00"/>
    <d v="2011-03-07T00:00:00"/>
    <m/>
    <x v="1"/>
    <x v="0"/>
    <x v="0"/>
    <m/>
    <s v="Continuing construction of block of 11 flats on site of Osbourne House under permission 07/2991/FUL after 28/02/2011 (when the permission would otherwise have expired) will be lawful."/>
    <x v="84"/>
    <m/>
    <m/>
    <m/>
    <m/>
    <m/>
    <m/>
    <m/>
    <m/>
    <m/>
    <m/>
    <n v="0"/>
    <x v="0"/>
    <n v="4"/>
    <n v="7"/>
    <m/>
    <m/>
    <m/>
    <m/>
    <m/>
    <n v="11"/>
    <n v="4"/>
    <n v="7"/>
    <n v="0"/>
    <n v="0"/>
    <n v="0"/>
    <n v="0"/>
    <n v="0"/>
    <m/>
    <m/>
    <n v="11"/>
    <n v="11"/>
    <x v="0"/>
    <m/>
    <m/>
    <n v="5.5"/>
    <n v="5.5"/>
    <m/>
    <m/>
    <m/>
    <m/>
    <m/>
    <m/>
    <m/>
    <n v="11"/>
    <m/>
    <m/>
    <m/>
    <m/>
    <n v="517650"/>
    <n v="169624"/>
    <x v="8"/>
    <x v="0"/>
    <x v="8"/>
    <x v="1"/>
    <x v="1"/>
    <x v="1"/>
    <s v="Hampton Wick"/>
    <m/>
    <m/>
    <x v="1"/>
    <s v="CA18 Hampton Wick"/>
  </r>
  <r>
    <x v="0"/>
    <x v="0"/>
    <x v="0"/>
    <d v="2012-03-30T00:00:00"/>
    <d v="2015-03-30T00:00:00"/>
    <d v="2015-03-14T00:00:00"/>
    <m/>
    <x v="1"/>
    <x v="0"/>
    <x v="0"/>
    <m/>
    <s v="Demolition of existing station building and access gantries to the platforms and a phased redevelopment to provide;_x000d_1. Removal of existing footbridge structures, adjustment of existing platform canopies and rebuilding of a section of the London Road wall."/>
    <x v="0"/>
    <m/>
    <m/>
    <m/>
    <m/>
    <m/>
    <m/>
    <m/>
    <m/>
    <m/>
    <m/>
    <n v="0"/>
    <x v="0"/>
    <n v="18"/>
    <n v="12"/>
    <m/>
    <m/>
    <m/>
    <m/>
    <m/>
    <n v="30"/>
    <n v="18"/>
    <n v="12"/>
    <n v="0"/>
    <n v="0"/>
    <n v="0"/>
    <n v="0"/>
    <n v="0"/>
    <m/>
    <m/>
    <n v="30"/>
    <n v="30"/>
    <x v="0"/>
    <m/>
    <n v="30"/>
    <m/>
    <m/>
    <m/>
    <m/>
    <m/>
    <m/>
    <m/>
    <m/>
    <m/>
    <n v="30"/>
    <m/>
    <m/>
    <m/>
    <m/>
    <n v="516095"/>
    <n v="173690"/>
    <x v="0"/>
    <x v="0"/>
    <x v="0"/>
    <x v="0"/>
    <x v="0"/>
    <x v="0"/>
    <m/>
    <m/>
    <m/>
    <x v="0"/>
    <m/>
  </r>
  <r>
    <x v="85"/>
    <x v="2"/>
    <x v="0"/>
    <d v="2013-09-03T00:00:00"/>
    <d v="2016-09-03T00:00:00"/>
    <d v="2016-08-19T00:00:00"/>
    <m/>
    <x v="1"/>
    <x v="0"/>
    <x v="0"/>
    <m/>
    <s v="Reversion of Doughty House and Doughty Cottage, change of use from D1 gallery to a single family dwelling. New conservatory with basement below; underground car parking beneath the upper garden and linked to Doughty House; part re-construction of rear ele"/>
    <x v="85"/>
    <m/>
    <m/>
    <m/>
    <m/>
    <n v="2"/>
    <m/>
    <m/>
    <m/>
    <m/>
    <m/>
    <n v="2"/>
    <x v="1"/>
    <m/>
    <m/>
    <m/>
    <n v="1"/>
    <m/>
    <m/>
    <m/>
    <n v="1"/>
    <n v="0"/>
    <n v="0"/>
    <n v="0"/>
    <n v="-1"/>
    <n v="0"/>
    <n v="0"/>
    <n v="0"/>
    <m/>
    <m/>
    <n v="-1"/>
    <n v="-1"/>
    <x v="1"/>
    <m/>
    <n v="-1"/>
    <m/>
    <m/>
    <m/>
    <m/>
    <m/>
    <m/>
    <m/>
    <m/>
    <m/>
    <n v="-1"/>
    <m/>
    <m/>
    <m/>
    <m/>
    <n v="518397"/>
    <n v="173968"/>
    <x v="5"/>
    <x v="0"/>
    <x v="5"/>
    <x v="1"/>
    <x v="1"/>
    <x v="0"/>
    <m/>
    <m/>
    <m/>
    <x v="1"/>
    <s v="CA5 Richmond Hill"/>
  </r>
  <r>
    <x v="86"/>
    <x v="2"/>
    <x v="1"/>
    <d v="2014-04-07T00:00:00"/>
    <d v="2019-04-08T00:00:00"/>
    <d v="2014-09-01T00:00:00"/>
    <m/>
    <x v="1"/>
    <x v="0"/>
    <x v="0"/>
    <m/>
    <s v="Change of use of ground floor offices (B1) to residential (C3)"/>
    <x v="86"/>
    <s v="TW12 3DH"/>
    <m/>
    <m/>
    <m/>
    <m/>
    <m/>
    <m/>
    <m/>
    <m/>
    <m/>
    <n v="0"/>
    <x v="0"/>
    <n v="1"/>
    <m/>
    <m/>
    <m/>
    <m/>
    <m/>
    <m/>
    <n v="1"/>
    <n v="1"/>
    <n v="0"/>
    <n v="0"/>
    <n v="0"/>
    <n v="0"/>
    <n v="0"/>
    <n v="0"/>
    <m/>
    <m/>
    <n v="1"/>
    <n v="1"/>
    <x v="1"/>
    <m/>
    <n v="1"/>
    <m/>
    <m/>
    <m/>
    <m/>
    <m/>
    <m/>
    <m/>
    <m/>
    <m/>
    <n v="1"/>
    <m/>
    <m/>
    <m/>
    <m/>
    <n v="513841"/>
    <n v="170798"/>
    <x v="16"/>
    <x v="0"/>
    <x v="16"/>
    <x v="1"/>
    <x v="0"/>
    <x v="0"/>
    <m/>
    <m/>
    <m/>
    <x v="0"/>
    <m/>
  </r>
  <r>
    <x v="87"/>
    <x v="3"/>
    <x v="0"/>
    <d v="2014-07-18T00:00:00"/>
    <d v="2018-01-19T00:00:00"/>
    <d v="2017-10-01T00:00:00"/>
    <m/>
    <x v="1"/>
    <x v="0"/>
    <x v="0"/>
    <m/>
    <s v="Conversion of existing block of 3 flats, back into onedwellinghouse. Demolition of existing part 2 storey, part single storey rear addition and erection of part 2 storey and part single storey rear extension. Erection of basement extension, part under exi"/>
    <x v="87"/>
    <m/>
    <n v="1"/>
    <n v="1"/>
    <n v="1"/>
    <m/>
    <m/>
    <m/>
    <m/>
    <m/>
    <m/>
    <n v="3"/>
    <x v="1"/>
    <m/>
    <m/>
    <m/>
    <n v="1"/>
    <m/>
    <m/>
    <m/>
    <n v="1"/>
    <n v="-1"/>
    <n v="-1"/>
    <n v="-1"/>
    <n v="1"/>
    <n v="0"/>
    <n v="0"/>
    <n v="0"/>
    <m/>
    <m/>
    <n v="-2"/>
    <n v="-2"/>
    <x v="1"/>
    <m/>
    <n v="-2"/>
    <m/>
    <m/>
    <m/>
    <m/>
    <m/>
    <m/>
    <m/>
    <m/>
    <m/>
    <n v="-2"/>
    <m/>
    <m/>
    <m/>
    <m/>
    <n v="520243"/>
    <n v="175216"/>
    <x v="12"/>
    <x v="0"/>
    <x v="12"/>
    <x v="1"/>
    <x v="0"/>
    <x v="0"/>
    <m/>
    <m/>
    <m/>
    <x v="1"/>
    <s v="CA64 Sheen Lane East Sheen"/>
  </r>
  <r>
    <x v="88"/>
    <x v="0"/>
    <x v="0"/>
    <d v="2014-10-01T00:00:00"/>
    <d v="2019-08-10T00:00:00"/>
    <d v="2017-09-25T00:00:00"/>
    <m/>
    <x v="1"/>
    <x v="0"/>
    <x v="0"/>
    <m/>
    <s v="Demolish 'The Bungalow' and 'The Annexe' and erect one pair of semi detached five bed houses on three floors with garages, access, forecourt, bin stores, landscaping and ancillary works"/>
    <x v="88"/>
    <s v="TW1 2QH"/>
    <n v="1"/>
    <n v="1"/>
    <m/>
    <m/>
    <m/>
    <m/>
    <m/>
    <m/>
    <m/>
    <n v="2"/>
    <x v="1"/>
    <m/>
    <m/>
    <m/>
    <n v="2"/>
    <m/>
    <m/>
    <m/>
    <n v="2"/>
    <n v="-1"/>
    <n v="-1"/>
    <n v="0"/>
    <n v="2"/>
    <n v="0"/>
    <n v="0"/>
    <n v="0"/>
    <m/>
    <m/>
    <n v="0"/>
    <n v="0"/>
    <x v="1"/>
    <m/>
    <n v="0"/>
    <m/>
    <m/>
    <m/>
    <m/>
    <m/>
    <m/>
    <m/>
    <m/>
    <m/>
    <n v="0"/>
    <m/>
    <m/>
    <m/>
    <m/>
    <n v="517502"/>
    <n v="174565"/>
    <x v="10"/>
    <x v="0"/>
    <x v="10"/>
    <x v="1"/>
    <x v="1"/>
    <x v="0"/>
    <m/>
    <m/>
    <m/>
    <x v="1"/>
    <s v="CA4 Richmond Riverside"/>
  </r>
  <r>
    <x v="89"/>
    <x v="3"/>
    <x v="0"/>
    <d v="2015-02-16T00:00:00"/>
    <d v="2018-02-16T00:00:00"/>
    <d v="2018-03-23T00:00:00"/>
    <m/>
    <x v="1"/>
    <x v="0"/>
    <x v="0"/>
    <m/>
    <s v="The reversion of a Building of Townscape Merit from two self-contained flats (1x1 and 1x3 beds) to a single-family dwelling (Use Class C3: Dwelling Houses) including a rear side infill extension with associated works."/>
    <x v="89"/>
    <s v="TW10 6AP"/>
    <n v="1"/>
    <m/>
    <n v="1"/>
    <m/>
    <m/>
    <m/>
    <m/>
    <m/>
    <m/>
    <n v="2"/>
    <x v="0"/>
    <m/>
    <m/>
    <m/>
    <n v="1"/>
    <m/>
    <m/>
    <m/>
    <n v="1"/>
    <n v="-1"/>
    <n v="0"/>
    <n v="-1"/>
    <n v="1"/>
    <n v="0"/>
    <n v="0"/>
    <n v="0"/>
    <m/>
    <m/>
    <n v="-1"/>
    <n v="-1"/>
    <x v="1"/>
    <m/>
    <n v="-1"/>
    <m/>
    <m/>
    <m/>
    <m/>
    <m/>
    <m/>
    <m/>
    <m/>
    <m/>
    <n v="-1"/>
    <m/>
    <m/>
    <m/>
    <m/>
    <n v="518090"/>
    <n v="174701"/>
    <x v="3"/>
    <x v="0"/>
    <x v="3"/>
    <x v="1"/>
    <x v="0"/>
    <x v="0"/>
    <m/>
    <m/>
    <m/>
    <x v="1"/>
    <s v="CA5 Richmond Hill"/>
  </r>
  <r>
    <x v="90"/>
    <x v="2"/>
    <x v="0"/>
    <d v="2015-04-17T00:00:00"/>
    <d v="2018-04-20T00:00:00"/>
    <d v="2018-04-04T00:00:00"/>
    <m/>
    <x v="1"/>
    <x v="0"/>
    <x v="0"/>
    <m/>
    <s v="Refurbishment and remodelling of the existing dry cleaners (Use Class A1: Shops)  and workshop (Use Class B1c: light industrial) including infill extensions and alterations, conversion of seven x one self-contained flats to six residential flats (comprisi"/>
    <x v="90"/>
    <m/>
    <n v="1"/>
    <m/>
    <m/>
    <m/>
    <m/>
    <m/>
    <m/>
    <m/>
    <m/>
    <n v="1"/>
    <x v="1"/>
    <n v="2"/>
    <n v="4"/>
    <m/>
    <m/>
    <m/>
    <m/>
    <m/>
    <n v="6"/>
    <n v="1"/>
    <n v="4"/>
    <n v="0"/>
    <n v="0"/>
    <n v="0"/>
    <n v="0"/>
    <n v="0"/>
    <m/>
    <m/>
    <n v="5"/>
    <n v="5"/>
    <x v="1"/>
    <m/>
    <n v="5"/>
    <m/>
    <m/>
    <m/>
    <m/>
    <m/>
    <m/>
    <m/>
    <m/>
    <m/>
    <n v="5"/>
    <m/>
    <m/>
    <m/>
    <m/>
    <n v="515537"/>
    <n v="170973"/>
    <x v="13"/>
    <x v="0"/>
    <x v="13"/>
    <x v="4"/>
    <x v="0"/>
    <x v="0"/>
    <m/>
    <m/>
    <m/>
    <x v="0"/>
    <m/>
  </r>
  <r>
    <x v="91"/>
    <x v="0"/>
    <x v="0"/>
    <d v="2015-07-16T00:00:00"/>
    <d v="2018-07-16T00:00:00"/>
    <d v="2018-06-04T00:00:00"/>
    <m/>
    <x v="1"/>
    <x v="0"/>
    <x v="0"/>
    <m/>
    <s v="Demolition of existing dwelling and erection of 2 No.4 bed semi-detached dwellings with associated parking and landscaping."/>
    <x v="91"/>
    <m/>
    <m/>
    <n v="1"/>
    <m/>
    <m/>
    <m/>
    <m/>
    <m/>
    <m/>
    <m/>
    <n v="1"/>
    <x v="1"/>
    <m/>
    <m/>
    <m/>
    <n v="2"/>
    <m/>
    <m/>
    <m/>
    <n v="2"/>
    <n v="0"/>
    <n v="-1"/>
    <n v="0"/>
    <n v="2"/>
    <n v="0"/>
    <n v="0"/>
    <n v="0"/>
    <m/>
    <m/>
    <n v="1"/>
    <n v="1"/>
    <x v="1"/>
    <m/>
    <n v="1"/>
    <m/>
    <m/>
    <m/>
    <m/>
    <m/>
    <m/>
    <m/>
    <m/>
    <m/>
    <n v="1"/>
    <m/>
    <m/>
    <m/>
    <m/>
    <n v="512819"/>
    <n v="173657"/>
    <x v="2"/>
    <x v="0"/>
    <x v="2"/>
    <x v="1"/>
    <x v="0"/>
    <x v="0"/>
    <m/>
    <m/>
    <m/>
    <x v="0"/>
    <m/>
  </r>
  <r>
    <x v="92"/>
    <x v="2"/>
    <x v="1"/>
    <d v="2015-08-20T00:00:00"/>
    <d v="2017-11-27T00:00:00"/>
    <d v="2017-06-30T00:00:00"/>
    <m/>
    <x v="1"/>
    <x v="0"/>
    <x v="0"/>
    <m/>
    <s v="Proposed change of use of part of an existing two storey office block (B1a Use Class) to Residential (C3 Use Class) creating 6 No.flats (comprising 1 x 1-bed unit and 5 x 2-bed units)."/>
    <x v="92"/>
    <s v="TW2 6RS"/>
    <m/>
    <m/>
    <m/>
    <m/>
    <m/>
    <m/>
    <m/>
    <m/>
    <m/>
    <n v="0"/>
    <x v="0"/>
    <n v="1"/>
    <n v="5"/>
    <m/>
    <m/>
    <m/>
    <m/>
    <m/>
    <n v="6"/>
    <n v="1"/>
    <n v="5"/>
    <n v="0"/>
    <n v="0"/>
    <n v="0"/>
    <n v="0"/>
    <n v="0"/>
    <m/>
    <m/>
    <n v="6"/>
    <n v="6"/>
    <x v="1"/>
    <m/>
    <n v="6"/>
    <m/>
    <m/>
    <m/>
    <m/>
    <m/>
    <m/>
    <m/>
    <m/>
    <m/>
    <n v="6"/>
    <m/>
    <m/>
    <m/>
    <m/>
    <n v="515206"/>
    <n v="173341"/>
    <x v="14"/>
    <x v="0"/>
    <x v="14"/>
    <x v="1"/>
    <x v="0"/>
    <x v="0"/>
    <m/>
    <m/>
    <m/>
    <x v="0"/>
    <m/>
  </r>
  <r>
    <x v="93"/>
    <x v="4"/>
    <x v="0"/>
    <d v="2016-04-19T00:00:00"/>
    <d v="2019-04-19T00:00:00"/>
    <d v="2016-07-01T00:00:00"/>
    <m/>
    <x v="1"/>
    <x v="0"/>
    <x v="0"/>
    <m/>
    <s v="Part demolition of single dwelling house and formation of two semi-detached houses."/>
    <x v="93"/>
    <m/>
    <m/>
    <m/>
    <m/>
    <n v="1"/>
    <m/>
    <m/>
    <m/>
    <m/>
    <m/>
    <n v="1"/>
    <x v="1"/>
    <m/>
    <m/>
    <m/>
    <n v="2"/>
    <m/>
    <m/>
    <m/>
    <n v="2"/>
    <n v="0"/>
    <n v="0"/>
    <n v="0"/>
    <n v="1"/>
    <n v="0"/>
    <n v="0"/>
    <n v="0"/>
    <m/>
    <m/>
    <n v="1"/>
    <n v="1"/>
    <x v="1"/>
    <m/>
    <n v="1"/>
    <m/>
    <m/>
    <m/>
    <m/>
    <m/>
    <m/>
    <m/>
    <m/>
    <m/>
    <n v="1"/>
    <m/>
    <m/>
    <m/>
    <m/>
    <n v="520343"/>
    <n v="175141"/>
    <x v="12"/>
    <x v="0"/>
    <x v="12"/>
    <x v="1"/>
    <x v="0"/>
    <x v="0"/>
    <m/>
    <m/>
    <m/>
    <x v="0"/>
    <m/>
  </r>
  <r>
    <x v="94"/>
    <x v="0"/>
    <x v="0"/>
    <d v="2016-07-14T00:00:00"/>
    <d v="2019-07-14T00:00:00"/>
    <d v="2019-06-01T00:00:00"/>
    <m/>
    <x v="1"/>
    <x v="0"/>
    <x v="0"/>
    <m/>
    <s v="Demolition of existing house and construction of a new 3 bedroom house."/>
    <x v="94"/>
    <m/>
    <m/>
    <n v="1"/>
    <m/>
    <m/>
    <m/>
    <m/>
    <m/>
    <m/>
    <m/>
    <n v="1"/>
    <x v="1"/>
    <m/>
    <m/>
    <n v="1"/>
    <m/>
    <m/>
    <m/>
    <m/>
    <n v="1"/>
    <n v="0"/>
    <n v="-1"/>
    <n v="1"/>
    <n v="0"/>
    <n v="0"/>
    <n v="0"/>
    <n v="0"/>
    <m/>
    <m/>
    <n v="0"/>
    <n v="0"/>
    <x v="1"/>
    <m/>
    <n v="0"/>
    <m/>
    <m/>
    <m/>
    <m/>
    <m/>
    <m/>
    <m/>
    <m/>
    <m/>
    <n v="0"/>
    <m/>
    <m/>
    <m/>
    <m/>
    <n v="516355"/>
    <n v="173076"/>
    <x v="10"/>
    <x v="0"/>
    <x v="10"/>
    <x v="1"/>
    <x v="1"/>
    <x v="0"/>
    <m/>
    <m/>
    <m/>
    <x v="1"/>
    <s v="CA8 Twickenham Riverside"/>
  </r>
  <r>
    <x v="95"/>
    <x v="2"/>
    <x v="0"/>
    <d v="2016-07-14T00:00:00"/>
    <d v="2019-07-14T00:00:00"/>
    <d v="2019-07-10T00:00:00"/>
    <m/>
    <x v="1"/>
    <x v="0"/>
    <x v="0"/>
    <m/>
    <s v="Change of use of 2nd floor and 3rd floor level from ancillary retail to nine 1 bedroom flats (C3 use) with external alterations and enclosure of walkway at 1st floor, new residential access, bin store, bicycle storage, replacement of plant, new stairs to roof access and  reconfiguration of food store at ground floor level."/>
    <x v="95"/>
    <m/>
    <m/>
    <m/>
    <m/>
    <m/>
    <m/>
    <m/>
    <m/>
    <m/>
    <m/>
    <n v="0"/>
    <x v="1"/>
    <n v="9"/>
    <m/>
    <m/>
    <m/>
    <m/>
    <m/>
    <m/>
    <n v="9"/>
    <n v="9"/>
    <n v="0"/>
    <n v="0"/>
    <n v="0"/>
    <n v="0"/>
    <n v="0"/>
    <n v="0"/>
    <m/>
    <m/>
    <n v="9"/>
    <n v="9"/>
    <x v="1"/>
    <m/>
    <m/>
    <n v="4.5"/>
    <n v="4.5"/>
    <m/>
    <m/>
    <m/>
    <m/>
    <m/>
    <m/>
    <m/>
    <n v="9"/>
    <m/>
    <m/>
    <m/>
    <m/>
    <n v="517924"/>
    <n v="174891"/>
    <x v="3"/>
    <x v="0"/>
    <x v="3"/>
    <x v="2"/>
    <x v="0"/>
    <x v="0"/>
    <m/>
    <m/>
    <m/>
    <x v="1"/>
    <s v="CA17 Central Richmond"/>
  </r>
  <r>
    <x v="96"/>
    <x v="3"/>
    <x v="0"/>
    <d v="2016-08-17T00:00:00"/>
    <d v="2019-08-17T00:00:00"/>
    <d v="2019-01-14T00:00:00"/>
    <m/>
    <x v="1"/>
    <x v="0"/>
    <x v="0"/>
    <m/>
    <s v="Conversion of the building into one family house, plus an additional apartment at basement level to the front."/>
    <x v="96"/>
    <m/>
    <n v="2"/>
    <n v="2"/>
    <n v="1"/>
    <m/>
    <m/>
    <m/>
    <m/>
    <m/>
    <m/>
    <n v="5"/>
    <x v="1"/>
    <n v="1"/>
    <m/>
    <m/>
    <n v="1"/>
    <m/>
    <m/>
    <m/>
    <n v="2"/>
    <n v="-1"/>
    <n v="-2"/>
    <n v="-1"/>
    <n v="1"/>
    <n v="0"/>
    <n v="0"/>
    <n v="0"/>
    <m/>
    <m/>
    <n v="-3"/>
    <n v="-3"/>
    <x v="1"/>
    <m/>
    <n v="-3"/>
    <m/>
    <m/>
    <m/>
    <m/>
    <m/>
    <m/>
    <m/>
    <m/>
    <m/>
    <n v="-3"/>
    <m/>
    <m/>
    <m/>
    <m/>
    <n v="518294"/>
    <n v="174078"/>
    <x v="5"/>
    <x v="0"/>
    <x v="5"/>
    <x v="1"/>
    <x v="1"/>
    <x v="0"/>
    <m/>
    <m/>
    <m/>
    <x v="1"/>
    <s v="CA5 Richmond Hill"/>
  </r>
  <r>
    <x v="97"/>
    <x v="2"/>
    <x v="0"/>
    <d v="2016-10-07T00:00:00"/>
    <d v="2019-10-07T00:00:00"/>
    <d v="2018-03-01T00:00:00"/>
    <m/>
    <x v="1"/>
    <x v="0"/>
    <x v="0"/>
    <m/>
    <s v="Conversion, extension and alteration of the existing church building to provide for 6 x 2 bedroom flats over four levels together with 6 off-street car parking spaces, motorcycle parking, garden amenity areas and refuse, recycling and cycle parking areas."/>
    <x v="97"/>
    <s v="TW11"/>
    <m/>
    <m/>
    <m/>
    <m/>
    <m/>
    <m/>
    <m/>
    <m/>
    <m/>
    <n v="0"/>
    <x v="1"/>
    <m/>
    <n v="6"/>
    <m/>
    <m/>
    <m/>
    <m/>
    <m/>
    <n v="6"/>
    <n v="0"/>
    <n v="6"/>
    <n v="0"/>
    <n v="0"/>
    <n v="0"/>
    <n v="0"/>
    <n v="0"/>
    <m/>
    <m/>
    <n v="6"/>
    <n v="6"/>
    <x v="1"/>
    <m/>
    <m/>
    <n v="6"/>
    <m/>
    <m/>
    <m/>
    <m/>
    <m/>
    <m/>
    <m/>
    <m/>
    <n v="6"/>
    <m/>
    <m/>
    <m/>
    <m/>
    <n v="516013"/>
    <n v="171023"/>
    <x v="13"/>
    <x v="0"/>
    <x v="13"/>
    <x v="1"/>
    <x v="0"/>
    <x v="0"/>
    <m/>
    <m/>
    <m/>
    <x v="1"/>
    <s v="CA37 High Street Teddington"/>
  </r>
  <r>
    <x v="98"/>
    <x v="0"/>
    <x v="0"/>
    <d v="2016-11-03T00:00:00"/>
    <d v="2019-11-03T00:00:00"/>
    <d v="2017-03-13T00:00:00"/>
    <m/>
    <x v="1"/>
    <x v="0"/>
    <x v="0"/>
    <m/>
    <s v="Detailed Reserved Matters application including Appearance, Landscaping, Layout and Scale for the Schools Development Zone pursuant to Conditions U08026 and U08031 of Outline Planning Permission 15/3038/OUT dated 16.08.16 (Outline application for the demo"/>
    <x v="98"/>
    <m/>
    <m/>
    <m/>
    <m/>
    <m/>
    <m/>
    <m/>
    <m/>
    <m/>
    <m/>
    <n v="0"/>
    <x v="2"/>
    <n v="38"/>
    <n v="68"/>
    <n v="32"/>
    <n v="15"/>
    <m/>
    <m/>
    <m/>
    <n v="153"/>
    <n v="38"/>
    <n v="68"/>
    <n v="32"/>
    <n v="15"/>
    <n v="0"/>
    <n v="0"/>
    <n v="0"/>
    <m/>
    <m/>
    <n v="153"/>
    <n v="153"/>
    <x v="0"/>
    <m/>
    <m/>
    <m/>
    <n v="51"/>
    <n v="51"/>
    <n v="51"/>
    <m/>
    <m/>
    <m/>
    <m/>
    <m/>
    <n v="153"/>
    <m/>
    <m/>
    <m/>
    <m/>
    <n v="515304"/>
    <n v="173889"/>
    <x v="0"/>
    <x v="0"/>
    <x v="0"/>
    <x v="1"/>
    <x v="0"/>
    <x v="0"/>
    <m/>
    <m/>
    <m/>
    <x v="0"/>
    <m/>
  </r>
  <r>
    <x v="98"/>
    <x v="0"/>
    <x v="0"/>
    <d v="2016-11-03T00:00:00"/>
    <d v="2019-11-03T00:00:00"/>
    <d v="2017-03-13T00:00:00"/>
    <m/>
    <x v="1"/>
    <x v="1"/>
    <x v="0"/>
    <m/>
    <s v="Detailed Reserved Matters application including Appearance, Landscaping, Layout and Scale for the Schools Development Zone pursuant to Conditions U08026 and U08031 of Outline Planning Permission 15/3038/OUT dated 16.08.16 (Outline application for the demo"/>
    <x v="98"/>
    <m/>
    <m/>
    <m/>
    <m/>
    <m/>
    <m/>
    <m/>
    <m/>
    <m/>
    <m/>
    <n v="0"/>
    <x v="2"/>
    <n v="3"/>
    <n v="11"/>
    <n v="5"/>
    <n v="3"/>
    <m/>
    <m/>
    <m/>
    <n v="22"/>
    <n v="3"/>
    <n v="11"/>
    <n v="5"/>
    <n v="3"/>
    <n v="0"/>
    <n v="0"/>
    <n v="0"/>
    <m/>
    <m/>
    <n v="22"/>
    <n v="22"/>
    <x v="0"/>
    <m/>
    <m/>
    <m/>
    <n v="7.333333333333333"/>
    <n v="7.333333333333333"/>
    <n v="7.333333333333333"/>
    <m/>
    <m/>
    <m/>
    <m/>
    <m/>
    <n v="22"/>
    <m/>
    <m/>
    <m/>
    <m/>
    <n v="515304"/>
    <n v="173889"/>
    <x v="0"/>
    <x v="0"/>
    <x v="0"/>
    <x v="1"/>
    <x v="0"/>
    <x v="0"/>
    <m/>
    <m/>
    <m/>
    <x v="0"/>
    <m/>
  </r>
  <r>
    <x v="98"/>
    <x v="0"/>
    <x v="0"/>
    <d v="2016-11-03T00:00:00"/>
    <d v="2019-11-03T00:00:00"/>
    <d v="2017-03-13T00:00:00"/>
    <m/>
    <x v="1"/>
    <x v="2"/>
    <x v="0"/>
    <m/>
    <s v="Detailed Reserved Matters application including Appearance, Landscaping, Layout and Scale for the Schools Development Zone pursuant to Conditions U08026 and U08031 of Outline Planning Permission 15/3038/OUT dated 16.08.16 (Outline application for the demo"/>
    <x v="98"/>
    <m/>
    <m/>
    <m/>
    <m/>
    <m/>
    <m/>
    <m/>
    <m/>
    <m/>
    <m/>
    <n v="0"/>
    <x v="2"/>
    <n v="4"/>
    <n v="1"/>
    <m/>
    <m/>
    <m/>
    <m/>
    <m/>
    <n v="5"/>
    <n v="4"/>
    <n v="1"/>
    <n v="0"/>
    <n v="0"/>
    <n v="0"/>
    <n v="0"/>
    <n v="0"/>
    <m/>
    <m/>
    <n v="5"/>
    <n v="5"/>
    <x v="0"/>
    <m/>
    <m/>
    <m/>
    <n v="1.6666666666666667"/>
    <n v="1.6666666666666667"/>
    <n v="1.6666666666666667"/>
    <m/>
    <m/>
    <m/>
    <m/>
    <m/>
    <n v="5"/>
    <m/>
    <m/>
    <m/>
    <m/>
    <n v="515304"/>
    <n v="173889"/>
    <x v="0"/>
    <x v="0"/>
    <x v="0"/>
    <x v="1"/>
    <x v="0"/>
    <x v="0"/>
    <m/>
    <m/>
    <m/>
    <x v="0"/>
    <m/>
  </r>
  <r>
    <x v="99"/>
    <x v="0"/>
    <x v="0"/>
    <d v="2017-02-23T00:00:00"/>
    <d v="2020-02-23T00:00:00"/>
    <d v="2020-02-19T00:00:00"/>
    <m/>
    <x v="1"/>
    <x v="0"/>
    <x v="0"/>
    <m/>
    <s v="Demolition of the existing hall and the erection of a new community facility building and 6 flats"/>
    <x v="99"/>
    <m/>
    <m/>
    <m/>
    <m/>
    <m/>
    <m/>
    <m/>
    <m/>
    <m/>
    <m/>
    <n v="0"/>
    <x v="1"/>
    <n v="4"/>
    <n v="2"/>
    <m/>
    <m/>
    <m/>
    <m/>
    <m/>
    <n v="6"/>
    <n v="4"/>
    <n v="2"/>
    <n v="0"/>
    <n v="0"/>
    <n v="0"/>
    <n v="0"/>
    <n v="0"/>
    <m/>
    <m/>
    <n v="6"/>
    <n v="6"/>
    <x v="1"/>
    <m/>
    <m/>
    <n v="6"/>
    <m/>
    <m/>
    <m/>
    <m/>
    <m/>
    <m/>
    <m/>
    <m/>
    <n v="6"/>
    <m/>
    <m/>
    <m/>
    <m/>
    <n v="519126"/>
    <n v="176420"/>
    <x v="7"/>
    <x v="0"/>
    <x v="7"/>
    <x v="1"/>
    <x v="0"/>
    <x v="1"/>
    <s v="Sandycombe Road North"/>
    <m/>
    <m/>
    <x v="1"/>
    <s v="CA15 Kew Gardens Kew"/>
  </r>
  <r>
    <x v="100"/>
    <x v="0"/>
    <x v="0"/>
    <d v="2017-03-07T00:00:00"/>
    <d v="2020-03-07T00:00:00"/>
    <d v="2020-03-01T00:00:00"/>
    <m/>
    <x v="1"/>
    <x v="0"/>
    <x v="0"/>
    <m/>
    <s v="Construction of a three bedroom single storey dwelling with associated hard and soft landscaping, parking and access road (bollard lit)"/>
    <x v="100"/>
    <m/>
    <m/>
    <m/>
    <m/>
    <m/>
    <m/>
    <m/>
    <m/>
    <m/>
    <m/>
    <n v="0"/>
    <x v="0"/>
    <m/>
    <m/>
    <n v="1"/>
    <m/>
    <m/>
    <m/>
    <m/>
    <n v="1"/>
    <n v="0"/>
    <n v="0"/>
    <n v="1"/>
    <n v="0"/>
    <n v="0"/>
    <n v="0"/>
    <n v="0"/>
    <m/>
    <m/>
    <n v="1"/>
    <n v="1"/>
    <x v="1"/>
    <m/>
    <n v="0"/>
    <n v="1"/>
    <m/>
    <m/>
    <m/>
    <m/>
    <m/>
    <m/>
    <m/>
    <m/>
    <n v="1"/>
    <m/>
    <m/>
    <m/>
    <m/>
    <n v="513432"/>
    <n v="173849"/>
    <x v="17"/>
    <x v="0"/>
    <x v="17"/>
    <x v="1"/>
    <x v="0"/>
    <x v="0"/>
    <m/>
    <m/>
    <m/>
    <x v="0"/>
    <m/>
  </r>
  <r>
    <x v="101"/>
    <x v="0"/>
    <x v="0"/>
    <d v="2017-03-27T00:00:00"/>
    <d v="2020-03-27T00:00:00"/>
    <d v="2017-09-01T00:00:00"/>
    <m/>
    <x v="1"/>
    <x v="0"/>
    <x v="0"/>
    <m/>
    <s v="Demolition of an existing 3 bedroom bungalow and erection of a new 4 bedroom two storey dwelling (including loft accommodation) with associated landscaping works)."/>
    <x v="101"/>
    <s v="TW2 5PB"/>
    <m/>
    <m/>
    <n v="1"/>
    <m/>
    <m/>
    <m/>
    <m/>
    <m/>
    <m/>
    <n v="1"/>
    <x v="1"/>
    <m/>
    <m/>
    <m/>
    <n v="1"/>
    <m/>
    <m/>
    <m/>
    <n v="1"/>
    <n v="0"/>
    <n v="0"/>
    <n v="-1"/>
    <n v="1"/>
    <n v="0"/>
    <n v="0"/>
    <n v="0"/>
    <m/>
    <m/>
    <n v="0"/>
    <n v="0"/>
    <x v="1"/>
    <m/>
    <n v="0"/>
    <m/>
    <m/>
    <m/>
    <m/>
    <m/>
    <m/>
    <m/>
    <m/>
    <m/>
    <n v="0"/>
    <m/>
    <m/>
    <m/>
    <m/>
    <n v="514468"/>
    <n v="172144"/>
    <x v="11"/>
    <x v="0"/>
    <x v="11"/>
    <x v="1"/>
    <x v="0"/>
    <x v="0"/>
    <m/>
    <m/>
    <m/>
    <x v="0"/>
    <m/>
  </r>
  <r>
    <x v="102"/>
    <x v="0"/>
    <x v="0"/>
    <d v="2017-05-30T00:00:00"/>
    <d v="2020-05-30T00:00:00"/>
    <d v="2019-04-01T00:00:00"/>
    <m/>
    <x v="1"/>
    <x v="0"/>
    <x v="0"/>
    <m/>
    <s v="Demolition of existing single dwelling and erection of a new single dwelling."/>
    <x v="102"/>
    <s v="SW13 9QJ"/>
    <n v="1"/>
    <m/>
    <m/>
    <m/>
    <m/>
    <m/>
    <m/>
    <m/>
    <m/>
    <n v="1"/>
    <x v="0"/>
    <m/>
    <m/>
    <n v="1"/>
    <m/>
    <m/>
    <m/>
    <m/>
    <n v="1"/>
    <n v="-1"/>
    <n v="0"/>
    <n v="1"/>
    <n v="0"/>
    <n v="0"/>
    <n v="0"/>
    <n v="0"/>
    <m/>
    <m/>
    <n v="0"/>
    <n v="0"/>
    <x v="1"/>
    <m/>
    <n v="0"/>
    <m/>
    <m/>
    <m/>
    <m/>
    <m/>
    <m/>
    <m/>
    <m/>
    <m/>
    <n v="0"/>
    <m/>
    <m/>
    <m/>
    <m/>
    <n v="521779"/>
    <n v="176827"/>
    <x v="6"/>
    <x v="0"/>
    <x v="6"/>
    <x v="1"/>
    <x v="0"/>
    <x v="0"/>
    <m/>
    <m/>
    <m/>
    <x v="0"/>
    <m/>
  </r>
  <r>
    <x v="103"/>
    <x v="0"/>
    <x v="0"/>
    <d v="2017-08-25T00:00:00"/>
    <d v="2021-04-06T00:00:00"/>
    <d v="2018-12-01T00:00:00"/>
    <d v="2021-05-11T00:00:00"/>
    <x v="1"/>
    <x v="0"/>
    <x v="0"/>
    <m/>
    <s v="Replacement dwellinghouse with associated landscaping, boundary treatment and summer house."/>
    <x v="103"/>
    <s v="SW14 7EL"/>
    <m/>
    <m/>
    <m/>
    <m/>
    <n v="1"/>
    <m/>
    <m/>
    <m/>
    <m/>
    <n v="1"/>
    <x v="0"/>
    <m/>
    <m/>
    <m/>
    <m/>
    <m/>
    <n v="1"/>
    <m/>
    <n v="1"/>
    <n v="0"/>
    <n v="0"/>
    <n v="0"/>
    <n v="0"/>
    <n v="-1"/>
    <n v="1"/>
    <n v="0"/>
    <m/>
    <m/>
    <n v="0"/>
    <n v="0"/>
    <x v="1"/>
    <m/>
    <n v="0"/>
    <m/>
    <m/>
    <m/>
    <m/>
    <m/>
    <m/>
    <m/>
    <m/>
    <m/>
    <n v="0"/>
    <m/>
    <m/>
    <m/>
    <m/>
    <n v="520119"/>
    <n v="174521"/>
    <x v="12"/>
    <x v="0"/>
    <x v="12"/>
    <x v="1"/>
    <x v="0"/>
    <x v="0"/>
    <m/>
    <m/>
    <m/>
    <x v="1"/>
    <s v="CA13 Christchurch Road East Sheen"/>
  </r>
  <r>
    <x v="104"/>
    <x v="0"/>
    <x v="0"/>
    <d v="2017-09-08T00:00:00"/>
    <d v="2020-09-08T00:00:00"/>
    <d v="2019-03-30T00:00:00"/>
    <m/>
    <x v="1"/>
    <x v="0"/>
    <x v="0"/>
    <m/>
    <s v="Redevelopment of site to provide for a mixed use development of 535m2 of commercial space (B1 (a), (b) and (c) and B8 use) and 20 residential units, together with car parking and landscaping"/>
    <x v="104"/>
    <s v="TW9 2EP"/>
    <m/>
    <m/>
    <m/>
    <m/>
    <m/>
    <m/>
    <m/>
    <m/>
    <m/>
    <n v="0"/>
    <x v="0"/>
    <n v="9"/>
    <n v="7"/>
    <n v="4"/>
    <m/>
    <m/>
    <m/>
    <m/>
    <n v="20"/>
    <n v="9"/>
    <n v="7"/>
    <n v="4"/>
    <n v="0"/>
    <n v="0"/>
    <n v="0"/>
    <n v="0"/>
    <m/>
    <m/>
    <n v="20"/>
    <n v="20"/>
    <x v="0"/>
    <m/>
    <m/>
    <n v="20"/>
    <m/>
    <m/>
    <m/>
    <m/>
    <m/>
    <m/>
    <m/>
    <m/>
    <n v="20"/>
    <m/>
    <m/>
    <m/>
    <m/>
    <n v="519012"/>
    <n v="175761"/>
    <x v="7"/>
    <x v="0"/>
    <x v="7"/>
    <x v="1"/>
    <x v="0"/>
    <x v="0"/>
    <m/>
    <m/>
    <m/>
    <x v="0"/>
    <m/>
  </r>
  <r>
    <x v="105"/>
    <x v="2"/>
    <x v="1"/>
    <d v="2017-09-27T00:00:00"/>
    <d v="2021-06-07T00:00:00"/>
    <d v="2021-03-31T00:00:00"/>
    <m/>
    <x v="1"/>
    <x v="0"/>
    <x v="0"/>
    <m/>
    <s v="Change of use from B8 (storage) to C3 (residential use) to create a 1 bedroom unit."/>
    <x v="105"/>
    <s v="TW11 9BN"/>
    <m/>
    <m/>
    <m/>
    <m/>
    <m/>
    <m/>
    <m/>
    <m/>
    <m/>
    <n v="0"/>
    <x v="0"/>
    <n v="1"/>
    <m/>
    <m/>
    <m/>
    <m/>
    <m/>
    <m/>
    <n v="1"/>
    <n v="1"/>
    <n v="0"/>
    <n v="0"/>
    <n v="0"/>
    <n v="0"/>
    <n v="0"/>
    <n v="0"/>
    <m/>
    <m/>
    <n v="1"/>
    <n v="1"/>
    <x v="1"/>
    <m/>
    <m/>
    <n v="1"/>
    <m/>
    <m/>
    <m/>
    <m/>
    <m/>
    <m/>
    <m/>
    <m/>
    <n v="1"/>
    <m/>
    <m/>
    <m/>
    <m/>
    <n v="516215"/>
    <n v="171077"/>
    <x v="13"/>
    <x v="0"/>
    <x v="13"/>
    <x v="4"/>
    <x v="0"/>
    <x v="0"/>
    <m/>
    <m/>
    <m/>
    <x v="0"/>
    <m/>
  </r>
  <r>
    <x v="106"/>
    <x v="2"/>
    <x v="1"/>
    <d v="2017-09-27T00:00:00"/>
    <d v="2021-06-07T00:00:00"/>
    <d v="2021-03-31T00:00:00"/>
    <m/>
    <x v="1"/>
    <x v="0"/>
    <x v="0"/>
    <m/>
    <s v="Change of use from B8 (storage) to C3 (residential) to create 2 Studio units."/>
    <x v="106"/>
    <s v="TW11 9BN"/>
    <m/>
    <m/>
    <m/>
    <m/>
    <m/>
    <m/>
    <m/>
    <m/>
    <m/>
    <n v="0"/>
    <x v="0"/>
    <n v="2"/>
    <m/>
    <m/>
    <m/>
    <m/>
    <m/>
    <m/>
    <n v="2"/>
    <n v="2"/>
    <n v="0"/>
    <n v="0"/>
    <n v="0"/>
    <n v="0"/>
    <n v="0"/>
    <n v="0"/>
    <m/>
    <m/>
    <n v="2"/>
    <n v="2"/>
    <x v="1"/>
    <m/>
    <m/>
    <n v="2"/>
    <m/>
    <m/>
    <m/>
    <m/>
    <m/>
    <m/>
    <m/>
    <m/>
    <n v="2"/>
    <m/>
    <m/>
    <m/>
    <m/>
    <n v="516224"/>
    <n v="171078"/>
    <x v="13"/>
    <x v="0"/>
    <x v="13"/>
    <x v="4"/>
    <x v="0"/>
    <x v="0"/>
    <m/>
    <m/>
    <m/>
    <x v="0"/>
    <m/>
  </r>
  <r>
    <x v="107"/>
    <x v="0"/>
    <x v="0"/>
    <d v="2017-10-10T00:00:00"/>
    <d v="2020-10-10T00:00:00"/>
    <d v="2019-12-02T00:00:00"/>
    <m/>
    <x v="1"/>
    <x v="2"/>
    <x v="0"/>
    <m/>
    <s v="Demolition of the existing office (B1a) building (395 sq.m) and the erection a part five / part six-storey mixed-use building comprisnig a ground floor office / commercial unit (300 sq.m) and 22 (11 x 1 and 11 x 2 bed) affordable 'shared ownership' apartm"/>
    <x v="107"/>
    <s v="TW11 8EW"/>
    <m/>
    <m/>
    <m/>
    <m/>
    <m/>
    <m/>
    <m/>
    <m/>
    <m/>
    <n v="0"/>
    <x v="2"/>
    <n v="11"/>
    <n v="11"/>
    <m/>
    <m/>
    <m/>
    <m/>
    <m/>
    <n v="22"/>
    <n v="11"/>
    <n v="11"/>
    <n v="0"/>
    <n v="0"/>
    <n v="0"/>
    <n v="0"/>
    <n v="0"/>
    <m/>
    <m/>
    <n v="22"/>
    <n v="22"/>
    <x v="0"/>
    <m/>
    <n v="22"/>
    <m/>
    <m/>
    <m/>
    <m/>
    <m/>
    <m/>
    <m/>
    <m/>
    <m/>
    <n v="22"/>
    <m/>
    <m/>
    <m/>
    <m/>
    <n v="515918"/>
    <n v="171031"/>
    <x v="13"/>
    <x v="0"/>
    <x v="13"/>
    <x v="4"/>
    <x v="0"/>
    <x v="0"/>
    <m/>
    <m/>
    <m/>
    <x v="0"/>
    <m/>
  </r>
  <r>
    <x v="108"/>
    <x v="0"/>
    <x v="0"/>
    <d v="2017-10-27T00:00:00"/>
    <d v="2020-10-27T00:00:00"/>
    <d v="2020-10-26T00:00:00"/>
    <m/>
    <x v="1"/>
    <x v="0"/>
    <x v="0"/>
    <m/>
    <s v="Demolition of the existing garage and erection of a new partially sunken one-bedroom, single-storey dwelling, and provision of a new boundary wall and entrance gate."/>
    <x v="108"/>
    <s v="SW14"/>
    <m/>
    <m/>
    <m/>
    <m/>
    <m/>
    <m/>
    <m/>
    <m/>
    <m/>
    <n v="0"/>
    <x v="0"/>
    <n v="1"/>
    <m/>
    <m/>
    <m/>
    <m/>
    <m/>
    <m/>
    <n v="1"/>
    <n v="1"/>
    <n v="0"/>
    <n v="0"/>
    <n v="0"/>
    <n v="0"/>
    <n v="0"/>
    <n v="0"/>
    <m/>
    <m/>
    <n v="1"/>
    <n v="1"/>
    <x v="1"/>
    <m/>
    <n v="1"/>
    <m/>
    <m/>
    <m/>
    <m/>
    <m/>
    <m/>
    <m/>
    <m/>
    <m/>
    <n v="1"/>
    <m/>
    <m/>
    <m/>
    <m/>
    <n v="520624"/>
    <n v="175780"/>
    <x v="9"/>
    <x v="1"/>
    <x v="9"/>
    <x v="1"/>
    <x v="0"/>
    <x v="0"/>
    <m/>
    <m/>
    <m/>
    <x v="1"/>
    <s v="CA33 Mortlake"/>
  </r>
  <r>
    <x v="109"/>
    <x v="3"/>
    <x v="0"/>
    <d v="2017-10-30T00:00:00"/>
    <d v="2020-10-30T00:00:00"/>
    <d v="2020-01-10T00:00:00"/>
    <m/>
    <x v="1"/>
    <x v="0"/>
    <x v="0"/>
    <m/>
    <s v="Conversion of number 11 Upper Lodge Mews and number 12 Upper Lodge Mews into one dwelling house with internal refurbishment."/>
    <x v="109"/>
    <s v="TW12"/>
    <m/>
    <m/>
    <n v="2"/>
    <m/>
    <m/>
    <m/>
    <m/>
    <m/>
    <m/>
    <n v="2"/>
    <x v="0"/>
    <m/>
    <m/>
    <m/>
    <n v="1"/>
    <m/>
    <m/>
    <m/>
    <n v="1"/>
    <n v="0"/>
    <n v="0"/>
    <n v="-2"/>
    <n v="1"/>
    <n v="0"/>
    <n v="0"/>
    <n v="0"/>
    <m/>
    <m/>
    <n v="-1"/>
    <n v="-1"/>
    <x v="1"/>
    <m/>
    <n v="-1"/>
    <m/>
    <m/>
    <m/>
    <m/>
    <m/>
    <m/>
    <m/>
    <m/>
    <m/>
    <n v="-1"/>
    <m/>
    <m/>
    <m/>
    <m/>
    <n v="514501"/>
    <n v="170687"/>
    <x v="1"/>
    <x v="0"/>
    <x v="1"/>
    <x v="1"/>
    <x v="0"/>
    <x v="0"/>
    <m/>
    <m/>
    <m/>
    <x v="1"/>
    <s v="CA61 Bushy Park"/>
  </r>
  <r>
    <x v="110"/>
    <x v="2"/>
    <x v="0"/>
    <d v="2017-11-09T00:00:00"/>
    <d v="2020-11-09T00:00:00"/>
    <d v="2018-09-04T00:00:00"/>
    <m/>
    <x v="1"/>
    <x v="0"/>
    <x v="0"/>
    <m/>
    <s v="Part conversion of rear shop unit and single storey side/rear extension to form a studio flat._x000d_"/>
    <x v="110"/>
    <s v="SW13 0PZ"/>
    <m/>
    <m/>
    <m/>
    <m/>
    <m/>
    <m/>
    <m/>
    <m/>
    <m/>
    <n v="0"/>
    <x v="0"/>
    <n v="1"/>
    <m/>
    <m/>
    <m/>
    <m/>
    <m/>
    <m/>
    <n v="1"/>
    <n v="1"/>
    <n v="0"/>
    <n v="0"/>
    <n v="0"/>
    <n v="0"/>
    <n v="0"/>
    <n v="0"/>
    <m/>
    <m/>
    <n v="1"/>
    <n v="1"/>
    <x v="1"/>
    <m/>
    <n v="1"/>
    <m/>
    <m/>
    <m/>
    <m/>
    <m/>
    <m/>
    <m/>
    <m/>
    <m/>
    <n v="1"/>
    <m/>
    <m/>
    <m/>
    <m/>
    <n v="521310"/>
    <n v="175864"/>
    <x v="9"/>
    <x v="0"/>
    <x v="9"/>
    <x v="1"/>
    <x v="0"/>
    <x v="1"/>
    <s v="White Hart lane, Barnes"/>
    <m/>
    <m/>
    <x v="1"/>
    <s v="CA33 Mortlake"/>
  </r>
  <r>
    <x v="111"/>
    <x v="0"/>
    <x v="0"/>
    <d v="2017-11-17T00:00:00"/>
    <d v="2021-01-08T00:00:00"/>
    <d v="2021-01-07T00:00:00"/>
    <m/>
    <x v="1"/>
    <x v="0"/>
    <x v="0"/>
    <m/>
    <s v="Demolition of lock up garages to provide 1 no. detached 4 bedroom dwellinghouse with associated parking, cycle and refuse stores, new boundary fence and hard and soft landscaping."/>
    <x v="111"/>
    <s v="TW11"/>
    <m/>
    <m/>
    <m/>
    <m/>
    <m/>
    <m/>
    <m/>
    <m/>
    <m/>
    <n v="0"/>
    <x v="0"/>
    <m/>
    <m/>
    <m/>
    <n v="1"/>
    <m/>
    <m/>
    <m/>
    <n v="1"/>
    <n v="0"/>
    <n v="0"/>
    <n v="0"/>
    <n v="1"/>
    <n v="0"/>
    <n v="0"/>
    <n v="0"/>
    <m/>
    <m/>
    <n v="1"/>
    <n v="1"/>
    <x v="1"/>
    <m/>
    <n v="1"/>
    <m/>
    <m/>
    <m/>
    <m/>
    <m/>
    <m/>
    <m/>
    <m/>
    <m/>
    <n v="1"/>
    <m/>
    <m/>
    <m/>
    <m/>
    <n v="516399"/>
    <n v="171470"/>
    <x v="13"/>
    <x v="0"/>
    <x v="13"/>
    <x v="1"/>
    <x v="0"/>
    <x v="0"/>
    <m/>
    <m/>
    <m/>
    <x v="0"/>
    <m/>
  </r>
  <r>
    <x v="112"/>
    <x v="0"/>
    <x v="0"/>
    <d v="2017-11-30T00:00:00"/>
    <d v="2020-11-30T00:00:00"/>
    <d v="2018-09-01T00:00:00"/>
    <m/>
    <x v="1"/>
    <x v="0"/>
    <x v="0"/>
    <m/>
    <s v="Demolition of existing car repair workshop and replacement with 1 no. ground floor B1(a) commercial unit and 1 no. 2 bed residential unit with associated landscaping, car and cycle parking."/>
    <x v="112"/>
    <s v="TW1 4HF"/>
    <m/>
    <m/>
    <m/>
    <m/>
    <m/>
    <m/>
    <m/>
    <m/>
    <m/>
    <n v="0"/>
    <x v="0"/>
    <m/>
    <n v="1"/>
    <m/>
    <m/>
    <m/>
    <m/>
    <m/>
    <n v="1"/>
    <n v="0"/>
    <n v="1"/>
    <n v="0"/>
    <n v="0"/>
    <n v="0"/>
    <n v="0"/>
    <n v="0"/>
    <m/>
    <m/>
    <n v="1"/>
    <n v="1"/>
    <x v="1"/>
    <m/>
    <n v="1"/>
    <m/>
    <m/>
    <m/>
    <m/>
    <m/>
    <m/>
    <m/>
    <m/>
    <m/>
    <n v="1"/>
    <m/>
    <m/>
    <m/>
    <m/>
    <n v="516115"/>
    <n v="173199"/>
    <x v="10"/>
    <x v="0"/>
    <x v="10"/>
    <x v="0"/>
    <x v="0"/>
    <x v="0"/>
    <m/>
    <m/>
    <m/>
    <x v="0"/>
    <m/>
  </r>
  <r>
    <x v="113"/>
    <x v="2"/>
    <x v="1"/>
    <d v="2017-12-28T00:00:00"/>
    <d v="2020-12-28T00:00:00"/>
    <d v="2020-12-01T00:00:00"/>
    <m/>
    <x v="1"/>
    <x v="0"/>
    <x v="0"/>
    <m/>
    <s v="Change of use from Class C4 (House in Multiple Occupation) to C3 (residential) to provide 1 x 3 bed flat"/>
    <x v="113"/>
    <s v="TW11 8QZ"/>
    <m/>
    <m/>
    <m/>
    <m/>
    <m/>
    <m/>
    <m/>
    <m/>
    <m/>
    <n v="0"/>
    <x v="0"/>
    <m/>
    <m/>
    <n v="1"/>
    <m/>
    <m/>
    <m/>
    <m/>
    <n v="1"/>
    <n v="0"/>
    <n v="0"/>
    <n v="1"/>
    <n v="0"/>
    <n v="0"/>
    <n v="0"/>
    <n v="0"/>
    <m/>
    <m/>
    <n v="1"/>
    <n v="1"/>
    <x v="1"/>
    <m/>
    <n v="1"/>
    <m/>
    <m/>
    <m/>
    <m/>
    <m/>
    <m/>
    <m/>
    <m/>
    <m/>
    <n v="1"/>
    <m/>
    <m/>
    <m/>
    <m/>
    <n v="515625"/>
    <n v="170998"/>
    <x v="13"/>
    <x v="0"/>
    <x v="13"/>
    <x v="4"/>
    <x v="0"/>
    <x v="0"/>
    <m/>
    <m/>
    <m/>
    <x v="0"/>
    <m/>
  </r>
  <r>
    <x v="114"/>
    <x v="4"/>
    <x v="0"/>
    <d v="2018-01-25T00:00:00"/>
    <d v="2021-01-25T00:00:00"/>
    <d v="2021-01-20T00:00:00"/>
    <m/>
    <x v="1"/>
    <x v="0"/>
    <x v="0"/>
    <m/>
    <s v="Proposed roof and side extension to the existing two storey residential building to provide three new apartment units and to increase the size of four of the existing units. Alterations to elevations including balconies at first and second floor."/>
    <x v="114"/>
    <s v="TW9 2JX"/>
    <m/>
    <m/>
    <m/>
    <m/>
    <m/>
    <m/>
    <m/>
    <m/>
    <m/>
    <n v="0"/>
    <x v="0"/>
    <n v="1"/>
    <n v="2"/>
    <m/>
    <m/>
    <m/>
    <m/>
    <m/>
    <n v="3"/>
    <n v="1"/>
    <n v="2"/>
    <n v="0"/>
    <n v="0"/>
    <n v="0"/>
    <n v="0"/>
    <n v="0"/>
    <m/>
    <m/>
    <n v="3"/>
    <n v="3"/>
    <x v="1"/>
    <m/>
    <m/>
    <n v="3"/>
    <m/>
    <m/>
    <m/>
    <m/>
    <m/>
    <m/>
    <m/>
    <m/>
    <n v="3"/>
    <m/>
    <m/>
    <m/>
    <m/>
    <n v="518831"/>
    <n v="175436"/>
    <x v="4"/>
    <x v="0"/>
    <x v="4"/>
    <x v="1"/>
    <x v="0"/>
    <x v="0"/>
    <m/>
    <m/>
    <m/>
    <x v="0"/>
    <m/>
  </r>
  <r>
    <x v="115"/>
    <x v="0"/>
    <x v="0"/>
    <d v="2018-03-15T00:00:00"/>
    <d v="2021-03-15T00:00:00"/>
    <d v="2020-05-04T00:00:00"/>
    <m/>
    <x v="1"/>
    <x v="0"/>
    <x v="0"/>
    <m/>
    <s v="Erection of a 3 storey dwellinghouse with accommodation at basement level, associated landscaping works and rear outbuilding for garage."/>
    <x v="115"/>
    <s v="TW1 3NJ"/>
    <m/>
    <m/>
    <m/>
    <m/>
    <m/>
    <m/>
    <m/>
    <m/>
    <m/>
    <n v="0"/>
    <x v="0"/>
    <m/>
    <m/>
    <m/>
    <n v="1"/>
    <m/>
    <m/>
    <m/>
    <n v="1"/>
    <n v="0"/>
    <n v="0"/>
    <n v="0"/>
    <n v="1"/>
    <n v="0"/>
    <n v="0"/>
    <n v="0"/>
    <m/>
    <m/>
    <n v="1"/>
    <n v="1"/>
    <x v="1"/>
    <m/>
    <n v="1"/>
    <m/>
    <m/>
    <m/>
    <m/>
    <m/>
    <m/>
    <m/>
    <m/>
    <m/>
    <n v="1"/>
    <m/>
    <m/>
    <m/>
    <m/>
    <n v="516426"/>
    <n v="173349"/>
    <x v="10"/>
    <x v="0"/>
    <x v="10"/>
    <x v="0"/>
    <x v="0"/>
    <x v="0"/>
    <m/>
    <m/>
    <m/>
    <x v="1"/>
    <s v="CA8 Twickenham Riverside"/>
  </r>
  <r>
    <x v="116"/>
    <x v="0"/>
    <x v="0"/>
    <d v="2018-03-22T00:00:00"/>
    <d v="2021-03-23T00:00:00"/>
    <d v="2021-02-03T00:00:00"/>
    <m/>
    <x v="1"/>
    <x v="0"/>
    <x v="0"/>
    <m/>
    <s v="Erection of a three-storey building to provide  4 two-bedroom residential units (Class C3) separate refuse facilities and altered parking layout."/>
    <x v="116"/>
    <s v="TW11 0JX"/>
    <m/>
    <m/>
    <m/>
    <m/>
    <m/>
    <m/>
    <m/>
    <m/>
    <m/>
    <n v="0"/>
    <x v="0"/>
    <m/>
    <n v="4"/>
    <m/>
    <m/>
    <m/>
    <m/>
    <m/>
    <n v="4"/>
    <n v="0"/>
    <n v="4"/>
    <n v="0"/>
    <n v="0"/>
    <n v="0"/>
    <n v="0"/>
    <n v="0"/>
    <m/>
    <m/>
    <n v="4"/>
    <n v="4"/>
    <x v="1"/>
    <m/>
    <m/>
    <n v="4"/>
    <m/>
    <m/>
    <m/>
    <m/>
    <m/>
    <m/>
    <m/>
    <m/>
    <n v="4"/>
    <m/>
    <m/>
    <m/>
    <m/>
    <n v="514687"/>
    <n v="171290"/>
    <x v="1"/>
    <x v="0"/>
    <x v="1"/>
    <x v="1"/>
    <x v="0"/>
    <x v="0"/>
    <m/>
    <m/>
    <m/>
    <x v="0"/>
    <m/>
  </r>
  <r>
    <x v="117"/>
    <x v="0"/>
    <x v="0"/>
    <d v="2018-04-03T00:00:00"/>
    <d v="2021-04-03T00:00:00"/>
    <d v="2019-03-01T00:00:00"/>
    <m/>
    <x v="1"/>
    <x v="0"/>
    <x v="0"/>
    <m/>
    <s v="Demolition of the existing 2 storey residential building and single storey garages and erection of a pair of semi-detached, 3 storey (plus basement) 4 bedroom dwellings with associated private gardens and off street parking.  Creation of a new crossover a"/>
    <x v="117"/>
    <s v="SW13 0HX"/>
    <m/>
    <m/>
    <n v="2"/>
    <m/>
    <m/>
    <m/>
    <m/>
    <m/>
    <m/>
    <n v="2"/>
    <x v="0"/>
    <m/>
    <m/>
    <m/>
    <n v="2"/>
    <m/>
    <m/>
    <m/>
    <n v="2"/>
    <n v="0"/>
    <n v="0"/>
    <n v="-2"/>
    <n v="2"/>
    <n v="0"/>
    <n v="0"/>
    <n v="0"/>
    <m/>
    <m/>
    <n v="0"/>
    <n v="0"/>
    <x v="1"/>
    <m/>
    <n v="0"/>
    <m/>
    <m/>
    <m/>
    <m/>
    <m/>
    <m/>
    <m/>
    <m/>
    <m/>
    <n v="0"/>
    <m/>
    <m/>
    <m/>
    <m/>
    <n v="522357"/>
    <n v="175528"/>
    <x v="9"/>
    <x v="0"/>
    <x v="9"/>
    <x v="1"/>
    <x v="0"/>
    <x v="0"/>
    <m/>
    <m/>
    <m/>
    <x v="0"/>
    <m/>
  </r>
  <r>
    <x v="118"/>
    <x v="0"/>
    <x v="0"/>
    <d v="2018-04-13T00:00:00"/>
    <d v="2021-04-13T00:00:00"/>
    <d v="2018-11-30T00:00:00"/>
    <m/>
    <x v="1"/>
    <x v="0"/>
    <x v="0"/>
    <m/>
    <s v="Demolition of existing detached dwelling and construction of a new 2 storey, 5 bedroom dwelling."/>
    <x v="118"/>
    <s v="TW10 7EL"/>
    <m/>
    <m/>
    <n v="1"/>
    <m/>
    <m/>
    <m/>
    <m/>
    <m/>
    <m/>
    <n v="1"/>
    <x v="0"/>
    <m/>
    <m/>
    <m/>
    <m/>
    <n v="1"/>
    <m/>
    <m/>
    <n v="1"/>
    <n v="0"/>
    <n v="0"/>
    <n v="-1"/>
    <n v="0"/>
    <n v="1"/>
    <n v="0"/>
    <n v="0"/>
    <m/>
    <m/>
    <n v="0"/>
    <n v="0"/>
    <x v="1"/>
    <m/>
    <n v="0"/>
    <m/>
    <m/>
    <m/>
    <m/>
    <m/>
    <m/>
    <m/>
    <m/>
    <m/>
    <n v="0"/>
    <m/>
    <m/>
    <m/>
    <m/>
    <n v="517655"/>
    <n v="172610"/>
    <x v="5"/>
    <x v="0"/>
    <x v="5"/>
    <x v="1"/>
    <x v="0"/>
    <x v="0"/>
    <m/>
    <m/>
    <m/>
    <x v="0"/>
    <m/>
  </r>
  <r>
    <x v="119"/>
    <x v="2"/>
    <x v="0"/>
    <d v="2018-04-24T00:00:00"/>
    <d v="2021-04-24T00:00:00"/>
    <d v="2019-10-03T00:00:00"/>
    <m/>
    <x v="1"/>
    <x v="0"/>
    <x v="0"/>
    <m/>
    <s v="Change of use of premises to live/work unit (mixed C3/B1(c) (sui generis)).  First floor extension. Erection of timber screening to existing roof terrace. Alterations to existing elevations."/>
    <x v="119"/>
    <s v="TW2 6QE"/>
    <m/>
    <m/>
    <m/>
    <m/>
    <m/>
    <m/>
    <m/>
    <m/>
    <m/>
    <n v="0"/>
    <x v="0"/>
    <n v="1"/>
    <m/>
    <m/>
    <m/>
    <m/>
    <m/>
    <m/>
    <n v="1"/>
    <n v="1"/>
    <n v="0"/>
    <n v="0"/>
    <n v="0"/>
    <n v="0"/>
    <n v="0"/>
    <n v="0"/>
    <m/>
    <m/>
    <n v="1"/>
    <n v="1"/>
    <x v="1"/>
    <m/>
    <n v="1"/>
    <m/>
    <m/>
    <m/>
    <m/>
    <m/>
    <m/>
    <m/>
    <m/>
    <m/>
    <n v="1"/>
    <m/>
    <m/>
    <m/>
    <m/>
    <n v="515313"/>
    <n v="173179"/>
    <x v="14"/>
    <x v="0"/>
    <x v="14"/>
    <x v="1"/>
    <x v="0"/>
    <x v="0"/>
    <m/>
    <m/>
    <m/>
    <x v="0"/>
    <m/>
  </r>
  <r>
    <x v="120"/>
    <x v="0"/>
    <x v="0"/>
    <d v="2018-04-25T00:00:00"/>
    <d v="2021-04-25T00:00:00"/>
    <d v="2021-03-15T00:00:00"/>
    <m/>
    <x v="1"/>
    <x v="0"/>
    <x v="0"/>
    <m/>
    <s v="Demolition of existing staff accommodation caravans and storage barn and erection of replacement grooms accommodation."/>
    <x v="120"/>
    <s v="TW10 7AH"/>
    <m/>
    <m/>
    <m/>
    <m/>
    <m/>
    <m/>
    <m/>
    <m/>
    <m/>
    <n v="0"/>
    <x v="0"/>
    <m/>
    <m/>
    <n v="1"/>
    <m/>
    <m/>
    <m/>
    <m/>
    <n v="1"/>
    <n v="0"/>
    <n v="0"/>
    <n v="1"/>
    <n v="0"/>
    <n v="0"/>
    <n v="0"/>
    <n v="0"/>
    <m/>
    <m/>
    <n v="1"/>
    <n v="1"/>
    <x v="1"/>
    <m/>
    <n v="1"/>
    <m/>
    <m/>
    <m/>
    <m/>
    <m/>
    <m/>
    <m/>
    <m/>
    <m/>
    <n v="1"/>
    <m/>
    <m/>
    <m/>
    <m/>
    <n v="517808"/>
    <n v="173353"/>
    <x v="5"/>
    <x v="0"/>
    <x v="5"/>
    <x v="1"/>
    <x v="1"/>
    <x v="0"/>
    <m/>
    <m/>
    <s v="Petersham Lodge"/>
    <x v="1"/>
    <s v="CA6 Petersham"/>
  </r>
  <r>
    <x v="121"/>
    <x v="0"/>
    <x v="0"/>
    <d v="2018-07-09T00:00:00"/>
    <d v="2021-07-09T00:00:00"/>
    <d v="2021-02-01T00:00:00"/>
    <m/>
    <x v="1"/>
    <x v="0"/>
    <x v="0"/>
    <m/>
    <s v="Demolition of existing building and erection of part two storey/part four storey building to provide 9 residential flats (6 x one bed, 3 x two bed) and new basement level to facilitate provision of underground parking and associated hard and soft landscap"/>
    <x v="121"/>
    <s v="KT1 4AL"/>
    <m/>
    <m/>
    <n v="1"/>
    <m/>
    <m/>
    <m/>
    <m/>
    <m/>
    <m/>
    <n v="1"/>
    <x v="0"/>
    <n v="6"/>
    <n v="3"/>
    <m/>
    <m/>
    <m/>
    <m/>
    <m/>
    <n v="9"/>
    <n v="6"/>
    <n v="3"/>
    <n v="-1"/>
    <n v="0"/>
    <n v="0"/>
    <n v="0"/>
    <n v="0"/>
    <m/>
    <m/>
    <n v="8"/>
    <n v="8"/>
    <x v="1"/>
    <m/>
    <m/>
    <n v="8"/>
    <m/>
    <m/>
    <m/>
    <m/>
    <m/>
    <m/>
    <m/>
    <m/>
    <n v="8"/>
    <m/>
    <m/>
    <m/>
    <m/>
    <n v="517393"/>
    <n v="169491"/>
    <x v="8"/>
    <x v="0"/>
    <x v="8"/>
    <x v="1"/>
    <x v="0"/>
    <x v="0"/>
    <m/>
    <m/>
    <m/>
    <x v="1"/>
    <s v="CA18 Hampton Wick"/>
  </r>
  <r>
    <x v="122"/>
    <x v="4"/>
    <x v="0"/>
    <d v="2018-08-22T00:00:00"/>
    <d v="2021-08-22T00:00:00"/>
    <d v="2020-09-15T00:00:00"/>
    <m/>
    <x v="1"/>
    <x v="0"/>
    <x v="0"/>
    <m/>
    <s v="Extending the existing retail and residential accommodation to provide a mixed use scheme comprising of one retail unit and 7 new residential dwellings and retention of 3 currently existing residential dwellings, incorporating cycle storage, amenity space"/>
    <x v="122"/>
    <s v="TW12"/>
    <n v="1"/>
    <n v="2"/>
    <m/>
    <m/>
    <m/>
    <m/>
    <m/>
    <m/>
    <m/>
    <n v="3"/>
    <x v="0"/>
    <n v="5"/>
    <n v="5"/>
    <m/>
    <m/>
    <m/>
    <m/>
    <m/>
    <n v="10"/>
    <n v="4"/>
    <n v="3"/>
    <n v="0"/>
    <n v="0"/>
    <n v="0"/>
    <n v="0"/>
    <n v="0"/>
    <m/>
    <m/>
    <n v="7"/>
    <n v="7"/>
    <x v="0"/>
    <m/>
    <n v="7"/>
    <m/>
    <m/>
    <m/>
    <m/>
    <m/>
    <m/>
    <m/>
    <m/>
    <m/>
    <n v="7"/>
    <m/>
    <m/>
    <m/>
    <m/>
    <n v="514440"/>
    <n v="171238"/>
    <x v="1"/>
    <x v="0"/>
    <x v="1"/>
    <x v="1"/>
    <x v="0"/>
    <x v="1"/>
    <s v="High Street, Hampton Hill"/>
    <m/>
    <m/>
    <x v="1"/>
    <s v="CA38 High Street Hampton Hill"/>
  </r>
  <r>
    <x v="123"/>
    <x v="2"/>
    <x v="0"/>
    <d v="2018-09-25T00:00:00"/>
    <d v="2021-09-25T00:00:00"/>
    <d v="2019-10-01T00:00:00"/>
    <m/>
    <x v="1"/>
    <x v="0"/>
    <x v="0"/>
    <m/>
    <s v="Removal of Condition U35386 (Residential-Ancillary Accommodation) and vary condition U35387 (Mixed use A4/C1) of planning permission 17/2301/FUL to exclude the reference to the stable block."/>
    <x v="123"/>
    <s v="TW12 2SJ"/>
    <m/>
    <m/>
    <n v="1"/>
    <m/>
    <m/>
    <m/>
    <m/>
    <m/>
    <m/>
    <n v="1"/>
    <x v="0"/>
    <m/>
    <n v="1"/>
    <m/>
    <m/>
    <m/>
    <m/>
    <m/>
    <n v="1"/>
    <n v="0"/>
    <n v="1"/>
    <n v="-1"/>
    <n v="0"/>
    <n v="0"/>
    <n v="0"/>
    <n v="0"/>
    <m/>
    <m/>
    <n v="0"/>
    <n v="0"/>
    <x v="1"/>
    <m/>
    <n v="0"/>
    <m/>
    <m/>
    <m/>
    <m/>
    <m/>
    <m/>
    <m/>
    <m/>
    <m/>
    <n v="0"/>
    <m/>
    <m/>
    <m/>
    <m/>
    <n v="514005"/>
    <n v="169556"/>
    <x v="15"/>
    <x v="0"/>
    <x v="15"/>
    <x v="1"/>
    <x v="0"/>
    <x v="1"/>
    <s v="Thames Street, Hampton"/>
    <m/>
    <m/>
    <x v="1"/>
    <s v="CA12 Hampton Village"/>
  </r>
  <r>
    <x v="124"/>
    <x v="0"/>
    <x v="0"/>
    <d v="2018-10-04T00:00:00"/>
    <d v="2021-10-04T00:00:00"/>
    <d v="2020-06-23T00:00:00"/>
    <m/>
    <x v="1"/>
    <x v="0"/>
    <x v="0"/>
    <m/>
    <s v="Demolition of existing dwelling and the erection of a replacement two storey, 4 bedroom dwelling"/>
    <x v="124"/>
    <s v="TW10 6HL"/>
    <m/>
    <m/>
    <m/>
    <n v="1"/>
    <m/>
    <m/>
    <m/>
    <m/>
    <m/>
    <n v="1"/>
    <x v="0"/>
    <m/>
    <m/>
    <m/>
    <n v="1"/>
    <m/>
    <m/>
    <m/>
    <n v="1"/>
    <n v="0"/>
    <n v="0"/>
    <n v="0"/>
    <n v="0"/>
    <n v="0"/>
    <n v="0"/>
    <n v="0"/>
    <m/>
    <m/>
    <n v="0"/>
    <n v="0"/>
    <x v="1"/>
    <m/>
    <n v="0"/>
    <m/>
    <m/>
    <m/>
    <m/>
    <m/>
    <m/>
    <m/>
    <m/>
    <m/>
    <n v="0"/>
    <m/>
    <m/>
    <m/>
    <m/>
    <n v="518695"/>
    <n v="174476"/>
    <x v="3"/>
    <x v="0"/>
    <x v="3"/>
    <x v="1"/>
    <x v="0"/>
    <x v="0"/>
    <m/>
    <m/>
    <m/>
    <x v="0"/>
    <m/>
  </r>
  <r>
    <x v="125"/>
    <x v="0"/>
    <x v="0"/>
    <d v="2018-10-11T00:00:00"/>
    <d v="2021-10-11T00:00:00"/>
    <d v="2019-10-14T00:00:00"/>
    <m/>
    <x v="1"/>
    <x v="3"/>
    <x v="0"/>
    <m/>
    <s v="Demolition of the existing building and erection of 2 buildings at single-storey and three-stories to provide 24 affordable residential units (sheltered accommodation for older people of the minimum age of 55) with associated external amenities, communal"/>
    <x v="125"/>
    <s v="TW2 7AL"/>
    <n v="29"/>
    <n v="1"/>
    <m/>
    <m/>
    <m/>
    <m/>
    <m/>
    <m/>
    <m/>
    <n v="30"/>
    <x v="2"/>
    <n v="24"/>
    <m/>
    <m/>
    <m/>
    <m/>
    <m/>
    <m/>
    <n v="24"/>
    <n v="-5"/>
    <n v="-1"/>
    <n v="0"/>
    <n v="0"/>
    <n v="0"/>
    <n v="0"/>
    <n v="0"/>
    <m/>
    <m/>
    <n v="-6"/>
    <n v="-6"/>
    <x v="0"/>
    <m/>
    <m/>
    <n v="-6"/>
    <m/>
    <m/>
    <m/>
    <m/>
    <m/>
    <m/>
    <m/>
    <m/>
    <n v="-6"/>
    <m/>
    <s v="Y"/>
    <s v="Y"/>
    <m/>
    <n v="513257"/>
    <n v="174057"/>
    <x v="17"/>
    <x v="0"/>
    <x v="17"/>
    <x v="1"/>
    <x v="0"/>
    <x v="0"/>
    <m/>
    <m/>
    <m/>
    <x v="0"/>
    <m/>
  </r>
  <r>
    <x v="126"/>
    <x v="0"/>
    <x v="0"/>
    <d v="2018-10-12T00:00:00"/>
    <d v="2021-12-20T00:00:00"/>
    <d v="2020-09-01T00:00:00"/>
    <m/>
    <x v="1"/>
    <x v="0"/>
    <x v="0"/>
    <m/>
    <s v="Subdivision of existing curtilage at 168 Broom Road; alterations to existing garage to the rear of the site comprising single storey side extension; two rear dormer roof extensions; two rooflights to the front roofslope and fenestration alterations to fac"/>
    <x v="126"/>
    <s v="TW11 9PQ"/>
    <m/>
    <m/>
    <m/>
    <m/>
    <m/>
    <m/>
    <m/>
    <m/>
    <m/>
    <n v="0"/>
    <x v="0"/>
    <n v="1"/>
    <m/>
    <m/>
    <m/>
    <m/>
    <m/>
    <m/>
    <n v="1"/>
    <n v="1"/>
    <n v="0"/>
    <n v="0"/>
    <n v="0"/>
    <n v="0"/>
    <n v="0"/>
    <n v="0"/>
    <m/>
    <m/>
    <n v="1"/>
    <n v="1"/>
    <x v="1"/>
    <m/>
    <n v="1"/>
    <m/>
    <m/>
    <m/>
    <m/>
    <m/>
    <m/>
    <m/>
    <m/>
    <m/>
    <n v="1"/>
    <m/>
    <m/>
    <m/>
    <m/>
    <n v="517388"/>
    <n v="170706"/>
    <x v="8"/>
    <x v="1"/>
    <x v="8"/>
    <x v="1"/>
    <x v="0"/>
    <x v="0"/>
    <m/>
    <m/>
    <m/>
    <x v="0"/>
    <m/>
  </r>
  <r>
    <x v="127"/>
    <x v="3"/>
    <x v="0"/>
    <d v="2018-12-05T00:00:00"/>
    <d v="2021-12-05T00:00:00"/>
    <d v="2019-11-11T00:00:00"/>
    <m/>
    <x v="1"/>
    <x v="0"/>
    <x v="0"/>
    <m/>
    <s v="The division of the existing single dwelling on the upper floors into two dwellings. Rear dormer and roof lights to the front roofslope."/>
    <x v="127"/>
    <s v="SW14 7PG"/>
    <m/>
    <m/>
    <m/>
    <n v="1"/>
    <m/>
    <m/>
    <m/>
    <m/>
    <m/>
    <n v="1"/>
    <x v="0"/>
    <n v="1"/>
    <m/>
    <n v="1"/>
    <m/>
    <m/>
    <m/>
    <m/>
    <n v="2"/>
    <n v="1"/>
    <n v="0"/>
    <n v="1"/>
    <n v="-1"/>
    <n v="0"/>
    <n v="0"/>
    <n v="0"/>
    <m/>
    <m/>
    <n v="1"/>
    <n v="1"/>
    <x v="1"/>
    <m/>
    <n v="1"/>
    <m/>
    <m/>
    <m/>
    <m/>
    <m/>
    <m/>
    <m/>
    <m/>
    <m/>
    <n v="1"/>
    <m/>
    <m/>
    <m/>
    <m/>
    <n v="520283"/>
    <n v="175305"/>
    <x v="12"/>
    <x v="0"/>
    <x v="12"/>
    <x v="3"/>
    <x v="0"/>
    <x v="0"/>
    <m/>
    <m/>
    <m/>
    <x v="0"/>
    <m/>
  </r>
  <r>
    <x v="128"/>
    <x v="2"/>
    <x v="0"/>
    <d v="2018-12-21T00:00:00"/>
    <d v="2021-12-21T00:00:00"/>
    <d v="2020-09-01T00:00:00"/>
    <m/>
    <x v="1"/>
    <x v="0"/>
    <x v="0"/>
    <m/>
    <s v="Conversion, refurbishment and extension of existing tyre shop with maisonette above (C3) into two self-contained one bedroom flats (C3)."/>
    <x v="128"/>
    <s v="TW9 2LD"/>
    <n v="1"/>
    <m/>
    <m/>
    <m/>
    <m/>
    <m/>
    <m/>
    <m/>
    <m/>
    <n v="1"/>
    <x v="0"/>
    <n v="2"/>
    <m/>
    <m/>
    <m/>
    <m/>
    <m/>
    <m/>
    <n v="2"/>
    <n v="1"/>
    <n v="0"/>
    <n v="0"/>
    <n v="0"/>
    <n v="0"/>
    <n v="0"/>
    <n v="0"/>
    <m/>
    <m/>
    <n v="1"/>
    <n v="1"/>
    <x v="1"/>
    <m/>
    <n v="1"/>
    <m/>
    <m/>
    <m/>
    <m/>
    <m/>
    <m/>
    <m/>
    <m/>
    <m/>
    <n v="1"/>
    <m/>
    <m/>
    <m/>
    <m/>
    <n v="518862"/>
    <n v="175562"/>
    <x v="4"/>
    <x v="0"/>
    <x v="4"/>
    <x v="1"/>
    <x v="0"/>
    <x v="0"/>
    <m/>
    <m/>
    <m/>
    <x v="0"/>
    <m/>
  </r>
  <r>
    <x v="129"/>
    <x v="2"/>
    <x v="1"/>
    <d v="2018-12-28T00:00:00"/>
    <d v="2021-12-28T00:00:00"/>
    <d v="2021-03-01T00:00:00"/>
    <m/>
    <x v="1"/>
    <x v="0"/>
    <x v="0"/>
    <m/>
    <s v="Change of use from office B1(a) to C3 (Residential) use to provide 1 x 1 bed dwellinghouse."/>
    <x v="129"/>
    <s v="TW11 8SH"/>
    <m/>
    <m/>
    <m/>
    <m/>
    <m/>
    <m/>
    <m/>
    <m/>
    <m/>
    <n v="0"/>
    <x v="0"/>
    <n v="1"/>
    <m/>
    <m/>
    <m/>
    <m/>
    <m/>
    <m/>
    <n v="1"/>
    <n v="1"/>
    <n v="0"/>
    <n v="0"/>
    <n v="0"/>
    <n v="0"/>
    <n v="0"/>
    <n v="0"/>
    <m/>
    <m/>
    <n v="1"/>
    <n v="1"/>
    <x v="1"/>
    <m/>
    <n v="1"/>
    <m/>
    <m/>
    <m/>
    <m/>
    <m/>
    <m/>
    <m/>
    <m/>
    <m/>
    <n v="1"/>
    <m/>
    <m/>
    <m/>
    <m/>
    <n v="515394"/>
    <n v="171656"/>
    <x v="1"/>
    <x v="0"/>
    <x v="1"/>
    <x v="1"/>
    <x v="0"/>
    <x v="0"/>
    <m/>
    <m/>
    <m/>
    <x v="0"/>
    <m/>
  </r>
  <r>
    <x v="130"/>
    <x v="2"/>
    <x v="1"/>
    <d v="2019-01-18T00:00:00"/>
    <d v="2022-01-18T00:00:00"/>
    <d v="2019-11-15T00:00:00"/>
    <d v="2021-07-16T00:00:00"/>
    <x v="1"/>
    <x v="0"/>
    <x v="0"/>
    <m/>
    <s v="Change of use of two detached buildings and the associated curtilage from light industrial use (Class B1(c)) to residential use (Class C3) to provide 7 x 1 bedroom units and 1 x 2 bedroom unit."/>
    <x v="130"/>
    <s v="KT1 4DB"/>
    <m/>
    <m/>
    <m/>
    <m/>
    <m/>
    <m/>
    <m/>
    <m/>
    <m/>
    <n v="0"/>
    <x v="0"/>
    <n v="7"/>
    <n v="1"/>
    <m/>
    <m/>
    <m/>
    <m/>
    <m/>
    <n v="8"/>
    <n v="7"/>
    <n v="1"/>
    <n v="0"/>
    <n v="0"/>
    <n v="0"/>
    <n v="0"/>
    <n v="0"/>
    <m/>
    <m/>
    <n v="8"/>
    <n v="8"/>
    <x v="1"/>
    <m/>
    <n v="8"/>
    <m/>
    <m/>
    <m/>
    <m/>
    <m/>
    <m/>
    <m/>
    <m/>
    <m/>
    <n v="8"/>
    <m/>
    <m/>
    <m/>
    <m/>
    <n v="517565"/>
    <n v="169582"/>
    <x v="8"/>
    <x v="0"/>
    <x v="8"/>
    <x v="1"/>
    <x v="0"/>
    <x v="1"/>
    <s v="Hampton Wick"/>
    <m/>
    <m/>
    <x v="1"/>
    <s v="CA18 Hampton Wick"/>
  </r>
  <r>
    <x v="131"/>
    <x v="2"/>
    <x v="0"/>
    <d v="2019-03-08T00:00:00"/>
    <d v="2022-03-08T00:00:00"/>
    <d v="2019-03-29T00:00:00"/>
    <m/>
    <x v="1"/>
    <x v="0"/>
    <x v="0"/>
    <m/>
    <s v="Change of use of ancillary A3 accommodation on 1st and 2nd floors to create 1No. 3bed self-contained flat (C3 use) and installation of a rear door and railings at first floor level."/>
    <x v="131"/>
    <s v="TW11 8EW"/>
    <m/>
    <m/>
    <m/>
    <m/>
    <m/>
    <m/>
    <m/>
    <m/>
    <m/>
    <n v="0"/>
    <x v="0"/>
    <m/>
    <m/>
    <n v="1"/>
    <m/>
    <m/>
    <m/>
    <m/>
    <n v="1"/>
    <n v="0"/>
    <n v="0"/>
    <n v="1"/>
    <n v="0"/>
    <n v="0"/>
    <n v="0"/>
    <n v="0"/>
    <m/>
    <m/>
    <n v="1"/>
    <n v="1"/>
    <x v="1"/>
    <m/>
    <n v="1"/>
    <m/>
    <m/>
    <m/>
    <m/>
    <m/>
    <m/>
    <m/>
    <m/>
    <m/>
    <n v="1"/>
    <m/>
    <m/>
    <m/>
    <m/>
    <n v="516022"/>
    <n v="171099"/>
    <x v="13"/>
    <x v="0"/>
    <x v="13"/>
    <x v="4"/>
    <x v="0"/>
    <x v="0"/>
    <m/>
    <m/>
    <m/>
    <x v="1"/>
    <s v="CA37 High Street Teddington"/>
  </r>
  <r>
    <x v="132"/>
    <x v="2"/>
    <x v="1"/>
    <d v="2019-03-12T00:00:00"/>
    <d v="2022-03-13T00:00:00"/>
    <d v="2019-04-01T00:00:00"/>
    <d v="2021-05-05T00:00:00"/>
    <x v="1"/>
    <x v="0"/>
    <x v="0"/>
    <m/>
    <s v="Change of use from B1(a) Office use to C3 Residential use to provide 3 x 1 bed and 1 x 2 bed flats with associated internal refuse and cycle storage."/>
    <x v="132"/>
    <s v="TW2 6QL"/>
    <m/>
    <m/>
    <m/>
    <m/>
    <m/>
    <m/>
    <m/>
    <m/>
    <m/>
    <n v="0"/>
    <x v="0"/>
    <n v="3"/>
    <n v="1"/>
    <m/>
    <m/>
    <m/>
    <m/>
    <m/>
    <n v="4"/>
    <n v="3"/>
    <n v="1"/>
    <n v="0"/>
    <n v="0"/>
    <n v="0"/>
    <n v="0"/>
    <n v="0"/>
    <m/>
    <m/>
    <n v="4"/>
    <n v="4"/>
    <x v="1"/>
    <m/>
    <n v="4"/>
    <m/>
    <m/>
    <m/>
    <m/>
    <m/>
    <m/>
    <m/>
    <m/>
    <m/>
    <n v="4"/>
    <m/>
    <m/>
    <m/>
    <m/>
    <n v="515383"/>
    <n v="173139"/>
    <x v="14"/>
    <x v="0"/>
    <x v="14"/>
    <x v="1"/>
    <x v="0"/>
    <x v="0"/>
    <m/>
    <m/>
    <m/>
    <x v="0"/>
    <m/>
  </r>
  <r>
    <x v="133"/>
    <x v="2"/>
    <x v="1"/>
    <d v="2019-03-19T00:00:00"/>
    <d v="2022-03-19T00:00:00"/>
    <d v="2020-07-01T00:00:00"/>
    <m/>
    <x v="1"/>
    <x v="0"/>
    <x v="0"/>
    <m/>
    <s v="Change of use from B1 (Offices) to C3(a) (Dwellings) (2 x 2 bed)."/>
    <x v="133"/>
    <s v="SW13 9JJ"/>
    <m/>
    <m/>
    <m/>
    <m/>
    <m/>
    <m/>
    <m/>
    <m/>
    <m/>
    <n v="0"/>
    <x v="0"/>
    <m/>
    <n v="2"/>
    <m/>
    <m/>
    <m/>
    <m/>
    <m/>
    <n v="2"/>
    <n v="0"/>
    <n v="2"/>
    <n v="0"/>
    <n v="0"/>
    <n v="0"/>
    <n v="0"/>
    <n v="0"/>
    <m/>
    <m/>
    <n v="2"/>
    <n v="2"/>
    <x v="1"/>
    <m/>
    <m/>
    <n v="2"/>
    <m/>
    <m/>
    <m/>
    <m/>
    <m/>
    <m/>
    <m/>
    <m/>
    <n v="2"/>
    <m/>
    <m/>
    <m/>
    <m/>
    <n v="522531"/>
    <n v="177884"/>
    <x v="6"/>
    <x v="0"/>
    <x v="6"/>
    <x v="1"/>
    <x v="0"/>
    <x v="0"/>
    <m/>
    <m/>
    <m/>
    <x v="1"/>
    <s v="CA25 Castelnau"/>
  </r>
  <r>
    <x v="134"/>
    <x v="2"/>
    <x v="0"/>
    <d v="2019-03-26T00:00:00"/>
    <d v="2022-03-26T00:00:00"/>
    <d v="2020-01-13T00:00:00"/>
    <m/>
    <x v="1"/>
    <x v="0"/>
    <x v="0"/>
    <m/>
    <s v="Demolition of two existing workshop buildings. Change of use from current vacant B1 use to C3. Construction of 2No. semi-detached 5-bedroom family houses consisting of 2 storeys plus loft space with integral garaging.  Associated hard &amp; soft landscaping t"/>
    <x v="134"/>
    <s v="TW12 2AE"/>
    <m/>
    <m/>
    <m/>
    <m/>
    <m/>
    <m/>
    <m/>
    <m/>
    <m/>
    <n v="0"/>
    <x v="0"/>
    <m/>
    <m/>
    <m/>
    <m/>
    <n v="2"/>
    <m/>
    <m/>
    <n v="2"/>
    <n v="0"/>
    <n v="0"/>
    <n v="0"/>
    <n v="0"/>
    <n v="2"/>
    <n v="0"/>
    <n v="0"/>
    <m/>
    <m/>
    <n v="2"/>
    <n v="2"/>
    <x v="1"/>
    <m/>
    <m/>
    <n v="2"/>
    <m/>
    <m/>
    <m/>
    <m/>
    <m/>
    <m/>
    <m/>
    <m/>
    <n v="2"/>
    <m/>
    <m/>
    <m/>
    <m/>
    <n v="513264"/>
    <n v="169738"/>
    <x v="15"/>
    <x v="0"/>
    <x v="15"/>
    <x v="1"/>
    <x v="0"/>
    <x v="0"/>
    <m/>
    <m/>
    <m/>
    <x v="0"/>
    <m/>
  </r>
  <r>
    <x v="135"/>
    <x v="2"/>
    <x v="0"/>
    <d v="2019-07-15T00:00:00"/>
    <d v="2022-07-15T00:00:00"/>
    <d v="2021-02-22T00:00:00"/>
    <m/>
    <x v="1"/>
    <x v="1"/>
    <x v="0"/>
    <m/>
    <s v="(1) Conversion of the existing health facilities (use class D1) to a mixed-use development providing 71 no. residential apartments (use class C3) and 500 sqm of D1 (Health) floorspace.  _x000d_(2) Restoration, alteration, extensions and demolition (mainly of la"/>
    <x v="135"/>
    <s v="TW9 2TE"/>
    <m/>
    <m/>
    <m/>
    <m/>
    <m/>
    <m/>
    <m/>
    <m/>
    <m/>
    <n v="0"/>
    <x v="2"/>
    <m/>
    <n v="7"/>
    <n v="3"/>
    <n v="1"/>
    <m/>
    <m/>
    <m/>
    <n v="11"/>
    <n v="0"/>
    <n v="7"/>
    <n v="3"/>
    <n v="1"/>
    <n v="0"/>
    <n v="0"/>
    <n v="0"/>
    <m/>
    <m/>
    <n v="11"/>
    <n v="11"/>
    <x v="0"/>
    <m/>
    <m/>
    <n v="5.5"/>
    <n v="5.5"/>
    <m/>
    <m/>
    <m/>
    <m/>
    <m/>
    <m/>
    <m/>
    <n v="11"/>
    <m/>
    <m/>
    <m/>
    <m/>
    <n v="518144"/>
    <n v="175553"/>
    <x v="4"/>
    <x v="0"/>
    <x v="4"/>
    <x v="1"/>
    <x v="0"/>
    <x v="0"/>
    <m/>
    <m/>
    <m/>
    <x v="1"/>
    <s v="CA36 Kew Foot Road"/>
  </r>
  <r>
    <x v="135"/>
    <x v="2"/>
    <x v="0"/>
    <d v="2019-07-15T00:00:00"/>
    <d v="2022-07-15T00:00:00"/>
    <d v="2021-02-22T00:00:00"/>
    <m/>
    <x v="1"/>
    <x v="2"/>
    <x v="0"/>
    <m/>
    <s v="(1) Conversion of the existing health facilities (use class D1) to a mixed-use development providing 71 no. residential apartments (use class C3) and 500 sqm of D1 (Health) floorspace.  _x000d_(2) Restoration, alteration, extensions and demolition (mainly of la"/>
    <x v="135"/>
    <s v="TW9 2TE"/>
    <m/>
    <m/>
    <m/>
    <m/>
    <m/>
    <m/>
    <m/>
    <m/>
    <m/>
    <n v="0"/>
    <x v="2"/>
    <n v="4"/>
    <m/>
    <m/>
    <m/>
    <m/>
    <m/>
    <m/>
    <n v="4"/>
    <n v="4"/>
    <n v="0"/>
    <n v="0"/>
    <n v="0"/>
    <n v="0"/>
    <n v="0"/>
    <n v="0"/>
    <m/>
    <m/>
    <n v="4"/>
    <n v="4"/>
    <x v="0"/>
    <m/>
    <m/>
    <n v="2"/>
    <n v="2"/>
    <m/>
    <m/>
    <m/>
    <m/>
    <m/>
    <m/>
    <m/>
    <n v="4"/>
    <m/>
    <m/>
    <m/>
    <m/>
    <n v="518144"/>
    <n v="175553"/>
    <x v="4"/>
    <x v="0"/>
    <x v="4"/>
    <x v="1"/>
    <x v="0"/>
    <x v="0"/>
    <m/>
    <m/>
    <m/>
    <x v="1"/>
    <s v="CA36 Kew Foot Road"/>
  </r>
  <r>
    <x v="135"/>
    <x v="2"/>
    <x v="0"/>
    <d v="2019-07-15T00:00:00"/>
    <d v="2022-07-15T00:00:00"/>
    <d v="2021-02-22T00:00:00"/>
    <m/>
    <x v="1"/>
    <x v="0"/>
    <x v="0"/>
    <m/>
    <s v="(1) Conversion of the existing health facilities (use class D1) to a mixed-use development providing 71 no. residential apartments (use class C3) and 500 sqm of D1 (Health) floorspace.  _x000d_(2) Restoration, alteration, extensions and demolition (mainly of la"/>
    <x v="135"/>
    <s v="TW9 2TE"/>
    <m/>
    <m/>
    <m/>
    <m/>
    <m/>
    <m/>
    <m/>
    <m/>
    <m/>
    <n v="0"/>
    <x v="0"/>
    <n v="22"/>
    <n v="30"/>
    <n v="2"/>
    <n v="2"/>
    <m/>
    <m/>
    <m/>
    <n v="56"/>
    <n v="22"/>
    <n v="30"/>
    <n v="2"/>
    <n v="2"/>
    <n v="0"/>
    <n v="0"/>
    <n v="0"/>
    <m/>
    <m/>
    <n v="56"/>
    <n v="56"/>
    <x v="0"/>
    <m/>
    <m/>
    <n v="28"/>
    <n v="28"/>
    <m/>
    <m/>
    <m/>
    <m/>
    <m/>
    <m/>
    <m/>
    <n v="56"/>
    <m/>
    <m/>
    <m/>
    <m/>
    <n v="518144"/>
    <n v="175553"/>
    <x v="4"/>
    <x v="0"/>
    <x v="4"/>
    <x v="1"/>
    <x v="0"/>
    <x v="0"/>
    <m/>
    <m/>
    <m/>
    <x v="1"/>
    <s v="CA36 Kew Foot Road"/>
  </r>
  <r>
    <x v="136"/>
    <x v="0"/>
    <x v="0"/>
    <d v="2019-07-25T00:00:00"/>
    <d v="2022-07-25T00:00:00"/>
    <d v="2021-01-28T00:00:00"/>
    <m/>
    <x v="1"/>
    <x v="0"/>
    <x v="0"/>
    <m/>
    <s v="Demolition of existing garage compound and erection of one detached dwelling with 2 parking spaces, turning area, landscaping and tree planting."/>
    <x v="136"/>
    <s v="SW13 0JT"/>
    <m/>
    <m/>
    <m/>
    <m/>
    <m/>
    <m/>
    <m/>
    <m/>
    <m/>
    <n v="0"/>
    <x v="0"/>
    <m/>
    <m/>
    <n v="1"/>
    <m/>
    <m/>
    <m/>
    <m/>
    <n v="1"/>
    <n v="0"/>
    <n v="0"/>
    <n v="1"/>
    <n v="0"/>
    <n v="0"/>
    <n v="0"/>
    <n v="0"/>
    <m/>
    <m/>
    <n v="1"/>
    <n v="1"/>
    <x v="1"/>
    <m/>
    <n v="1"/>
    <m/>
    <m/>
    <m/>
    <m/>
    <m/>
    <m/>
    <m/>
    <m/>
    <m/>
    <n v="1"/>
    <m/>
    <m/>
    <m/>
    <m/>
    <n v="521611"/>
    <n v="175705"/>
    <x v="9"/>
    <x v="0"/>
    <x v="9"/>
    <x v="1"/>
    <x v="0"/>
    <x v="0"/>
    <m/>
    <m/>
    <m/>
    <x v="0"/>
    <m/>
  </r>
  <r>
    <x v="137"/>
    <x v="3"/>
    <x v="0"/>
    <d v="2019-08-02T00:00:00"/>
    <d v="2022-08-02T00:00:00"/>
    <d v="2020-02-11T00:00:00"/>
    <m/>
    <x v="1"/>
    <x v="0"/>
    <x v="0"/>
    <s v="20/0350/IN"/>
    <s v="Two-storey side/rear extension with accommodation in the roof, removal of external staircase to facilitate the conversion of existing dwellinghouse into 7 self-contained flats (4 x 1 bed and 3 x 2 bed) and associated cycle and refuse stores."/>
    <x v="137"/>
    <s v="KT1 4AL"/>
    <m/>
    <m/>
    <m/>
    <m/>
    <m/>
    <m/>
    <m/>
    <m/>
    <n v="1"/>
    <n v="1"/>
    <x v="0"/>
    <n v="4"/>
    <n v="3"/>
    <m/>
    <m/>
    <m/>
    <m/>
    <m/>
    <n v="7"/>
    <n v="4"/>
    <n v="3"/>
    <n v="0"/>
    <n v="0"/>
    <n v="0"/>
    <n v="0"/>
    <n v="0"/>
    <m/>
    <n v="-1"/>
    <n v="6"/>
    <n v="6"/>
    <x v="1"/>
    <m/>
    <n v="6"/>
    <m/>
    <m/>
    <m/>
    <m/>
    <m/>
    <m/>
    <m/>
    <m/>
    <m/>
    <n v="6"/>
    <m/>
    <m/>
    <m/>
    <m/>
    <n v="517453"/>
    <n v="169423"/>
    <x v="8"/>
    <x v="0"/>
    <x v="8"/>
    <x v="1"/>
    <x v="0"/>
    <x v="1"/>
    <s v="Hampton Wick"/>
    <m/>
    <m/>
    <x v="1"/>
    <s v="CA18 Hampton Wick"/>
  </r>
  <r>
    <x v="138"/>
    <x v="0"/>
    <x v="0"/>
    <d v="2019-08-13T00:00:00"/>
    <d v="2022-08-13T00:00:00"/>
    <d v="2021-03-31T00:00:00"/>
    <m/>
    <x v="1"/>
    <x v="1"/>
    <x v="0"/>
    <m/>
    <s v="SITE A:-Removal of 40 garages. Create a short terrace of high quality two storey houses consisting of three x  three-bedroom houses and two x  four-bedroom houses. Provision of 16 parking spaces in a shared surface courtyard"/>
    <x v="138"/>
    <s v="TW11"/>
    <m/>
    <m/>
    <m/>
    <m/>
    <m/>
    <m/>
    <m/>
    <m/>
    <m/>
    <n v="0"/>
    <x v="2"/>
    <m/>
    <m/>
    <n v="3"/>
    <n v="2"/>
    <m/>
    <m/>
    <m/>
    <n v="5"/>
    <n v="0"/>
    <n v="0"/>
    <n v="3"/>
    <n v="2"/>
    <n v="0"/>
    <n v="0"/>
    <n v="0"/>
    <m/>
    <m/>
    <n v="5"/>
    <n v="5"/>
    <x v="1"/>
    <m/>
    <m/>
    <n v="5"/>
    <m/>
    <m/>
    <m/>
    <m/>
    <m/>
    <m/>
    <m/>
    <m/>
    <n v="5"/>
    <m/>
    <m/>
    <m/>
    <m/>
    <n v="517328"/>
    <n v="170954"/>
    <x v="8"/>
    <x v="0"/>
    <x v="8"/>
    <x v="1"/>
    <x v="0"/>
    <x v="0"/>
    <m/>
    <m/>
    <m/>
    <x v="0"/>
    <m/>
  </r>
  <r>
    <x v="139"/>
    <x v="0"/>
    <x v="0"/>
    <d v="2019-08-13T00:00:00"/>
    <d v="2022-08-13T00:00:00"/>
    <d v="2021-03-31T00:00:00"/>
    <m/>
    <x v="1"/>
    <x v="1"/>
    <x v="0"/>
    <m/>
    <s v="SITE B_x000d_The site is currently an open parking court of approximately 28 spaces accessed from Bucklands Road. Create a pair of semi-detached high quality four-bedroom houses._x000d_-Provision of 24 car parking spaces"/>
    <x v="139"/>
    <s v="TW11"/>
    <m/>
    <m/>
    <m/>
    <m/>
    <m/>
    <m/>
    <m/>
    <m/>
    <m/>
    <n v="0"/>
    <x v="2"/>
    <m/>
    <m/>
    <m/>
    <n v="2"/>
    <m/>
    <m/>
    <m/>
    <n v="2"/>
    <n v="0"/>
    <n v="0"/>
    <n v="0"/>
    <n v="2"/>
    <n v="0"/>
    <n v="0"/>
    <n v="0"/>
    <m/>
    <m/>
    <n v="2"/>
    <n v="2"/>
    <x v="1"/>
    <m/>
    <m/>
    <n v="2"/>
    <m/>
    <m/>
    <m/>
    <m/>
    <m/>
    <m/>
    <m/>
    <m/>
    <n v="2"/>
    <m/>
    <m/>
    <m/>
    <m/>
    <n v="517351"/>
    <n v="170884"/>
    <x v="8"/>
    <x v="0"/>
    <x v="8"/>
    <x v="1"/>
    <x v="0"/>
    <x v="0"/>
    <m/>
    <m/>
    <m/>
    <x v="0"/>
    <m/>
  </r>
  <r>
    <x v="140"/>
    <x v="3"/>
    <x v="0"/>
    <d v="2019-08-21T00:00:00"/>
    <d v="2022-08-21T00:00:00"/>
    <d v="2019-11-04T00:00:00"/>
    <m/>
    <x v="1"/>
    <x v="0"/>
    <x v="0"/>
    <m/>
    <s v="Convert 2 flats back to one family house. Proposed pitched side infill extension adjacent neighbouring infill extension with glazed rooflight. Proposed loft conversion with full width rear dormer, partial dormer to outrigger and rooflights."/>
    <x v="140"/>
    <s v="TW9 2HA"/>
    <n v="1"/>
    <n v="1"/>
    <m/>
    <m/>
    <m/>
    <m/>
    <m/>
    <m/>
    <m/>
    <n v="2"/>
    <x v="0"/>
    <m/>
    <m/>
    <m/>
    <m/>
    <n v="1"/>
    <m/>
    <m/>
    <n v="1"/>
    <n v="-1"/>
    <n v="-1"/>
    <n v="0"/>
    <n v="0"/>
    <n v="1"/>
    <n v="0"/>
    <n v="0"/>
    <m/>
    <m/>
    <n v="-1"/>
    <n v="-1"/>
    <x v="1"/>
    <m/>
    <n v="-1"/>
    <m/>
    <m/>
    <m/>
    <m/>
    <m/>
    <m/>
    <m/>
    <m/>
    <m/>
    <n v="-1"/>
    <m/>
    <m/>
    <m/>
    <m/>
    <n v="518458"/>
    <n v="175501"/>
    <x v="4"/>
    <x v="0"/>
    <x v="4"/>
    <x v="1"/>
    <x v="0"/>
    <x v="0"/>
    <m/>
    <m/>
    <m/>
    <x v="0"/>
    <m/>
  </r>
  <r>
    <x v="141"/>
    <x v="2"/>
    <x v="1"/>
    <d v="2019-08-29T00:00:00"/>
    <d v="2022-08-29T00:00:00"/>
    <d v="2020-09-01T00:00:00"/>
    <m/>
    <x v="1"/>
    <x v="0"/>
    <x v="0"/>
    <m/>
    <s v="Change of use of property from B1(c) light industrial use to C3 residential (1x2 bedroom house)"/>
    <x v="141"/>
    <s v="TW12 1QF"/>
    <m/>
    <m/>
    <m/>
    <m/>
    <m/>
    <m/>
    <m/>
    <m/>
    <m/>
    <n v="0"/>
    <x v="0"/>
    <m/>
    <n v="1"/>
    <m/>
    <m/>
    <m/>
    <m/>
    <m/>
    <n v="1"/>
    <n v="0"/>
    <n v="1"/>
    <n v="0"/>
    <n v="0"/>
    <n v="0"/>
    <n v="0"/>
    <n v="0"/>
    <m/>
    <m/>
    <n v="1"/>
    <n v="1"/>
    <x v="1"/>
    <m/>
    <n v="1"/>
    <m/>
    <m/>
    <m/>
    <m/>
    <m/>
    <m/>
    <m/>
    <m/>
    <m/>
    <n v="1"/>
    <m/>
    <m/>
    <m/>
    <m/>
    <n v="514191"/>
    <n v="170734"/>
    <x v="1"/>
    <x v="0"/>
    <x v="1"/>
    <x v="1"/>
    <x v="0"/>
    <x v="1"/>
    <s v="High Street, Hampton Hill"/>
    <m/>
    <m/>
    <x v="0"/>
    <m/>
  </r>
  <r>
    <x v="142"/>
    <x v="3"/>
    <x v="0"/>
    <d v="2019-09-23T00:00:00"/>
    <d v="2022-09-23T00:00:00"/>
    <d v="2020-05-01T00:00:00"/>
    <d v="2021-06-14T00:00:00"/>
    <x v="1"/>
    <x v="0"/>
    <x v="0"/>
    <m/>
    <s v="Replacement mansard roof and two dormers to rear elevation, erection of new front elevation dormer, blocking up of existing front elevation rooflight, enlargement of existing basement area, creation of rear basement terrace, ground floor extension, and erection of front garden wall to facilitate the reversion of existing block of two maisonettes to a single dwelling house"/>
    <x v="142"/>
    <s v="SW13 9QE"/>
    <n v="1"/>
    <m/>
    <m/>
    <n v="1"/>
    <m/>
    <m/>
    <m/>
    <m/>
    <m/>
    <n v="2"/>
    <x v="0"/>
    <m/>
    <m/>
    <m/>
    <m/>
    <m/>
    <n v="1"/>
    <m/>
    <n v="1"/>
    <n v="-1"/>
    <n v="0"/>
    <n v="0"/>
    <n v="-1"/>
    <n v="0"/>
    <n v="1"/>
    <n v="0"/>
    <m/>
    <m/>
    <n v="-1"/>
    <n v="-1"/>
    <x v="1"/>
    <m/>
    <n v="-1"/>
    <m/>
    <m/>
    <m/>
    <m/>
    <m/>
    <m/>
    <m/>
    <m/>
    <m/>
    <n v="-1"/>
    <m/>
    <m/>
    <m/>
    <m/>
    <n v="521753"/>
    <n v="176604"/>
    <x v="6"/>
    <x v="0"/>
    <x v="6"/>
    <x v="1"/>
    <x v="0"/>
    <x v="0"/>
    <m/>
    <m/>
    <m/>
    <x v="0"/>
    <m/>
  </r>
  <r>
    <x v="143"/>
    <x v="2"/>
    <x v="1"/>
    <d v="2019-09-30T00:00:00"/>
    <d v="2022-09-30T00:00:00"/>
    <d v="2020-02-17T00:00:00"/>
    <m/>
    <x v="1"/>
    <x v="0"/>
    <x v="0"/>
    <m/>
    <s v="Partial change of use from office to residential (4 No flats)."/>
    <x v="143"/>
    <s v="TW1 2LH"/>
    <m/>
    <m/>
    <m/>
    <m/>
    <m/>
    <m/>
    <m/>
    <m/>
    <m/>
    <n v="0"/>
    <x v="0"/>
    <m/>
    <n v="4"/>
    <m/>
    <m/>
    <m/>
    <m/>
    <m/>
    <n v="4"/>
    <n v="0"/>
    <n v="4"/>
    <n v="0"/>
    <n v="0"/>
    <n v="0"/>
    <n v="0"/>
    <n v="0"/>
    <m/>
    <m/>
    <n v="4"/>
    <n v="4"/>
    <x v="1"/>
    <m/>
    <n v="4"/>
    <m/>
    <m/>
    <m/>
    <m/>
    <m/>
    <m/>
    <m/>
    <m/>
    <m/>
    <n v="4"/>
    <m/>
    <m/>
    <m/>
    <m/>
    <n v="516843"/>
    <n v="174266"/>
    <x v="0"/>
    <x v="0"/>
    <x v="0"/>
    <x v="1"/>
    <x v="0"/>
    <x v="1"/>
    <s v="St Margarets"/>
    <m/>
    <m/>
    <x v="1"/>
    <s v="CA49 Crown Road St Margarets"/>
  </r>
  <r>
    <x v="144"/>
    <x v="0"/>
    <x v="0"/>
    <d v="2019-10-11T00:00:00"/>
    <d v="2022-10-11T00:00:00"/>
    <d v="2019-10-16T00:00:00"/>
    <m/>
    <x v="1"/>
    <x v="0"/>
    <x v="0"/>
    <m/>
    <s v="Non-material amendment to condition U10926 (NS11 - Building Regulations) of planning permission 15/5217/FUL to allow for change in wording of condition to state:  'Prior to the commencement of works above slab level, a scheme shall be submitted to and app"/>
    <x v="144"/>
    <m/>
    <m/>
    <m/>
    <m/>
    <m/>
    <m/>
    <m/>
    <m/>
    <m/>
    <m/>
    <n v="0"/>
    <x v="0"/>
    <m/>
    <n v="2"/>
    <n v="5"/>
    <m/>
    <m/>
    <n v="2"/>
    <m/>
    <n v="9"/>
    <n v="0"/>
    <n v="2"/>
    <n v="5"/>
    <n v="0"/>
    <n v="0"/>
    <n v="2"/>
    <n v="0"/>
    <m/>
    <m/>
    <n v="9"/>
    <n v="9"/>
    <x v="1"/>
    <m/>
    <n v="9"/>
    <m/>
    <m/>
    <m/>
    <m/>
    <m/>
    <m/>
    <m/>
    <m/>
    <m/>
    <n v="9"/>
    <m/>
    <m/>
    <m/>
    <m/>
    <n v="518559"/>
    <n v="174698"/>
    <x v="3"/>
    <x v="0"/>
    <x v="3"/>
    <x v="1"/>
    <x v="0"/>
    <x v="0"/>
    <m/>
    <m/>
    <m/>
    <x v="1"/>
    <s v="CA30 St Matthias Richmond"/>
  </r>
  <r>
    <x v="145"/>
    <x v="0"/>
    <x v="0"/>
    <d v="2019-10-16T00:00:00"/>
    <d v="2022-10-16T00:00:00"/>
    <d v="2021-03-23T00:00:00"/>
    <m/>
    <x v="1"/>
    <x v="0"/>
    <x v="0"/>
    <m/>
    <s v="Minor material amendment to application ref 16/3290/FUL (Partial demolition of an existing building and the creation of 3 new dwelling houses and associated works) by variation of appeal decision condition 2 (approved drawing numbers) to allow for externa"/>
    <x v="145"/>
    <s v="TW10 6AS"/>
    <m/>
    <n v="2"/>
    <n v="1"/>
    <m/>
    <m/>
    <m/>
    <m/>
    <m/>
    <m/>
    <n v="3"/>
    <x v="0"/>
    <m/>
    <m/>
    <m/>
    <n v="3"/>
    <m/>
    <m/>
    <m/>
    <n v="3"/>
    <n v="0"/>
    <n v="-2"/>
    <n v="-1"/>
    <n v="3"/>
    <n v="0"/>
    <n v="0"/>
    <n v="0"/>
    <m/>
    <m/>
    <n v="0"/>
    <n v="0"/>
    <x v="1"/>
    <m/>
    <n v="0"/>
    <m/>
    <m/>
    <m/>
    <m/>
    <m/>
    <m/>
    <m/>
    <m/>
    <m/>
    <n v="0"/>
    <m/>
    <m/>
    <m/>
    <m/>
    <n v="518209"/>
    <n v="174625"/>
    <x v="3"/>
    <x v="0"/>
    <x v="3"/>
    <x v="1"/>
    <x v="0"/>
    <x v="0"/>
    <m/>
    <m/>
    <m/>
    <x v="1"/>
    <s v="CA30 St Matthias Richmond"/>
  </r>
  <r>
    <x v="146"/>
    <x v="2"/>
    <x v="1"/>
    <d v="2019-11-05T00:00:00"/>
    <d v="2022-07-05T00:00:00"/>
    <d v="2020-05-20T00:00:00"/>
    <m/>
    <x v="1"/>
    <x v="0"/>
    <x v="0"/>
    <m/>
    <s v="Change of use of the ground and basement from B1(a) office use, to Class C3 (dwellinghouse) as a single self-contained 3 bedroom flat."/>
    <x v="146"/>
    <s v="SW13 0JL"/>
    <m/>
    <m/>
    <m/>
    <m/>
    <m/>
    <m/>
    <m/>
    <m/>
    <m/>
    <n v="0"/>
    <x v="0"/>
    <m/>
    <m/>
    <n v="1"/>
    <m/>
    <m/>
    <m/>
    <m/>
    <n v="1"/>
    <n v="0"/>
    <n v="0"/>
    <n v="1"/>
    <n v="0"/>
    <n v="0"/>
    <n v="0"/>
    <n v="0"/>
    <m/>
    <m/>
    <n v="1"/>
    <n v="1"/>
    <x v="1"/>
    <m/>
    <n v="1"/>
    <m/>
    <m/>
    <m/>
    <m/>
    <m/>
    <m/>
    <m/>
    <m/>
    <m/>
    <n v="1"/>
    <m/>
    <m/>
    <m/>
    <m/>
    <n v="521408"/>
    <n v="175714"/>
    <x v="9"/>
    <x v="0"/>
    <x v="9"/>
    <x v="1"/>
    <x v="0"/>
    <x v="0"/>
    <m/>
    <m/>
    <m/>
    <x v="1"/>
    <s v="CA53 White Hart Lane Mortlake"/>
  </r>
  <r>
    <x v="147"/>
    <x v="0"/>
    <x v="0"/>
    <d v="2019-11-11T00:00:00"/>
    <d v="2022-11-11T00:00:00"/>
    <d v="2020-04-14T00:00:00"/>
    <m/>
    <x v="1"/>
    <x v="0"/>
    <x v="0"/>
    <m/>
    <s v="Demolition of existing dwelling and construction of two-storey five-bedroom (10-Person) dwelling with basement and associated landscaping and refuse/recycling and cycle storage."/>
    <x v="147"/>
    <s v="TW9 4AL"/>
    <m/>
    <m/>
    <m/>
    <m/>
    <n v="1"/>
    <m/>
    <m/>
    <m/>
    <m/>
    <n v="1"/>
    <x v="0"/>
    <m/>
    <m/>
    <m/>
    <m/>
    <n v="1"/>
    <m/>
    <m/>
    <n v="1"/>
    <n v="0"/>
    <n v="0"/>
    <n v="0"/>
    <n v="0"/>
    <n v="0"/>
    <n v="0"/>
    <n v="0"/>
    <m/>
    <m/>
    <n v="0"/>
    <n v="0"/>
    <x v="1"/>
    <m/>
    <n v="0"/>
    <m/>
    <m/>
    <m/>
    <m/>
    <m/>
    <m/>
    <m/>
    <m/>
    <m/>
    <n v="0"/>
    <m/>
    <m/>
    <m/>
    <m/>
    <n v="519487"/>
    <n v="176661"/>
    <x v="7"/>
    <x v="0"/>
    <x v="7"/>
    <x v="1"/>
    <x v="0"/>
    <x v="0"/>
    <m/>
    <m/>
    <m/>
    <x v="0"/>
    <m/>
  </r>
  <r>
    <x v="148"/>
    <x v="0"/>
    <x v="0"/>
    <d v="2019-12-05T00:00:00"/>
    <d v="2022-12-05T00:00:00"/>
    <d v="2021-03-31T00:00:00"/>
    <m/>
    <x v="1"/>
    <x v="0"/>
    <x v="0"/>
    <m/>
    <s v="Erection of two-storey detached dwellinghouse and basement with sunken courtyard and green wall.  New brick wall and pedestrian gate to Popes Avenue frontage, new parking and hard and soft landscaping."/>
    <x v="148"/>
    <s v="TW2 5SL"/>
    <m/>
    <m/>
    <m/>
    <m/>
    <m/>
    <m/>
    <m/>
    <m/>
    <m/>
    <n v="0"/>
    <x v="0"/>
    <m/>
    <m/>
    <n v="1"/>
    <m/>
    <m/>
    <m/>
    <m/>
    <n v="1"/>
    <n v="0"/>
    <n v="0"/>
    <n v="1"/>
    <n v="0"/>
    <n v="0"/>
    <n v="0"/>
    <n v="0"/>
    <m/>
    <m/>
    <n v="1"/>
    <n v="1"/>
    <x v="1"/>
    <m/>
    <n v="1"/>
    <m/>
    <m/>
    <m/>
    <m/>
    <m/>
    <m/>
    <m/>
    <m/>
    <m/>
    <n v="1"/>
    <m/>
    <m/>
    <m/>
    <m/>
    <n v="515414"/>
    <n v="172536"/>
    <x v="14"/>
    <x v="1"/>
    <x v="14"/>
    <x v="1"/>
    <x v="0"/>
    <x v="0"/>
    <m/>
    <m/>
    <m/>
    <x v="1"/>
    <s v="CA40 Popes Avenue Twickenham"/>
  </r>
  <r>
    <x v="68"/>
    <x v="1"/>
    <x v="0"/>
    <d v="2019-12-12T00:00:00"/>
    <d v="2022-12-12T00:00:00"/>
    <d v="2020-03-30T00:00:00"/>
    <m/>
    <x v="1"/>
    <x v="1"/>
    <x v="0"/>
    <m/>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x v="149"/>
    <s v="KT1"/>
    <m/>
    <m/>
    <m/>
    <m/>
    <m/>
    <m/>
    <m/>
    <m/>
    <m/>
    <n v="0"/>
    <x v="2"/>
    <n v="3"/>
    <n v="3"/>
    <m/>
    <m/>
    <m/>
    <m/>
    <m/>
    <n v="6"/>
    <n v="3"/>
    <n v="3"/>
    <n v="0"/>
    <n v="0"/>
    <n v="0"/>
    <n v="0"/>
    <n v="0"/>
    <m/>
    <m/>
    <n v="6"/>
    <n v="6"/>
    <x v="0"/>
    <m/>
    <m/>
    <m/>
    <m/>
    <n v="6"/>
    <m/>
    <m/>
    <m/>
    <m/>
    <m/>
    <m/>
    <n v="6"/>
    <m/>
    <m/>
    <m/>
    <m/>
    <n v="517598"/>
    <n v="169722"/>
    <x v="8"/>
    <x v="0"/>
    <x v="8"/>
    <x v="1"/>
    <x v="0"/>
    <x v="0"/>
    <m/>
    <m/>
    <m/>
    <x v="1"/>
    <s v="CA18 Hampton Wick"/>
  </r>
  <r>
    <x v="68"/>
    <x v="1"/>
    <x v="0"/>
    <d v="2019-12-12T00:00:00"/>
    <d v="2022-12-12T00:00:00"/>
    <d v="2020-03-30T00:00:00"/>
    <m/>
    <x v="1"/>
    <x v="0"/>
    <x v="0"/>
    <m/>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x v="150"/>
    <s v="KT1"/>
    <n v="7"/>
    <m/>
    <n v="1"/>
    <m/>
    <m/>
    <m/>
    <m/>
    <m/>
    <m/>
    <n v="8"/>
    <x v="0"/>
    <n v="2"/>
    <n v="4"/>
    <m/>
    <m/>
    <m/>
    <m/>
    <m/>
    <n v="6"/>
    <n v="-5"/>
    <n v="4"/>
    <n v="-1"/>
    <n v="0"/>
    <n v="0"/>
    <n v="0"/>
    <n v="0"/>
    <m/>
    <m/>
    <n v="-2"/>
    <n v="-2"/>
    <x v="0"/>
    <m/>
    <n v="-2"/>
    <m/>
    <m/>
    <m/>
    <m/>
    <m/>
    <m/>
    <m/>
    <m/>
    <m/>
    <n v="-2"/>
    <m/>
    <m/>
    <m/>
    <m/>
    <n v="517598"/>
    <n v="169722"/>
    <x v="8"/>
    <x v="0"/>
    <x v="8"/>
    <x v="1"/>
    <x v="0"/>
    <x v="0"/>
    <m/>
    <m/>
    <m/>
    <x v="1"/>
    <s v="CA18 Hampton Wick"/>
  </r>
  <r>
    <x v="68"/>
    <x v="1"/>
    <x v="2"/>
    <d v="2019-12-12T00:00:00"/>
    <d v="2022-12-12T00:00:00"/>
    <d v="2020-03-30T00:00:00"/>
    <m/>
    <x v="1"/>
    <x v="0"/>
    <x v="0"/>
    <m/>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x v="151"/>
    <s v="KT1"/>
    <m/>
    <m/>
    <m/>
    <m/>
    <m/>
    <m/>
    <m/>
    <m/>
    <m/>
    <n v="0"/>
    <x v="0"/>
    <n v="4"/>
    <n v="23"/>
    <n v="1"/>
    <m/>
    <m/>
    <m/>
    <m/>
    <n v="28"/>
    <n v="4"/>
    <n v="23"/>
    <n v="1"/>
    <n v="0"/>
    <n v="0"/>
    <n v="0"/>
    <n v="0"/>
    <m/>
    <m/>
    <n v="28"/>
    <n v="28"/>
    <x v="0"/>
    <m/>
    <n v="28"/>
    <m/>
    <m/>
    <m/>
    <m/>
    <m/>
    <m/>
    <m/>
    <m/>
    <m/>
    <n v="28"/>
    <m/>
    <s v="Y"/>
    <m/>
    <m/>
    <n v="517598"/>
    <n v="169722"/>
    <x v="8"/>
    <x v="0"/>
    <x v="8"/>
    <x v="1"/>
    <x v="0"/>
    <x v="0"/>
    <m/>
    <m/>
    <m/>
    <x v="1"/>
    <s v="CA18 Hampton Wick"/>
  </r>
  <r>
    <x v="149"/>
    <x v="4"/>
    <x v="0"/>
    <d v="2020-01-31T00:00:00"/>
    <d v="2023-02-03T00:00:00"/>
    <d v="2020-03-01T00:00:00"/>
    <m/>
    <x v="1"/>
    <x v="0"/>
    <x v="0"/>
    <m/>
    <s v="Roof extension to provide additional residential accommodation to Number 5 South Avenue and creation of 1 no. self-contained 1 bedroom flat above no. 2 and provision of associated cycle parking."/>
    <x v="152"/>
    <s v="TW9 3EL"/>
    <m/>
    <m/>
    <m/>
    <m/>
    <m/>
    <m/>
    <m/>
    <m/>
    <m/>
    <n v="0"/>
    <x v="0"/>
    <n v="1"/>
    <m/>
    <m/>
    <m/>
    <m/>
    <m/>
    <m/>
    <n v="1"/>
    <n v="1"/>
    <n v="0"/>
    <n v="0"/>
    <n v="0"/>
    <n v="0"/>
    <n v="0"/>
    <n v="0"/>
    <m/>
    <m/>
    <n v="1"/>
    <n v="1"/>
    <x v="1"/>
    <m/>
    <n v="1"/>
    <m/>
    <m/>
    <m/>
    <m/>
    <m/>
    <m/>
    <m/>
    <m/>
    <m/>
    <n v="1"/>
    <m/>
    <m/>
    <m/>
    <m/>
    <n v="519131"/>
    <n v="176452"/>
    <x v="7"/>
    <x v="0"/>
    <x v="7"/>
    <x v="1"/>
    <x v="0"/>
    <x v="1"/>
    <s v="Sandycombe Road North"/>
    <m/>
    <m/>
    <x v="0"/>
    <m/>
  </r>
  <r>
    <x v="150"/>
    <x v="2"/>
    <x v="1"/>
    <d v="2020-02-06T00:00:00"/>
    <d v="2023-02-06T00:00:00"/>
    <d v="2020-02-10T00:00:00"/>
    <d v="2021-06-05T00:00:00"/>
    <x v="1"/>
    <x v="0"/>
    <x v="0"/>
    <m/>
    <s v="Change of use of ground floor from B1a office to C3 (Residential) use comprising 1x studio flat and 1x 1 bedroom flat"/>
    <x v="153"/>
    <s v="SW14 8HE"/>
    <m/>
    <m/>
    <m/>
    <m/>
    <m/>
    <m/>
    <m/>
    <m/>
    <m/>
    <n v="0"/>
    <x v="0"/>
    <n v="2"/>
    <m/>
    <m/>
    <m/>
    <m/>
    <m/>
    <m/>
    <n v="2"/>
    <n v="2"/>
    <n v="0"/>
    <n v="0"/>
    <n v="0"/>
    <n v="0"/>
    <n v="0"/>
    <n v="0"/>
    <m/>
    <m/>
    <n v="2"/>
    <n v="2"/>
    <x v="1"/>
    <m/>
    <n v="2"/>
    <m/>
    <m/>
    <m/>
    <m/>
    <m/>
    <m/>
    <m/>
    <m/>
    <m/>
    <n v="2"/>
    <m/>
    <m/>
    <m/>
    <m/>
    <n v="520890"/>
    <n v="175755"/>
    <x v="9"/>
    <x v="0"/>
    <x v="9"/>
    <x v="1"/>
    <x v="0"/>
    <x v="0"/>
    <m/>
    <m/>
    <m/>
    <x v="0"/>
    <m/>
  </r>
  <r>
    <x v="151"/>
    <x v="0"/>
    <x v="0"/>
    <d v="2020-03-11T00:00:00"/>
    <d v="2023-03-11T00:00:00"/>
    <d v="2021-03-31T00:00:00"/>
    <m/>
    <x v="1"/>
    <x v="0"/>
    <x v="0"/>
    <m/>
    <s v="Demolition of existing dwellinghouse and erection of detached two storey dwellinghouse, associated hard and soft landscaping"/>
    <x v="154"/>
    <s v="TW10 7EN"/>
    <m/>
    <m/>
    <m/>
    <n v="1"/>
    <m/>
    <m/>
    <m/>
    <m/>
    <m/>
    <n v="1"/>
    <x v="0"/>
    <m/>
    <m/>
    <m/>
    <m/>
    <n v="1"/>
    <m/>
    <m/>
    <n v="1"/>
    <n v="0"/>
    <n v="0"/>
    <n v="0"/>
    <n v="-1"/>
    <n v="1"/>
    <n v="0"/>
    <n v="0"/>
    <m/>
    <m/>
    <n v="0"/>
    <n v="0"/>
    <x v="1"/>
    <m/>
    <n v="0"/>
    <m/>
    <m/>
    <m/>
    <m/>
    <m/>
    <m/>
    <m/>
    <m/>
    <m/>
    <n v="0"/>
    <m/>
    <m/>
    <m/>
    <m/>
    <n v="517948"/>
    <n v="172696"/>
    <x v="5"/>
    <x v="0"/>
    <x v="5"/>
    <x v="1"/>
    <x v="0"/>
    <x v="0"/>
    <m/>
    <m/>
    <m/>
    <x v="0"/>
    <m/>
  </r>
  <r>
    <x v="152"/>
    <x v="1"/>
    <x v="0"/>
    <d v="2020-03-20T00:00:00"/>
    <d v="2023-03-20T00:00:00"/>
    <d v="2020-10-01T00:00:00"/>
    <m/>
    <x v="1"/>
    <x v="0"/>
    <x v="0"/>
    <m/>
    <s v="Part change of use of ground floor and rear garden from A1 to C3 (residential use) and replacement window on ground floor rear elevation to facilitate the conversion of existing 1 x 3 bed flat into 2 x 2 bed flats and associated cycle and refuse stores (R"/>
    <x v="155"/>
    <s v="TW10 6UB"/>
    <m/>
    <m/>
    <n v="1"/>
    <m/>
    <m/>
    <m/>
    <m/>
    <m/>
    <m/>
    <n v="1"/>
    <x v="0"/>
    <m/>
    <n v="2"/>
    <m/>
    <m/>
    <m/>
    <m/>
    <m/>
    <n v="2"/>
    <n v="0"/>
    <n v="2"/>
    <n v="-1"/>
    <n v="0"/>
    <n v="0"/>
    <n v="0"/>
    <n v="0"/>
    <m/>
    <m/>
    <n v="1"/>
    <n v="1"/>
    <x v="1"/>
    <m/>
    <n v="1"/>
    <m/>
    <m/>
    <m/>
    <m/>
    <m/>
    <m/>
    <m/>
    <m/>
    <m/>
    <n v="1"/>
    <m/>
    <m/>
    <m/>
    <m/>
    <n v="517949"/>
    <n v="174506"/>
    <x v="3"/>
    <x v="0"/>
    <x v="3"/>
    <x v="2"/>
    <x v="0"/>
    <x v="0"/>
    <m/>
    <m/>
    <m/>
    <x v="1"/>
    <s v="CA5 Richmond Hill"/>
  </r>
  <r>
    <x v="153"/>
    <x v="0"/>
    <x v="0"/>
    <d v="2020-03-26T00:00:00"/>
    <d v="2021-12-21T00:00:00"/>
    <d v="2021-03-01T00:00:00"/>
    <m/>
    <x v="1"/>
    <x v="0"/>
    <x v="0"/>
    <m/>
    <s v="Demolition of the existing house and reconstruction of replacement 2 storey with basement and accommodation in the roof single family home and associated parking, hard and soft landscaping."/>
    <x v="156"/>
    <s v="SW13 9NS"/>
    <m/>
    <m/>
    <n v="1"/>
    <m/>
    <m/>
    <m/>
    <m/>
    <m/>
    <m/>
    <n v="1"/>
    <x v="0"/>
    <m/>
    <m/>
    <m/>
    <n v="1"/>
    <m/>
    <m/>
    <m/>
    <n v="1"/>
    <n v="0"/>
    <n v="0"/>
    <n v="-1"/>
    <n v="1"/>
    <n v="0"/>
    <n v="0"/>
    <n v="0"/>
    <m/>
    <m/>
    <n v="0"/>
    <n v="0"/>
    <x v="1"/>
    <m/>
    <n v="0"/>
    <m/>
    <m/>
    <m/>
    <m/>
    <m/>
    <m/>
    <m/>
    <m/>
    <m/>
    <n v="0"/>
    <m/>
    <m/>
    <m/>
    <m/>
    <n v="521893"/>
    <n v="177129"/>
    <x v="6"/>
    <x v="0"/>
    <x v="6"/>
    <x v="1"/>
    <x v="0"/>
    <x v="0"/>
    <m/>
    <m/>
    <m/>
    <x v="0"/>
    <m/>
  </r>
  <r>
    <x v="154"/>
    <x v="0"/>
    <x v="0"/>
    <d v="2020-04-01T00:00:00"/>
    <d v="2023-04-01T00:00:00"/>
    <d v="2020-07-01T00:00:00"/>
    <m/>
    <x v="1"/>
    <x v="0"/>
    <x v="0"/>
    <m/>
    <s v="Erection of a replacement two storey detached dwelling house with accommodation in the roof and associated hard and soft landscaping, cycle and refuse store. New gate."/>
    <x v="157"/>
    <s v="TW11 8AE"/>
    <m/>
    <m/>
    <m/>
    <n v="1"/>
    <m/>
    <m/>
    <m/>
    <m/>
    <m/>
    <n v="1"/>
    <x v="0"/>
    <m/>
    <m/>
    <m/>
    <n v="1"/>
    <m/>
    <m/>
    <m/>
    <n v="1"/>
    <n v="0"/>
    <n v="0"/>
    <n v="0"/>
    <n v="0"/>
    <n v="0"/>
    <n v="0"/>
    <n v="0"/>
    <m/>
    <m/>
    <n v="0"/>
    <n v="0"/>
    <x v="1"/>
    <m/>
    <n v="0"/>
    <m/>
    <m/>
    <m/>
    <m/>
    <m/>
    <m/>
    <m/>
    <m/>
    <m/>
    <n v="0"/>
    <m/>
    <m/>
    <m/>
    <m/>
    <n v="516359"/>
    <n v="171323"/>
    <x v="13"/>
    <x v="0"/>
    <x v="13"/>
    <x v="1"/>
    <x v="0"/>
    <x v="0"/>
    <m/>
    <m/>
    <m/>
    <x v="0"/>
    <m/>
  </r>
  <r>
    <x v="155"/>
    <x v="2"/>
    <x v="1"/>
    <d v="2020-04-01T00:00:00"/>
    <d v="2023-04-01T00:00:00"/>
    <d v="2020-09-01T00:00:00"/>
    <m/>
    <x v="1"/>
    <x v="0"/>
    <x v="0"/>
    <m/>
    <s v="Change of use of part of first floor level from B1(a) office unit C3 (dwelling house) to form one x 4 bed self-contained apartment."/>
    <x v="158"/>
    <s v="SW13 0LF"/>
    <m/>
    <m/>
    <m/>
    <m/>
    <m/>
    <m/>
    <m/>
    <m/>
    <m/>
    <n v="0"/>
    <x v="0"/>
    <m/>
    <m/>
    <m/>
    <n v="1"/>
    <m/>
    <m/>
    <m/>
    <n v="1"/>
    <n v="0"/>
    <n v="0"/>
    <n v="0"/>
    <n v="1"/>
    <n v="0"/>
    <n v="0"/>
    <n v="0"/>
    <m/>
    <m/>
    <n v="1"/>
    <n v="1"/>
    <x v="1"/>
    <m/>
    <n v="1"/>
    <m/>
    <m/>
    <m/>
    <m/>
    <m/>
    <m/>
    <m/>
    <m/>
    <m/>
    <n v="1"/>
    <m/>
    <m/>
    <m/>
    <m/>
    <n v="521854"/>
    <n v="176284"/>
    <x v="9"/>
    <x v="0"/>
    <x v="9"/>
    <x v="1"/>
    <x v="0"/>
    <x v="0"/>
    <m/>
    <m/>
    <m/>
    <x v="1"/>
    <s v="CA1 Barnes Green"/>
  </r>
  <r>
    <x v="156"/>
    <x v="2"/>
    <x v="0"/>
    <d v="2020-04-21T00:00:00"/>
    <d v="2023-04-21T00:00:00"/>
    <d v="2020-05-20T00:00:00"/>
    <m/>
    <x v="1"/>
    <x v="0"/>
    <x v="0"/>
    <m/>
    <s v="Demolition of existing part single, part double storey rear extension, change of use of part ground, first and second floors from A2 to C3 residential use and erection of two-storey rear extension and mansard roof extension incorporating solar panels to facilitate the creation of 6 flats (4 x 1 bed flats and 2 x 2 bed flats)"/>
    <x v="159"/>
    <s v="SW14 8QN"/>
    <m/>
    <m/>
    <m/>
    <m/>
    <m/>
    <m/>
    <m/>
    <m/>
    <m/>
    <n v="0"/>
    <x v="0"/>
    <n v="4"/>
    <n v="2"/>
    <m/>
    <m/>
    <m/>
    <m/>
    <m/>
    <n v="6"/>
    <n v="4"/>
    <n v="2"/>
    <n v="0"/>
    <n v="0"/>
    <n v="0"/>
    <n v="0"/>
    <n v="0"/>
    <m/>
    <m/>
    <n v="6"/>
    <n v="6"/>
    <x v="1"/>
    <m/>
    <n v="6"/>
    <m/>
    <m/>
    <m/>
    <m/>
    <m/>
    <m/>
    <m/>
    <m/>
    <m/>
    <n v="6"/>
    <m/>
    <m/>
    <m/>
    <m/>
    <n v="520601"/>
    <n v="175400"/>
    <x v="12"/>
    <x v="0"/>
    <x v="12"/>
    <x v="3"/>
    <x v="0"/>
    <x v="0"/>
    <m/>
    <m/>
    <m/>
    <x v="0"/>
    <m/>
  </r>
  <r>
    <x v="157"/>
    <x v="3"/>
    <x v="0"/>
    <d v="2020-04-30T00:00:00"/>
    <d v="2023-04-30T00:00:00"/>
    <d v="2020-08-03T00:00:00"/>
    <m/>
    <x v="1"/>
    <x v="0"/>
    <x v="0"/>
    <m/>
    <s v="Single storey rear extension and change of use from 4 x self-contained flats back to a family house"/>
    <x v="160"/>
    <s v="SW14 8JJ"/>
    <n v="4"/>
    <m/>
    <m/>
    <m/>
    <m/>
    <m/>
    <m/>
    <m/>
    <m/>
    <n v="4"/>
    <x v="0"/>
    <m/>
    <m/>
    <n v="1"/>
    <m/>
    <m/>
    <m/>
    <m/>
    <n v="1"/>
    <n v="-4"/>
    <n v="0"/>
    <n v="1"/>
    <n v="0"/>
    <n v="0"/>
    <n v="0"/>
    <n v="0"/>
    <m/>
    <m/>
    <n v="-3"/>
    <n v="-3"/>
    <x v="1"/>
    <m/>
    <n v="-3"/>
    <m/>
    <m/>
    <m/>
    <m/>
    <m/>
    <m/>
    <m/>
    <m/>
    <m/>
    <n v="-3"/>
    <m/>
    <m/>
    <m/>
    <m/>
    <n v="520722"/>
    <n v="175144"/>
    <x v="12"/>
    <x v="0"/>
    <x v="12"/>
    <x v="1"/>
    <x v="0"/>
    <x v="0"/>
    <m/>
    <m/>
    <m/>
    <x v="0"/>
    <m/>
  </r>
  <r>
    <x v="158"/>
    <x v="4"/>
    <x v="0"/>
    <d v="2020-05-06T00:00:00"/>
    <d v="2023-05-06T00:00:00"/>
    <d v="2021-03-01T00:00:00"/>
    <m/>
    <x v="1"/>
    <x v="0"/>
    <x v="0"/>
    <m/>
    <s v="Removal of existing stairs to rear, erection of the single-storey rear extension, replacement/new windows, refurbishment of existing side dormer roof extension, new access gate to facilitate the reversion of 2 x flats to a single-family dwellinghouse"/>
    <x v="161"/>
    <s v="TW10 6PJ"/>
    <m/>
    <n v="1"/>
    <m/>
    <m/>
    <n v="1"/>
    <m/>
    <m/>
    <m/>
    <m/>
    <n v="2"/>
    <x v="0"/>
    <m/>
    <m/>
    <m/>
    <m/>
    <n v="1"/>
    <m/>
    <m/>
    <n v="1"/>
    <n v="0"/>
    <n v="-1"/>
    <n v="0"/>
    <n v="0"/>
    <n v="0"/>
    <n v="0"/>
    <n v="0"/>
    <m/>
    <m/>
    <n v="-1"/>
    <n v="-1"/>
    <x v="1"/>
    <m/>
    <n v="-1"/>
    <m/>
    <m/>
    <m/>
    <m/>
    <m/>
    <m/>
    <m/>
    <m/>
    <m/>
    <n v="-1"/>
    <m/>
    <m/>
    <m/>
    <m/>
    <n v="518373"/>
    <n v="174608"/>
    <x v="3"/>
    <x v="0"/>
    <x v="3"/>
    <x v="1"/>
    <x v="0"/>
    <x v="0"/>
    <m/>
    <m/>
    <m/>
    <x v="1"/>
    <s v="CA30 St Matthias Richmond"/>
  </r>
  <r>
    <x v="159"/>
    <x v="2"/>
    <x v="0"/>
    <d v="2020-05-07T00:00:00"/>
    <d v="2023-05-07T00:00:00"/>
    <d v="2021-03-31T00:00:00"/>
    <m/>
    <x v="1"/>
    <x v="0"/>
    <x v="0"/>
    <m/>
    <s v="Change of use of five, B1(a) office units to provide five three-bedroomed terraced houses (Class C3), Retention of remaining class B1(a) office unit, extension and provision of rear private amenity space, facade alterations and other external alterations."/>
    <x v="162"/>
    <s v="TW2 5FP"/>
    <m/>
    <m/>
    <m/>
    <m/>
    <m/>
    <m/>
    <m/>
    <m/>
    <m/>
    <n v="0"/>
    <x v="0"/>
    <m/>
    <m/>
    <n v="5"/>
    <m/>
    <m/>
    <m/>
    <m/>
    <n v="5"/>
    <n v="0"/>
    <n v="0"/>
    <n v="5"/>
    <n v="0"/>
    <n v="0"/>
    <n v="0"/>
    <n v="0"/>
    <m/>
    <m/>
    <n v="5"/>
    <n v="5"/>
    <x v="1"/>
    <m/>
    <m/>
    <n v="2.5"/>
    <n v="2.5"/>
    <m/>
    <m/>
    <m/>
    <m/>
    <m/>
    <m/>
    <m/>
    <n v="5"/>
    <m/>
    <m/>
    <m/>
    <m/>
    <n v="515028"/>
    <n v="172768"/>
    <x v="11"/>
    <x v="0"/>
    <x v="11"/>
    <x v="1"/>
    <x v="0"/>
    <x v="0"/>
    <m/>
    <m/>
    <m/>
    <x v="0"/>
    <m/>
  </r>
  <r>
    <x v="160"/>
    <x v="0"/>
    <x v="0"/>
    <d v="2020-06-08T00:00:00"/>
    <d v="2023-06-08T00:00:00"/>
    <d v="2021-02-01T00:00:00"/>
    <m/>
    <x v="1"/>
    <x v="0"/>
    <x v="0"/>
    <m/>
    <s v="Proposed Demolition of Existing House and Construction of New Dwelling"/>
    <x v="163"/>
    <s v="TW12 1DN"/>
    <m/>
    <n v="1"/>
    <m/>
    <m/>
    <m/>
    <m/>
    <m/>
    <m/>
    <m/>
    <n v="1"/>
    <x v="0"/>
    <m/>
    <m/>
    <n v="1"/>
    <m/>
    <m/>
    <m/>
    <m/>
    <n v="1"/>
    <n v="0"/>
    <n v="-1"/>
    <n v="1"/>
    <n v="0"/>
    <n v="0"/>
    <n v="0"/>
    <n v="0"/>
    <m/>
    <m/>
    <n v="0"/>
    <n v="0"/>
    <x v="1"/>
    <m/>
    <n v="0"/>
    <m/>
    <m/>
    <m/>
    <m/>
    <m/>
    <m/>
    <m/>
    <m/>
    <m/>
    <n v="0"/>
    <m/>
    <m/>
    <m/>
    <m/>
    <n v="513897"/>
    <n v="171526"/>
    <x v="1"/>
    <x v="0"/>
    <x v="1"/>
    <x v="1"/>
    <x v="0"/>
    <x v="0"/>
    <m/>
    <m/>
    <m/>
    <x v="0"/>
    <m/>
  </r>
  <r>
    <x v="161"/>
    <x v="3"/>
    <x v="0"/>
    <d v="2020-06-08T00:00:00"/>
    <d v="2023-06-11T00:00:00"/>
    <d v="2020-07-31T00:00:00"/>
    <m/>
    <x v="1"/>
    <x v="0"/>
    <x v="0"/>
    <m/>
    <s v="Works to Retail Unit - replacement store to rear to accommodate cycle and refuse stores. Works to upper floor flat - New hard and soft landscaping, replacement windows and doors on rear elevation to facilite the conversion of upper floor maisonette into 2"/>
    <x v="164"/>
    <s v="TW1 3SG"/>
    <m/>
    <m/>
    <n v="1"/>
    <m/>
    <m/>
    <m/>
    <m/>
    <m/>
    <m/>
    <n v="1"/>
    <x v="0"/>
    <m/>
    <n v="2"/>
    <m/>
    <m/>
    <m/>
    <m/>
    <m/>
    <n v="2"/>
    <n v="0"/>
    <n v="2"/>
    <n v="-1"/>
    <n v="0"/>
    <n v="0"/>
    <n v="0"/>
    <n v="0"/>
    <m/>
    <m/>
    <n v="1"/>
    <n v="1"/>
    <x v="1"/>
    <m/>
    <n v="1"/>
    <m/>
    <m/>
    <m/>
    <m/>
    <m/>
    <m/>
    <m/>
    <m/>
    <m/>
    <n v="1"/>
    <m/>
    <m/>
    <m/>
    <m/>
    <n v="516190"/>
    <n v="173118"/>
    <x v="10"/>
    <x v="0"/>
    <x v="10"/>
    <x v="0"/>
    <x v="0"/>
    <x v="0"/>
    <m/>
    <m/>
    <m/>
    <x v="1"/>
    <s v="CA8 Twickenham Riverside"/>
  </r>
  <r>
    <x v="162"/>
    <x v="0"/>
    <x v="0"/>
    <d v="2020-06-09T00:00:00"/>
    <d v="2023-06-10T00:00:00"/>
    <d v="2021-03-31T00:00:00"/>
    <m/>
    <x v="1"/>
    <x v="0"/>
    <x v="0"/>
    <m/>
    <s v="Replacement of existing single-storey detached bungalow to provide a pair of two-storey semi-detached dwelling houses with habitable roofspace, each with 5-bedrooms; off-street parking provision for two vehicles per dwelling; the removal of the existing t"/>
    <x v="165"/>
    <s v="TW12 2SX"/>
    <m/>
    <n v="1"/>
    <m/>
    <m/>
    <m/>
    <m/>
    <m/>
    <m/>
    <m/>
    <n v="1"/>
    <x v="0"/>
    <m/>
    <m/>
    <m/>
    <m/>
    <n v="2"/>
    <m/>
    <m/>
    <n v="2"/>
    <n v="0"/>
    <n v="-1"/>
    <n v="0"/>
    <n v="0"/>
    <n v="2"/>
    <n v="0"/>
    <n v="0"/>
    <m/>
    <m/>
    <n v="1"/>
    <n v="1"/>
    <x v="1"/>
    <m/>
    <n v="1"/>
    <m/>
    <m/>
    <m/>
    <m/>
    <m/>
    <m/>
    <m/>
    <m/>
    <m/>
    <n v="1"/>
    <m/>
    <m/>
    <m/>
    <m/>
    <n v="514203"/>
    <n v="169911"/>
    <x v="15"/>
    <x v="0"/>
    <x v="15"/>
    <x v="1"/>
    <x v="0"/>
    <x v="0"/>
    <m/>
    <m/>
    <m/>
    <x v="1"/>
    <s v="CA12 Hampton Village"/>
  </r>
  <r>
    <x v="163"/>
    <x v="0"/>
    <x v="0"/>
    <d v="2020-07-08T00:00:00"/>
    <d v="2023-07-08T00:00:00"/>
    <d v="2020-09-08T00:00:00"/>
    <m/>
    <x v="1"/>
    <x v="0"/>
    <x v="0"/>
    <m/>
    <s v="Erection of 1no. single storey 2 bed dwellinghouse with associated cycle and refuse stores"/>
    <x v="166"/>
    <s v="SW13 0AL"/>
    <m/>
    <m/>
    <m/>
    <m/>
    <m/>
    <m/>
    <m/>
    <m/>
    <m/>
    <n v="0"/>
    <x v="0"/>
    <m/>
    <n v="1"/>
    <m/>
    <m/>
    <m/>
    <m/>
    <m/>
    <n v="1"/>
    <n v="0"/>
    <n v="1"/>
    <n v="0"/>
    <n v="0"/>
    <n v="0"/>
    <n v="0"/>
    <n v="0"/>
    <m/>
    <m/>
    <n v="1"/>
    <n v="1"/>
    <x v="1"/>
    <m/>
    <n v="1"/>
    <m/>
    <m/>
    <m/>
    <m/>
    <m/>
    <m/>
    <m/>
    <m/>
    <m/>
    <n v="1"/>
    <m/>
    <m/>
    <m/>
    <m/>
    <n v="521729"/>
    <n v="176011"/>
    <x v="9"/>
    <x v="0"/>
    <x v="9"/>
    <x v="1"/>
    <x v="0"/>
    <x v="0"/>
    <m/>
    <m/>
    <m/>
    <x v="1"/>
    <s v="CA16 Thorne Passage Mortlake"/>
  </r>
  <r>
    <x v="164"/>
    <x v="2"/>
    <x v="1"/>
    <d v="2020-07-17T00:00:00"/>
    <d v="2023-07-17T00:00:00"/>
    <d v="2020-04-24T00:00:00"/>
    <m/>
    <x v="1"/>
    <x v="0"/>
    <x v="0"/>
    <m/>
    <s v="Part change of use of ground floor from A2 (financial institution) to C3 (residential studio unit) with associated fenestration alterations."/>
    <x v="159"/>
    <s v="SW14 8QN"/>
    <m/>
    <m/>
    <m/>
    <m/>
    <m/>
    <m/>
    <m/>
    <m/>
    <m/>
    <n v="0"/>
    <x v="1"/>
    <n v="1"/>
    <m/>
    <m/>
    <m/>
    <m/>
    <m/>
    <m/>
    <n v="1"/>
    <n v="1"/>
    <n v="0"/>
    <n v="0"/>
    <n v="0"/>
    <n v="0"/>
    <n v="0"/>
    <n v="0"/>
    <m/>
    <m/>
    <n v="1"/>
    <n v="1"/>
    <x v="1"/>
    <m/>
    <n v="1"/>
    <m/>
    <m/>
    <m/>
    <m/>
    <m/>
    <m/>
    <m/>
    <m/>
    <m/>
    <n v="1"/>
    <m/>
    <m/>
    <m/>
    <m/>
    <n v="520601"/>
    <n v="175400"/>
    <x v="12"/>
    <x v="0"/>
    <x v="12"/>
    <x v="3"/>
    <x v="0"/>
    <x v="0"/>
    <m/>
    <m/>
    <m/>
    <x v="0"/>
    <m/>
  </r>
  <r>
    <x v="165"/>
    <x v="0"/>
    <x v="0"/>
    <d v="2020-07-20T00:00:00"/>
    <d v="2023-07-20T00:00:00"/>
    <d v="2021-02-01T00:00:00"/>
    <m/>
    <x v="1"/>
    <x v="0"/>
    <x v="0"/>
    <m/>
    <s v="Demolition of existing semi-detached dwelling and replacement with a 2 storey semi-detached dwelling with basement and accommodation in the roof and associated parking, hard and soft landscaping, cycle and refuse stores"/>
    <x v="167"/>
    <s v="SW13 9LY"/>
    <m/>
    <m/>
    <m/>
    <m/>
    <m/>
    <n v="1"/>
    <m/>
    <m/>
    <m/>
    <n v="1"/>
    <x v="1"/>
    <m/>
    <m/>
    <m/>
    <m/>
    <n v="1"/>
    <m/>
    <m/>
    <n v="1"/>
    <n v="0"/>
    <n v="0"/>
    <n v="0"/>
    <n v="0"/>
    <n v="1"/>
    <n v="-1"/>
    <n v="0"/>
    <m/>
    <m/>
    <n v="0"/>
    <n v="0"/>
    <x v="1"/>
    <m/>
    <n v="0"/>
    <m/>
    <m/>
    <m/>
    <m/>
    <m/>
    <m/>
    <m/>
    <m/>
    <m/>
    <n v="0"/>
    <m/>
    <m/>
    <m/>
    <m/>
    <n v="521978"/>
    <n v="176841"/>
    <x v="6"/>
    <x v="0"/>
    <x v="6"/>
    <x v="1"/>
    <x v="0"/>
    <x v="0"/>
    <m/>
    <m/>
    <m/>
    <x v="0"/>
    <m/>
  </r>
  <r>
    <x v="166"/>
    <x v="2"/>
    <x v="0"/>
    <d v="2020-07-31T00:00:00"/>
    <d v="2023-07-31T00:00:00"/>
    <d v="2020-10-01T00:00:00"/>
    <m/>
    <x v="1"/>
    <x v="0"/>
    <x v="0"/>
    <m/>
    <s v="Enlargement of existing dormer on rear roof, replacement shopfront, replacement windows to front and rear, removel of exisitng lean to at rear first floor level to facilitate change of use of part ground floor, first, second and third floors from A4 to C3"/>
    <x v="168"/>
    <s v="TW1 3LJ"/>
    <m/>
    <n v="1"/>
    <m/>
    <m/>
    <m/>
    <m/>
    <m/>
    <m/>
    <m/>
    <n v="1"/>
    <x v="0"/>
    <n v="2"/>
    <n v="1"/>
    <m/>
    <m/>
    <m/>
    <m/>
    <m/>
    <n v="3"/>
    <n v="2"/>
    <n v="0"/>
    <n v="0"/>
    <n v="0"/>
    <n v="0"/>
    <n v="0"/>
    <n v="0"/>
    <m/>
    <m/>
    <n v="2"/>
    <n v="2"/>
    <x v="1"/>
    <m/>
    <n v="2"/>
    <m/>
    <m/>
    <m/>
    <m/>
    <m/>
    <m/>
    <m/>
    <m/>
    <m/>
    <n v="2"/>
    <m/>
    <m/>
    <m/>
    <m/>
    <n v="516334"/>
    <n v="173358"/>
    <x v="10"/>
    <x v="0"/>
    <x v="10"/>
    <x v="0"/>
    <x v="0"/>
    <x v="0"/>
    <m/>
    <m/>
    <m/>
    <x v="1"/>
    <s v="CA8 Twickenham Riverside"/>
  </r>
  <r>
    <x v="167"/>
    <x v="2"/>
    <x v="0"/>
    <d v="2020-08-05T00:00:00"/>
    <d v="2023-08-05T00:00:00"/>
    <d v="2020-03-23T00:00:00"/>
    <m/>
    <x v="1"/>
    <x v="0"/>
    <x v="0"/>
    <m/>
    <s v="Demolition of existing property, construction of 2 x two-storey plus attic and basement terraced dwellings and associated car parking, cycle parking, refuse stores and hard and soft landscaping."/>
    <x v="169"/>
    <s v="SW13 9AW"/>
    <n v="2"/>
    <m/>
    <m/>
    <m/>
    <m/>
    <m/>
    <m/>
    <m/>
    <m/>
    <n v="2"/>
    <x v="0"/>
    <m/>
    <m/>
    <n v="2"/>
    <m/>
    <m/>
    <m/>
    <m/>
    <n v="2"/>
    <n v="-2"/>
    <n v="0"/>
    <n v="2"/>
    <n v="0"/>
    <n v="0"/>
    <n v="0"/>
    <n v="0"/>
    <m/>
    <m/>
    <n v="0"/>
    <n v="0"/>
    <x v="1"/>
    <m/>
    <n v="0"/>
    <m/>
    <m/>
    <m/>
    <m/>
    <m/>
    <m/>
    <m/>
    <m/>
    <m/>
    <n v="0"/>
    <m/>
    <m/>
    <m/>
    <m/>
    <n v="522192"/>
    <n v="177628"/>
    <x v="6"/>
    <x v="1"/>
    <x v="6"/>
    <x v="1"/>
    <x v="0"/>
    <x v="0"/>
    <m/>
    <m/>
    <m/>
    <x v="0"/>
    <m/>
  </r>
  <r>
    <x v="168"/>
    <x v="0"/>
    <x v="0"/>
    <d v="2020-08-10T00:00:00"/>
    <d v="2023-08-10T00:00:00"/>
    <d v="2021-03-31T00:00:00"/>
    <m/>
    <x v="1"/>
    <x v="0"/>
    <x v="0"/>
    <m/>
    <s v="Demolition of garage and erection of Coach House style dwelling."/>
    <x v="170"/>
    <s v="TW11 9HD"/>
    <m/>
    <m/>
    <m/>
    <m/>
    <m/>
    <m/>
    <m/>
    <m/>
    <m/>
    <n v="0"/>
    <x v="1"/>
    <n v="1"/>
    <m/>
    <m/>
    <m/>
    <m/>
    <m/>
    <m/>
    <n v="1"/>
    <n v="1"/>
    <n v="0"/>
    <n v="0"/>
    <n v="0"/>
    <n v="0"/>
    <n v="0"/>
    <n v="0"/>
    <m/>
    <m/>
    <n v="1"/>
    <n v="1"/>
    <x v="1"/>
    <m/>
    <n v="1"/>
    <m/>
    <m/>
    <m/>
    <m/>
    <m/>
    <m/>
    <m/>
    <m/>
    <m/>
    <n v="1"/>
    <m/>
    <m/>
    <m/>
    <m/>
    <n v="516812"/>
    <n v="170692"/>
    <x v="8"/>
    <x v="0"/>
    <x v="8"/>
    <x v="1"/>
    <x v="0"/>
    <x v="0"/>
    <m/>
    <m/>
    <m/>
    <x v="0"/>
    <m/>
  </r>
  <r>
    <x v="169"/>
    <x v="3"/>
    <x v="0"/>
    <d v="2020-09-02T00:00:00"/>
    <d v="2023-09-02T00:00:00"/>
    <d v="2020-11-25T00:00:00"/>
    <d v="2021-05-14T00:00:00"/>
    <x v="1"/>
    <x v="0"/>
    <x v="0"/>
    <m/>
    <s v="The proposal is to convert the existing 4 bedroom flat above the shop to 3X One bedroom flats with single storey rear and infill extension, and altering the roof/second floor and part second &amp; first floor extension and associated internal changes."/>
    <x v="171"/>
    <s v="TW11 8LX"/>
    <m/>
    <m/>
    <m/>
    <n v="1"/>
    <m/>
    <m/>
    <m/>
    <m/>
    <m/>
    <n v="1"/>
    <x v="0"/>
    <n v="3"/>
    <m/>
    <m/>
    <m/>
    <m/>
    <m/>
    <m/>
    <n v="3"/>
    <n v="3"/>
    <n v="0"/>
    <n v="0"/>
    <n v="-1"/>
    <n v="0"/>
    <n v="0"/>
    <n v="0"/>
    <m/>
    <m/>
    <n v="2"/>
    <n v="2"/>
    <x v="1"/>
    <m/>
    <n v="2"/>
    <m/>
    <m/>
    <m/>
    <m/>
    <m/>
    <m/>
    <m/>
    <m/>
    <m/>
    <n v="2"/>
    <m/>
    <m/>
    <m/>
    <m/>
    <n v="515578"/>
    <n v="171697"/>
    <x v="13"/>
    <x v="0"/>
    <x v="13"/>
    <x v="1"/>
    <x v="0"/>
    <x v="1"/>
    <s v="Waldegrave Road, Teddington"/>
    <m/>
    <m/>
    <x v="0"/>
    <m/>
  </r>
  <r>
    <x v="170"/>
    <x v="1"/>
    <x v="0"/>
    <d v="2020-10-22T00:00:00"/>
    <d v="2023-10-22T00:00:00"/>
    <d v="2020-06-01T00:00:00"/>
    <m/>
    <x v="1"/>
    <x v="0"/>
    <x v="0"/>
    <m/>
    <s v="Two-storey rear and basement extensions to create additional retail storage and a one bedroom flat."/>
    <x v="172"/>
    <s v="TW9 1UR"/>
    <m/>
    <m/>
    <m/>
    <m/>
    <m/>
    <m/>
    <m/>
    <m/>
    <m/>
    <n v="0"/>
    <x v="0"/>
    <n v="1"/>
    <m/>
    <m/>
    <m/>
    <m/>
    <m/>
    <m/>
    <n v="1"/>
    <n v="1"/>
    <n v="0"/>
    <n v="0"/>
    <n v="0"/>
    <n v="0"/>
    <n v="0"/>
    <n v="0"/>
    <m/>
    <m/>
    <n v="1"/>
    <n v="1"/>
    <x v="1"/>
    <m/>
    <n v="1"/>
    <m/>
    <m/>
    <m/>
    <m/>
    <m/>
    <m/>
    <m/>
    <m/>
    <m/>
    <n v="1"/>
    <m/>
    <m/>
    <m/>
    <m/>
    <n v="518536"/>
    <n v="175085"/>
    <x v="3"/>
    <x v="0"/>
    <x v="3"/>
    <x v="1"/>
    <x v="0"/>
    <x v="1"/>
    <s v="Sheen Road"/>
    <m/>
    <m/>
    <x v="1"/>
    <s v="CA31 Sheen Road Richmond"/>
  </r>
  <r>
    <x v="171"/>
    <x v="2"/>
    <x v="0"/>
    <d v="2020-11-13T00:00:00"/>
    <d v="2023-11-13T00:00:00"/>
    <d v="2021-01-01T00:00:00"/>
    <m/>
    <x v="1"/>
    <x v="0"/>
    <x v="0"/>
    <m/>
    <s v="PART CHANGE OF USE OF REAR GROUND FLOOR COMMERCIAL TO RESIDENTIAL USE (C3) TO PROVIDE 1 RESIDENTIAL UNIT (1X1 BEDROOM, 2 PERSON) WITH ASSOCIATED CYCLE STORAGE, REFUSE STORAGE AND PRIVATE AMENITY SPACE"/>
    <x v="173"/>
    <s v="TW1 3SH"/>
    <m/>
    <m/>
    <m/>
    <m/>
    <m/>
    <m/>
    <m/>
    <m/>
    <m/>
    <n v="0"/>
    <x v="0"/>
    <n v="1"/>
    <m/>
    <m/>
    <m/>
    <m/>
    <m/>
    <m/>
    <n v="1"/>
    <n v="1"/>
    <n v="0"/>
    <n v="0"/>
    <n v="0"/>
    <n v="0"/>
    <n v="0"/>
    <n v="0"/>
    <m/>
    <m/>
    <n v="1"/>
    <n v="1"/>
    <x v="1"/>
    <m/>
    <n v="1"/>
    <m/>
    <m/>
    <m/>
    <m/>
    <m/>
    <m/>
    <m/>
    <m/>
    <m/>
    <n v="1"/>
    <m/>
    <m/>
    <m/>
    <m/>
    <n v="516178"/>
    <n v="173202"/>
    <x v="10"/>
    <x v="0"/>
    <x v="10"/>
    <x v="0"/>
    <x v="0"/>
    <x v="0"/>
    <m/>
    <m/>
    <m/>
    <x v="1"/>
    <s v="CA47 Queens Road Twickenham"/>
  </r>
  <r>
    <x v="172"/>
    <x v="2"/>
    <x v="1"/>
    <d v="2020-12-17T00:00:00"/>
    <d v="2023-12-17T00:00:00"/>
    <d v="2021-03-31T00:00:00"/>
    <m/>
    <x v="1"/>
    <x v="0"/>
    <x v="0"/>
    <m/>
    <s v="Conversion of offices (Use Class B1a) to 14 flats (Use Class C3)"/>
    <x v="174"/>
    <s v="TW12 2EG"/>
    <m/>
    <m/>
    <m/>
    <m/>
    <m/>
    <m/>
    <m/>
    <m/>
    <m/>
    <n v="0"/>
    <x v="0"/>
    <n v="14"/>
    <m/>
    <m/>
    <m/>
    <m/>
    <m/>
    <m/>
    <n v="14"/>
    <n v="14"/>
    <n v="0"/>
    <n v="0"/>
    <n v="0"/>
    <n v="0"/>
    <n v="0"/>
    <n v="0"/>
    <m/>
    <m/>
    <n v="14"/>
    <n v="14"/>
    <x v="0"/>
    <m/>
    <n v="14"/>
    <m/>
    <m/>
    <m/>
    <m/>
    <m/>
    <m/>
    <m/>
    <m/>
    <m/>
    <n v="14"/>
    <m/>
    <m/>
    <m/>
    <m/>
    <n v="514145"/>
    <n v="169627"/>
    <x v="15"/>
    <x v="0"/>
    <x v="15"/>
    <x v="1"/>
    <x v="0"/>
    <x v="0"/>
    <m/>
    <m/>
    <m/>
    <x v="1"/>
    <s v="CA12 Hampton Village"/>
  </r>
  <r>
    <x v="173"/>
    <x v="0"/>
    <x v="0"/>
    <d v="2020-12-21T00:00:00"/>
    <d v="2023-02-06T00:00:00"/>
    <d v="2020-09-21T00:00:00"/>
    <m/>
    <x v="1"/>
    <x v="0"/>
    <x v="0"/>
    <m/>
    <s v="Variation of Condition 2 (Approved Drawings) of application 19/2753/FUL to allow for 1) the alterations to Unit 6 comprising the enlargement of balcony and change from a 1 bed flat to a 2 bed flat; 2) removal of lifts in the North Block and redesigned sta"/>
    <x v="175"/>
    <s v="TW9 2EP"/>
    <m/>
    <m/>
    <m/>
    <m/>
    <m/>
    <m/>
    <m/>
    <m/>
    <m/>
    <n v="0"/>
    <x v="0"/>
    <n v="5"/>
    <n v="3"/>
    <m/>
    <m/>
    <m/>
    <m/>
    <m/>
    <n v="8"/>
    <n v="5"/>
    <n v="3"/>
    <n v="0"/>
    <n v="0"/>
    <n v="0"/>
    <n v="0"/>
    <n v="0"/>
    <m/>
    <m/>
    <n v="8"/>
    <n v="8"/>
    <x v="1"/>
    <m/>
    <m/>
    <n v="8"/>
    <m/>
    <m/>
    <m/>
    <m/>
    <m/>
    <m/>
    <m/>
    <m/>
    <n v="8"/>
    <m/>
    <m/>
    <m/>
    <m/>
    <n v="519026"/>
    <n v="175926"/>
    <x v="7"/>
    <x v="0"/>
    <x v="7"/>
    <x v="1"/>
    <x v="0"/>
    <x v="0"/>
    <m/>
    <m/>
    <m/>
    <x v="0"/>
    <m/>
  </r>
  <r>
    <x v="174"/>
    <x v="3"/>
    <x v="0"/>
    <d v="2021-02-15T00:00:00"/>
    <d v="2024-02-15T00:00:00"/>
    <d v="2021-03-01T00:00:00"/>
    <m/>
    <x v="1"/>
    <x v="0"/>
    <x v="0"/>
    <m/>
    <s v="Change of use of the building into 2no. flats and reduction and retention of outbuilding"/>
    <x v="176"/>
    <s v="TW12 2JR"/>
    <m/>
    <m/>
    <m/>
    <m/>
    <m/>
    <n v="1"/>
    <m/>
    <m/>
    <m/>
    <n v="1"/>
    <x v="0"/>
    <m/>
    <n v="1"/>
    <n v="1"/>
    <m/>
    <m/>
    <m/>
    <m/>
    <n v="2"/>
    <n v="0"/>
    <n v="1"/>
    <n v="1"/>
    <n v="0"/>
    <n v="0"/>
    <n v="-1"/>
    <n v="0"/>
    <m/>
    <m/>
    <n v="1"/>
    <n v="1"/>
    <x v="1"/>
    <m/>
    <n v="1"/>
    <m/>
    <m/>
    <m/>
    <m/>
    <m/>
    <m/>
    <m/>
    <m/>
    <m/>
    <n v="1"/>
    <m/>
    <m/>
    <m/>
    <m/>
    <n v="513178"/>
    <n v="170142"/>
    <x v="15"/>
    <x v="0"/>
    <x v="15"/>
    <x v="1"/>
    <x v="0"/>
    <x v="0"/>
    <m/>
    <m/>
    <m/>
    <x v="0"/>
    <m/>
  </r>
  <r>
    <x v="175"/>
    <x v="2"/>
    <x v="1"/>
    <d v="2021-02-16T00:00:00"/>
    <d v="2024-02-16T00:00:00"/>
    <d v="2021-02-01T00:00:00"/>
    <m/>
    <x v="1"/>
    <x v="0"/>
    <x v="0"/>
    <m/>
    <s v="Change of Use from Office (Class E formerly B1(a)) to C3 to form 1 x 2 bed flat._x000d_"/>
    <x v="177"/>
    <s v="TW9 2JG"/>
    <m/>
    <m/>
    <m/>
    <m/>
    <m/>
    <m/>
    <m/>
    <m/>
    <m/>
    <n v="0"/>
    <x v="0"/>
    <m/>
    <n v="1"/>
    <m/>
    <m/>
    <m/>
    <m/>
    <m/>
    <n v="1"/>
    <n v="0"/>
    <n v="1"/>
    <n v="0"/>
    <n v="0"/>
    <n v="0"/>
    <n v="0"/>
    <n v="0"/>
    <m/>
    <m/>
    <n v="1"/>
    <n v="1"/>
    <x v="1"/>
    <m/>
    <n v="1"/>
    <m/>
    <m/>
    <m/>
    <m/>
    <m/>
    <m/>
    <m/>
    <m/>
    <m/>
    <n v="1"/>
    <m/>
    <m/>
    <m/>
    <m/>
    <n v="518619"/>
    <n v="175475"/>
    <x v="4"/>
    <x v="0"/>
    <x v="4"/>
    <x v="1"/>
    <x v="0"/>
    <x v="0"/>
    <m/>
    <m/>
    <m/>
    <x v="0"/>
    <m/>
  </r>
  <r>
    <x v="176"/>
    <x v="0"/>
    <x v="0"/>
    <d v="2021-02-24T00:00:00"/>
    <d v="2024-02-24T00:00:00"/>
    <d v="2021-03-31T00:00:00"/>
    <m/>
    <x v="1"/>
    <x v="0"/>
    <x v="0"/>
    <m/>
    <s v="Demolition of an existing garage and creation of a new 4-bedroom house with associated parking, refuse, recycling, cycle storage, landscaping and amenity space."/>
    <x v="178"/>
    <s v="TW2 7HQ"/>
    <m/>
    <m/>
    <m/>
    <m/>
    <m/>
    <m/>
    <m/>
    <m/>
    <m/>
    <n v="0"/>
    <x v="0"/>
    <m/>
    <m/>
    <m/>
    <n v="1"/>
    <m/>
    <m/>
    <m/>
    <n v="1"/>
    <n v="0"/>
    <n v="0"/>
    <n v="0"/>
    <n v="1"/>
    <n v="0"/>
    <n v="0"/>
    <n v="0"/>
    <m/>
    <m/>
    <n v="1"/>
    <n v="1"/>
    <x v="1"/>
    <m/>
    <n v="1"/>
    <m/>
    <m/>
    <m/>
    <m/>
    <m/>
    <m/>
    <m/>
    <m/>
    <m/>
    <n v="1"/>
    <m/>
    <m/>
    <m/>
    <m/>
    <n v="513900"/>
    <n v="174312"/>
    <x v="17"/>
    <x v="0"/>
    <x v="17"/>
    <x v="1"/>
    <x v="0"/>
    <x v="0"/>
    <m/>
    <m/>
    <m/>
    <x v="0"/>
    <m/>
  </r>
  <r>
    <x v="177"/>
    <x v="2"/>
    <x v="0"/>
    <d v="2021-03-17T00:00:00"/>
    <d v="2024-03-18T00:00:00"/>
    <d v="2020-12-01T00:00:00"/>
    <m/>
    <x v="1"/>
    <x v="0"/>
    <x v="0"/>
    <m/>
    <s v="Change of use from one dwelling house falling under Class C4 (houses in multiple occupation) to Class C3 (dwellinghouse) to provide 1 x 2bed and 1 x 1bed flats._x000d__x000d_"/>
    <x v="179"/>
    <s v="TW11 8QZ"/>
    <m/>
    <m/>
    <m/>
    <m/>
    <m/>
    <m/>
    <m/>
    <m/>
    <m/>
    <n v="0"/>
    <x v="0"/>
    <n v="1"/>
    <n v="1"/>
    <m/>
    <m/>
    <m/>
    <m/>
    <m/>
    <n v="2"/>
    <n v="1"/>
    <n v="1"/>
    <n v="0"/>
    <n v="0"/>
    <n v="0"/>
    <n v="0"/>
    <n v="0"/>
    <m/>
    <m/>
    <n v="2"/>
    <n v="2"/>
    <x v="1"/>
    <m/>
    <n v="2"/>
    <m/>
    <m/>
    <m/>
    <m/>
    <m/>
    <m/>
    <m/>
    <m/>
    <m/>
    <n v="2"/>
    <m/>
    <m/>
    <m/>
    <m/>
    <n v="515617"/>
    <n v="170997"/>
    <x v="13"/>
    <x v="0"/>
    <x v="13"/>
    <x v="4"/>
    <x v="0"/>
    <x v="0"/>
    <m/>
    <m/>
    <m/>
    <x v="0"/>
    <m/>
  </r>
  <r>
    <x v="178"/>
    <x v="0"/>
    <x v="0"/>
    <d v="2017-05-30T00:00:00"/>
    <d v="2021-04-16T00:00:00"/>
    <m/>
    <m/>
    <x v="2"/>
    <x v="0"/>
    <x v="0"/>
    <m/>
    <s v="Demolition of the existing garages and redevelopment of the site with the erection of two residential houses with associated landscaping."/>
    <x v="180"/>
    <s v="TW11"/>
    <m/>
    <m/>
    <m/>
    <m/>
    <m/>
    <m/>
    <m/>
    <m/>
    <m/>
    <n v="0"/>
    <x v="0"/>
    <m/>
    <m/>
    <n v="2"/>
    <m/>
    <m/>
    <m/>
    <m/>
    <n v="2"/>
    <n v="0"/>
    <n v="0"/>
    <n v="2"/>
    <n v="0"/>
    <n v="0"/>
    <n v="0"/>
    <n v="0"/>
    <m/>
    <m/>
    <n v="2"/>
    <n v="2"/>
    <x v="1"/>
    <m/>
    <m/>
    <n v="0.5"/>
    <n v="0.5"/>
    <n v="0.5"/>
    <n v="0.5"/>
    <m/>
    <m/>
    <m/>
    <m/>
    <m/>
    <n v="2"/>
    <m/>
    <m/>
    <m/>
    <m/>
    <n v="516905"/>
    <n v="170733"/>
    <x v="8"/>
    <x v="0"/>
    <x v="8"/>
    <x v="1"/>
    <x v="0"/>
    <x v="0"/>
    <m/>
    <m/>
    <m/>
    <x v="0"/>
    <m/>
  </r>
  <r>
    <x v="179"/>
    <x v="3"/>
    <x v="0"/>
    <d v="2017-08-31T00:00:00"/>
    <d v="2020-08-31T00:00:00"/>
    <m/>
    <m/>
    <x v="2"/>
    <x v="0"/>
    <x v="0"/>
    <m/>
    <s v="Subdivision of house (C3) to form 2 no. 2-bed flats (C3), ground floor infill side extension, to the rear of property, with windows to north elevation and hip to gable roof extension, rear facing dormer, including 2 No. front facing rooflights, following"/>
    <x v="181"/>
    <s v="TW9 1YA"/>
    <m/>
    <m/>
    <m/>
    <n v="1"/>
    <m/>
    <m/>
    <m/>
    <m/>
    <m/>
    <n v="1"/>
    <x v="0"/>
    <m/>
    <n v="2"/>
    <m/>
    <m/>
    <m/>
    <m/>
    <m/>
    <n v="2"/>
    <n v="0"/>
    <n v="2"/>
    <n v="0"/>
    <n v="-1"/>
    <n v="0"/>
    <n v="0"/>
    <n v="0"/>
    <m/>
    <m/>
    <n v="1"/>
    <n v="1"/>
    <x v="1"/>
    <m/>
    <n v="0.25"/>
    <n v="0.25"/>
    <n v="0.25"/>
    <n v="0.25"/>
    <m/>
    <m/>
    <m/>
    <m/>
    <m/>
    <m/>
    <n v="1"/>
    <m/>
    <m/>
    <m/>
    <m/>
    <n v="519014"/>
    <n v="175279"/>
    <x v="4"/>
    <x v="0"/>
    <x v="4"/>
    <x v="1"/>
    <x v="0"/>
    <x v="0"/>
    <m/>
    <m/>
    <m/>
    <x v="0"/>
    <m/>
  </r>
  <r>
    <x v="180"/>
    <x v="1"/>
    <x v="0"/>
    <d v="2017-09-05T00:00:00"/>
    <d v="2021-05-01T00:00:00"/>
    <d v="2021-04-26T00:00:00"/>
    <m/>
    <x v="2"/>
    <x v="0"/>
    <x v="0"/>
    <m/>
    <s v="Retention of former police station building with partial demolition of the rear wings of the police station and demolition of the rear garages and the construction of 28 residential units (4 x 1 bedroom, 12 x 2 bedroom, 10 x 3 bedroom and 2 x 4 bedroom) a"/>
    <x v="182"/>
    <s v="TW12 2AX"/>
    <m/>
    <m/>
    <m/>
    <m/>
    <m/>
    <m/>
    <m/>
    <m/>
    <m/>
    <n v="0"/>
    <x v="0"/>
    <n v="4"/>
    <n v="12"/>
    <n v="10"/>
    <n v="2"/>
    <m/>
    <m/>
    <m/>
    <n v="28"/>
    <n v="4"/>
    <n v="12"/>
    <n v="10"/>
    <n v="2"/>
    <n v="0"/>
    <n v="0"/>
    <n v="0"/>
    <m/>
    <m/>
    <n v="28"/>
    <n v="28"/>
    <x v="0"/>
    <m/>
    <m/>
    <n v="7"/>
    <n v="7"/>
    <n v="7"/>
    <n v="7"/>
    <m/>
    <m/>
    <m/>
    <m/>
    <m/>
    <n v="28"/>
    <m/>
    <m/>
    <m/>
    <m/>
    <n v="513766"/>
    <n v="169736"/>
    <x v="15"/>
    <x v="0"/>
    <x v="15"/>
    <x v="1"/>
    <x v="0"/>
    <x v="0"/>
    <m/>
    <m/>
    <m/>
    <x v="0"/>
    <m/>
  </r>
  <r>
    <x v="181"/>
    <x v="0"/>
    <x v="0"/>
    <d v="2017-12-01T00:00:00"/>
    <d v="2020-12-01T00:00:00"/>
    <m/>
    <m/>
    <x v="2"/>
    <x v="0"/>
    <x v="0"/>
    <m/>
    <s v="Demolition of the existing detached bungalow and all outbuildings on site together with infill of the existing ponds to facilitate the construction of a pair of four bedroom semi-detached houses with associated boundary treatment, car parking, bin storage"/>
    <x v="183"/>
    <s v="TW2 7HD"/>
    <m/>
    <m/>
    <m/>
    <n v="1"/>
    <m/>
    <m/>
    <m/>
    <m/>
    <m/>
    <n v="1"/>
    <x v="0"/>
    <m/>
    <m/>
    <m/>
    <n v="2"/>
    <m/>
    <m/>
    <m/>
    <n v="2"/>
    <n v="0"/>
    <n v="0"/>
    <n v="0"/>
    <n v="1"/>
    <n v="0"/>
    <n v="0"/>
    <n v="0"/>
    <m/>
    <m/>
    <n v="1"/>
    <n v="1"/>
    <x v="1"/>
    <m/>
    <m/>
    <n v="0.25"/>
    <n v="0.25"/>
    <n v="0.25"/>
    <n v="0.25"/>
    <m/>
    <m/>
    <m/>
    <m/>
    <m/>
    <n v="1"/>
    <m/>
    <m/>
    <m/>
    <m/>
    <n v="514058"/>
    <n v="174409"/>
    <x v="17"/>
    <x v="1"/>
    <x v="17"/>
    <x v="1"/>
    <x v="0"/>
    <x v="0"/>
    <m/>
    <m/>
    <m/>
    <x v="0"/>
    <m/>
  </r>
  <r>
    <x v="182"/>
    <x v="2"/>
    <x v="1"/>
    <d v="2017-12-11T00:00:00"/>
    <d v="2020-12-11T00:00:00"/>
    <m/>
    <m/>
    <x v="2"/>
    <x v="0"/>
    <x v="0"/>
    <m/>
    <s v="Change of use from Offices (B1) to Residential (C3)."/>
    <x v="184"/>
    <s v="TW11 8PF"/>
    <m/>
    <m/>
    <m/>
    <m/>
    <m/>
    <m/>
    <m/>
    <m/>
    <m/>
    <n v="0"/>
    <x v="0"/>
    <m/>
    <n v="1"/>
    <n v="1"/>
    <m/>
    <m/>
    <m/>
    <m/>
    <n v="2"/>
    <n v="0"/>
    <n v="1"/>
    <n v="1"/>
    <n v="0"/>
    <n v="0"/>
    <n v="0"/>
    <n v="0"/>
    <m/>
    <m/>
    <n v="2"/>
    <n v="2"/>
    <x v="1"/>
    <m/>
    <n v="0.5"/>
    <n v="0.5"/>
    <n v="0.5"/>
    <n v="0.5"/>
    <m/>
    <m/>
    <m/>
    <m/>
    <m/>
    <m/>
    <n v="2"/>
    <m/>
    <m/>
    <m/>
    <m/>
    <n v="515664"/>
    <n v="171121"/>
    <x v="13"/>
    <x v="0"/>
    <x v="13"/>
    <x v="1"/>
    <x v="0"/>
    <x v="0"/>
    <m/>
    <m/>
    <m/>
    <x v="1"/>
    <s v="CA85 Church Road"/>
  </r>
  <r>
    <x v="183"/>
    <x v="3"/>
    <x v="0"/>
    <d v="2017-12-20T00:00:00"/>
    <d v="2020-12-20T00:00:00"/>
    <m/>
    <m/>
    <x v="2"/>
    <x v="0"/>
    <x v="0"/>
    <m/>
    <s v="Formation of additional floor of accommodation in the form of a mansard style roof extension to facilitate the conversion of existing first floor 3 bedroom flat into 2x1 bedroom flats and provision of 2x1 bedroom flats at second floor level through the ma"/>
    <x v="185"/>
    <s v="TW12 1JG"/>
    <m/>
    <m/>
    <n v="1"/>
    <m/>
    <m/>
    <m/>
    <m/>
    <m/>
    <m/>
    <n v="1"/>
    <x v="0"/>
    <n v="4"/>
    <m/>
    <m/>
    <m/>
    <m/>
    <m/>
    <m/>
    <n v="4"/>
    <n v="4"/>
    <n v="0"/>
    <n v="-1"/>
    <n v="0"/>
    <n v="0"/>
    <n v="0"/>
    <n v="0"/>
    <m/>
    <m/>
    <n v="3"/>
    <n v="3"/>
    <x v="1"/>
    <m/>
    <n v="0.75"/>
    <n v="0.75"/>
    <n v="0.75"/>
    <n v="0.75"/>
    <m/>
    <m/>
    <m/>
    <m/>
    <m/>
    <m/>
    <n v="3"/>
    <m/>
    <m/>
    <m/>
    <m/>
    <n v="514558"/>
    <n v="171264"/>
    <x v="1"/>
    <x v="0"/>
    <x v="1"/>
    <x v="1"/>
    <x v="0"/>
    <x v="1"/>
    <s v="High Street, Hampton Hill"/>
    <m/>
    <m/>
    <x v="0"/>
    <m/>
  </r>
  <r>
    <x v="184"/>
    <x v="2"/>
    <x v="1"/>
    <d v="2017-12-22T00:00:00"/>
    <d v="2020-12-22T00:00:00"/>
    <m/>
    <m/>
    <x v="2"/>
    <x v="0"/>
    <x v="0"/>
    <m/>
    <s v="Change of use of premises from B8 (warehouse/distrubtion) to C3 (residential - 6 x 1 bed flats)"/>
    <x v="186"/>
    <s v="SW14 7LY"/>
    <m/>
    <m/>
    <m/>
    <m/>
    <m/>
    <m/>
    <m/>
    <m/>
    <m/>
    <n v="0"/>
    <x v="0"/>
    <n v="6"/>
    <m/>
    <m/>
    <m/>
    <m/>
    <m/>
    <m/>
    <n v="6"/>
    <n v="6"/>
    <n v="0"/>
    <n v="0"/>
    <n v="0"/>
    <n v="0"/>
    <n v="0"/>
    <n v="0"/>
    <m/>
    <m/>
    <n v="6"/>
    <n v="6"/>
    <x v="1"/>
    <m/>
    <n v="1.5"/>
    <n v="1.5"/>
    <n v="1.5"/>
    <n v="1.5"/>
    <m/>
    <m/>
    <m/>
    <m/>
    <m/>
    <m/>
    <n v="6"/>
    <m/>
    <m/>
    <m/>
    <m/>
    <n v="520442"/>
    <n v="175588"/>
    <x v="12"/>
    <x v="0"/>
    <x v="12"/>
    <x v="1"/>
    <x v="0"/>
    <x v="0"/>
    <m/>
    <m/>
    <m/>
    <x v="1"/>
    <s v="CA70 Sheen Lane Mortlake"/>
  </r>
  <r>
    <x v="185"/>
    <x v="2"/>
    <x v="0"/>
    <d v="2018-01-19T00:00:00"/>
    <d v="2021-01-19T00:00:00"/>
    <m/>
    <m/>
    <x v="2"/>
    <x v="0"/>
    <x v="0"/>
    <m/>
    <s v="Change of use from existing open hall (D1) into 2 x residential apartments (C3). _x000d_"/>
    <x v="187"/>
    <s v="TW1 4BZ"/>
    <m/>
    <m/>
    <m/>
    <m/>
    <m/>
    <m/>
    <m/>
    <m/>
    <m/>
    <n v="0"/>
    <x v="0"/>
    <n v="2"/>
    <m/>
    <m/>
    <m/>
    <m/>
    <m/>
    <m/>
    <n v="2"/>
    <n v="2"/>
    <n v="0"/>
    <n v="0"/>
    <n v="0"/>
    <n v="0"/>
    <n v="0"/>
    <n v="0"/>
    <m/>
    <m/>
    <n v="2"/>
    <n v="2"/>
    <x v="1"/>
    <m/>
    <n v="0.5"/>
    <n v="0.5"/>
    <n v="0.5"/>
    <n v="0.5"/>
    <m/>
    <m/>
    <m/>
    <m/>
    <m/>
    <m/>
    <n v="2"/>
    <m/>
    <m/>
    <m/>
    <m/>
    <n v="516126"/>
    <n v="173185"/>
    <x v="10"/>
    <x v="0"/>
    <x v="10"/>
    <x v="0"/>
    <x v="0"/>
    <x v="0"/>
    <m/>
    <m/>
    <m/>
    <x v="0"/>
    <m/>
  </r>
  <r>
    <x v="186"/>
    <x v="2"/>
    <x v="1"/>
    <d v="2018-02-05T00:00:00"/>
    <d v="2021-02-05T00:00:00"/>
    <m/>
    <m/>
    <x v="2"/>
    <x v="0"/>
    <x v="0"/>
    <m/>
    <s v="Change of use of the ground floor and accommodation above the rear workshop from Class B1(C) Light Industrial to Dwelling (Class C3)."/>
    <x v="184"/>
    <s v="TW11 8PF"/>
    <m/>
    <m/>
    <m/>
    <m/>
    <m/>
    <m/>
    <m/>
    <m/>
    <m/>
    <n v="0"/>
    <x v="0"/>
    <m/>
    <n v="1"/>
    <m/>
    <m/>
    <m/>
    <m/>
    <m/>
    <n v="1"/>
    <n v="0"/>
    <n v="1"/>
    <n v="0"/>
    <n v="0"/>
    <n v="0"/>
    <n v="0"/>
    <n v="0"/>
    <m/>
    <m/>
    <n v="1"/>
    <n v="1"/>
    <x v="1"/>
    <m/>
    <n v="0.25"/>
    <n v="0.25"/>
    <n v="0.25"/>
    <n v="0.25"/>
    <m/>
    <m/>
    <m/>
    <m/>
    <m/>
    <m/>
    <n v="1"/>
    <m/>
    <m/>
    <m/>
    <m/>
    <n v="515664"/>
    <n v="171121"/>
    <x v="13"/>
    <x v="0"/>
    <x v="13"/>
    <x v="1"/>
    <x v="0"/>
    <x v="0"/>
    <m/>
    <m/>
    <m/>
    <x v="1"/>
    <s v="CA85 Church Road"/>
  </r>
  <r>
    <x v="187"/>
    <x v="2"/>
    <x v="1"/>
    <d v="2018-04-17T00:00:00"/>
    <d v="2021-05-17T00:00:00"/>
    <m/>
    <m/>
    <x v="2"/>
    <x v="0"/>
    <x v="0"/>
    <m/>
    <s v="Change of use from B1c to C3 (Residential) to provide 2 x 2B4P flats."/>
    <x v="188"/>
    <s v="TW12 1NA"/>
    <m/>
    <m/>
    <m/>
    <m/>
    <m/>
    <m/>
    <m/>
    <m/>
    <m/>
    <n v="0"/>
    <x v="0"/>
    <m/>
    <n v="2"/>
    <m/>
    <m/>
    <m/>
    <m/>
    <m/>
    <n v="2"/>
    <n v="0"/>
    <n v="2"/>
    <n v="0"/>
    <n v="0"/>
    <n v="0"/>
    <n v="0"/>
    <n v="0"/>
    <m/>
    <m/>
    <n v="2"/>
    <n v="2"/>
    <x v="1"/>
    <m/>
    <n v="0.5"/>
    <n v="0.5"/>
    <n v="0.5"/>
    <n v="0.5"/>
    <m/>
    <m/>
    <m/>
    <m/>
    <m/>
    <m/>
    <n v="2"/>
    <m/>
    <m/>
    <m/>
    <m/>
    <n v="514188"/>
    <n v="170550"/>
    <x v="1"/>
    <x v="0"/>
    <x v="1"/>
    <x v="1"/>
    <x v="0"/>
    <x v="0"/>
    <m/>
    <m/>
    <m/>
    <x v="1"/>
    <s v="CA38 High Street Hampton Hill"/>
  </r>
  <r>
    <x v="188"/>
    <x v="0"/>
    <x v="0"/>
    <d v="2018-04-23T00:00:00"/>
    <d v="2021-04-23T00:00:00"/>
    <m/>
    <m/>
    <x v="2"/>
    <x v="0"/>
    <x v="0"/>
    <m/>
    <s v="Demolition of all site buildings and redevelopment of the site for a mixed use development comprising a new car showroom with associated workshops (sui generis), office accommodation (Use Class B1a) and six three-bedrooom residential dwellings (Use Class"/>
    <x v="189"/>
    <s v="TW12 2BT"/>
    <m/>
    <m/>
    <m/>
    <m/>
    <m/>
    <m/>
    <m/>
    <m/>
    <m/>
    <n v="0"/>
    <x v="0"/>
    <m/>
    <m/>
    <n v="6"/>
    <m/>
    <m/>
    <m/>
    <m/>
    <n v="6"/>
    <n v="0"/>
    <n v="0"/>
    <n v="6"/>
    <n v="0"/>
    <n v="0"/>
    <n v="0"/>
    <n v="0"/>
    <m/>
    <m/>
    <n v="6"/>
    <n v="6"/>
    <x v="1"/>
    <m/>
    <m/>
    <n v="1.5"/>
    <n v="1.5"/>
    <n v="1.5"/>
    <n v="1.5"/>
    <m/>
    <m/>
    <m/>
    <m/>
    <m/>
    <n v="6"/>
    <m/>
    <m/>
    <m/>
    <m/>
    <n v="513825"/>
    <n v="169567"/>
    <x v="15"/>
    <x v="0"/>
    <x v="15"/>
    <x v="1"/>
    <x v="0"/>
    <x v="0"/>
    <m/>
    <m/>
    <m/>
    <x v="1"/>
    <s v="CA12 Hampton Village"/>
  </r>
  <r>
    <x v="189"/>
    <x v="0"/>
    <x v="0"/>
    <d v="2018-04-26T00:00:00"/>
    <d v="2021-04-26T00:00:00"/>
    <m/>
    <m/>
    <x v="2"/>
    <x v="0"/>
    <x v="0"/>
    <m/>
    <s v="Demolition of the existing two storey detached house and replacement with a new  built three storey detached house with basement with associated hard and soft landscaping."/>
    <x v="190"/>
    <s v="TW12 3NT"/>
    <m/>
    <m/>
    <m/>
    <n v="1"/>
    <m/>
    <m/>
    <m/>
    <m/>
    <m/>
    <n v="1"/>
    <x v="0"/>
    <m/>
    <m/>
    <m/>
    <m/>
    <n v="1"/>
    <m/>
    <m/>
    <n v="1"/>
    <n v="0"/>
    <n v="0"/>
    <n v="0"/>
    <n v="-1"/>
    <n v="1"/>
    <n v="0"/>
    <n v="0"/>
    <m/>
    <m/>
    <n v="0"/>
    <n v="0"/>
    <x v="1"/>
    <m/>
    <m/>
    <n v="0"/>
    <n v="0"/>
    <n v="0"/>
    <n v="0"/>
    <m/>
    <m/>
    <m/>
    <m/>
    <m/>
    <n v="0"/>
    <m/>
    <m/>
    <m/>
    <m/>
    <n v="512725"/>
    <n v="170606"/>
    <x v="16"/>
    <x v="0"/>
    <x v="16"/>
    <x v="1"/>
    <x v="0"/>
    <x v="0"/>
    <m/>
    <m/>
    <m/>
    <x v="0"/>
    <m/>
  </r>
  <r>
    <x v="190"/>
    <x v="1"/>
    <x v="0"/>
    <d v="2018-05-10T00:00:00"/>
    <d v="2021-05-10T00:00:00"/>
    <m/>
    <m/>
    <x v="2"/>
    <x v="0"/>
    <x v="0"/>
    <m/>
    <s v="Single storey rear extension and basement extension, including lightwells to the front and rear, to create 1 no. additional new dwelling."/>
    <x v="191"/>
    <s v="TW9 3DU"/>
    <m/>
    <m/>
    <m/>
    <m/>
    <m/>
    <m/>
    <m/>
    <m/>
    <m/>
    <n v="0"/>
    <x v="0"/>
    <n v="1"/>
    <m/>
    <m/>
    <m/>
    <m/>
    <m/>
    <m/>
    <n v="1"/>
    <n v="1"/>
    <n v="0"/>
    <n v="0"/>
    <n v="0"/>
    <n v="0"/>
    <n v="0"/>
    <n v="0"/>
    <m/>
    <m/>
    <n v="1"/>
    <n v="1"/>
    <x v="1"/>
    <m/>
    <m/>
    <n v="0.25"/>
    <n v="0.25"/>
    <n v="0.25"/>
    <n v="0.25"/>
    <m/>
    <m/>
    <m/>
    <m/>
    <m/>
    <n v="1"/>
    <m/>
    <m/>
    <m/>
    <m/>
    <n v="518955"/>
    <n v="177124"/>
    <x v="7"/>
    <x v="0"/>
    <x v="7"/>
    <x v="1"/>
    <x v="0"/>
    <x v="0"/>
    <m/>
    <m/>
    <m/>
    <x v="1"/>
    <s v="CA2 Kew Green"/>
  </r>
  <r>
    <x v="191"/>
    <x v="2"/>
    <x v="1"/>
    <d v="2018-05-22T00:00:00"/>
    <d v="2021-05-22T00:00:00"/>
    <m/>
    <m/>
    <x v="2"/>
    <x v="0"/>
    <x v="0"/>
    <m/>
    <s v="Change of use from offices (B1) to residential (C3)"/>
    <x v="192"/>
    <s v="SW14 7LY"/>
    <m/>
    <m/>
    <m/>
    <m/>
    <m/>
    <m/>
    <m/>
    <m/>
    <m/>
    <n v="0"/>
    <x v="0"/>
    <m/>
    <m/>
    <n v="5"/>
    <m/>
    <m/>
    <m/>
    <m/>
    <n v="5"/>
    <n v="0"/>
    <n v="0"/>
    <n v="5"/>
    <n v="0"/>
    <n v="0"/>
    <n v="0"/>
    <n v="0"/>
    <m/>
    <m/>
    <n v="5"/>
    <n v="5"/>
    <x v="1"/>
    <m/>
    <m/>
    <n v="1.25"/>
    <n v="1.25"/>
    <n v="1.25"/>
    <n v="1.25"/>
    <m/>
    <m/>
    <m/>
    <m/>
    <m/>
    <n v="5"/>
    <m/>
    <m/>
    <m/>
    <m/>
    <n v="520397"/>
    <n v="175552"/>
    <x v="12"/>
    <x v="0"/>
    <x v="12"/>
    <x v="3"/>
    <x v="0"/>
    <x v="0"/>
    <m/>
    <m/>
    <m/>
    <x v="0"/>
    <m/>
  </r>
  <r>
    <x v="192"/>
    <x v="0"/>
    <x v="0"/>
    <d v="2018-05-31T00:00:00"/>
    <d v="2021-05-31T00:00:00"/>
    <m/>
    <m/>
    <x v="2"/>
    <x v="0"/>
    <x v="0"/>
    <s v="21/0754/GPD15 - 63 - 65 - 12 flats - Apr 21"/>
    <s v="Demolition of existing buildings on site and erection 2 buildings (two to four-storeys in height), set around outer and inner landscaped courtyards, comprising of 6 townhouses, 35 flats and two commercial units on the High Street frontage (110 sq.m GIA) a"/>
    <x v="193"/>
    <s v="TW12 1NH"/>
    <n v="2"/>
    <n v="1"/>
    <m/>
    <m/>
    <m/>
    <m/>
    <m/>
    <m/>
    <m/>
    <n v="3"/>
    <x v="0"/>
    <n v="19"/>
    <n v="17"/>
    <n v="5"/>
    <m/>
    <m/>
    <m/>
    <m/>
    <n v="41"/>
    <n v="17"/>
    <n v="16"/>
    <n v="5"/>
    <n v="0"/>
    <n v="0"/>
    <n v="0"/>
    <n v="0"/>
    <m/>
    <m/>
    <n v="38"/>
    <n v="38"/>
    <x v="0"/>
    <m/>
    <m/>
    <n v="9.5"/>
    <n v="9.5"/>
    <n v="9.5"/>
    <n v="9.5"/>
    <m/>
    <m/>
    <m/>
    <m/>
    <m/>
    <n v="38"/>
    <m/>
    <m/>
    <m/>
    <m/>
    <n v="514240"/>
    <n v="170830"/>
    <x v="1"/>
    <x v="0"/>
    <x v="1"/>
    <x v="1"/>
    <x v="0"/>
    <x v="1"/>
    <s v="High Street, Hampton Hill"/>
    <m/>
    <m/>
    <x v="1"/>
    <s v="CA38 High Street Hampton Hill"/>
  </r>
  <r>
    <x v="193"/>
    <x v="0"/>
    <x v="0"/>
    <d v="2018-05-31T00:00:00"/>
    <d v="2021-05-31T00:00:00"/>
    <m/>
    <m/>
    <x v="2"/>
    <x v="0"/>
    <x v="0"/>
    <m/>
    <s v="Demolition of the existing four bedroom house and garage and replace with a new build four bedroom house, together with associated hard and soft landscaping, cycle and refuse stores and parking."/>
    <x v="194"/>
    <s v="TW11 0RT"/>
    <m/>
    <m/>
    <m/>
    <n v="1"/>
    <m/>
    <m/>
    <m/>
    <m/>
    <m/>
    <n v="1"/>
    <x v="0"/>
    <m/>
    <m/>
    <m/>
    <n v="1"/>
    <m/>
    <m/>
    <m/>
    <n v="1"/>
    <n v="0"/>
    <n v="0"/>
    <n v="0"/>
    <n v="0"/>
    <n v="0"/>
    <n v="0"/>
    <n v="0"/>
    <m/>
    <m/>
    <n v="0"/>
    <n v="0"/>
    <x v="1"/>
    <m/>
    <m/>
    <n v="0"/>
    <n v="0"/>
    <n v="0"/>
    <n v="0"/>
    <m/>
    <m/>
    <m/>
    <m/>
    <m/>
    <n v="0"/>
    <m/>
    <m/>
    <m/>
    <m/>
    <n v="514952"/>
    <n v="171606"/>
    <x v="1"/>
    <x v="0"/>
    <x v="1"/>
    <x v="1"/>
    <x v="0"/>
    <x v="0"/>
    <m/>
    <m/>
    <m/>
    <x v="0"/>
    <m/>
  </r>
  <r>
    <x v="194"/>
    <x v="1"/>
    <x v="0"/>
    <d v="2018-06-12T00:00:00"/>
    <d v="2021-06-12T00:00:00"/>
    <m/>
    <m/>
    <x v="2"/>
    <x v="0"/>
    <x v="0"/>
    <m/>
    <s v="Part change of use of ground and first floor from B1 office use to C3  residential use to provide 2 x 2 bedroom duplex units.  Alterations and extension to facilitate the provision of additional B1 office use and C3 residential use at second floor level ("/>
    <x v="195"/>
    <s v="TW1 2AG"/>
    <m/>
    <m/>
    <m/>
    <m/>
    <m/>
    <m/>
    <m/>
    <m/>
    <m/>
    <n v="0"/>
    <x v="0"/>
    <n v="3"/>
    <n v="1"/>
    <m/>
    <m/>
    <m/>
    <m/>
    <m/>
    <n v="4"/>
    <n v="3"/>
    <n v="1"/>
    <n v="0"/>
    <n v="0"/>
    <n v="0"/>
    <n v="0"/>
    <n v="0"/>
    <m/>
    <m/>
    <n v="4"/>
    <n v="4"/>
    <x v="1"/>
    <m/>
    <m/>
    <n v="1"/>
    <n v="1"/>
    <n v="1"/>
    <n v="1"/>
    <m/>
    <m/>
    <m/>
    <m/>
    <m/>
    <n v="4"/>
    <m/>
    <m/>
    <m/>
    <m/>
    <n v="517591"/>
    <n v="174434"/>
    <x v="10"/>
    <x v="0"/>
    <x v="10"/>
    <x v="1"/>
    <x v="0"/>
    <x v="1"/>
    <s v="East Twickenham"/>
    <m/>
    <m/>
    <x v="1"/>
    <s v="CA4 Richmond Riverside"/>
  </r>
  <r>
    <x v="195"/>
    <x v="0"/>
    <x v="0"/>
    <d v="2018-07-03T00:00:00"/>
    <d v="2021-07-03T00:00:00"/>
    <m/>
    <m/>
    <x v="2"/>
    <x v="0"/>
    <x v="0"/>
    <m/>
    <s v="Change of use from a private garage and store to a 2 bedroom house with associated single storey extensions; retention of existing photovoltaic arrays; associated cycle and refuse/recycle stores; hard and soft landscaping and installation of car turntable"/>
    <x v="196"/>
    <s v="TW2 7EE"/>
    <m/>
    <m/>
    <m/>
    <m/>
    <m/>
    <m/>
    <m/>
    <m/>
    <m/>
    <n v="0"/>
    <x v="0"/>
    <m/>
    <n v="1"/>
    <m/>
    <m/>
    <m/>
    <m/>
    <m/>
    <n v="1"/>
    <n v="0"/>
    <n v="1"/>
    <n v="0"/>
    <n v="0"/>
    <n v="0"/>
    <n v="0"/>
    <n v="0"/>
    <m/>
    <m/>
    <n v="1"/>
    <n v="1"/>
    <x v="1"/>
    <m/>
    <m/>
    <n v="0.25"/>
    <n v="0.25"/>
    <n v="0.25"/>
    <n v="0.25"/>
    <m/>
    <m/>
    <m/>
    <m/>
    <m/>
    <n v="1"/>
    <m/>
    <m/>
    <m/>
    <m/>
    <n v="514174"/>
    <n v="174381"/>
    <x v="17"/>
    <x v="0"/>
    <x v="17"/>
    <x v="1"/>
    <x v="0"/>
    <x v="0"/>
    <m/>
    <m/>
    <m/>
    <x v="0"/>
    <m/>
  </r>
  <r>
    <x v="196"/>
    <x v="2"/>
    <x v="0"/>
    <d v="2018-07-19T00:00:00"/>
    <d v="2021-07-19T00:00:00"/>
    <m/>
    <m/>
    <x v="2"/>
    <x v="0"/>
    <x v="0"/>
    <m/>
    <s v="Alterations including construction of a new rear ground floor extension and change of use to commercial space and two 2-bedroom self-contained flats."/>
    <x v="197"/>
    <s v="TW9 1UF"/>
    <m/>
    <m/>
    <m/>
    <m/>
    <m/>
    <m/>
    <m/>
    <m/>
    <m/>
    <n v="0"/>
    <x v="0"/>
    <m/>
    <n v="2"/>
    <m/>
    <m/>
    <m/>
    <m/>
    <m/>
    <n v="2"/>
    <n v="0"/>
    <n v="2"/>
    <n v="0"/>
    <n v="0"/>
    <n v="0"/>
    <n v="0"/>
    <n v="0"/>
    <m/>
    <m/>
    <n v="2"/>
    <n v="2"/>
    <x v="1"/>
    <m/>
    <n v="0.5"/>
    <n v="0.5"/>
    <n v="0.5"/>
    <n v="0.5"/>
    <m/>
    <m/>
    <m/>
    <m/>
    <m/>
    <m/>
    <n v="2"/>
    <m/>
    <m/>
    <m/>
    <m/>
    <n v="518392"/>
    <n v="175032"/>
    <x v="3"/>
    <x v="0"/>
    <x v="3"/>
    <x v="1"/>
    <x v="0"/>
    <x v="1"/>
    <s v="Sheen Road"/>
    <m/>
    <m/>
    <x v="1"/>
    <s v="CA31 Sheen Road Richmond"/>
  </r>
  <r>
    <x v="197"/>
    <x v="0"/>
    <x v="0"/>
    <d v="2018-07-26T00:00:00"/>
    <d v="2021-07-26T00:00:00"/>
    <m/>
    <m/>
    <x v="2"/>
    <x v="0"/>
    <x v="0"/>
    <m/>
    <s v="Demolition of the existing garages. Erection of 1 x 2 bed single storey house and 1 x 3 bed single storey house with basement with associated hard and soft landscaping, refuse and cycle stores."/>
    <x v="198"/>
    <s v="TW11 0PP"/>
    <m/>
    <m/>
    <m/>
    <m/>
    <m/>
    <m/>
    <m/>
    <m/>
    <m/>
    <n v="0"/>
    <x v="0"/>
    <m/>
    <n v="1"/>
    <n v="1"/>
    <m/>
    <m/>
    <m/>
    <m/>
    <n v="2"/>
    <n v="0"/>
    <n v="1"/>
    <n v="1"/>
    <n v="0"/>
    <n v="0"/>
    <n v="0"/>
    <n v="0"/>
    <m/>
    <m/>
    <n v="2"/>
    <n v="2"/>
    <x v="1"/>
    <m/>
    <m/>
    <n v="0.5"/>
    <n v="0.5"/>
    <n v="0.5"/>
    <n v="0.5"/>
    <m/>
    <m/>
    <m/>
    <m/>
    <m/>
    <n v="2"/>
    <m/>
    <m/>
    <m/>
    <m/>
    <n v="514975"/>
    <n v="171285"/>
    <x v="1"/>
    <x v="0"/>
    <x v="1"/>
    <x v="1"/>
    <x v="0"/>
    <x v="0"/>
    <m/>
    <m/>
    <m/>
    <x v="0"/>
    <m/>
  </r>
  <r>
    <x v="198"/>
    <x v="0"/>
    <x v="0"/>
    <d v="2018-08-10T00:00:00"/>
    <d v="2021-08-10T00:00:00"/>
    <m/>
    <m/>
    <x v="2"/>
    <x v="0"/>
    <x v="0"/>
    <m/>
    <s v="Demolition of existing single family dwelling and erection of a replacement two-storey dwelling house, with accommodation in the mansard roof."/>
    <x v="199"/>
    <s v="TW2 6QJ"/>
    <m/>
    <m/>
    <m/>
    <n v="1"/>
    <m/>
    <m/>
    <m/>
    <m/>
    <m/>
    <n v="1"/>
    <x v="0"/>
    <m/>
    <m/>
    <m/>
    <n v="1"/>
    <m/>
    <m/>
    <m/>
    <n v="1"/>
    <n v="0"/>
    <n v="0"/>
    <n v="0"/>
    <n v="0"/>
    <n v="0"/>
    <n v="0"/>
    <n v="0"/>
    <m/>
    <m/>
    <n v="0"/>
    <n v="0"/>
    <x v="1"/>
    <m/>
    <m/>
    <n v="0"/>
    <n v="0"/>
    <n v="0"/>
    <n v="0"/>
    <m/>
    <m/>
    <m/>
    <m/>
    <m/>
    <n v="0"/>
    <m/>
    <m/>
    <m/>
    <m/>
    <n v="515299"/>
    <n v="173105"/>
    <x v="14"/>
    <x v="0"/>
    <x v="14"/>
    <x v="1"/>
    <x v="0"/>
    <x v="0"/>
    <m/>
    <m/>
    <m/>
    <x v="0"/>
    <m/>
  </r>
  <r>
    <x v="199"/>
    <x v="2"/>
    <x v="1"/>
    <d v="2018-09-14T00:00:00"/>
    <d v="2021-09-14T00:00:00"/>
    <m/>
    <m/>
    <x v="2"/>
    <x v="0"/>
    <x v="0"/>
    <m/>
    <s v="Change of use from B1 to C3 (1No. studio flat and 2No. one bed apartments)."/>
    <x v="200"/>
    <s v="TW11 9BG"/>
    <m/>
    <m/>
    <m/>
    <m/>
    <m/>
    <m/>
    <m/>
    <m/>
    <m/>
    <n v="0"/>
    <x v="0"/>
    <n v="3"/>
    <m/>
    <m/>
    <m/>
    <m/>
    <m/>
    <m/>
    <n v="3"/>
    <n v="3"/>
    <n v="0"/>
    <n v="0"/>
    <n v="0"/>
    <n v="0"/>
    <n v="0"/>
    <n v="0"/>
    <m/>
    <m/>
    <n v="3"/>
    <n v="3"/>
    <x v="1"/>
    <m/>
    <n v="0.75"/>
    <n v="0.75"/>
    <n v="0.75"/>
    <n v="0.75"/>
    <m/>
    <m/>
    <m/>
    <m/>
    <m/>
    <m/>
    <n v="3"/>
    <m/>
    <m/>
    <m/>
    <m/>
    <n v="516288"/>
    <n v="171091"/>
    <x v="13"/>
    <x v="0"/>
    <x v="13"/>
    <x v="4"/>
    <x v="0"/>
    <x v="0"/>
    <m/>
    <m/>
    <m/>
    <x v="0"/>
    <m/>
  </r>
  <r>
    <x v="200"/>
    <x v="0"/>
    <x v="0"/>
    <d v="2018-10-03T00:00:00"/>
    <d v="2021-10-03T00:00:00"/>
    <m/>
    <m/>
    <x v="2"/>
    <x v="0"/>
    <x v="0"/>
    <m/>
    <s v="Erection of 2no. dwellings with associated cycle parking and refuse storage."/>
    <x v="201"/>
    <s v="TW9 1DN"/>
    <m/>
    <m/>
    <m/>
    <m/>
    <m/>
    <m/>
    <m/>
    <m/>
    <m/>
    <n v="0"/>
    <x v="0"/>
    <m/>
    <n v="2"/>
    <m/>
    <m/>
    <m/>
    <m/>
    <m/>
    <n v="2"/>
    <n v="0"/>
    <n v="2"/>
    <n v="0"/>
    <n v="0"/>
    <n v="0"/>
    <n v="0"/>
    <n v="0"/>
    <m/>
    <m/>
    <n v="2"/>
    <n v="2"/>
    <x v="1"/>
    <m/>
    <m/>
    <n v="0.5"/>
    <n v="0.5"/>
    <n v="0.5"/>
    <n v="0.5"/>
    <m/>
    <m/>
    <m/>
    <m/>
    <m/>
    <n v="2"/>
    <m/>
    <m/>
    <m/>
    <m/>
    <n v="518028"/>
    <n v="175050"/>
    <x v="3"/>
    <x v="0"/>
    <x v="3"/>
    <x v="2"/>
    <x v="0"/>
    <x v="0"/>
    <m/>
    <m/>
    <m/>
    <x v="1"/>
    <s v="CA17 Central Richmond"/>
  </r>
  <r>
    <x v="201"/>
    <x v="2"/>
    <x v="1"/>
    <d v="2018-10-08T00:00:00"/>
    <d v="2021-10-08T00:00:00"/>
    <m/>
    <m/>
    <x v="2"/>
    <x v="0"/>
    <x v="0"/>
    <m/>
    <s v="Change of use of premises from a A1 use to to C3 (residential use - 2 no studio flats and 1 x 1 bed flat with existing first floor flat above no. 561 to remain)"/>
    <x v="202"/>
    <s v="SW14 7ED"/>
    <m/>
    <m/>
    <m/>
    <m/>
    <m/>
    <m/>
    <m/>
    <m/>
    <m/>
    <n v="0"/>
    <x v="0"/>
    <n v="3"/>
    <m/>
    <m/>
    <m/>
    <m/>
    <m/>
    <m/>
    <n v="3"/>
    <n v="3"/>
    <n v="0"/>
    <n v="0"/>
    <n v="0"/>
    <n v="0"/>
    <n v="0"/>
    <n v="0"/>
    <m/>
    <m/>
    <n v="3"/>
    <n v="3"/>
    <x v="1"/>
    <m/>
    <n v="0.75"/>
    <n v="0.75"/>
    <n v="0.75"/>
    <n v="0.75"/>
    <m/>
    <m/>
    <m/>
    <m/>
    <m/>
    <m/>
    <n v="3"/>
    <m/>
    <m/>
    <m/>
    <m/>
    <n v="519756"/>
    <n v="175319"/>
    <x v="12"/>
    <x v="0"/>
    <x v="12"/>
    <x v="1"/>
    <x v="0"/>
    <x v="0"/>
    <m/>
    <m/>
    <m/>
    <x v="0"/>
    <m/>
  </r>
  <r>
    <x v="202"/>
    <x v="0"/>
    <x v="0"/>
    <d v="2018-10-30T00:00:00"/>
    <d v="2021-10-30T00:00:00"/>
    <m/>
    <m/>
    <x v="2"/>
    <x v="0"/>
    <x v="0"/>
    <m/>
    <s v="Demolition of existing garages and erection of a pair of two-storey, 3-bedroom semi-detached houses (2 no.), with associated landscaping and 4 off-street parking bays."/>
    <x v="203"/>
    <s v="TW1 3JB"/>
    <m/>
    <m/>
    <m/>
    <m/>
    <m/>
    <m/>
    <m/>
    <m/>
    <m/>
    <n v="0"/>
    <x v="0"/>
    <m/>
    <m/>
    <n v="2"/>
    <m/>
    <m/>
    <m/>
    <m/>
    <n v="2"/>
    <n v="0"/>
    <n v="0"/>
    <n v="2"/>
    <n v="0"/>
    <n v="0"/>
    <n v="0"/>
    <n v="0"/>
    <m/>
    <m/>
    <n v="2"/>
    <n v="2"/>
    <x v="1"/>
    <m/>
    <m/>
    <n v="0.5"/>
    <n v="0.5"/>
    <n v="0.5"/>
    <n v="0.5"/>
    <m/>
    <m/>
    <m/>
    <m/>
    <m/>
    <n v="2"/>
    <m/>
    <m/>
    <m/>
    <m/>
    <n v="516182"/>
    <n v="173653"/>
    <x v="10"/>
    <x v="0"/>
    <x v="10"/>
    <x v="0"/>
    <x v="0"/>
    <x v="0"/>
    <m/>
    <m/>
    <m/>
    <x v="0"/>
    <m/>
  </r>
  <r>
    <x v="203"/>
    <x v="2"/>
    <x v="1"/>
    <d v="2018-11-12T00:00:00"/>
    <d v="2021-11-12T00:00:00"/>
    <m/>
    <m/>
    <x v="2"/>
    <x v="0"/>
    <x v="0"/>
    <m/>
    <s v="Change of use of first and second floor B1(a) office accommodation to 1 x three bedroom C3 residential unit."/>
    <x v="204"/>
    <s v="SW14 8AD"/>
    <m/>
    <m/>
    <m/>
    <m/>
    <m/>
    <m/>
    <m/>
    <m/>
    <m/>
    <n v="0"/>
    <x v="0"/>
    <m/>
    <m/>
    <n v="1"/>
    <m/>
    <m/>
    <m/>
    <m/>
    <n v="1"/>
    <n v="0"/>
    <n v="0"/>
    <n v="1"/>
    <n v="0"/>
    <n v="0"/>
    <n v="0"/>
    <n v="0"/>
    <m/>
    <m/>
    <n v="1"/>
    <n v="1"/>
    <x v="1"/>
    <m/>
    <n v="0.25"/>
    <n v="0.25"/>
    <n v="0.25"/>
    <n v="0.25"/>
    <m/>
    <m/>
    <m/>
    <m/>
    <m/>
    <m/>
    <n v="1"/>
    <m/>
    <m/>
    <m/>
    <m/>
    <n v="520495"/>
    <n v="175597"/>
    <x v="12"/>
    <x v="0"/>
    <x v="12"/>
    <x v="3"/>
    <x v="0"/>
    <x v="0"/>
    <m/>
    <m/>
    <m/>
    <x v="1"/>
    <s v="CA70 Sheen Lane Mortlake"/>
  </r>
  <r>
    <x v="204"/>
    <x v="0"/>
    <x v="0"/>
    <d v="2018-11-15T00:00:00"/>
    <d v="2022-05-14T00:00:00"/>
    <m/>
    <m/>
    <x v="2"/>
    <x v="0"/>
    <x v="0"/>
    <m/>
    <s v="Demolition of builders storage building and erection of one bedroomed  2 storey detached dwellinghouse with basement."/>
    <x v="205"/>
    <s v="TW1 1LG"/>
    <m/>
    <m/>
    <m/>
    <m/>
    <m/>
    <m/>
    <m/>
    <m/>
    <m/>
    <n v="0"/>
    <x v="0"/>
    <n v="1"/>
    <m/>
    <m/>
    <m/>
    <m/>
    <m/>
    <m/>
    <n v="1"/>
    <n v="1"/>
    <n v="0"/>
    <n v="0"/>
    <n v="0"/>
    <n v="0"/>
    <n v="0"/>
    <n v="0"/>
    <m/>
    <m/>
    <n v="1"/>
    <n v="1"/>
    <x v="1"/>
    <m/>
    <m/>
    <n v="0.25"/>
    <n v="0.25"/>
    <n v="0.25"/>
    <n v="0.25"/>
    <m/>
    <m/>
    <m/>
    <m/>
    <m/>
    <n v="1"/>
    <m/>
    <m/>
    <m/>
    <m/>
    <n v="516598"/>
    <n v="174330"/>
    <x v="0"/>
    <x v="0"/>
    <x v="0"/>
    <x v="1"/>
    <x v="0"/>
    <x v="0"/>
    <m/>
    <m/>
    <m/>
    <x v="0"/>
    <m/>
  </r>
  <r>
    <x v="205"/>
    <x v="2"/>
    <x v="0"/>
    <d v="2018-11-30T00:00:00"/>
    <d v="2022-03-19T00:00:00"/>
    <m/>
    <m/>
    <x v="2"/>
    <x v="0"/>
    <x v="0"/>
    <m/>
    <s v="Change of use of part front ground floor A5(hot food takeaways) use to C3(residential) use to facilitate the conversion of existing 3 bed maisonette above shop into 2 x 2 bed (2B3P) flats. _x000d_Change of use of part rear ground floor rear from A5(retail) to C"/>
    <x v="206"/>
    <s v="TW1 4BN"/>
    <m/>
    <m/>
    <n v="1"/>
    <m/>
    <m/>
    <m/>
    <m/>
    <m/>
    <m/>
    <n v="1"/>
    <x v="0"/>
    <n v="1"/>
    <n v="2"/>
    <m/>
    <m/>
    <m/>
    <m/>
    <m/>
    <n v="3"/>
    <n v="1"/>
    <n v="2"/>
    <n v="-1"/>
    <n v="0"/>
    <n v="0"/>
    <n v="0"/>
    <n v="0"/>
    <m/>
    <m/>
    <n v="2"/>
    <n v="2"/>
    <x v="1"/>
    <m/>
    <n v="0.5"/>
    <n v="0.5"/>
    <n v="0.5"/>
    <n v="0.5"/>
    <m/>
    <m/>
    <m/>
    <m/>
    <m/>
    <m/>
    <n v="2"/>
    <m/>
    <m/>
    <m/>
    <m/>
    <n v="515746"/>
    <n v="173156"/>
    <x v="14"/>
    <x v="0"/>
    <x v="14"/>
    <x v="0"/>
    <x v="0"/>
    <x v="0"/>
    <m/>
    <m/>
    <m/>
    <x v="0"/>
    <m/>
  </r>
  <r>
    <x v="206"/>
    <x v="4"/>
    <x v="0"/>
    <d v="2018-12-11T00:00:00"/>
    <d v="2021-12-11T00:00:00"/>
    <m/>
    <m/>
    <x v="2"/>
    <x v="0"/>
    <x v="0"/>
    <m/>
    <s v="First floor side extension and internal alterations (loss of floor space to existing first floor flat) in connection with the formation of an additional studio flat."/>
    <x v="207"/>
    <s v="TW1 4HJ"/>
    <m/>
    <m/>
    <m/>
    <m/>
    <m/>
    <m/>
    <m/>
    <m/>
    <m/>
    <n v="0"/>
    <x v="0"/>
    <n v="1"/>
    <m/>
    <m/>
    <m/>
    <m/>
    <m/>
    <m/>
    <n v="1"/>
    <n v="1"/>
    <n v="0"/>
    <n v="0"/>
    <n v="0"/>
    <n v="0"/>
    <n v="0"/>
    <n v="0"/>
    <m/>
    <m/>
    <n v="1"/>
    <n v="1"/>
    <x v="1"/>
    <m/>
    <n v="0.25"/>
    <n v="0.25"/>
    <n v="0.25"/>
    <n v="0.25"/>
    <m/>
    <m/>
    <m/>
    <m/>
    <m/>
    <m/>
    <n v="1"/>
    <m/>
    <m/>
    <m/>
    <m/>
    <n v="515913"/>
    <n v="173384"/>
    <x v="10"/>
    <x v="0"/>
    <x v="10"/>
    <x v="1"/>
    <x v="0"/>
    <x v="0"/>
    <m/>
    <m/>
    <m/>
    <x v="0"/>
    <m/>
  </r>
  <r>
    <x v="207"/>
    <x v="0"/>
    <x v="0"/>
    <d v="2018-12-18T00:00:00"/>
    <d v="2021-12-18T00:00:00"/>
    <m/>
    <m/>
    <x v="2"/>
    <x v="0"/>
    <x v="0"/>
    <m/>
    <s v="Demolition of the existing detached dwelling house and replacement with a new detached family home with associated off street parking."/>
    <x v="208"/>
    <s v="TW10 7AE"/>
    <m/>
    <m/>
    <m/>
    <n v="1"/>
    <m/>
    <m/>
    <m/>
    <m/>
    <m/>
    <n v="1"/>
    <x v="0"/>
    <m/>
    <m/>
    <m/>
    <m/>
    <m/>
    <n v="1"/>
    <m/>
    <n v="1"/>
    <n v="0"/>
    <n v="0"/>
    <n v="0"/>
    <n v="-1"/>
    <n v="0"/>
    <n v="1"/>
    <n v="0"/>
    <m/>
    <m/>
    <n v="0"/>
    <n v="0"/>
    <x v="1"/>
    <m/>
    <m/>
    <n v="0"/>
    <n v="0"/>
    <n v="0"/>
    <n v="0"/>
    <m/>
    <m/>
    <m/>
    <m/>
    <m/>
    <n v="0"/>
    <m/>
    <m/>
    <m/>
    <m/>
    <n v="518177"/>
    <n v="173103"/>
    <x v="5"/>
    <x v="0"/>
    <x v="5"/>
    <x v="1"/>
    <x v="0"/>
    <x v="0"/>
    <m/>
    <m/>
    <m/>
    <x v="0"/>
    <m/>
  </r>
  <r>
    <x v="208"/>
    <x v="0"/>
    <x v="0"/>
    <d v="2018-12-21T00:00:00"/>
    <d v="2021-12-21T00:00:00"/>
    <m/>
    <m/>
    <x v="2"/>
    <x v="0"/>
    <x v="0"/>
    <m/>
    <s v="Demolition of garage and the erection of a three-storey two-bedroom detached dwelling with associated landscaping. (Re-consultation required for the following reason: Building line adjusted following a further site survey to accurately record the location"/>
    <x v="209"/>
    <s v="SW13 0NX"/>
    <m/>
    <m/>
    <m/>
    <m/>
    <m/>
    <m/>
    <m/>
    <m/>
    <m/>
    <n v="0"/>
    <x v="0"/>
    <m/>
    <n v="1"/>
    <m/>
    <m/>
    <m/>
    <m/>
    <m/>
    <n v="1"/>
    <n v="0"/>
    <n v="1"/>
    <n v="0"/>
    <n v="0"/>
    <n v="0"/>
    <n v="0"/>
    <n v="0"/>
    <m/>
    <m/>
    <n v="1"/>
    <n v="1"/>
    <x v="1"/>
    <m/>
    <m/>
    <n v="0.25"/>
    <n v="0.25"/>
    <n v="0.25"/>
    <n v="0.25"/>
    <m/>
    <m/>
    <m/>
    <m/>
    <m/>
    <n v="1"/>
    <m/>
    <m/>
    <m/>
    <m/>
    <n v="521350"/>
    <n v="176123"/>
    <x v="9"/>
    <x v="0"/>
    <x v="9"/>
    <x v="1"/>
    <x v="1"/>
    <x v="0"/>
    <m/>
    <m/>
    <m/>
    <x v="1"/>
    <s v="CA1 Barnes Green"/>
  </r>
  <r>
    <x v="209"/>
    <x v="0"/>
    <x v="0"/>
    <d v="2019-01-07T00:00:00"/>
    <d v="2022-01-07T00:00:00"/>
    <m/>
    <m/>
    <x v="2"/>
    <x v="0"/>
    <x v="0"/>
    <m/>
    <s v="Demolition of the existing outbuilding to the rear of no.48 Fourth Cross Road accessed via Rutland Road and construction of 1x2 bedroom dwelling including basement, with associated car parking, cycle parking and recycle/refuse storage."/>
    <x v="210"/>
    <s v="TW2 5ER"/>
    <m/>
    <m/>
    <m/>
    <m/>
    <m/>
    <m/>
    <m/>
    <m/>
    <m/>
    <n v="0"/>
    <x v="0"/>
    <m/>
    <n v="1"/>
    <m/>
    <m/>
    <m/>
    <m/>
    <m/>
    <n v="1"/>
    <n v="0"/>
    <n v="1"/>
    <n v="0"/>
    <n v="0"/>
    <n v="0"/>
    <n v="0"/>
    <n v="0"/>
    <m/>
    <m/>
    <n v="1"/>
    <n v="1"/>
    <x v="1"/>
    <m/>
    <m/>
    <n v="0.25"/>
    <n v="0.25"/>
    <n v="0.25"/>
    <n v="0.25"/>
    <m/>
    <m/>
    <m/>
    <m/>
    <m/>
    <n v="1"/>
    <m/>
    <m/>
    <m/>
    <m/>
    <n v="514703"/>
    <n v="172701"/>
    <x v="11"/>
    <x v="0"/>
    <x v="11"/>
    <x v="1"/>
    <x v="0"/>
    <x v="0"/>
    <m/>
    <m/>
    <m/>
    <x v="0"/>
    <m/>
  </r>
  <r>
    <x v="210"/>
    <x v="0"/>
    <x v="0"/>
    <d v="2019-01-14T00:00:00"/>
    <d v="2022-01-14T00:00:00"/>
    <m/>
    <m/>
    <x v="2"/>
    <x v="0"/>
    <x v="0"/>
    <m/>
    <s v="Demolition of existing two-storey detached dwelling with basement, and construction of new three-storey detached dwelling with basement."/>
    <x v="211"/>
    <s v="TW11 9PD"/>
    <m/>
    <n v="1"/>
    <m/>
    <m/>
    <m/>
    <m/>
    <m/>
    <m/>
    <m/>
    <n v="1"/>
    <x v="0"/>
    <m/>
    <m/>
    <m/>
    <m/>
    <n v="1"/>
    <m/>
    <m/>
    <n v="1"/>
    <n v="0"/>
    <n v="-1"/>
    <n v="0"/>
    <n v="0"/>
    <n v="1"/>
    <n v="0"/>
    <n v="0"/>
    <m/>
    <m/>
    <n v="0"/>
    <n v="0"/>
    <x v="1"/>
    <m/>
    <m/>
    <n v="0"/>
    <n v="0"/>
    <n v="0"/>
    <n v="0"/>
    <m/>
    <m/>
    <m/>
    <m/>
    <m/>
    <n v="0"/>
    <m/>
    <m/>
    <m/>
    <m/>
    <n v="516874"/>
    <n v="170756"/>
    <x v="8"/>
    <x v="0"/>
    <x v="8"/>
    <x v="1"/>
    <x v="0"/>
    <x v="0"/>
    <m/>
    <m/>
    <m/>
    <x v="0"/>
    <m/>
  </r>
  <r>
    <x v="211"/>
    <x v="0"/>
    <x v="0"/>
    <d v="2019-02-04T00:00:00"/>
    <d v="2022-02-04T00:00:00"/>
    <m/>
    <m/>
    <x v="2"/>
    <x v="0"/>
    <x v="0"/>
    <m/>
    <s v="Partial demolition and alterations to the existing building and the erection of 3 x 3-bedroom new build houses on the eastern part of the site, with associated parking and landscaping."/>
    <x v="192"/>
    <m/>
    <m/>
    <m/>
    <m/>
    <m/>
    <m/>
    <m/>
    <m/>
    <m/>
    <m/>
    <n v="0"/>
    <x v="0"/>
    <m/>
    <m/>
    <n v="3"/>
    <m/>
    <m/>
    <m/>
    <m/>
    <n v="3"/>
    <n v="0"/>
    <n v="0"/>
    <n v="3"/>
    <n v="0"/>
    <n v="0"/>
    <n v="0"/>
    <n v="0"/>
    <m/>
    <m/>
    <n v="3"/>
    <n v="3"/>
    <x v="1"/>
    <m/>
    <m/>
    <n v="0.75"/>
    <n v="0.75"/>
    <n v="0.75"/>
    <n v="0.75"/>
    <m/>
    <m/>
    <m/>
    <m/>
    <m/>
    <n v="3"/>
    <m/>
    <m/>
    <m/>
    <m/>
    <n v="520397"/>
    <n v="175552"/>
    <x v="12"/>
    <x v="0"/>
    <x v="12"/>
    <x v="3"/>
    <x v="0"/>
    <x v="0"/>
    <m/>
    <m/>
    <m/>
    <x v="0"/>
    <m/>
  </r>
  <r>
    <x v="212"/>
    <x v="3"/>
    <x v="0"/>
    <d v="2019-02-06T00:00:00"/>
    <d v="2022-02-06T00:00:00"/>
    <m/>
    <m/>
    <x v="2"/>
    <x v="0"/>
    <x v="0"/>
    <m/>
    <s v="Alterations and extensions to existing building comprising 1) single storey side/rear extension, 2) new gable roof extension, new window, pitched roof to existing two storey bay window and 1 rooflight to front elevation; 3) dormer roof extension to main r"/>
    <x v="212"/>
    <s v="TW11 0QQ"/>
    <m/>
    <n v="1"/>
    <n v="1"/>
    <m/>
    <m/>
    <m/>
    <m/>
    <m/>
    <m/>
    <n v="2"/>
    <x v="0"/>
    <n v="2"/>
    <n v="1"/>
    <n v="1"/>
    <m/>
    <m/>
    <m/>
    <m/>
    <n v="4"/>
    <n v="2"/>
    <n v="0"/>
    <n v="0"/>
    <n v="0"/>
    <n v="0"/>
    <n v="0"/>
    <n v="0"/>
    <m/>
    <m/>
    <n v="2"/>
    <n v="2"/>
    <x v="1"/>
    <m/>
    <n v="0.5"/>
    <n v="0.5"/>
    <n v="0.5"/>
    <n v="0.5"/>
    <m/>
    <m/>
    <m/>
    <m/>
    <m/>
    <m/>
    <n v="2"/>
    <m/>
    <m/>
    <m/>
    <m/>
    <n v="514632"/>
    <n v="171370"/>
    <x v="1"/>
    <x v="0"/>
    <x v="1"/>
    <x v="1"/>
    <x v="0"/>
    <x v="0"/>
    <m/>
    <m/>
    <m/>
    <x v="0"/>
    <m/>
  </r>
  <r>
    <x v="213"/>
    <x v="0"/>
    <x v="0"/>
    <d v="2019-02-12T00:00:00"/>
    <d v="2022-02-12T00:00:00"/>
    <m/>
    <m/>
    <x v="2"/>
    <x v="0"/>
    <x v="0"/>
    <m/>
    <s v="Demolition of existing building and construction of new building with basement."/>
    <x v="213"/>
    <s v="SW13 9NJ"/>
    <m/>
    <m/>
    <m/>
    <m/>
    <m/>
    <n v="1"/>
    <m/>
    <m/>
    <m/>
    <n v="1"/>
    <x v="0"/>
    <m/>
    <m/>
    <m/>
    <m/>
    <n v="1"/>
    <m/>
    <m/>
    <n v="1"/>
    <n v="0"/>
    <n v="0"/>
    <n v="0"/>
    <n v="0"/>
    <n v="1"/>
    <n v="-1"/>
    <n v="0"/>
    <m/>
    <m/>
    <n v="0"/>
    <n v="0"/>
    <x v="1"/>
    <m/>
    <m/>
    <n v="0"/>
    <n v="0"/>
    <n v="0"/>
    <n v="0"/>
    <m/>
    <m/>
    <m/>
    <m/>
    <m/>
    <n v="0"/>
    <m/>
    <m/>
    <m/>
    <m/>
    <n v="522063"/>
    <n v="177165"/>
    <x v="6"/>
    <x v="0"/>
    <x v="6"/>
    <x v="1"/>
    <x v="0"/>
    <x v="0"/>
    <m/>
    <m/>
    <m/>
    <x v="0"/>
    <m/>
  </r>
  <r>
    <x v="214"/>
    <x v="3"/>
    <x v="0"/>
    <d v="2019-02-26T00:00:00"/>
    <d v="2022-02-26T00:00:00"/>
    <m/>
    <m/>
    <x v="2"/>
    <x v="0"/>
    <x v="0"/>
    <m/>
    <s v="Infill of internal void with new roof section over to facilitate conversion of existing three-bedroom dwelling (flat) above a retail unit to 2no. one-bed dwellings (flats) above retail unit._x000d_"/>
    <x v="214"/>
    <s v="TW9 1RW"/>
    <m/>
    <m/>
    <n v="1"/>
    <m/>
    <m/>
    <m/>
    <m/>
    <m/>
    <m/>
    <n v="1"/>
    <x v="1"/>
    <n v="2"/>
    <m/>
    <m/>
    <m/>
    <m/>
    <m/>
    <m/>
    <n v="2"/>
    <n v="2"/>
    <n v="0"/>
    <n v="-1"/>
    <n v="0"/>
    <n v="0"/>
    <n v="0"/>
    <n v="0"/>
    <m/>
    <m/>
    <n v="1"/>
    <n v="1"/>
    <x v="1"/>
    <m/>
    <n v="0.25"/>
    <n v="0.25"/>
    <n v="0.25"/>
    <n v="0.25"/>
    <m/>
    <m/>
    <m/>
    <m/>
    <m/>
    <m/>
    <n v="1"/>
    <m/>
    <m/>
    <m/>
    <m/>
    <n v="517894"/>
    <n v="174757"/>
    <x v="3"/>
    <x v="0"/>
    <x v="3"/>
    <x v="2"/>
    <x v="0"/>
    <x v="0"/>
    <m/>
    <m/>
    <m/>
    <x v="1"/>
    <s v="CA17 Central Richmond"/>
  </r>
  <r>
    <x v="215"/>
    <x v="0"/>
    <x v="0"/>
    <d v="2019-03-18T00:00:00"/>
    <d v="2022-03-18T00:00:00"/>
    <m/>
    <m/>
    <x v="2"/>
    <x v="0"/>
    <x v="0"/>
    <m/>
    <s v="Demolition of existing house and construction of a new 5 bed house with basement"/>
    <x v="215"/>
    <s v="SW13 9NU"/>
    <m/>
    <m/>
    <m/>
    <n v="1"/>
    <m/>
    <m/>
    <m/>
    <m/>
    <m/>
    <n v="1"/>
    <x v="0"/>
    <m/>
    <m/>
    <m/>
    <m/>
    <n v="1"/>
    <m/>
    <m/>
    <n v="1"/>
    <n v="0"/>
    <n v="0"/>
    <n v="0"/>
    <n v="-1"/>
    <n v="1"/>
    <n v="0"/>
    <n v="0"/>
    <m/>
    <m/>
    <n v="0"/>
    <n v="0"/>
    <x v="1"/>
    <m/>
    <m/>
    <n v="0"/>
    <n v="0"/>
    <n v="0"/>
    <n v="0"/>
    <m/>
    <m/>
    <m/>
    <m/>
    <m/>
    <n v="0"/>
    <m/>
    <m/>
    <m/>
    <m/>
    <n v="521978"/>
    <n v="177062"/>
    <x v="6"/>
    <x v="0"/>
    <x v="6"/>
    <x v="1"/>
    <x v="0"/>
    <x v="0"/>
    <m/>
    <m/>
    <m/>
    <x v="0"/>
    <m/>
  </r>
  <r>
    <x v="216"/>
    <x v="0"/>
    <x v="0"/>
    <d v="2019-03-29T00:00:00"/>
    <d v="2022-04-01T00:00:00"/>
    <m/>
    <m/>
    <x v="2"/>
    <x v="0"/>
    <x v="0"/>
    <m/>
    <s v="Replacement of existing dwelling with 1 no. 2 storey with accommodation in the roof (5B10P) dwellinghouse and new pedestrian gate."/>
    <x v="216"/>
    <s v="TW12 2TJ"/>
    <m/>
    <m/>
    <m/>
    <m/>
    <n v="1"/>
    <m/>
    <m/>
    <m/>
    <m/>
    <n v="1"/>
    <x v="0"/>
    <m/>
    <m/>
    <m/>
    <m/>
    <n v="1"/>
    <m/>
    <m/>
    <n v="1"/>
    <n v="0"/>
    <n v="0"/>
    <n v="0"/>
    <n v="0"/>
    <n v="0"/>
    <n v="0"/>
    <n v="0"/>
    <m/>
    <m/>
    <n v="0"/>
    <n v="0"/>
    <x v="1"/>
    <m/>
    <m/>
    <n v="0"/>
    <n v="0"/>
    <n v="0"/>
    <n v="0"/>
    <m/>
    <m/>
    <m/>
    <m/>
    <m/>
    <n v="0"/>
    <m/>
    <m/>
    <m/>
    <m/>
    <n v="513943"/>
    <n v="170016"/>
    <x v="15"/>
    <x v="0"/>
    <x v="15"/>
    <x v="1"/>
    <x v="0"/>
    <x v="0"/>
    <m/>
    <m/>
    <m/>
    <x v="0"/>
    <m/>
  </r>
  <r>
    <x v="217"/>
    <x v="2"/>
    <x v="1"/>
    <d v="2019-05-07T00:00:00"/>
    <d v="2022-05-07T00:00:00"/>
    <m/>
    <m/>
    <x v="2"/>
    <x v="0"/>
    <x v="0"/>
    <m/>
    <s v="Conversion of commercial unit to self-contained 2no. bedroom unit"/>
    <x v="217"/>
    <s v="TW9 2EW"/>
    <m/>
    <m/>
    <m/>
    <m/>
    <m/>
    <m/>
    <m/>
    <m/>
    <m/>
    <n v="0"/>
    <x v="0"/>
    <m/>
    <n v="1"/>
    <m/>
    <m/>
    <m/>
    <m/>
    <m/>
    <n v="1"/>
    <n v="0"/>
    <n v="1"/>
    <n v="0"/>
    <n v="0"/>
    <n v="0"/>
    <n v="0"/>
    <n v="0"/>
    <m/>
    <m/>
    <n v="1"/>
    <n v="1"/>
    <x v="1"/>
    <m/>
    <n v="0.25"/>
    <n v="0.25"/>
    <n v="0.25"/>
    <n v="0.25"/>
    <m/>
    <m/>
    <m/>
    <m/>
    <m/>
    <m/>
    <n v="1"/>
    <m/>
    <m/>
    <m/>
    <m/>
    <n v="519091"/>
    <n v="176195"/>
    <x v="7"/>
    <x v="0"/>
    <x v="7"/>
    <x v="1"/>
    <x v="0"/>
    <x v="0"/>
    <m/>
    <m/>
    <m/>
    <x v="0"/>
    <m/>
  </r>
  <r>
    <x v="218"/>
    <x v="0"/>
    <x v="0"/>
    <d v="2019-05-09T00:00:00"/>
    <d v="2022-05-09T00:00:00"/>
    <m/>
    <m/>
    <x v="2"/>
    <x v="0"/>
    <x v="0"/>
    <m/>
    <s v="Demolition of existing one-bedroom, two-storey dwelling and construction of one-bedroom, one-person single-storey dwelling."/>
    <x v="218"/>
    <s v="TW1 3DY"/>
    <n v="1"/>
    <m/>
    <m/>
    <m/>
    <m/>
    <m/>
    <m/>
    <m/>
    <m/>
    <n v="1"/>
    <x v="0"/>
    <n v="1"/>
    <m/>
    <m/>
    <m/>
    <m/>
    <m/>
    <m/>
    <n v="1"/>
    <n v="0"/>
    <n v="0"/>
    <n v="0"/>
    <n v="0"/>
    <n v="0"/>
    <n v="0"/>
    <n v="0"/>
    <m/>
    <m/>
    <n v="0"/>
    <n v="0"/>
    <x v="1"/>
    <m/>
    <m/>
    <n v="0"/>
    <n v="0"/>
    <n v="0"/>
    <n v="0"/>
    <m/>
    <m/>
    <m/>
    <m/>
    <m/>
    <n v="0"/>
    <m/>
    <m/>
    <m/>
    <m/>
    <n v="516414"/>
    <n v="173065"/>
    <x v="10"/>
    <x v="0"/>
    <x v="10"/>
    <x v="1"/>
    <x v="1"/>
    <x v="0"/>
    <m/>
    <m/>
    <m/>
    <x v="1"/>
    <s v="CA8 Twickenham Riverside"/>
  </r>
  <r>
    <x v="219"/>
    <x v="3"/>
    <x v="0"/>
    <d v="2019-05-23T00:00:00"/>
    <d v="2022-05-23T00:00:00"/>
    <m/>
    <m/>
    <x v="2"/>
    <x v="0"/>
    <x v="0"/>
    <m/>
    <s v="Conversion of 2 flats into a single dwelling. Erection of a rear extension on the lower ground floor. Vertical enlargement of a rear window on the raised ground floor."/>
    <x v="219"/>
    <s v="TW10 6NH"/>
    <m/>
    <m/>
    <n v="2"/>
    <m/>
    <m/>
    <m/>
    <m/>
    <m/>
    <m/>
    <n v="2"/>
    <x v="0"/>
    <m/>
    <m/>
    <m/>
    <m/>
    <n v="1"/>
    <m/>
    <m/>
    <n v="1"/>
    <n v="0"/>
    <n v="0"/>
    <n v="-2"/>
    <n v="0"/>
    <n v="1"/>
    <n v="0"/>
    <n v="0"/>
    <m/>
    <m/>
    <n v="-1"/>
    <n v="-1"/>
    <x v="1"/>
    <m/>
    <n v="-0.25"/>
    <n v="-0.25"/>
    <n v="-0.25"/>
    <n v="-0.25"/>
    <m/>
    <m/>
    <m/>
    <m/>
    <m/>
    <m/>
    <n v="-1"/>
    <m/>
    <m/>
    <m/>
    <m/>
    <n v="518418"/>
    <n v="174325"/>
    <x v="3"/>
    <x v="0"/>
    <x v="3"/>
    <x v="1"/>
    <x v="0"/>
    <x v="0"/>
    <m/>
    <m/>
    <m/>
    <x v="1"/>
    <s v="CA30 St Matthias Richmond"/>
  </r>
  <r>
    <x v="220"/>
    <x v="0"/>
    <x v="0"/>
    <d v="2019-05-24T00:00:00"/>
    <d v="2022-05-24T00:00:00"/>
    <m/>
    <m/>
    <x v="2"/>
    <x v="0"/>
    <x v="0"/>
    <m/>
    <s v="Part single, part two-storey rear extension to facilitate the creation of a 1No. 2-bedroom (3 person) dwellinghouse with associated hard and soft landscaping, new boundary railings, sliding gate and timber fencing, cycle, refuse and recycle storage and fo"/>
    <x v="220"/>
    <s v="TW7 7BZ"/>
    <m/>
    <m/>
    <m/>
    <m/>
    <m/>
    <m/>
    <m/>
    <m/>
    <m/>
    <n v="0"/>
    <x v="0"/>
    <m/>
    <n v="1"/>
    <m/>
    <m/>
    <m/>
    <m/>
    <m/>
    <n v="1"/>
    <n v="0"/>
    <n v="1"/>
    <n v="0"/>
    <n v="0"/>
    <n v="0"/>
    <n v="0"/>
    <n v="0"/>
    <m/>
    <m/>
    <n v="1"/>
    <n v="1"/>
    <x v="1"/>
    <m/>
    <m/>
    <n v="0.25"/>
    <n v="0.25"/>
    <n v="0.25"/>
    <n v="0.25"/>
    <m/>
    <m/>
    <m/>
    <m/>
    <m/>
    <n v="1"/>
    <m/>
    <m/>
    <m/>
    <m/>
    <n v="516557"/>
    <n v="175273"/>
    <x v="0"/>
    <x v="0"/>
    <x v="0"/>
    <x v="1"/>
    <x v="0"/>
    <x v="0"/>
    <m/>
    <m/>
    <m/>
    <x v="0"/>
    <m/>
  </r>
  <r>
    <x v="221"/>
    <x v="0"/>
    <x v="0"/>
    <d v="2019-05-24T00:00:00"/>
    <d v="2022-05-24T00:00:00"/>
    <m/>
    <m/>
    <x v="2"/>
    <x v="0"/>
    <x v="0"/>
    <m/>
    <s v="Demolition of existing 3-bedroom bungalow and erection of a new 3-bedroom detached house with basement level."/>
    <x v="221"/>
    <s v="TW2 5EL"/>
    <m/>
    <m/>
    <n v="1"/>
    <m/>
    <m/>
    <m/>
    <m/>
    <m/>
    <m/>
    <n v="1"/>
    <x v="0"/>
    <m/>
    <m/>
    <n v="1"/>
    <m/>
    <m/>
    <m/>
    <m/>
    <n v="1"/>
    <n v="0"/>
    <n v="0"/>
    <n v="0"/>
    <n v="0"/>
    <n v="0"/>
    <n v="0"/>
    <n v="0"/>
    <m/>
    <m/>
    <n v="0"/>
    <n v="0"/>
    <x v="1"/>
    <m/>
    <m/>
    <n v="0"/>
    <n v="0"/>
    <n v="0"/>
    <n v="0"/>
    <m/>
    <m/>
    <m/>
    <m/>
    <m/>
    <n v="0"/>
    <m/>
    <m/>
    <m/>
    <m/>
    <n v="514720"/>
    <n v="172712"/>
    <x v="11"/>
    <x v="0"/>
    <x v="11"/>
    <x v="1"/>
    <x v="0"/>
    <x v="0"/>
    <m/>
    <m/>
    <m/>
    <x v="0"/>
    <m/>
  </r>
  <r>
    <x v="222"/>
    <x v="0"/>
    <x v="0"/>
    <d v="2019-05-30T00:00:00"/>
    <d v="2022-05-30T00:00:00"/>
    <m/>
    <m/>
    <x v="2"/>
    <x v="0"/>
    <x v="0"/>
    <m/>
    <s v="Erection of a one and a half storey, three-bedroom house in the rear garden of 33 (sited to rear of 35-35a) Wensleydale Road, with accommodation at basement level, associated hard and soft landscaping, 4 no.parking, refuse/recycling and cycle stores."/>
    <x v="222"/>
    <s v="TW12 2LP"/>
    <m/>
    <m/>
    <m/>
    <m/>
    <m/>
    <m/>
    <m/>
    <m/>
    <m/>
    <n v="0"/>
    <x v="0"/>
    <m/>
    <m/>
    <n v="1"/>
    <m/>
    <m/>
    <m/>
    <m/>
    <n v="1"/>
    <n v="0"/>
    <n v="0"/>
    <n v="1"/>
    <n v="0"/>
    <n v="0"/>
    <n v="0"/>
    <n v="0"/>
    <m/>
    <m/>
    <n v="1"/>
    <n v="1"/>
    <x v="1"/>
    <m/>
    <m/>
    <n v="0.25"/>
    <n v="0.25"/>
    <n v="0.25"/>
    <n v="0.25"/>
    <m/>
    <m/>
    <m/>
    <m/>
    <m/>
    <n v="1"/>
    <m/>
    <m/>
    <m/>
    <m/>
    <n v="513537"/>
    <n v="170046"/>
    <x v="15"/>
    <x v="0"/>
    <x v="15"/>
    <x v="1"/>
    <x v="0"/>
    <x v="0"/>
    <m/>
    <m/>
    <m/>
    <x v="0"/>
    <m/>
  </r>
  <r>
    <x v="223"/>
    <x v="2"/>
    <x v="1"/>
    <d v="2019-06-05T00:00:00"/>
    <d v="2022-06-05T00:00:00"/>
    <m/>
    <m/>
    <x v="2"/>
    <x v="0"/>
    <x v="0"/>
    <m/>
    <s v="Change of use from premises in light industrial use (Class B1(c)) to one dwelling house (Class C3)."/>
    <x v="223"/>
    <m/>
    <m/>
    <m/>
    <m/>
    <m/>
    <m/>
    <m/>
    <m/>
    <m/>
    <m/>
    <n v="0"/>
    <x v="0"/>
    <m/>
    <n v="1"/>
    <m/>
    <m/>
    <m/>
    <m/>
    <m/>
    <n v="1"/>
    <n v="0"/>
    <n v="1"/>
    <n v="0"/>
    <n v="0"/>
    <n v="0"/>
    <n v="0"/>
    <n v="0"/>
    <m/>
    <m/>
    <n v="1"/>
    <n v="1"/>
    <x v="1"/>
    <m/>
    <n v="0.25"/>
    <n v="0.25"/>
    <n v="0.25"/>
    <n v="0.25"/>
    <m/>
    <m/>
    <m/>
    <m/>
    <m/>
    <m/>
    <n v="1"/>
    <m/>
    <m/>
    <m/>
    <m/>
    <n v="520517"/>
    <n v="175507"/>
    <x v="12"/>
    <x v="0"/>
    <x v="12"/>
    <x v="3"/>
    <x v="0"/>
    <x v="0"/>
    <m/>
    <m/>
    <m/>
    <x v="1"/>
    <s v="CA70 Sheen Lane Mortlake"/>
  </r>
  <r>
    <x v="224"/>
    <x v="0"/>
    <x v="0"/>
    <d v="2019-06-20T00:00:00"/>
    <d v="2022-06-20T00:00:00"/>
    <m/>
    <m/>
    <x v="2"/>
    <x v="0"/>
    <x v="0"/>
    <m/>
    <s v="Demolition of the existing Church Hall and the bungalow at No 44 The Avenue and erection of four dwellings (3 x 4B7P, 1 x 3B5P) (Use Class C3 Dwelling Houses); a new entrance lobby (Narthex) to All Saints' Church and a new Church Hall (Use Class D1: Non-R"/>
    <x v="224"/>
    <s v="TW12 3RG"/>
    <m/>
    <m/>
    <n v="1"/>
    <m/>
    <m/>
    <m/>
    <m/>
    <m/>
    <m/>
    <n v="1"/>
    <x v="0"/>
    <m/>
    <n v="1"/>
    <n v="1"/>
    <n v="3"/>
    <m/>
    <m/>
    <m/>
    <n v="5"/>
    <n v="0"/>
    <n v="1"/>
    <n v="0"/>
    <n v="3"/>
    <n v="0"/>
    <n v="0"/>
    <n v="0"/>
    <m/>
    <m/>
    <n v="4"/>
    <n v="4"/>
    <x v="1"/>
    <m/>
    <m/>
    <n v="1"/>
    <n v="1"/>
    <n v="1"/>
    <n v="1"/>
    <m/>
    <m/>
    <m/>
    <m/>
    <m/>
    <n v="4"/>
    <m/>
    <m/>
    <m/>
    <m/>
    <n v="512966"/>
    <n v="170724"/>
    <x v="16"/>
    <x v="0"/>
    <x v="16"/>
    <x v="1"/>
    <x v="0"/>
    <x v="0"/>
    <m/>
    <m/>
    <m/>
    <x v="0"/>
    <m/>
  </r>
  <r>
    <x v="225"/>
    <x v="3"/>
    <x v="0"/>
    <d v="2019-06-28T00:00:00"/>
    <d v="2022-06-28T00:00:00"/>
    <m/>
    <m/>
    <x v="2"/>
    <x v="0"/>
    <x v="0"/>
    <m/>
    <s v="Division of the existing dwelling house into two residential units in the form of semi detached houses. The demolition of the existing adjoined garage and alterations to fenestration."/>
    <x v="225"/>
    <s v="TW9 2BB"/>
    <m/>
    <m/>
    <m/>
    <m/>
    <m/>
    <m/>
    <n v="1"/>
    <m/>
    <m/>
    <n v="1"/>
    <x v="0"/>
    <m/>
    <m/>
    <n v="1"/>
    <n v="1"/>
    <m/>
    <m/>
    <m/>
    <n v="2"/>
    <n v="0"/>
    <n v="0"/>
    <n v="1"/>
    <n v="1"/>
    <n v="0"/>
    <n v="0"/>
    <n v="-1"/>
    <m/>
    <m/>
    <n v="1"/>
    <n v="1"/>
    <x v="1"/>
    <m/>
    <n v="0.25"/>
    <n v="0.25"/>
    <n v="0.25"/>
    <n v="0.25"/>
    <m/>
    <m/>
    <m/>
    <m/>
    <m/>
    <m/>
    <n v="1"/>
    <m/>
    <m/>
    <m/>
    <m/>
    <n v="518380"/>
    <n v="175623"/>
    <x v="4"/>
    <x v="0"/>
    <x v="4"/>
    <x v="1"/>
    <x v="0"/>
    <x v="0"/>
    <m/>
    <m/>
    <m/>
    <x v="1"/>
    <s v="CA36 Kew Foot Road"/>
  </r>
  <r>
    <x v="226"/>
    <x v="0"/>
    <x v="0"/>
    <d v="2019-07-08T00:00:00"/>
    <d v="2022-06-24T00:00:00"/>
    <m/>
    <m/>
    <x v="2"/>
    <x v="0"/>
    <x v="0"/>
    <m/>
    <s v="Demolition of existing two-storey dwelling house and construction of replacement 7-bedroom, 2-storey dwelling house (with accommodation in the roof space) and associated landscaping and new front boundary treatment."/>
    <x v="226"/>
    <s v="TW10 5BN"/>
    <m/>
    <m/>
    <m/>
    <n v="1"/>
    <m/>
    <m/>
    <m/>
    <m/>
    <m/>
    <n v="1"/>
    <x v="0"/>
    <m/>
    <m/>
    <m/>
    <m/>
    <m/>
    <m/>
    <n v="1"/>
    <n v="1"/>
    <n v="0"/>
    <n v="0"/>
    <n v="0"/>
    <n v="-1"/>
    <n v="0"/>
    <n v="0"/>
    <n v="1"/>
    <m/>
    <m/>
    <n v="0"/>
    <n v="0"/>
    <x v="1"/>
    <m/>
    <m/>
    <n v="0"/>
    <n v="0"/>
    <n v="0"/>
    <n v="0"/>
    <m/>
    <m/>
    <m/>
    <m/>
    <m/>
    <n v="0"/>
    <m/>
    <m/>
    <m/>
    <m/>
    <n v="519436"/>
    <n v="174990"/>
    <x v="3"/>
    <x v="0"/>
    <x v="3"/>
    <x v="1"/>
    <x v="0"/>
    <x v="0"/>
    <m/>
    <m/>
    <m/>
    <x v="1"/>
    <s v="CA69 Sheen Common Drive"/>
  </r>
  <r>
    <x v="227"/>
    <x v="2"/>
    <x v="1"/>
    <d v="2019-07-16T00:00:00"/>
    <d v="2022-07-16T00:00:00"/>
    <m/>
    <m/>
    <x v="2"/>
    <x v="0"/>
    <x v="0"/>
    <m/>
    <s v="Conversion of B1(a) office unit at rear ground floor to C3 residential to provide 1 self-contained residential flat. (Proposal description corrected)."/>
    <x v="227"/>
    <s v="TW1 3LP"/>
    <m/>
    <m/>
    <m/>
    <m/>
    <m/>
    <m/>
    <m/>
    <m/>
    <m/>
    <n v="0"/>
    <x v="0"/>
    <n v="1"/>
    <m/>
    <m/>
    <m/>
    <m/>
    <m/>
    <m/>
    <n v="1"/>
    <n v="1"/>
    <n v="0"/>
    <n v="0"/>
    <n v="0"/>
    <n v="0"/>
    <n v="0"/>
    <n v="0"/>
    <m/>
    <m/>
    <n v="1"/>
    <n v="1"/>
    <x v="1"/>
    <m/>
    <n v="0.25"/>
    <n v="0.25"/>
    <n v="0.25"/>
    <n v="0.25"/>
    <m/>
    <m/>
    <m/>
    <m/>
    <m/>
    <m/>
    <n v="1"/>
    <m/>
    <m/>
    <m/>
    <m/>
    <n v="516442"/>
    <n v="173470"/>
    <x v="10"/>
    <x v="0"/>
    <x v="10"/>
    <x v="0"/>
    <x v="0"/>
    <x v="0"/>
    <m/>
    <m/>
    <m/>
    <x v="1"/>
    <s v="CA8 Twickenham Riverside"/>
  </r>
  <r>
    <x v="228"/>
    <x v="1"/>
    <x v="0"/>
    <d v="2019-07-25T00:00:00"/>
    <d v="2022-07-25T00:00:00"/>
    <m/>
    <m/>
    <x v="2"/>
    <x v="0"/>
    <x v="0"/>
    <m/>
    <s v="Proposed extension at roof level and 3 storey rear staircase extension to facilitate the creation of 1 no. 1B2P flat.  Reconfiguration of existing 2 x 2 bed maisonettes into 2 x 2 bed flats.  Alterations to external elevations of the property.  Provsion o"/>
    <x v="228"/>
    <s v="TW12 1LF"/>
    <m/>
    <m/>
    <n v="2"/>
    <m/>
    <m/>
    <m/>
    <m/>
    <m/>
    <m/>
    <n v="2"/>
    <x v="0"/>
    <n v="1"/>
    <n v="2"/>
    <m/>
    <m/>
    <m/>
    <m/>
    <m/>
    <n v="3"/>
    <n v="1"/>
    <n v="2"/>
    <n v="-2"/>
    <n v="0"/>
    <n v="0"/>
    <n v="0"/>
    <n v="0"/>
    <m/>
    <m/>
    <n v="1"/>
    <n v="1"/>
    <x v="1"/>
    <m/>
    <m/>
    <n v="0.25"/>
    <n v="0.25"/>
    <n v="0.25"/>
    <n v="0.25"/>
    <m/>
    <m/>
    <m/>
    <m/>
    <m/>
    <n v="1"/>
    <m/>
    <m/>
    <m/>
    <m/>
    <n v="514448"/>
    <n v="171212"/>
    <x v="1"/>
    <x v="0"/>
    <x v="1"/>
    <x v="1"/>
    <x v="0"/>
    <x v="1"/>
    <s v="High Street, Hampton Hill"/>
    <m/>
    <m/>
    <x v="1"/>
    <s v="CA38 High Street Hampton Hill"/>
  </r>
  <r>
    <x v="229"/>
    <x v="2"/>
    <x v="0"/>
    <d v="2019-08-12T00:00:00"/>
    <d v="2022-12-27T00:00:00"/>
    <d v="2021-05-24T00:00:00"/>
    <m/>
    <x v="2"/>
    <x v="0"/>
    <x v="0"/>
    <m/>
    <s v="Internal alterations to provide accessible accommodation at the ground floor level of live/work unit. Employment use as printers/graphic design business to be retained. Partial demolition of part of ground floor extension to provide courtyard garden."/>
    <x v="229"/>
    <s v="TW2 5NJ"/>
    <m/>
    <m/>
    <n v="1"/>
    <m/>
    <m/>
    <m/>
    <m/>
    <m/>
    <m/>
    <n v="1"/>
    <x v="0"/>
    <n v="1"/>
    <m/>
    <n v="1"/>
    <m/>
    <m/>
    <m/>
    <m/>
    <n v="2"/>
    <n v="1"/>
    <n v="0"/>
    <n v="0"/>
    <n v="0"/>
    <n v="0"/>
    <n v="0"/>
    <n v="0"/>
    <m/>
    <m/>
    <n v="1"/>
    <n v="1"/>
    <x v="1"/>
    <m/>
    <n v="0.25"/>
    <n v="0.25"/>
    <n v="0.25"/>
    <n v="0.25"/>
    <m/>
    <m/>
    <m/>
    <m/>
    <m/>
    <m/>
    <n v="1"/>
    <m/>
    <m/>
    <m/>
    <m/>
    <n v="514733"/>
    <n v="172125"/>
    <x v="11"/>
    <x v="0"/>
    <x v="11"/>
    <x v="1"/>
    <x v="0"/>
    <x v="0"/>
    <m/>
    <m/>
    <m/>
    <x v="0"/>
    <m/>
  </r>
  <r>
    <x v="230"/>
    <x v="0"/>
    <x v="0"/>
    <d v="2019-08-21T00:00:00"/>
    <d v="2022-08-21T00:00:00"/>
    <m/>
    <m/>
    <x v="2"/>
    <x v="0"/>
    <x v="0"/>
    <m/>
    <s v="Demolition of existing dwellinghouse and erection of replacement two storey 4 bedroom dwellinghouse with associated hard and soft landscaping and cycle and refuse store. Replacement boundary fence/gates."/>
    <x v="230"/>
    <s v="TW1 4PD"/>
    <m/>
    <n v="1"/>
    <m/>
    <m/>
    <m/>
    <m/>
    <m/>
    <m/>
    <m/>
    <n v="1"/>
    <x v="0"/>
    <m/>
    <m/>
    <m/>
    <n v="1"/>
    <m/>
    <m/>
    <m/>
    <n v="1"/>
    <n v="0"/>
    <n v="-1"/>
    <n v="0"/>
    <n v="1"/>
    <n v="0"/>
    <n v="0"/>
    <n v="0"/>
    <m/>
    <m/>
    <n v="0"/>
    <n v="0"/>
    <x v="1"/>
    <m/>
    <m/>
    <n v="0"/>
    <n v="0"/>
    <n v="0"/>
    <n v="0"/>
    <m/>
    <m/>
    <m/>
    <m/>
    <m/>
    <n v="0"/>
    <m/>
    <m/>
    <m/>
    <m/>
    <n v="515806"/>
    <n v="172455"/>
    <x v="14"/>
    <x v="0"/>
    <x v="14"/>
    <x v="1"/>
    <x v="0"/>
    <x v="0"/>
    <m/>
    <m/>
    <m/>
    <x v="0"/>
    <m/>
  </r>
  <r>
    <x v="231"/>
    <x v="0"/>
    <x v="0"/>
    <d v="2019-08-23T00:00:00"/>
    <d v="2022-08-27T00:00:00"/>
    <m/>
    <m/>
    <x v="2"/>
    <x v="0"/>
    <x v="0"/>
    <m/>
    <s v="Demolition of detached house, construction of four classrooms and a multi use hall complete with change of use from residential to education."/>
    <x v="231"/>
    <s v="SW14 8LF"/>
    <m/>
    <m/>
    <n v="1"/>
    <m/>
    <m/>
    <m/>
    <m/>
    <m/>
    <m/>
    <n v="1"/>
    <x v="1"/>
    <m/>
    <m/>
    <m/>
    <m/>
    <m/>
    <m/>
    <m/>
    <n v="0"/>
    <n v="0"/>
    <n v="0"/>
    <n v="-1"/>
    <n v="0"/>
    <n v="0"/>
    <n v="0"/>
    <n v="0"/>
    <m/>
    <m/>
    <n v="-1"/>
    <n v="-1"/>
    <x v="1"/>
    <m/>
    <m/>
    <n v="-0.25"/>
    <n v="-0.25"/>
    <n v="-0.25"/>
    <n v="-0.25"/>
    <m/>
    <m/>
    <m/>
    <m/>
    <m/>
    <n v="-1"/>
    <m/>
    <m/>
    <m/>
    <m/>
    <n v="520394"/>
    <n v="175127"/>
    <x v="12"/>
    <x v="0"/>
    <x v="12"/>
    <x v="1"/>
    <x v="0"/>
    <x v="0"/>
    <m/>
    <m/>
    <m/>
    <x v="1"/>
    <s v="CA64 Sheen Lane East Sheen"/>
  </r>
  <r>
    <x v="232"/>
    <x v="3"/>
    <x v="0"/>
    <d v="2019-09-09T00:00:00"/>
    <d v="2022-09-16T00:00:00"/>
    <m/>
    <m/>
    <x v="2"/>
    <x v="0"/>
    <x v="0"/>
    <m/>
    <s v="Single-storey rear extension, roof extensions and alterations to front and rear, extension to second floor of rear addition, elevation/fenestration alterations and new boundary treatment to allow for the change of use from 2 to 5 flats."/>
    <x v="212"/>
    <s v="TW11 0QQ"/>
    <m/>
    <n v="1"/>
    <n v="1"/>
    <m/>
    <m/>
    <m/>
    <m/>
    <m/>
    <m/>
    <n v="2"/>
    <x v="0"/>
    <n v="4"/>
    <n v="1"/>
    <m/>
    <m/>
    <m/>
    <m/>
    <m/>
    <n v="5"/>
    <n v="4"/>
    <n v="0"/>
    <n v="-1"/>
    <n v="0"/>
    <n v="0"/>
    <n v="0"/>
    <n v="0"/>
    <m/>
    <m/>
    <n v="3"/>
    <n v="3"/>
    <x v="1"/>
    <m/>
    <m/>
    <n v="0.75"/>
    <n v="0.75"/>
    <n v="0.75"/>
    <n v="0.75"/>
    <m/>
    <m/>
    <m/>
    <m/>
    <m/>
    <n v="3"/>
    <m/>
    <m/>
    <m/>
    <m/>
    <n v="514632"/>
    <n v="171370"/>
    <x v="1"/>
    <x v="0"/>
    <x v="1"/>
    <x v="1"/>
    <x v="0"/>
    <x v="0"/>
    <m/>
    <m/>
    <m/>
    <x v="0"/>
    <m/>
  </r>
  <r>
    <x v="233"/>
    <x v="0"/>
    <x v="0"/>
    <d v="2019-09-10T00:00:00"/>
    <d v="2022-09-10T00:00:00"/>
    <d v="2022-03-30T00:00:00"/>
    <m/>
    <x v="2"/>
    <x v="0"/>
    <x v="0"/>
    <m/>
    <s v="Erection of a pair of 2 storey semi-detached 2 bed (1 x 2B4P and 1 x 2B3P) dwellinghouses with associated hard and soft landscaping and parking."/>
    <x v="232"/>
    <s v="TW12 3DP"/>
    <m/>
    <m/>
    <m/>
    <m/>
    <m/>
    <m/>
    <m/>
    <m/>
    <m/>
    <n v="0"/>
    <x v="0"/>
    <m/>
    <n v="2"/>
    <m/>
    <m/>
    <m/>
    <m/>
    <m/>
    <n v="2"/>
    <n v="0"/>
    <n v="2"/>
    <n v="0"/>
    <n v="0"/>
    <n v="0"/>
    <n v="0"/>
    <n v="0"/>
    <m/>
    <m/>
    <n v="2"/>
    <n v="2"/>
    <x v="1"/>
    <m/>
    <m/>
    <n v="2"/>
    <m/>
    <m/>
    <m/>
    <m/>
    <m/>
    <m/>
    <m/>
    <m/>
    <n v="2"/>
    <m/>
    <m/>
    <m/>
    <m/>
    <n v="513221"/>
    <n v="170897"/>
    <x v="16"/>
    <x v="0"/>
    <x v="16"/>
    <x v="1"/>
    <x v="0"/>
    <x v="0"/>
    <m/>
    <m/>
    <m/>
    <x v="0"/>
    <m/>
  </r>
  <r>
    <x v="234"/>
    <x v="0"/>
    <x v="0"/>
    <d v="2019-09-23T00:00:00"/>
    <d v="2022-09-23T00:00:00"/>
    <m/>
    <m/>
    <x v="2"/>
    <x v="0"/>
    <x v="0"/>
    <m/>
    <s v="Demolition of existing residential garages and erection of 2x four bed semi-detached houses (Use Class C3), associated amenity space, landscaping, car and cycle parking and refuse storage."/>
    <x v="233"/>
    <s v="TW2 7SQ"/>
    <m/>
    <m/>
    <m/>
    <m/>
    <m/>
    <m/>
    <m/>
    <m/>
    <m/>
    <n v="0"/>
    <x v="0"/>
    <m/>
    <m/>
    <m/>
    <n v="2"/>
    <m/>
    <m/>
    <m/>
    <n v="2"/>
    <n v="0"/>
    <n v="0"/>
    <n v="0"/>
    <n v="2"/>
    <n v="0"/>
    <n v="0"/>
    <n v="0"/>
    <m/>
    <m/>
    <n v="2"/>
    <n v="2"/>
    <x v="1"/>
    <m/>
    <m/>
    <n v="0.5"/>
    <n v="0.5"/>
    <n v="0.5"/>
    <n v="0.5"/>
    <m/>
    <m/>
    <m/>
    <m/>
    <m/>
    <n v="2"/>
    <m/>
    <m/>
    <m/>
    <m/>
    <n v="515377"/>
    <n v="173631"/>
    <x v="0"/>
    <x v="0"/>
    <x v="0"/>
    <x v="1"/>
    <x v="0"/>
    <x v="0"/>
    <m/>
    <m/>
    <m/>
    <x v="0"/>
    <m/>
  </r>
  <r>
    <x v="235"/>
    <x v="0"/>
    <x v="0"/>
    <d v="2019-09-23T00:00:00"/>
    <d v="2022-09-23T00:00:00"/>
    <m/>
    <m/>
    <x v="2"/>
    <x v="0"/>
    <x v="0"/>
    <m/>
    <s v="Part change of use of ground floor from A3 to C3 (Residential) and alterations to existing shopfront to create new access door to facilitate the conversion of existing 2 x 3 bed maisonettes into 7 No. self-contained Studio and 1 bed Flats.  Single Storey"/>
    <x v="234"/>
    <s v="TW9 2PQ"/>
    <m/>
    <m/>
    <n v="2"/>
    <m/>
    <m/>
    <m/>
    <m/>
    <m/>
    <m/>
    <n v="2"/>
    <x v="0"/>
    <n v="7"/>
    <m/>
    <m/>
    <m/>
    <m/>
    <m/>
    <m/>
    <n v="7"/>
    <n v="7"/>
    <n v="0"/>
    <n v="-2"/>
    <n v="0"/>
    <n v="0"/>
    <n v="0"/>
    <n v="0"/>
    <m/>
    <m/>
    <n v="5"/>
    <n v="5"/>
    <x v="1"/>
    <m/>
    <m/>
    <n v="1.25"/>
    <n v="1.25"/>
    <n v="1.25"/>
    <n v="1.25"/>
    <m/>
    <m/>
    <m/>
    <m/>
    <m/>
    <n v="5"/>
    <m/>
    <m/>
    <m/>
    <m/>
    <n v="518353"/>
    <n v="175510"/>
    <x v="4"/>
    <x v="0"/>
    <x v="4"/>
    <x v="1"/>
    <x v="0"/>
    <x v="1"/>
    <s v="Kew Road"/>
    <m/>
    <m/>
    <x v="1"/>
    <s v="CA36 Kew Foot Road"/>
  </r>
  <r>
    <x v="236"/>
    <x v="0"/>
    <x v="0"/>
    <d v="2019-10-17T00:00:00"/>
    <d v="2022-10-17T00:00:00"/>
    <m/>
    <m/>
    <x v="2"/>
    <x v="0"/>
    <x v="0"/>
    <m/>
    <s v="Demolition of existing garage and erection of 1No. 2 storey with habitable roofspace 4 bed dwelling with associated hard and soft landscaping. Alterations to existing crossover and creation of a new crossover in front of No.38 Langham Road to facilitate p"/>
    <x v="235"/>
    <s v="TW11 9HQ"/>
    <m/>
    <m/>
    <m/>
    <m/>
    <m/>
    <m/>
    <m/>
    <m/>
    <m/>
    <n v="0"/>
    <x v="0"/>
    <m/>
    <m/>
    <m/>
    <n v="1"/>
    <m/>
    <m/>
    <m/>
    <n v="1"/>
    <n v="0"/>
    <n v="0"/>
    <n v="0"/>
    <n v="1"/>
    <n v="0"/>
    <n v="0"/>
    <n v="0"/>
    <m/>
    <m/>
    <n v="1"/>
    <n v="1"/>
    <x v="1"/>
    <m/>
    <m/>
    <n v="0.25"/>
    <n v="0.25"/>
    <n v="0.25"/>
    <n v="0.25"/>
    <m/>
    <m/>
    <m/>
    <m/>
    <m/>
    <n v="1"/>
    <m/>
    <m/>
    <m/>
    <m/>
    <n v="516550"/>
    <n v="171027"/>
    <x v="8"/>
    <x v="1"/>
    <x v="8"/>
    <x v="1"/>
    <x v="0"/>
    <x v="0"/>
    <m/>
    <m/>
    <m/>
    <x v="0"/>
    <m/>
  </r>
  <r>
    <x v="237"/>
    <x v="4"/>
    <x v="0"/>
    <d v="2019-11-07T00:00:00"/>
    <d v="2022-11-07T00:00:00"/>
    <m/>
    <m/>
    <x v="2"/>
    <x v="0"/>
    <x v="0"/>
    <m/>
    <s v="Construction of part second floor extension to facilitate the creation of 6No. one bedroom flats with associated alterations, new bin and cycle storage and associated car parking."/>
    <x v="236"/>
    <s v="TW12 2HE"/>
    <m/>
    <m/>
    <m/>
    <m/>
    <m/>
    <m/>
    <m/>
    <m/>
    <m/>
    <n v="0"/>
    <x v="0"/>
    <n v="6"/>
    <m/>
    <m/>
    <m/>
    <m/>
    <m/>
    <m/>
    <n v="6"/>
    <n v="6"/>
    <n v="0"/>
    <n v="0"/>
    <n v="0"/>
    <n v="0"/>
    <n v="0"/>
    <n v="0"/>
    <m/>
    <m/>
    <n v="6"/>
    <n v="6"/>
    <x v="1"/>
    <m/>
    <n v="1.5"/>
    <n v="1.5"/>
    <n v="1.5"/>
    <n v="1.5"/>
    <m/>
    <m/>
    <m/>
    <m/>
    <m/>
    <m/>
    <n v="6"/>
    <m/>
    <m/>
    <m/>
    <m/>
    <n v="512869"/>
    <n v="169793"/>
    <x v="15"/>
    <x v="0"/>
    <x v="15"/>
    <x v="1"/>
    <x v="0"/>
    <x v="0"/>
    <m/>
    <m/>
    <m/>
    <x v="0"/>
    <m/>
  </r>
  <r>
    <x v="238"/>
    <x v="2"/>
    <x v="1"/>
    <d v="2019-11-18T00:00:00"/>
    <d v="2022-11-18T00:00:00"/>
    <m/>
    <m/>
    <x v="2"/>
    <x v="0"/>
    <x v="0"/>
    <m/>
    <s v="Change of Use of existing B1(c) light industrial unit to residential C3 providing 1No. 2 Bed dwelling."/>
    <x v="237"/>
    <s v="TW11 0RW"/>
    <m/>
    <m/>
    <m/>
    <m/>
    <m/>
    <m/>
    <m/>
    <m/>
    <m/>
    <n v="0"/>
    <x v="0"/>
    <m/>
    <n v="1"/>
    <m/>
    <m/>
    <m/>
    <m/>
    <m/>
    <n v="1"/>
    <n v="0"/>
    <n v="1"/>
    <n v="0"/>
    <n v="0"/>
    <n v="0"/>
    <n v="0"/>
    <n v="0"/>
    <m/>
    <m/>
    <n v="1"/>
    <n v="1"/>
    <x v="1"/>
    <m/>
    <n v="0.25"/>
    <n v="0.25"/>
    <n v="0.25"/>
    <n v="0.25"/>
    <m/>
    <m/>
    <m/>
    <m/>
    <m/>
    <m/>
    <n v="1"/>
    <m/>
    <m/>
    <m/>
    <m/>
    <n v="515035"/>
    <n v="171569"/>
    <x v="1"/>
    <x v="0"/>
    <x v="1"/>
    <x v="1"/>
    <x v="0"/>
    <x v="1"/>
    <s v="Stanley Road, Teddington"/>
    <m/>
    <m/>
    <x v="0"/>
    <m/>
  </r>
  <r>
    <x v="239"/>
    <x v="0"/>
    <x v="0"/>
    <d v="2019-12-11T00:00:00"/>
    <d v="2022-12-11T00:00:00"/>
    <m/>
    <m/>
    <x v="2"/>
    <x v="0"/>
    <x v="0"/>
    <m/>
    <s v="Replacement 2 storey 4 bedroom dwellinghouse with basement level and accommodation in the roof.  Associated hard and soft landscaping, cycle and refuse stores and parking."/>
    <x v="238"/>
    <s v="SW14 8RA"/>
    <m/>
    <n v="1"/>
    <m/>
    <m/>
    <m/>
    <m/>
    <m/>
    <m/>
    <m/>
    <n v="1"/>
    <x v="0"/>
    <m/>
    <m/>
    <n v="1"/>
    <m/>
    <m/>
    <m/>
    <m/>
    <n v="1"/>
    <n v="0"/>
    <n v="-1"/>
    <n v="1"/>
    <n v="0"/>
    <n v="0"/>
    <n v="0"/>
    <n v="0"/>
    <m/>
    <m/>
    <n v="0"/>
    <n v="0"/>
    <x v="1"/>
    <m/>
    <m/>
    <n v="0"/>
    <n v="0"/>
    <n v="0"/>
    <n v="0"/>
    <m/>
    <m/>
    <m/>
    <m/>
    <m/>
    <n v="0"/>
    <m/>
    <m/>
    <m/>
    <m/>
    <n v="520990"/>
    <n v="175033"/>
    <x v="12"/>
    <x v="0"/>
    <x v="12"/>
    <x v="1"/>
    <x v="0"/>
    <x v="0"/>
    <m/>
    <m/>
    <m/>
    <x v="0"/>
    <m/>
  </r>
  <r>
    <x v="240"/>
    <x v="0"/>
    <x v="0"/>
    <d v="2019-12-19T00:00:00"/>
    <d v="2023-11-10T00:00:00"/>
    <m/>
    <m/>
    <x v="2"/>
    <x v="0"/>
    <x v="0"/>
    <m/>
    <s v="Demolition of existing garages and erection of 1no. Dwelling house. Relocation of entrance to existing flats."/>
    <x v="239"/>
    <s v="TW1 2DU"/>
    <m/>
    <m/>
    <m/>
    <m/>
    <m/>
    <m/>
    <m/>
    <m/>
    <m/>
    <n v="0"/>
    <x v="0"/>
    <m/>
    <n v="1"/>
    <m/>
    <m/>
    <m/>
    <m/>
    <m/>
    <n v="1"/>
    <n v="0"/>
    <n v="1"/>
    <n v="0"/>
    <n v="0"/>
    <n v="0"/>
    <n v="0"/>
    <n v="0"/>
    <m/>
    <m/>
    <n v="1"/>
    <n v="1"/>
    <x v="1"/>
    <m/>
    <m/>
    <n v="0.25"/>
    <n v="0.25"/>
    <n v="0.25"/>
    <n v="0.25"/>
    <m/>
    <m/>
    <m/>
    <m/>
    <m/>
    <n v="1"/>
    <m/>
    <m/>
    <m/>
    <m/>
    <n v="517407"/>
    <n v="174195"/>
    <x v="10"/>
    <x v="0"/>
    <x v="10"/>
    <x v="1"/>
    <x v="0"/>
    <x v="1"/>
    <s v="East Twickenham"/>
    <m/>
    <m/>
    <x v="1"/>
    <s v="CA66 Richmond Road East Twickenham"/>
  </r>
  <r>
    <x v="241"/>
    <x v="2"/>
    <x v="0"/>
    <d v="2019-12-23T00:00:00"/>
    <d v="2022-12-23T00:00:00"/>
    <m/>
    <m/>
    <x v="2"/>
    <x v="0"/>
    <x v="0"/>
    <m/>
    <s v="Removal of static caravan.  Conversion of the ground floor area to left of barn entrance into a self-contained residence ancillary to the stables.  New toilet facility with disabled provision within stables."/>
    <x v="240"/>
    <s v="TW12 3QD"/>
    <m/>
    <m/>
    <m/>
    <m/>
    <m/>
    <m/>
    <m/>
    <m/>
    <m/>
    <n v="0"/>
    <x v="0"/>
    <m/>
    <n v="1"/>
    <m/>
    <m/>
    <m/>
    <m/>
    <m/>
    <n v="1"/>
    <n v="0"/>
    <n v="1"/>
    <n v="0"/>
    <n v="0"/>
    <n v="0"/>
    <n v="0"/>
    <n v="0"/>
    <m/>
    <m/>
    <n v="1"/>
    <n v="1"/>
    <x v="1"/>
    <m/>
    <n v="0.25"/>
    <n v="0.25"/>
    <n v="0.25"/>
    <n v="0.25"/>
    <m/>
    <m/>
    <m/>
    <m/>
    <m/>
    <m/>
    <n v="1"/>
    <m/>
    <m/>
    <m/>
    <m/>
    <n v="512318"/>
    <n v="171284"/>
    <x v="16"/>
    <x v="0"/>
    <x v="16"/>
    <x v="1"/>
    <x v="0"/>
    <x v="0"/>
    <m/>
    <s v="GBELT"/>
    <m/>
    <x v="0"/>
    <m/>
  </r>
  <r>
    <x v="242"/>
    <x v="4"/>
    <x v="0"/>
    <d v="2020-01-17T00:00:00"/>
    <d v="2023-02-05T00:00:00"/>
    <m/>
    <m/>
    <x v="2"/>
    <x v="0"/>
    <x v="0"/>
    <m/>
    <s v="Proposed construction of additional floor level to create 2 no. additional two bed flats, together with a three storey side extension in the form of a bay window, change to existing fenestration and addition of 8 no. balconies at first and second floor le"/>
    <x v="241"/>
    <s v="KT2 4HF"/>
    <m/>
    <m/>
    <m/>
    <m/>
    <m/>
    <m/>
    <m/>
    <m/>
    <m/>
    <n v="0"/>
    <x v="0"/>
    <m/>
    <n v="2"/>
    <m/>
    <m/>
    <m/>
    <m/>
    <m/>
    <n v="2"/>
    <n v="0"/>
    <n v="2"/>
    <n v="0"/>
    <n v="0"/>
    <n v="0"/>
    <n v="0"/>
    <n v="0"/>
    <m/>
    <m/>
    <n v="2"/>
    <n v="2"/>
    <x v="1"/>
    <m/>
    <n v="0.5"/>
    <n v="0.5"/>
    <n v="0.5"/>
    <n v="0.5"/>
    <m/>
    <m/>
    <m/>
    <m/>
    <m/>
    <m/>
    <n v="2"/>
    <m/>
    <m/>
    <m/>
    <m/>
    <n v="517543"/>
    <n v="169767"/>
    <x v="8"/>
    <x v="0"/>
    <x v="8"/>
    <x v="1"/>
    <x v="0"/>
    <x v="0"/>
    <m/>
    <m/>
    <m/>
    <x v="0"/>
    <m/>
  </r>
  <r>
    <x v="243"/>
    <x v="0"/>
    <x v="0"/>
    <d v="2020-01-22T00:00:00"/>
    <d v="2023-01-23T00:00:00"/>
    <m/>
    <m/>
    <x v="2"/>
    <x v="0"/>
    <x v="0"/>
    <m/>
    <s v="Erection of 2No 3-bed, 6-person houses with associated hard and soft landscaping, cycle and refuse stores and car parking on land to rear of 56 and 58 Harvey Road."/>
    <x v="242"/>
    <s v="TW4 5LU"/>
    <m/>
    <m/>
    <m/>
    <m/>
    <m/>
    <m/>
    <m/>
    <m/>
    <m/>
    <n v="0"/>
    <x v="0"/>
    <m/>
    <m/>
    <n v="2"/>
    <m/>
    <m/>
    <m/>
    <m/>
    <n v="2"/>
    <n v="0"/>
    <n v="0"/>
    <n v="2"/>
    <n v="0"/>
    <n v="0"/>
    <n v="0"/>
    <n v="0"/>
    <m/>
    <m/>
    <n v="2"/>
    <n v="2"/>
    <x v="1"/>
    <m/>
    <m/>
    <n v="0.5"/>
    <n v="0.5"/>
    <n v="0.5"/>
    <n v="0.5"/>
    <m/>
    <m/>
    <m/>
    <m/>
    <m/>
    <n v="2"/>
    <m/>
    <m/>
    <m/>
    <m/>
    <n v="513048"/>
    <n v="173758"/>
    <x v="2"/>
    <x v="1"/>
    <x v="2"/>
    <x v="1"/>
    <x v="0"/>
    <x v="0"/>
    <m/>
    <m/>
    <m/>
    <x v="0"/>
    <m/>
  </r>
  <r>
    <x v="244"/>
    <x v="2"/>
    <x v="1"/>
    <d v="2020-02-17T00:00:00"/>
    <d v="2023-02-18T00:00:00"/>
    <m/>
    <m/>
    <x v="2"/>
    <x v="0"/>
    <x v="0"/>
    <m/>
    <s v="Change of use of part ground and upper floors from A2 (Financial Services) use class into C3 (Residential)."/>
    <x v="243"/>
    <s v="SW14 8RH"/>
    <m/>
    <m/>
    <m/>
    <m/>
    <m/>
    <m/>
    <m/>
    <m/>
    <m/>
    <n v="0"/>
    <x v="0"/>
    <m/>
    <n v="2"/>
    <m/>
    <m/>
    <m/>
    <m/>
    <m/>
    <n v="2"/>
    <n v="0"/>
    <n v="2"/>
    <n v="0"/>
    <n v="0"/>
    <n v="0"/>
    <n v="0"/>
    <n v="0"/>
    <m/>
    <m/>
    <n v="2"/>
    <n v="2"/>
    <x v="1"/>
    <m/>
    <n v="0.5"/>
    <n v="0.5"/>
    <n v="0.5"/>
    <n v="0.5"/>
    <m/>
    <m/>
    <m/>
    <m/>
    <m/>
    <m/>
    <n v="2"/>
    <m/>
    <m/>
    <m/>
    <m/>
    <n v="520577"/>
    <n v="175397"/>
    <x v="12"/>
    <x v="0"/>
    <x v="12"/>
    <x v="3"/>
    <x v="0"/>
    <x v="0"/>
    <m/>
    <m/>
    <m/>
    <x v="0"/>
    <m/>
  </r>
  <r>
    <x v="245"/>
    <x v="0"/>
    <x v="0"/>
    <d v="2020-02-20T00:00:00"/>
    <d v="2023-02-20T00:00:00"/>
    <m/>
    <m/>
    <x v="2"/>
    <x v="0"/>
    <x v="0"/>
    <m/>
    <s v="Demolition all buildings on site and the erection of a three-storey building and a part one, two-storey building comprising (3 x 1 bedroom and 4 x 2 bedroom) flats and approximately 805 sqm of flexible B1/D1 and flexible B1/D2 commercial floorspace, surfa"/>
    <x v="244"/>
    <s v="SW14 8TA"/>
    <m/>
    <m/>
    <m/>
    <m/>
    <m/>
    <m/>
    <m/>
    <m/>
    <m/>
    <n v="0"/>
    <x v="0"/>
    <n v="3"/>
    <n v="4"/>
    <m/>
    <m/>
    <m/>
    <m/>
    <m/>
    <n v="7"/>
    <n v="3"/>
    <n v="4"/>
    <n v="0"/>
    <n v="0"/>
    <n v="0"/>
    <n v="0"/>
    <n v="0"/>
    <m/>
    <m/>
    <n v="7"/>
    <n v="7"/>
    <x v="1"/>
    <m/>
    <m/>
    <n v="1.75"/>
    <n v="1.75"/>
    <n v="1.75"/>
    <n v="1.75"/>
    <m/>
    <m/>
    <m/>
    <m/>
    <m/>
    <n v="7"/>
    <m/>
    <m/>
    <m/>
    <m/>
    <n v="521492"/>
    <n v="175545"/>
    <x v="9"/>
    <x v="0"/>
    <x v="9"/>
    <x v="1"/>
    <x v="0"/>
    <x v="1"/>
    <s v="Priests Bridge, Barnes"/>
    <m/>
    <m/>
    <x v="0"/>
    <m/>
  </r>
  <r>
    <x v="246"/>
    <x v="1"/>
    <x v="0"/>
    <d v="2020-03-05T00:00:00"/>
    <d v="2023-03-05T00:00:00"/>
    <m/>
    <m/>
    <x v="2"/>
    <x v="0"/>
    <x v="0"/>
    <m/>
    <s v="Installation of new shopfront, new front access door, new windows to front and rear facades, alterations to and replacement of existing fenestration, removal of external staircase at rear ground and first floor level, provision of bike store and removal o"/>
    <x v="245"/>
    <s v="TW9 2NQ"/>
    <n v="1"/>
    <m/>
    <m/>
    <m/>
    <m/>
    <m/>
    <m/>
    <m/>
    <m/>
    <n v="1"/>
    <x v="0"/>
    <n v="2"/>
    <m/>
    <m/>
    <m/>
    <m/>
    <m/>
    <m/>
    <n v="2"/>
    <n v="1"/>
    <n v="0"/>
    <n v="0"/>
    <n v="0"/>
    <n v="0"/>
    <n v="0"/>
    <n v="0"/>
    <m/>
    <m/>
    <n v="1"/>
    <n v="1"/>
    <x v="1"/>
    <m/>
    <m/>
    <n v="0.25"/>
    <n v="0.25"/>
    <n v="0.25"/>
    <n v="0.25"/>
    <m/>
    <m/>
    <m/>
    <m/>
    <m/>
    <n v="1"/>
    <m/>
    <m/>
    <m/>
    <m/>
    <n v="518109"/>
    <n v="175300"/>
    <x v="3"/>
    <x v="0"/>
    <x v="3"/>
    <x v="2"/>
    <x v="0"/>
    <x v="0"/>
    <m/>
    <m/>
    <m/>
    <x v="1"/>
    <s v="CA17 Central Richmond"/>
  </r>
  <r>
    <x v="247"/>
    <x v="2"/>
    <x v="1"/>
    <d v="2020-05-04T00:00:00"/>
    <d v="2023-05-05T00:00:00"/>
    <m/>
    <m/>
    <x v="2"/>
    <x v="0"/>
    <x v="0"/>
    <m/>
    <s v="Change of use of existing light industrial unit B1(c) to residential dwelling C3"/>
    <x v="246"/>
    <s v="TW11 0RW"/>
    <m/>
    <m/>
    <m/>
    <m/>
    <m/>
    <m/>
    <m/>
    <m/>
    <m/>
    <n v="0"/>
    <x v="0"/>
    <n v="0"/>
    <n v="1"/>
    <m/>
    <m/>
    <m/>
    <m/>
    <m/>
    <n v="1"/>
    <n v="0"/>
    <n v="1"/>
    <n v="0"/>
    <n v="0"/>
    <n v="0"/>
    <n v="0"/>
    <n v="0"/>
    <m/>
    <m/>
    <n v="1"/>
    <n v="1"/>
    <x v="1"/>
    <m/>
    <n v="0.25"/>
    <n v="0.25"/>
    <n v="0.25"/>
    <n v="0.25"/>
    <m/>
    <m/>
    <m/>
    <m/>
    <m/>
    <m/>
    <n v="1"/>
    <m/>
    <m/>
    <m/>
    <m/>
    <n v="515038"/>
    <n v="171570"/>
    <x v="1"/>
    <x v="0"/>
    <x v="1"/>
    <x v="1"/>
    <x v="0"/>
    <x v="1"/>
    <s v="Stanley Road, Teddington"/>
    <m/>
    <m/>
    <x v="0"/>
    <m/>
  </r>
  <r>
    <x v="248"/>
    <x v="4"/>
    <x v="0"/>
    <d v="2020-05-05T00:00:00"/>
    <d v="2023-05-06T00:00:00"/>
    <m/>
    <m/>
    <x v="2"/>
    <x v="0"/>
    <x v="0"/>
    <m/>
    <s v="Demoltion of existing staircase/structures to rear. Construction of a part 3 part 2 storey rear extension to provide 2 x new flats and roof terrace (1 x studio and 1 x 1 bed flat) and associated bin store, cycle parking and hard and soft landscaping."/>
    <x v="247"/>
    <s v="TW2 7LG"/>
    <m/>
    <m/>
    <m/>
    <m/>
    <m/>
    <m/>
    <m/>
    <m/>
    <m/>
    <n v="0"/>
    <x v="0"/>
    <n v="2"/>
    <m/>
    <m/>
    <m/>
    <m/>
    <m/>
    <m/>
    <n v="2"/>
    <n v="2"/>
    <n v="0"/>
    <n v="0"/>
    <n v="0"/>
    <n v="0"/>
    <n v="0"/>
    <n v="0"/>
    <m/>
    <m/>
    <n v="2"/>
    <n v="2"/>
    <x v="1"/>
    <m/>
    <n v="0.5"/>
    <n v="0.5"/>
    <n v="0.5"/>
    <n v="0.5"/>
    <m/>
    <m/>
    <m/>
    <m/>
    <m/>
    <m/>
    <n v="2"/>
    <m/>
    <m/>
    <m/>
    <m/>
    <n v="514218"/>
    <n v="173596"/>
    <x v="17"/>
    <x v="0"/>
    <x v="17"/>
    <x v="5"/>
    <x v="0"/>
    <x v="0"/>
    <m/>
    <m/>
    <m/>
    <x v="0"/>
    <m/>
  </r>
  <r>
    <x v="249"/>
    <x v="3"/>
    <x v="0"/>
    <d v="2020-05-15T00:00:00"/>
    <d v="2023-05-15T00:00:00"/>
    <m/>
    <m/>
    <x v="2"/>
    <x v="0"/>
    <x v="0"/>
    <m/>
    <s v="Conversion and alteration of the existing garage building to provide a one bedroom flat over two levels together with a garden amenity area."/>
    <x v="248"/>
    <s v="TW11 0NS"/>
    <m/>
    <m/>
    <m/>
    <m/>
    <m/>
    <m/>
    <m/>
    <m/>
    <m/>
    <n v="0"/>
    <x v="0"/>
    <n v="1"/>
    <m/>
    <m/>
    <m/>
    <m/>
    <m/>
    <m/>
    <n v="1"/>
    <n v="1"/>
    <n v="0"/>
    <n v="0"/>
    <n v="0"/>
    <n v="0"/>
    <n v="0"/>
    <n v="0"/>
    <m/>
    <m/>
    <n v="1"/>
    <n v="1"/>
    <x v="1"/>
    <m/>
    <n v="0.25"/>
    <n v="0.25"/>
    <n v="0.25"/>
    <n v="0.25"/>
    <m/>
    <m/>
    <m/>
    <m/>
    <m/>
    <m/>
    <n v="1"/>
    <m/>
    <m/>
    <m/>
    <m/>
    <n v="515221"/>
    <n v="171318"/>
    <x v="1"/>
    <x v="0"/>
    <x v="1"/>
    <x v="1"/>
    <x v="0"/>
    <x v="0"/>
    <m/>
    <m/>
    <m/>
    <x v="0"/>
    <m/>
  </r>
  <r>
    <x v="250"/>
    <x v="2"/>
    <x v="0"/>
    <d v="2020-06-03T00:00:00"/>
    <d v="2023-06-03T00:00:00"/>
    <m/>
    <m/>
    <x v="2"/>
    <x v="0"/>
    <x v="0"/>
    <m/>
    <s v="Change of use from dentists surgery on ground floor and residential flat on first floor to single dwellinghouse"/>
    <x v="249"/>
    <m/>
    <m/>
    <n v="1"/>
    <m/>
    <m/>
    <m/>
    <m/>
    <m/>
    <m/>
    <m/>
    <n v="1"/>
    <x v="0"/>
    <m/>
    <m/>
    <n v="1"/>
    <m/>
    <m/>
    <m/>
    <m/>
    <n v="1"/>
    <n v="0"/>
    <n v="-1"/>
    <n v="1"/>
    <n v="0"/>
    <n v="0"/>
    <n v="0"/>
    <n v="0"/>
    <m/>
    <m/>
    <n v="0"/>
    <n v="0"/>
    <x v="1"/>
    <m/>
    <n v="0"/>
    <n v="0"/>
    <n v="0"/>
    <n v="0"/>
    <m/>
    <m/>
    <m/>
    <m/>
    <m/>
    <m/>
    <n v="0"/>
    <m/>
    <m/>
    <m/>
    <m/>
    <n v="517463"/>
    <n v="169474"/>
    <x v="8"/>
    <x v="0"/>
    <x v="8"/>
    <x v="1"/>
    <x v="0"/>
    <x v="1"/>
    <s v="Hampton Wick"/>
    <m/>
    <m/>
    <x v="1"/>
    <s v="CA18 Hampton Wick"/>
  </r>
  <r>
    <x v="251"/>
    <x v="0"/>
    <x v="0"/>
    <d v="2020-06-08T00:00:00"/>
    <d v="2023-06-08T00:00:00"/>
    <m/>
    <m/>
    <x v="2"/>
    <x v="0"/>
    <x v="0"/>
    <m/>
    <s v="Erection of two pairs of semi-detached 4 bedroom dwellings and associated parking and landscaping following the demolition of the existing property."/>
    <x v="250"/>
    <m/>
    <m/>
    <m/>
    <n v="1"/>
    <m/>
    <m/>
    <m/>
    <m/>
    <m/>
    <m/>
    <n v="1"/>
    <x v="0"/>
    <m/>
    <m/>
    <m/>
    <n v="4"/>
    <m/>
    <m/>
    <m/>
    <n v="4"/>
    <n v="0"/>
    <n v="0"/>
    <n v="-1"/>
    <n v="4"/>
    <n v="0"/>
    <n v="0"/>
    <n v="0"/>
    <m/>
    <m/>
    <n v="3"/>
    <n v="3"/>
    <x v="1"/>
    <m/>
    <m/>
    <n v="0.75"/>
    <n v="0.75"/>
    <n v="0.75"/>
    <n v="0.75"/>
    <m/>
    <m/>
    <m/>
    <m/>
    <m/>
    <n v="3"/>
    <m/>
    <m/>
    <m/>
    <m/>
    <n v="513614"/>
    <n v="173545"/>
    <x v="2"/>
    <x v="0"/>
    <x v="2"/>
    <x v="1"/>
    <x v="0"/>
    <x v="0"/>
    <m/>
    <m/>
    <m/>
    <x v="0"/>
    <m/>
  </r>
  <r>
    <x v="252"/>
    <x v="1"/>
    <x v="0"/>
    <d v="2020-06-18T00:00:00"/>
    <d v="2023-06-18T00:00:00"/>
    <m/>
    <m/>
    <x v="2"/>
    <x v="0"/>
    <x v="0"/>
    <m/>
    <s v="Part two storey, part first floor infill, part second floor rear extensions and extensions / alterations to the roof to facilitate the conversion of existing 1 x studio and 1 x 2 bed flat into four flats (2 x studio and 2 x 1 bed) and increase in retail f"/>
    <x v="251"/>
    <s v="TW1 3RR"/>
    <n v="1"/>
    <n v="1"/>
    <m/>
    <m/>
    <m/>
    <m/>
    <m/>
    <m/>
    <m/>
    <n v="2"/>
    <x v="0"/>
    <n v="4"/>
    <m/>
    <m/>
    <m/>
    <m/>
    <m/>
    <m/>
    <n v="4"/>
    <n v="3"/>
    <n v="-1"/>
    <n v="0"/>
    <n v="0"/>
    <n v="0"/>
    <n v="0"/>
    <n v="0"/>
    <m/>
    <m/>
    <n v="2"/>
    <n v="2"/>
    <x v="1"/>
    <m/>
    <m/>
    <n v="0.5"/>
    <n v="0.5"/>
    <n v="0.5"/>
    <n v="0.5"/>
    <m/>
    <m/>
    <m/>
    <m/>
    <m/>
    <n v="2"/>
    <m/>
    <m/>
    <m/>
    <m/>
    <n v="516259"/>
    <n v="173377"/>
    <x v="10"/>
    <x v="0"/>
    <x v="10"/>
    <x v="0"/>
    <x v="0"/>
    <x v="0"/>
    <m/>
    <m/>
    <m/>
    <x v="1"/>
    <s v="CA8 Twickenham Riverside"/>
  </r>
  <r>
    <x v="253"/>
    <x v="0"/>
    <x v="0"/>
    <d v="2020-06-18T00:00:00"/>
    <d v="2023-06-19T00:00:00"/>
    <m/>
    <m/>
    <x v="2"/>
    <x v="2"/>
    <x v="0"/>
    <m/>
    <s v="Demolition of existing commercial building and erection of building to provide 15 affordable residential units, together with 12 parking spaces and communal amenity space."/>
    <x v="252"/>
    <s v="TW2 6SR"/>
    <m/>
    <m/>
    <m/>
    <m/>
    <m/>
    <m/>
    <m/>
    <m/>
    <m/>
    <n v="0"/>
    <x v="2"/>
    <n v="6"/>
    <n v="6"/>
    <n v="3"/>
    <m/>
    <m/>
    <m/>
    <m/>
    <n v="15"/>
    <n v="6"/>
    <n v="6"/>
    <n v="3"/>
    <n v="0"/>
    <n v="0"/>
    <n v="0"/>
    <n v="0"/>
    <m/>
    <m/>
    <n v="15"/>
    <n v="15"/>
    <x v="0"/>
    <m/>
    <m/>
    <m/>
    <n v="7.5"/>
    <n v="7.5"/>
    <m/>
    <m/>
    <m/>
    <m/>
    <m/>
    <m/>
    <n v="15"/>
    <m/>
    <m/>
    <m/>
    <m/>
    <n v="515337"/>
    <n v="173383"/>
    <x v="14"/>
    <x v="0"/>
    <x v="14"/>
    <x v="1"/>
    <x v="0"/>
    <x v="0"/>
    <m/>
    <m/>
    <m/>
    <x v="0"/>
    <m/>
  </r>
  <r>
    <x v="254"/>
    <x v="0"/>
    <x v="0"/>
    <d v="2020-06-24T00:00:00"/>
    <d v="2023-06-24T00:00:00"/>
    <m/>
    <m/>
    <x v="2"/>
    <x v="0"/>
    <x v="0"/>
    <m/>
    <s v="Demolition of existing detached dwelling and construction of new 2 storey 4 bed house with basement level with associated hard and soft landscaping, cycle and refuse stores"/>
    <x v="253"/>
    <s v="TW10 7DZ"/>
    <m/>
    <m/>
    <m/>
    <n v="1"/>
    <m/>
    <m/>
    <m/>
    <m/>
    <m/>
    <n v="1"/>
    <x v="0"/>
    <m/>
    <m/>
    <m/>
    <m/>
    <n v="1"/>
    <m/>
    <m/>
    <n v="1"/>
    <n v="0"/>
    <n v="0"/>
    <n v="0"/>
    <n v="-1"/>
    <n v="1"/>
    <n v="0"/>
    <n v="0"/>
    <m/>
    <m/>
    <n v="0"/>
    <n v="0"/>
    <x v="1"/>
    <m/>
    <m/>
    <n v="0"/>
    <n v="0"/>
    <n v="0"/>
    <n v="0"/>
    <m/>
    <m/>
    <m/>
    <m/>
    <m/>
    <n v="0"/>
    <m/>
    <m/>
    <m/>
    <m/>
    <n v="517972"/>
    <n v="172874"/>
    <x v="5"/>
    <x v="0"/>
    <x v="5"/>
    <x v="1"/>
    <x v="0"/>
    <x v="0"/>
    <m/>
    <m/>
    <m/>
    <x v="0"/>
    <m/>
  </r>
  <r>
    <x v="255"/>
    <x v="4"/>
    <x v="0"/>
    <d v="2020-07-17T00:00:00"/>
    <d v="2023-11-02T00:00:00"/>
    <m/>
    <m/>
    <x v="2"/>
    <x v="0"/>
    <x v="0"/>
    <m/>
    <s v="Loft conversion to no. 1 and no. 3 Cromwell Road to provide 2 x 1 person studios with external extensions (side dormer roof extensions) and alterations with internal remodeling and ancillary cycle and refuse storage."/>
    <x v="254"/>
    <s v="TW11 9EQ"/>
    <m/>
    <m/>
    <m/>
    <m/>
    <m/>
    <m/>
    <m/>
    <m/>
    <m/>
    <n v="0"/>
    <x v="0"/>
    <n v="2"/>
    <m/>
    <m/>
    <m/>
    <m/>
    <m/>
    <m/>
    <n v="2"/>
    <n v="2"/>
    <n v="0"/>
    <n v="0"/>
    <n v="0"/>
    <n v="0"/>
    <n v="0"/>
    <n v="0"/>
    <m/>
    <m/>
    <n v="2"/>
    <n v="2"/>
    <x v="1"/>
    <m/>
    <n v="0.5"/>
    <n v="0.5"/>
    <n v="0.5"/>
    <n v="0.5"/>
    <m/>
    <m/>
    <m/>
    <m/>
    <m/>
    <m/>
    <n v="2"/>
    <m/>
    <m/>
    <m/>
    <m/>
    <n v="516132"/>
    <n v="170736"/>
    <x v="13"/>
    <x v="0"/>
    <x v="13"/>
    <x v="1"/>
    <x v="0"/>
    <x v="0"/>
    <m/>
    <m/>
    <m/>
    <x v="0"/>
    <m/>
  </r>
  <r>
    <x v="256"/>
    <x v="1"/>
    <x v="0"/>
    <d v="2020-07-24T00:00:00"/>
    <d v="2023-07-24T00:00:00"/>
    <m/>
    <m/>
    <x v="2"/>
    <x v="0"/>
    <x v="0"/>
    <m/>
    <s v="Part change of use of rear garden area, single storey side extension, part two storey part single storey rear extension and insertion of 2 rooflights on roof to outrigger to facilitate the creation of a self-contained 2 bed maisonette.  Associated boundar"/>
    <x v="255"/>
    <s v="SW13 0PZ"/>
    <m/>
    <m/>
    <m/>
    <m/>
    <m/>
    <m/>
    <m/>
    <m/>
    <m/>
    <n v="0"/>
    <x v="0"/>
    <m/>
    <n v="1"/>
    <m/>
    <m/>
    <m/>
    <m/>
    <m/>
    <n v="1"/>
    <n v="0"/>
    <n v="1"/>
    <n v="0"/>
    <n v="0"/>
    <n v="0"/>
    <n v="0"/>
    <n v="0"/>
    <m/>
    <m/>
    <n v="1"/>
    <n v="1"/>
    <x v="1"/>
    <m/>
    <m/>
    <n v="0.25"/>
    <n v="0.25"/>
    <n v="0.25"/>
    <n v="0.25"/>
    <m/>
    <m/>
    <m/>
    <m/>
    <m/>
    <n v="1"/>
    <m/>
    <m/>
    <m/>
    <m/>
    <n v="521330"/>
    <n v="175807"/>
    <x v="9"/>
    <x v="0"/>
    <x v="9"/>
    <x v="1"/>
    <x v="0"/>
    <x v="1"/>
    <s v="White Hart lane, Barnes"/>
    <m/>
    <m/>
    <x v="1"/>
    <s v="CA33 Mortlake"/>
  </r>
  <r>
    <x v="257"/>
    <x v="0"/>
    <x v="0"/>
    <d v="2020-07-31T00:00:00"/>
    <d v="2023-07-31T00:00:00"/>
    <m/>
    <m/>
    <x v="2"/>
    <x v="0"/>
    <x v="0"/>
    <m/>
    <s v="Demolition of existing dwelling and the erection of two 4-bedroom semi-detached dwellings with associated access and car parking."/>
    <x v="256"/>
    <s v="TW12 3AW"/>
    <m/>
    <m/>
    <n v="1"/>
    <m/>
    <m/>
    <m/>
    <m/>
    <m/>
    <m/>
    <n v="1"/>
    <x v="0"/>
    <m/>
    <m/>
    <m/>
    <n v="2"/>
    <m/>
    <m/>
    <m/>
    <n v="2"/>
    <n v="0"/>
    <n v="0"/>
    <n v="-1"/>
    <n v="2"/>
    <n v="0"/>
    <n v="0"/>
    <n v="0"/>
    <m/>
    <m/>
    <n v="1"/>
    <n v="1"/>
    <x v="1"/>
    <m/>
    <m/>
    <n v="0.25"/>
    <n v="0.25"/>
    <n v="0.25"/>
    <n v="0.25"/>
    <m/>
    <m/>
    <m/>
    <m/>
    <m/>
    <n v="1"/>
    <m/>
    <m/>
    <m/>
    <m/>
    <n v="513725"/>
    <n v="170629"/>
    <x v="16"/>
    <x v="0"/>
    <x v="16"/>
    <x v="1"/>
    <x v="0"/>
    <x v="0"/>
    <m/>
    <m/>
    <m/>
    <x v="0"/>
    <m/>
  </r>
  <r>
    <x v="258"/>
    <x v="2"/>
    <x v="0"/>
    <d v="2020-08-03T00:00:00"/>
    <d v="2023-08-03T00:00:00"/>
    <m/>
    <m/>
    <x v="2"/>
    <x v="0"/>
    <x v="0"/>
    <m/>
    <s v="Change of use of ground floor office from B1(a) to C3 (residential) use and alterations to ground floor of 5 King Edward Mews to facilitate the enlargement/inclusion as part of Existing Dwelling at 4 King Edward Mews"/>
    <x v="257"/>
    <s v="SW13 9HD"/>
    <m/>
    <m/>
    <m/>
    <m/>
    <m/>
    <m/>
    <m/>
    <m/>
    <m/>
    <n v="0"/>
    <x v="0"/>
    <m/>
    <n v="1"/>
    <m/>
    <m/>
    <m/>
    <m/>
    <m/>
    <n v="1"/>
    <n v="0"/>
    <n v="1"/>
    <n v="0"/>
    <n v="0"/>
    <n v="0"/>
    <n v="0"/>
    <n v="0"/>
    <m/>
    <m/>
    <n v="1"/>
    <n v="1"/>
    <x v="1"/>
    <m/>
    <n v="0.25"/>
    <n v="0.25"/>
    <n v="0.25"/>
    <n v="0.25"/>
    <m/>
    <m/>
    <m/>
    <m/>
    <m/>
    <m/>
    <n v="1"/>
    <m/>
    <m/>
    <m/>
    <m/>
    <n v="522206"/>
    <n v="176643"/>
    <x v="6"/>
    <x v="0"/>
    <x v="6"/>
    <x v="1"/>
    <x v="0"/>
    <x v="0"/>
    <m/>
    <m/>
    <m/>
    <x v="0"/>
    <m/>
  </r>
  <r>
    <x v="259"/>
    <x v="1"/>
    <x v="0"/>
    <d v="2020-08-06T00:00:00"/>
    <d v="2023-08-06T00:00:00"/>
    <m/>
    <m/>
    <x v="2"/>
    <x v="0"/>
    <x v="0"/>
    <m/>
    <s v="Part single, part two-storey rear extension to allow the expansion of both ground floor retail / commercial units and the sub-division of the existing 3 bedroom first floor flat to form 2No. 1-bedroom flats and the construction of a mansard style roof ext"/>
    <x v="258"/>
    <s v="TW12 1JG"/>
    <m/>
    <m/>
    <n v="1"/>
    <m/>
    <m/>
    <m/>
    <m/>
    <m/>
    <m/>
    <n v="1"/>
    <x v="0"/>
    <n v="4"/>
    <m/>
    <m/>
    <m/>
    <m/>
    <m/>
    <m/>
    <n v="4"/>
    <n v="4"/>
    <n v="0"/>
    <n v="-1"/>
    <n v="0"/>
    <n v="0"/>
    <n v="0"/>
    <n v="0"/>
    <m/>
    <m/>
    <n v="3"/>
    <n v="3"/>
    <x v="1"/>
    <m/>
    <m/>
    <n v="1.5"/>
    <n v="1.5"/>
    <m/>
    <m/>
    <m/>
    <m/>
    <m/>
    <m/>
    <m/>
    <n v="3"/>
    <m/>
    <m/>
    <m/>
    <m/>
    <n v="514554"/>
    <n v="171263"/>
    <x v="1"/>
    <x v="0"/>
    <x v="1"/>
    <x v="1"/>
    <x v="0"/>
    <x v="1"/>
    <s v="High Street, Hampton Hill"/>
    <m/>
    <m/>
    <x v="0"/>
    <m/>
  </r>
  <r>
    <x v="260"/>
    <x v="0"/>
    <x v="0"/>
    <d v="2020-08-10T00:00:00"/>
    <d v="2023-08-10T00:00:00"/>
    <m/>
    <m/>
    <x v="2"/>
    <x v="0"/>
    <x v="0"/>
    <m/>
    <s v="The construction of a two storey 4 bedroom dwelling with a basement level following the demolition of the existing house and garage."/>
    <x v="259"/>
    <s v="TW12 2RX"/>
    <m/>
    <m/>
    <m/>
    <n v="1"/>
    <m/>
    <m/>
    <m/>
    <m/>
    <m/>
    <n v="1"/>
    <x v="0"/>
    <m/>
    <m/>
    <m/>
    <n v="1"/>
    <m/>
    <m/>
    <m/>
    <n v="1"/>
    <n v="0"/>
    <n v="0"/>
    <n v="0"/>
    <n v="0"/>
    <n v="0"/>
    <n v="0"/>
    <n v="0"/>
    <m/>
    <m/>
    <n v="0"/>
    <n v="0"/>
    <x v="1"/>
    <m/>
    <m/>
    <n v="0"/>
    <n v="0"/>
    <n v="0"/>
    <n v="0"/>
    <m/>
    <m/>
    <m/>
    <m/>
    <m/>
    <n v="0"/>
    <m/>
    <m/>
    <m/>
    <m/>
    <n v="513542"/>
    <n v="169839"/>
    <x v="15"/>
    <x v="0"/>
    <x v="15"/>
    <x v="1"/>
    <x v="0"/>
    <x v="0"/>
    <m/>
    <m/>
    <m/>
    <x v="0"/>
    <m/>
  </r>
  <r>
    <x v="261"/>
    <x v="2"/>
    <x v="1"/>
    <d v="2020-08-19T00:00:00"/>
    <d v="2023-08-19T00:00:00"/>
    <m/>
    <m/>
    <x v="2"/>
    <x v="0"/>
    <x v="0"/>
    <m/>
    <s v="Change of use of office (B1a) to dwelling (C3)"/>
    <x v="260"/>
    <s v="TW11 8SH"/>
    <m/>
    <m/>
    <m/>
    <m/>
    <m/>
    <m/>
    <m/>
    <m/>
    <m/>
    <n v="0"/>
    <x v="0"/>
    <n v="1"/>
    <m/>
    <m/>
    <m/>
    <m/>
    <m/>
    <m/>
    <n v="1"/>
    <n v="1"/>
    <n v="0"/>
    <n v="0"/>
    <n v="0"/>
    <n v="0"/>
    <n v="0"/>
    <n v="0"/>
    <m/>
    <m/>
    <n v="1"/>
    <n v="1"/>
    <x v="1"/>
    <m/>
    <n v="0.25"/>
    <n v="0.25"/>
    <n v="0.25"/>
    <n v="0.25"/>
    <m/>
    <m/>
    <m/>
    <m/>
    <m/>
    <m/>
    <n v="1"/>
    <m/>
    <m/>
    <m/>
    <m/>
    <n v="515402"/>
    <n v="171660"/>
    <x v="1"/>
    <x v="0"/>
    <x v="1"/>
    <x v="1"/>
    <x v="0"/>
    <x v="0"/>
    <m/>
    <m/>
    <m/>
    <x v="0"/>
    <m/>
  </r>
  <r>
    <x v="262"/>
    <x v="1"/>
    <x v="0"/>
    <d v="2020-08-20T00:00:00"/>
    <d v="2023-08-20T00:00:00"/>
    <m/>
    <m/>
    <x v="2"/>
    <x v="0"/>
    <x v="0"/>
    <m/>
    <s v="Change of use from B1 to D2 (gym) on part of second floor. Change of use from D2 (gym) on third floor to 2 no. 1 bedroom flats. Change of use from A3 on ground and first floor to B1 Office. Alterations to fenestration on south elevation."/>
    <x v="261"/>
    <s v="SW14 8HX"/>
    <m/>
    <m/>
    <m/>
    <m/>
    <m/>
    <m/>
    <m/>
    <m/>
    <m/>
    <n v="0"/>
    <x v="0"/>
    <n v="2"/>
    <m/>
    <m/>
    <m/>
    <m/>
    <m/>
    <m/>
    <n v="2"/>
    <n v="2"/>
    <n v="0"/>
    <n v="0"/>
    <n v="0"/>
    <n v="0"/>
    <n v="0"/>
    <n v="0"/>
    <m/>
    <m/>
    <n v="2"/>
    <n v="2"/>
    <x v="1"/>
    <m/>
    <m/>
    <n v="0.5"/>
    <n v="0.5"/>
    <n v="0.5"/>
    <n v="0.5"/>
    <m/>
    <m/>
    <m/>
    <m/>
    <m/>
    <n v="2"/>
    <m/>
    <m/>
    <m/>
    <m/>
    <n v="520567"/>
    <n v="175919"/>
    <x v="9"/>
    <x v="0"/>
    <x v="9"/>
    <x v="1"/>
    <x v="0"/>
    <x v="1"/>
    <s v="Mortlake"/>
    <m/>
    <m/>
    <x v="0"/>
    <m/>
  </r>
  <r>
    <x v="263"/>
    <x v="0"/>
    <x v="0"/>
    <d v="2020-08-20T00:00:00"/>
    <d v="2023-08-20T00:00:00"/>
    <d v="2021-10-07T00:00:00"/>
    <m/>
    <x v="2"/>
    <x v="1"/>
    <x v="0"/>
    <m/>
    <s v="Erection of  5 no. 2 bed/4 person terraced houses (including 1 wheelchair unit) and 4 no. 3 bed/5  person semi-detached houses; formation of new access off Simpson Road and 12 no. off-street car parking space; creation of publicly accessible pocket park and pedestrian paths; ancillary structures and landscaping including new tree planting."/>
    <x v="262"/>
    <s v="TW4 5QE"/>
    <m/>
    <m/>
    <m/>
    <m/>
    <m/>
    <m/>
    <m/>
    <m/>
    <m/>
    <n v="0"/>
    <x v="2"/>
    <m/>
    <n v="5"/>
    <n v="4"/>
    <m/>
    <m/>
    <m/>
    <m/>
    <n v="9"/>
    <n v="0"/>
    <n v="5"/>
    <n v="4"/>
    <n v="0"/>
    <n v="0"/>
    <n v="0"/>
    <n v="0"/>
    <m/>
    <m/>
    <n v="9"/>
    <n v="9"/>
    <x v="1"/>
    <m/>
    <m/>
    <n v="9"/>
    <m/>
    <m/>
    <m/>
    <m/>
    <m/>
    <m/>
    <m/>
    <m/>
    <n v="9"/>
    <m/>
    <m/>
    <m/>
    <m/>
    <n v="512878"/>
    <n v="174040"/>
    <x v="2"/>
    <x v="0"/>
    <x v="2"/>
    <x v="1"/>
    <x v="0"/>
    <x v="0"/>
    <m/>
    <m/>
    <m/>
    <x v="0"/>
    <m/>
  </r>
  <r>
    <x v="264"/>
    <x v="4"/>
    <x v="0"/>
    <d v="2020-08-25T00:00:00"/>
    <d v="2023-08-25T00:00:00"/>
    <m/>
    <m/>
    <x v="2"/>
    <x v="0"/>
    <x v="0"/>
    <m/>
    <s v="Change of use of forecourt and existing lobby and staircase from B1(a) to sui generis (mixed B1(a)/C3) to facilitate the creation of a second floor extension to the existing office building to provide a 3 bed flat, external alterations to the fenestration"/>
    <x v="263"/>
    <s v="SW14 8TN"/>
    <m/>
    <m/>
    <m/>
    <m/>
    <m/>
    <m/>
    <m/>
    <m/>
    <m/>
    <n v="0"/>
    <x v="0"/>
    <m/>
    <m/>
    <n v="1"/>
    <m/>
    <m/>
    <m/>
    <m/>
    <n v="1"/>
    <n v="0"/>
    <n v="0"/>
    <n v="1"/>
    <n v="0"/>
    <n v="0"/>
    <n v="0"/>
    <n v="0"/>
    <m/>
    <m/>
    <n v="1"/>
    <n v="1"/>
    <x v="1"/>
    <m/>
    <n v="0.25"/>
    <n v="0.25"/>
    <n v="0.25"/>
    <n v="0.25"/>
    <m/>
    <m/>
    <m/>
    <m/>
    <m/>
    <m/>
    <n v="1"/>
    <m/>
    <m/>
    <m/>
    <m/>
    <n v="520556"/>
    <n v="175757"/>
    <x v="12"/>
    <x v="0"/>
    <x v="12"/>
    <x v="3"/>
    <x v="0"/>
    <x v="0"/>
    <m/>
    <m/>
    <m/>
    <x v="0"/>
    <m/>
  </r>
  <r>
    <x v="265"/>
    <x v="2"/>
    <x v="1"/>
    <d v="2020-08-25T00:00:00"/>
    <d v="2023-08-25T00:00:00"/>
    <m/>
    <m/>
    <x v="2"/>
    <x v="0"/>
    <x v="0"/>
    <m/>
    <s v="Proposed change of use from Class B1(c) light industrial to Class C3 (residential) (2 dwellings)."/>
    <x v="264"/>
    <s v="TW12 1PD"/>
    <m/>
    <m/>
    <m/>
    <m/>
    <m/>
    <m/>
    <m/>
    <m/>
    <m/>
    <n v="0"/>
    <x v="0"/>
    <n v="2"/>
    <m/>
    <m/>
    <m/>
    <m/>
    <m/>
    <m/>
    <n v="2"/>
    <n v="2"/>
    <n v="0"/>
    <n v="0"/>
    <n v="0"/>
    <n v="0"/>
    <n v="0"/>
    <n v="0"/>
    <m/>
    <m/>
    <n v="2"/>
    <n v="2"/>
    <x v="1"/>
    <m/>
    <n v="0.5"/>
    <n v="0.5"/>
    <n v="0.5"/>
    <n v="0.5"/>
    <m/>
    <m/>
    <m/>
    <m/>
    <m/>
    <m/>
    <n v="2"/>
    <m/>
    <m/>
    <m/>
    <m/>
    <n v="514296"/>
    <n v="170824"/>
    <x v="1"/>
    <x v="0"/>
    <x v="1"/>
    <x v="1"/>
    <x v="0"/>
    <x v="1"/>
    <s v="High Street, Hampton Hill"/>
    <m/>
    <m/>
    <x v="1"/>
    <s v="CA38 High Street Hampton Hill"/>
  </r>
  <r>
    <x v="266"/>
    <x v="0"/>
    <x v="0"/>
    <d v="2020-09-04T00:00:00"/>
    <d v="2023-09-04T00:00:00"/>
    <m/>
    <m/>
    <x v="2"/>
    <x v="0"/>
    <x v="0"/>
    <m/>
    <s v="Demolition of the existing dwelling and the erection of a pair of semi-detached dwellings with associated hard and soft landscaping and refuse store."/>
    <x v="265"/>
    <s v="TW4 5PU"/>
    <m/>
    <m/>
    <n v="1"/>
    <m/>
    <m/>
    <m/>
    <m/>
    <m/>
    <m/>
    <n v="1"/>
    <x v="0"/>
    <m/>
    <n v="2"/>
    <m/>
    <m/>
    <m/>
    <m/>
    <m/>
    <n v="2"/>
    <n v="0"/>
    <n v="2"/>
    <n v="-1"/>
    <n v="0"/>
    <n v="0"/>
    <n v="0"/>
    <n v="0"/>
    <m/>
    <m/>
    <n v="1"/>
    <n v="1"/>
    <x v="1"/>
    <m/>
    <m/>
    <n v="0.25"/>
    <n v="0.25"/>
    <n v="0.25"/>
    <n v="0.25"/>
    <m/>
    <m/>
    <m/>
    <m/>
    <m/>
    <n v="1"/>
    <m/>
    <m/>
    <m/>
    <m/>
    <n v="512568"/>
    <n v="173521"/>
    <x v="2"/>
    <x v="0"/>
    <x v="2"/>
    <x v="1"/>
    <x v="0"/>
    <x v="0"/>
    <m/>
    <m/>
    <m/>
    <x v="0"/>
    <m/>
  </r>
  <r>
    <x v="267"/>
    <x v="0"/>
    <x v="0"/>
    <d v="2020-09-14T00:00:00"/>
    <d v="2023-09-14T00:00:00"/>
    <m/>
    <m/>
    <x v="2"/>
    <x v="0"/>
    <x v="0"/>
    <m/>
    <s v="Outline planning permission for the demolition and comprehensive redevelopment (phased development) of land at Barnes Hospital to provide a mixed use development comprising a health centre (Use Class D1), a Special Educational Needs (SEN) School (Use Clas"/>
    <x v="266"/>
    <s v="SW14 8SU"/>
    <m/>
    <m/>
    <m/>
    <m/>
    <m/>
    <m/>
    <m/>
    <m/>
    <m/>
    <n v="0"/>
    <x v="0"/>
    <n v="22"/>
    <n v="31"/>
    <n v="12"/>
    <m/>
    <m/>
    <m/>
    <m/>
    <n v="65"/>
    <n v="22"/>
    <n v="31"/>
    <n v="12"/>
    <n v="0"/>
    <n v="0"/>
    <n v="0"/>
    <n v="0"/>
    <m/>
    <m/>
    <n v="65"/>
    <n v="65"/>
    <x v="0"/>
    <m/>
    <m/>
    <n v="32.5"/>
    <n v="32.5"/>
    <m/>
    <m/>
    <m/>
    <m/>
    <m/>
    <m/>
    <m/>
    <n v="65"/>
    <m/>
    <m/>
    <m/>
    <m/>
    <n v="521203"/>
    <n v="175677"/>
    <x v="9"/>
    <x v="0"/>
    <x v="9"/>
    <x v="1"/>
    <x v="0"/>
    <x v="0"/>
    <m/>
    <m/>
    <m/>
    <x v="0"/>
    <m/>
  </r>
  <r>
    <x v="267"/>
    <x v="0"/>
    <x v="0"/>
    <d v="2020-09-14T00:00:00"/>
    <d v="2023-09-14T00:00:00"/>
    <m/>
    <m/>
    <x v="2"/>
    <x v="1"/>
    <x v="0"/>
    <m/>
    <s v="Outline planning permission for the demolition and comprehensive redevelopment (phased development) of land at Barnes Hospital to provide a mixed use development comprising a health centre (Use Class D1), a Special Educational Needs (SEN) School (Use Clas"/>
    <x v="266"/>
    <s v="SW14 8SU"/>
    <m/>
    <m/>
    <m/>
    <m/>
    <m/>
    <m/>
    <m/>
    <m/>
    <m/>
    <n v="0"/>
    <x v="2"/>
    <n v="5"/>
    <n v="7"/>
    <n v="2"/>
    <m/>
    <m/>
    <m/>
    <m/>
    <n v="14"/>
    <n v="5"/>
    <n v="7"/>
    <n v="2"/>
    <n v="0"/>
    <n v="0"/>
    <n v="0"/>
    <n v="0"/>
    <m/>
    <m/>
    <n v="14"/>
    <n v="14"/>
    <x v="0"/>
    <m/>
    <m/>
    <n v="7"/>
    <n v="7"/>
    <m/>
    <m/>
    <m/>
    <m/>
    <m/>
    <m/>
    <m/>
    <n v="14"/>
    <m/>
    <m/>
    <m/>
    <m/>
    <n v="521203"/>
    <n v="175677"/>
    <x v="9"/>
    <x v="0"/>
    <x v="9"/>
    <x v="1"/>
    <x v="0"/>
    <x v="0"/>
    <m/>
    <m/>
    <m/>
    <x v="0"/>
    <m/>
  </r>
  <r>
    <x v="267"/>
    <x v="0"/>
    <x v="0"/>
    <d v="2020-09-14T00:00:00"/>
    <d v="2023-09-14T00:00:00"/>
    <m/>
    <m/>
    <x v="2"/>
    <x v="2"/>
    <x v="0"/>
    <m/>
    <s v="Outline planning permission for the demolition and comprehensive redevelopment (phased development) of land at Barnes Hospital to provide a mixed use development comprising a health centre (Use Class D1), a Special Educational Needs (SEN) School (Use Clas"/>
    <x v="266"/>
    <s v="SW14 8SU"/>
    <m/>
    <m/>
    <m/>
    <m/>
    <m/>
    <m/>
    <m/>
    <m/>
    <m/>
    <n v="0"/>
    <x v="2"/>
    <n v="3"/>
    <n v="1"/>
    <m/>
    <m/>
    <m/>
    <m/>
    <m/>
    <n v="4"/>
    <n v="3"/>
    <n v="1"/>
    <n v="0"/>
    <n v="0"/>
    <n v="0"/>
    <n v="0"/>
    <n v="0"/>
    <m/>
    <m/>
    <n v="4"/>
    <n v="4"/>
    <x v="0"/>
    <m/>
    <m/>
    <n v="2"/>
    <n v="2"/>
    <m/>
    <m/>
    <m/>
    <m/>
    <m/>
    <m/>
    <m/>
    <n v="4"/>
    <m/>
    <m/>
    <m/>
    <m/>
    <n v="521203"/>
    <n v="175677"/>
    <x v="9"/>
    <x v="0"/>
    <x v="9"/>
    <x v="1"/>
    <x v="0"/>
    <x v="0"/>
    <m/>
    <m/>
    <m/>
    <x v="0"/>
    <m/>
  </r>
  <r>
    <x v="268"/>
    <x v="0"/>
    <x v="0"/>
    <d v="2020-09-14T00:00:00"/>
    <d v="2023-09-30T00:00:00"/>
    <m/>
    <m/>
    <x v="2"/>
    <x v="0"/>
    <x v="0"/>
    <m/>
    <s v="Demolition of 30 garages and erection of 5 x 3 bedroom detached dwellings with associated hard and soft landscaping, parking and cycle and refuse stores"/>
    <x v="267"/>
    <s v="SW14 8"/>
    <m/>
    <m/>
    <m/>
    <m/>
    <m/>
    <m/>
    <m/>
    <m/>
    <m/>
    <n v="0"/>
    <x v="0"/>
    <m/>
    <m/>
    <n v="5"/>
    <m/>
    <m/>
    <m/>
    <m/>
    <n v="5"/>
    <n v="0"/>
    <n v="0"/>
    <n v="5"/>
    <n v="0"/>
    <n v="0"/>
    <n v="0"/>
    <n v="0"/>
    <m/>
    <m/>
    <n v="5"/>
    <n v="5"/>
    <x v="1"/>
    <m/>
    <m/>
    <n v="1.25"/>
    <n v="1.25"/>
    <n v="1.25"/>
    <n v="1.25"/>
    <m/>
    <m/>
    <m/>
    <m/>
    <m/>
    <n v="5"/>
    <m/>
    <m/>
    <m/>
    <m/>
    <n v="520616"/>
    <n v="175748"/>
    <x v="12"/>
    <x v="0"/>
    <x v="12"/>
    <x v="1"/>
    <x v="0"/>
    <x v="0"/>
    <m/>
    <m/>
    <m/>
    <x v="0"/>
    <m/>
  </r>
  <r>
    <x v="269"/>
    <x v="0"/>
    <x v="0"/>
    <d v="2020-09-16T00:00:00"/>
    <d v="2023-09-16T00:00:00"/>
    <m/>
    <m/>
    <x v="2"/>
    <x v="0"/>
    <x v="0"/>
    <m/>
    <s v="Demolition of existing buildings and structures, and redevelopment of the site to provide a 4-6 storey specialist extra care facility for the elderly with existing health conditions, comprising of 88 units, communal healthcare, therapy, leisure and social"/>
    <x v="268"/>
    <s v="TW9"/>
    <m/>
    <m/>
    <m/>
    <m/>
    <m/>
    <m/>
    <m/>
    <m/>
    <m/>
    <n v="0"/>
    <x v="0"/>
    <n v="13"/>
    <n v="75"/>
    <m/>
    <m/>
    <m/>
    <m/>
    <m/>
    <n v="88"/>
    <n v="13"/>
    <n v="75"/>
    <n v="0"/>
    <n v="0"/>
    <n v="0"/>
    <n v="0"/>
    <n v="0"/>
    <m/>
    <m/>
    <n v="88"/>
    <n v="88"/>
    <x v="0"/>
    <m/>
    <m/>
    <n v="44"/>
    <n v="44"/>
    <m/>
    <m/>
    <m/>
    <m/>
    <m/>
    <m/>
    <m/>
    <n v="88"/>
    <m/>
    <s v="Y"/>
    <s v="Y"/>
    <m/>
    <n v="519778"/>
    <n v="176914"/>
    <x v="7"/>
    <x v="0"/>
    <x v="7"/>
    <x v="1"/>
    <x v="1"/>
    <x v="0"/>
    <m/>
    <m/>
    <s v="Townmead Kew"/>
    <x v="0"/>
    <m/>
  </r>
  <r>
    <x v="270"/>
    <x v="2"/>
    <x v="0"/>
    <d v="2020-09-16T00:00:00"/>
    <d v="2023-09-16T00:00:00"/>
    <m/>
    <m/>
    <x v="2"/>
    <x v="0"/>
    <x v="0"/>
    <m/>
    <s v="Rear extension at first floor level with green roof, installation of rooflights on side and rear facing roof slopes to facilitate change of use of upper floors to C3 (residential) use and to provide 1 x 2 bed maisonette: additional shop storage space at f"/>
    <x v="269"/>
    <s v="SW13 9LB"/>
    <m/>
    <m/>
    <m/>
    <m/>
    <m/>
    <m/>
    <m/>
    <m/>
    <m/>
    <n v="0"/>
    <x v="0"/>
    <m/>
    <n v="1"/>
    <m/>
    <m/>
    <m/>
    <m/>
    <m/>
    <n v="1"/>
    <n v="0"/>
    <n v="1"/>
    <n v="0"/>
    <n v="0"/>
    <n v="0"/>
    <n v="0"/>
    <n v="0"/>
    <m/>
    <m/>
    <n v="1"/>
    <n v="1"/>
    <x v="1"/>
    <m/>
    <n v="0.25"/>
    <n v="0.25"/>
    <n v="0.25"/>
    <n v="0.25"/>
    <m/>
    <m/>
    <m/>
    <m/>
    <m/>
    <m/>
    <n v="1"/>
    <m/>
    <m/>
    <m/>
    <m/>
    <n v="521750"/>
    <n v="176384"/>
    <x v="9"/>
    <x v="0"/>
    <x v="9"/>
    <x v="1"/>
    <x v="0"/>
    <x v="1"/>
    <s v="High Street, Barnes"/>
    <m/>
    <m/>
    <x v="1"/>
    <s v="CA1 Barnes Green"/>
  </r>
  <r>
    <x v="271"/>
    <x v="4"/>
    <x v="0"/>
    <d v="2020-09-18T00:00:00"/>
    <d v="2023-09-18T00:00:00"/>
    <m/>
    <m/>
    <x v="2"/>
    <x v="0"/>
    <x v="0"/>
    <m/>
    <s v="Part two-storey/part single-storey rear extension to provide 1no. additional dwelling, including associated alterations to fenestration, following demolition of existing single-storey rear extension."/>
    <x v="270"/>
    <s v="KT1 4DG"/>
    <m/>
    <m/>
    <m/>
    <m/>
    <m/>
    <m/>
    <m/>
    <m/>
    <m/>
    <n v="0"/>
    <x v="0"/>
    <n v="1"/>
    <m/>
    <m/>
    <m/>
    <m/>
    <m/>
    <m/>
    <n v="1"/>
    <n v="1"/>
    <n v="0"/>
    <n v="0"/>
    <n v="0"/>
    <n v="0"/>
    <n v="0"/>
    <n v="0"/>
    <m/>
    <m/>
    <n v="1"/>
    <n v="1"/>
    <x v="1"/>
    <m/>
    <n v="0.25"/>
    <n v="0.25"/>
    <n v="0.25"/>
    <n v="0.25"/>
    <m/>
    <m/>
    <m/>
    <m/>
    <m/>
    <m/>
    <n v="1"/>
    <m/>
    <m/>
    <m/>
    <m/>
    <n v="517423"/>
    <n v="169711"/>
    <x v="8"/>
    <x v="0"/>
    <x v="8"/>
    <x v="1"/>
    <x v="0"/>
    <x v="0"/>
    <m/>
    <m/>
    <m/>
    <x v="0"/>
    <m/>
  </r>
  <r>
    <x v="272"/>
    <x v="1"/>
    <x v="0"/>
    <d v="2020-09-24T00:00:00"/>
    <d v="2023-09-24T00:00:00"/>
    <m/>
    <m/>
    <x v="2"/>
    <x v="0"/>
    <x v="0"/>
    <m/>
    <s v="Demolition of existing outbuilding.  Single storey side/rear extension to facilitate change of use of rear part of ground floor (A1 (Retail)) to residential use (Class C3) to create 1 x 1 bed flat with associated cycle and refuse store."/>
    <x v="271"/>
    <s v="SW13 0PZ"/>
    <m/>
    <m/>
    <m/>
    <m/>
    <m/>
    <m/>
    <m/>
    <m/>
    <m/>
    <n v="0"/>
    <x v="0"/>
    <n v="1"/>
    <m/>
    <m/>
    <m/>
    <m/>
    <m/>
    <m/>
    <n v="1"/>
    <n v="1"/>
    <n v="0"/>
    <n v="0"/>
    <n v="0"/>
    <n v="0"/>
    <n v="0"/>
    <n v="0"/>
    <m/>
    <m/>
    <n v="1"/>
    <n v="1"/>
    <x v="1"/>
    <m/>
    <m/>
    <n v="0.25"/>
    <n v="0.25"/>
    <n v="0.25"/>
    <n v="0.25"/>
    <m/>
    <m/>
    <m/>
    <m/>
    <m/>
    <n v="1"/>
    <m/>
    <m/>
    <m/>
    <m/>
    <n v="521318"/>
    <n v="175834"/>
    <x v="9"/>
    <x v="0"/>
    <x v="9"/>
    <x v="1"/>
    <x v="0"/>
    <x v="1"/>
    <s v="White Hart lane, Barnes"/>
    <m/>
    <m/>
    <x v="1"/>
    <s v="CA33 Mortlake"/>
  </r>
  <r>
    <x v="273"/>
    <x v="0"/>
    <x v="0"/>
    <d v="2020-09-28T00:00:00"/>
    <d v="2023-09-29T00:00:00"/>
    <m/>
    <m/>
    <x v="2"/>
    <x v="0"/>
    <x v="0"/>
    <s v="20/1606/IN"/>
    <s v="Demolition of existing buildings and the erection of a replacement building to contain 9no. flats (Use Class C3), with associated works including landscaping and parking."/>
    <x v="272"/>
    <s v="TW12 1DH"/>
    <m/>
    <m/>
    <m/>
    <n v="1"/>
    <m/>
    <m/>
    <m/>
    <m/>
    <m/>
    <n v="1"/>
    <x v="0"/>
    <n v="1"/>
    <n v="7"/>
    <n v="1"/>
    <m/>
    <m/>
    <m/>
    <m/>
    <n v="9"/>
    <n v="1"/>
    <n v="7"/>
    <n v="1"/>
    <n v="-1"/>
    <n v="0"/>
    <n v="0"/>
    <n v="0"/>
    <m/>
    <m/>
    <n v="8"/>
    <n v="8"/>
    <x v="1"/>
    <m/>
    <m/>
    <n v="4"/>
    <n v="4"/>
    <m/>
    <m/>
    <m/>
    <m/>
    <m/>
    <m/>
    <m/>
    <n v="8"/>
    <m/>
    <m/>
    <m/>
    <m/>
    <n v="513824"/>
    <n v="171219"/>
    <x v="16"/>
    <x v="0"/>
    <x v="16"/>
    <x v="1"/>
    <x v="0"/>
    <x v="0"/>
    <m/>
    <m/>
    <m/>
    <x v="0"/>
    <m/>
  </r>
  <r>
    <x v="274"/>
    <x v="0"/>
    <x v="0"/>
    <d v="2020-09-30T00:00:00"/>
    <d v="2023-09-30T00:00:00"/>
    <m/>
    <m/>
    <x v="2"/>
    <x v="0"/>
    <x v="0"/>
    <m/>
    <s v="Demolition of existing garage and the erection of a single storey studio dwelling unit with associated hard and soft landscaping, refuse and cycle stores and boundary treatment."/>
    <x v="273"/>
    <s v="TW9 2HF"/>
    <m/>
    <m/>
    <m/>
    <m/>
    <m/>
    <m/>
    <m/>
    <m/>
    <m/>
    <n v="0"/>
    <x v="0"/>
    <n v="1"/>
    <m/>
    <m/>
    <m/>
    <m/>
    <m/>
    <m/>
    <n v="1"/>
    <n v="1"/>
    <n v="0"/>
    <n v="0"/>
    <n v="0"/>
    <n v="0"/>
    <n v="0"/>
    <n v="0"/>
    <m/>
    <m/>
    <n v="1"/>
    <n v="1"/>
    <x v="1"/>
    <m/>
    <m/>
    <n v="0.25"/>
    <n v="0.25"/>
    <n v="0.25"/>
    <n v="0.25"/>
    <m/>
    <m/>
    <m/>
    <m/>
    <m/>
    <n v="1"/>
    <m/>
    <m/>
    <m/>
    <m/>
    <n v="518657"/>
    <n v="175579"/>
    <x v="4"/>
    <x v="0"/>
    <x v="4"/>
    <x v="1"/>
    <x v="0"/>
    <x v="0"/>
    <m/>
    <m/>
    <m/>
    <x v="0"/>
    <m/>
  </r>
  <r>
    <x v="275"/>
    <x v="3"/>
    <x v="0"/>
    <d v="2020-10-02T00:00:00"/>
    <d v="2023-10-02T00:00:00"/>
    <m/>
    <m/>
    <x v="2"/>
    <x v="0"/>
    <x v="0"/>
    <m/>
    <s v="Replacement door.  Change of use from C3 residential to Flexible Non-Residential Institutions or office use.  External cycle racks."/>
    <x v="274"/>
    <s v="TW9 2JE"/>
    <m/>
    <m/>
    <m/>
    <n v="1"/>
    <m/>
    <m/>
    <m/>
    <m/>
    <m/>
    <n v="1"/>
    <x v="1"/>
    <m/>
    <m/>
    <m/>
    <m/>
    <m/>
    <m/>
    <m/>
    <n v="0"/>
    <n v="0"/>
    <n v="0"/>
    <n v="0"/>
    <n v="-1"/>
    <n v="0"/>
    <n v="0"/>
    <n v="0"/>
    <m/>
    <m/>
    <n v="-1"/>
    <n v="-1"/>
    <x v="1"/>
    <m/>
    <n v="-0.25"/>
    <n v="-0.25"/>
    <n v="-0.25"/>
    <n v="-0.25"/>
    <m/>
    <m/>
    <m/>
    <m/>
    <m/>
    <m/>
    <n v="-1"/>
    <m/>
    <m/>
    <m/>
    <m/>
    <n v="518472"/>
    <n v="175425"/>
    <x v="4"/>
    <x v="0"/>
    <x v="4"/>
    <x v="1"/>
    <x v="0"/>
    <x v="0"/>
    <m/>
    <m/>
    <m/>
    <x v="0"/>
    <m/>
  </r>
  <r>
    <x v="276"/>
    <x v="2"/>
    <x v="0"/>
    <d v="2020-10-02T00:00:00"/>
    <d v="2023-10-02T00:00:00"/>
    <m/>
    <m/>
    <x v="2"/>
    <x v="0"/>
    <x v="0"/>
    <m/>
    <s v="Conversion of public house to a single residential dwelling"/>
    <x v="275"/>
    <s v="TW12 1QU"/>
    <m/>
    <m/>
    <m/>
    <n v="1"/>
    <m/>
    <m/>
    <m/>
    <m/>
    <m/>
    <n v="1"/>
    <x v="0"/>
    <m/>
    <m/>
    <m/>
    <n v="1"/>
    <m/>
    <m/>
    <m/>
    <n v="1"/>
    <n v="0"/>
    <n v="0"/>
    <n v="0"/>
    <n v="0"/>
    <n v="0"/>
    <n v="0"/>
    <n v="0"/>
    <m/>
    <m/>
    <n v="0"/>
    <n v="0"/>
    <x v="1"/>
    <m/>
    <n v="0"/>
    <n v="0"/>
    <n v="0"/>
    <n v="0"/>
    <m/>
    <m/>
    <m/>
    <m/>
    <m/>
    <m/>
    <n v="0"/>
    <m/>
    <m/>
    <m/>
    <m/>
    <n v="513956"/>
    <n v="171140"/>
    <x v="1"/>
    <x v="0"/>
    <x v="1"/>
    <x v="1"/>
    <x v="0"/>
    <x v="0"/>
    <m/>
    <m/>
    <m/>
    <x v="0"/>
    <m/>
  </r>
  <r>
    <x v="277"/>
    <x v="3"/>
    <x v="0"/>
    <d v="2020-10-02T00:00:00"/>
    <d v="2023-10-05T00:00:00"/>
    <m/>
    <m/>
    <x v="2"/>
    <x v="0"/>
    <x v="0"/>
    <m/>
    <s v="3,2m rear extension and division of a single flat into 2 flats."/>
    <x v="276"/>
    <s v="TW2 6HT"/>
    <m/>
    <m/>
    <m/>
    <n v="1"/>
    <m/>
    <m/>
    <m/>
    <m/>
    <m/>
    <n v="1"/>
    <x v="0"/>
    <n v="1"/>
    <n v="1"/>
    <m/>
    <m/>
    <m/>
    <m/>
    <m/>
    <n v="2"/>
    <n v="1"/>
    <n v="1"/>
    <n v="0"/>
    <n v="-1"/>
    <n v="0"/>
    <n v="0"/>
    <n v="0"/>
    <m/>
    <m/>
    <n v="1"/>
    <n v="1"/>
    <x v="1"/>
    <m/>
    <n v="0.25"/>
    <n v="0.25"/>
    <n v="0.25"/>
    <n v="0.25"/>
    <m/>
    <m/>
    <m/>
    <m/>
    <m/>
    <m/>
    <n v="1"/>
    <m/>
    <m/>
    <m/>
    <m/>
    <n v="514206"/>
    <n v="173520"/>
    <x v="2"/>
    <x v="0"/>
    <x v="2"/>
    <x v="5"/>
    <x v="0"/>
    <x v="0"/>
    <m/>
    <m/>
    <m/>
    <x v="0"/>
    <m/>
  </r>
  <r>
    <x v="278"/>
    <x v="2"/>
    <x v="0"/>
    <d v="2020-10-02T00:00:00"/>
    <d v="2023-11-27T00:00:00"/>
    <m/>
    <m/>
    <x v="2"/>
    <x v="0"/>
    <x v="0"/>
    <m/>
    <s v="Change of use and first and second-story extensions (including basement) of a previous office building (B1a) to provide 5no. residential units (C3 use)."/>
    <x v="277"/>
    <s v="TW9 3LU"/>
    <m/>
    <m/>
    <m/>
    <m/>
    <m/>
    <m/>
    <m/>
    <m/>
    <m/>
    <n v="0"/>
    <x v="0"/>
    <n v="4"/>
    <n v="1"/>
    <m/>
    <m/>
    <m/>
    <m/>
    <m/>
    <n v="5"/>
    <n v="4"/>
    <n v="1"/>
    <n v="0"/>
    <n v="0"/>
    <n v="0"/>
    <n v="0"/>
    <n v="0"/>
    <m/>
    <m/>
    <n v="5"/>
    <n v="5"/>
    <x v="1"/>
    <m/>
    <m/>
    <n v="1.25"/>
    <n v="1.25"/>
    <n v="1.25"/>
    <n v="1.25"/>
    <m/>
    <m/>
    <m/>
    <m/>
    <m/>
    <n v="5"/>
    <m/>
    <m/>
    <m/>
    <m/>
    <n v="519113"/>
    <n v="176411"/>
    <x v="7"/>
    <x v="0"/>
    <x v="7"/>
    <x v="1"/>
    <x v="0"/>
    <x v="0"/>
    <m/>
    <m/>
    <m/>
    <x v="1"/>
    <s v="CA15 Kew Gardens Kew"/>
  </r>
  <r>
    <x v="279"/>
    <x v="2"/>
    <x v="1"/>
    <d v="2020-10-05T00:00:00"/>
    <d v="2023-10-05T00:00:00"/>
    <d v="2021-05-10T00:00:00"/>
    <m/>
    <x v="2"/>
    <x v="0"/>
    <x v="0"/>
    <m/>
    <s v="Conversion of 87 square metres of floorspace from B1(a) to C3 (residential) to create 1 studio unit and 1 x 1 bedroom unit"/>
    <x v="278"/>
    <s v="TW9 3NG"/>
    <m/>
    <m/>
    <m/>
    <m/>
    <m/>
    <m/>
    <m/>
    <m/>
    <m/>
    <n v="0"/>
    <x v="0"/>
    <n v="2"/>
    <m/>
    <m/>
    <m/>
    <m/>
    <m/>
    <m/>
    <n v="2"/>
    <n v="2"/>
    <n v="0"/>
    <n v="0"/>
    <n v="0"/>
    <n v="0"/>
    <n v="0"/>
    <n v="0"/>
    <m/>
    <m/>
    <n v="2"/>
    <n v="2"/>
    <x v="1"/>
    <m/>
    <n v="0.5"/>
    <n v="0.5"/>
    <n v="0.5"/>
    <n v="0.5"/>
    <m/>
    <m/>
    <m/>
    <m/>
    <m/>
    <m/>
    <n v="2"/>
    <m/>
    <m/>
    <m/>
    <m/>
    <n v="519056"/>
    <n v="176648"/>
    <x v="7"/>
    <x v="0"/>
    <x v="7"/>
    <x v="1"/>
    <x v="0"/>
    <x v="0"/>
    <m/>
    <m/>
    <m/>
    <x v="1"/>
    <s v="CA15 Kew Gardens Kew"/>
  </r>
  <r>
    <x v="280"/>
    <x v="3"/>
    <x v="0"/>
    <d v="2020-10-14T00:00:00"/>
    <d v="2023-10-14T00:00:00"/>
    <m/>
    <m/>
    <x v="2"/>
    <x v="0"/>
    <x v="0"/>
    <m/>
    <s v="Conversion of existing 3-bed terraced dwelling to 2 x 1-bed flats"/>
    <x v="279"/>
    <s v="TW12 2JB"/>
    <m/>
    <m/>
    <n v="1"/>
    <m/>
    <m/>
    <m/>
    <m/>
    <m/>
    <m/>
    <n v="1"/>
    <x v="0"/>
    <n v="2"/>
    <m/>
    <m/>
    <m/>
    <m/>
    <m/>
    <m/>
    <n v="2"/>
    <n v="2"/>
    <n v="0"/>
    <n v="-1"/>
    <n v="0"/>
    <n v="0"/>
    <n v="0"/>
    <n v="0"/>
    <m/>
    <m/>
    <n v="1"/>
    <n v="1"/>
    <x v="1"/>
    <m/>
    <n v="0.25"/>
    <n v="0.25"/>
    <n v="0.25"/>
    <n v="0.25"/>
    <m/>
    <m/>
    <m/>
    <m/>
    <m/>
    <m/>
    <n v="1"/>
    <m/>
    <m/>
    <m/>
    <m/>
    <n v="513125"/>
    <n v="169836"/>
    <x v="15"/>
    <x v="0"/>
    <x v="15"/>
    <x v="1"/>
    <x v="0"/>
    <x v="0"/>
    <m/>
    <m/>
    <m/>
    <x v="0"/>
    <m/>
  </r>
  <r>
    <x v="281"/>
    <x v="4"/>
    <x v="0"/>
    <d v="2020-10-22T00:00:00"/>
    <d v="2021-11-06T00:00:00"/>
    <m/>
    <m/>
    <x v="2"/>
    <x v="0"/>
    <x v="0"/>
    <m/>
    <s v="Replacement shopfront, replacement windows, 2 no. rooflights on front roof slope, new basement level with lightwells and rear staircase ground floor side/rear extension and 3 rear dormer roof extension to facilitate the provision of 1 no. retail unit and"/>
    <x v="280"/>
    <s v="TW10 5DY"/>
    <m/>
    <m/>
    <n v="1"/>
    <m/>
    <m/>
    <m/>
    <m/>
    <m/>
    <m/>
    <n v="1"/>
    <x v="0"/>
    <n v="7"/>
    <m/>
    <m/>
    <m/>
    <m/>
    <m/>
    <m/>
    <n v="7"/>
    <n v="7"/>
    <n v="0"/>
    <n v="-1"/>
    <n v="0"/>
    <n v="0"/>
    <n v="0"/>
    <n v="0"/>
    <m/>
    <m/>
    <n v="6"/>
    <n v="6"/>
    <x v="1"/>
    <m/>
    <m/>
    <n v="1.5"/>
    <n v="1.5"/>
    <n v="1.5"/>
    <n v="1.5"/>
    <m/>
    <m/>
    <m/>
    <m/>
    <m/>
    <n v="6"/>
    <m/>
    <m/>
    <m/>
    <m/>
    <n v="519849"/>
    <n v="175357"/>
    <x v="4"/>
    <x v="0"/>
    <x v="4"/>
    <x v="1"/>
    <x v="0"/>
    <x v="0"/>
    <m/>
    <m/>
    <m/>
    <x v="0"/>
    <m/>
  </r>
  <r>
    <x v="282"/>
    <x v="2"/>
    <x v="1"/>
    <d v="2020-10-23T00:00:00"/>
    <d v="2023-10-23T00:00:00"/>
    <m/>
    <m/>
    <x v="2"/>
    <x v="0"/>
    <x v="0"/>
    <m/>
    <s v="Change of use from Class B1(a) to Class C3 to provide 1 x 3 bed flat"/>
    <x v="281"/>
    <s v="TW1 3SD"/>
    <m/>
    <m/>
    <m/>
    <m/>
    <m/>
    <m/>
    <m/>
    <m/>
    <m/>
    <n v="0"/>
    <x v="0"/>
    <m/>
    <m/>
    <n v="1"/>
    <m/>
    <m/>
    <m/>
    <m/>
    <n v="1"/>
    <n v="0"/>
    <n v="0"/>
    <n v="1"/>
    <n v="0"/>
    <n v="0"/>
    <n v="0"/>
    <n v="0"/>
    <m/>
    <m/>
    <n v="1"/>
    <n v="1"/>
    <x v="1"/>
    <m/>
    <n v="0.25"/>
    <n v="0.25"/>
    <n v="0.25"/>
    <n v="0.25"/>
    <m/>
    <m/>
    <m/>
    <m/>
    <m/>
    <m/>
    <n v="1"/>
    <m/>
    <m/>
    <m/>
    <m/>
    <n v="516240"/>
    <n v="173173"/>
    <x v="10"/>
    <x v="0"/>
    <x v="10"/>
    <x v="0"/>
    <x v="0"/>
    <x v="0"/>
    <m/>
    <m/>
    <m/>
    <x v="0"/>
    <m/>
  </r>
  <r>
    <x v="283"/>
    <x v="3"/>
    <x v="0"/>
    <d v="2020-10-30T00:00:00"/>
    <d v="2023-10-30T00:00:00"/>
    <m/>
    <m/>
    <x v="2"/>
    <x v="0"/>
    <x v="0"/>
    <m/>
    <s v="Reversion of the existing dwelling into two semi-detached residential dwelling houses."/>
    <x v="282"/>
    <s v="SW13 9QB"/>
    <m/>
    <m/>
    <m/>
    <m/>
    <m/>
    <m/>
    <m/>
    <n v="1"/>
    <m/>
    <n v="1"/>
    <x v="0"/>
    <m/>
    <m/>
    <n v="1"/>
    <m/>
    <n v="1"/>
    <m/>
    <m/>
    <n v="2"/>
    <n v="0"/>
    <n v="0"/>
    <n v="1"/>
    <n v="0"/>
    <n v="1"/>
    <n v="0"/>
    <n v="0"/>
    <n v="-1"/>
    <m/>
    <n v="1"/>
    <n v="1"/>
    <x v="1"/>
    <m/>
    <n v="0.25"/>
    <n v="0.25"/>
    <n v="0.25"/>
    <n v="0.25"/>
    <m/>
    <m/>
    <m/>
    <m/>
    <m/>
    <m/>
    <n v="1"/>
    <m/>
    <m/>
    <m/>
    <m/>
    <n v="521660"/>
    <n v="176636"/>
    <x v="6"/>
    <x v="0"/>
    <x v="6"/>
    <x v="1"/>
    <x v="1"/>
    <x v="0"/>
    <m/>
    <m/>
    <m/>
    <x v="1"/>
    <s v="CA1 Barnes Green"/>
  </r>
  <r>
    <x v="284"/>
    <x v="0"/>
    <x v="0"/>
    <d v="2020-11-02T00:00:00"/>
    <d v="2023-11-02T00:00:00"/>
    <m/>
    <m/>
    <x v="2"/>
    <x v="0"/>
    <x v="0"/>
    <m/>
    <s v="Subdivision of existing plot and erection of a 2 bedroom detached dwelling with associated landscaping and shared front parking"/>
    <x v="283"/>
    <s v="TW13 6HU"/>
    <m/>
    <m/>
    <m/>
    <m/>
    <m/>
    <m/>
    <m/>
    <m/>
    <m/>
    <n v="0"/>
    <x v="0"/>
    <m/>
    <n v="1"/>
    <m/>
    <m/>
    <m/>
    <m/>
    <m/>
    <n v="1"/>
    <n v="0"/>
    <n v="1"/>
    <n v="0"/>
    <n v="0"/>
    <n v="0"/>
    <n v="0"/>
    <n v="0"/>
    <m/>
    <m/>
    <n v="1"/>
    <n v="1"/>
    <x v="1"/>
    <m/>
    <m/>
    <n v="0.25"/>
    <n v="0.25"/>
    <n v="0.25"/>
    <n v="0.25"/>
    <m/>
    <m/>
    <m/>
    <m/>
    <m/>
    <n v="1"/>
    <m/>
    <m/>
    <m/>
    <m/>
    <n v="513119"/>
    <n v="172196"/>
    <x v="11"/>
    <x v="1"/>
    <x v="11"/>
    <x v="1"/>
    <x v="0"/>
    <x v="0"/>
    <m/>
    <m/>
    <m/>
    <x v="0"/>
    <m/>
  </r>
  <r>
    <x v="285"/>
    <x v="0"/>
    <x v="0"/>
    <d v="2020-11-06T00:00:00"/>
    <d v="2023-11-06T00:00:00"/>
    <m/>
    <m/>
    <x v="2"/>
    <x v="0"/>
    <x v="0"/>
    <m/>
    <s v="Replacement of the dwelling and garages with a new build dwelling and garage. Demolition of the existing dwelling and garages. Uses as existing"/>
    <x v="284"/>
    <s v="TW1 4QB"/>
    <m/>
    <m/>
    <m/>
    <m/>
    <n v="1"/>
    <m/>
    <m/>
    <m/>
    <m/>
    <n v="1"/>
    <x v="0"/>
    <m/>
    <m/>
    <m/>
    <m/>
    <n v="1"/>
    <m/>
    <m/>
    <n v="1"/>
    <n v="0"/>
    <n v="0"/>
    <n v="0"/>
    <n v="0"/>
    <n v="0"/>
    <n v="0"/>
    <n v="0"/>
    <m/>
    <m/>
    <n v="0"/>
    <n v="0"/>
    <x v="1"/>
    <m/>
    <m/>
    <n v="0"/>
    <n v="0"/>
    <n v="0"/>
    <n v="0"/>
    <m/>
    <m/>
    <m/>
    <m/>
    <m/>
    <n v="0"/>
    <m/>
    <m/>
    <m/>
    <m/>
    <n v="515689"/>
    <n v="172252"/>
    <x v="14"/>
    <x v="0"/>
    <x v="14"/>
    <x v="1"/>
    <x v="0"/>
    <x v="0"/>
    <m/>
    <m/>
    <m/>
    <x v="1"/>
    <s v="CA43 Strawberry Hill Road"/>
  </r>
  <r>
    <x v="286"/>
    <x v="1"/>
    <x v="0"/>
    <d v="2020-11-09T00:00:00"/>
    <d v="2023-11-09T00:00:00"/>
    <m/>
    <m/>
    <x v="2"/>
    <x v="0"/>
    <x v="0"/>
    <m/>
    <s v="Alterations to existing shopfront to create new entrance door, part change of use of ground floor, 2 rooflights on front roof slope, rear dormer roof extension to rear roof slope and roof to outrigger to facilitate the conversion of upper floors into C3 ("/>
    <x v="285"/>
    <s v="SW14 8QT"/>
    <m/>
    <n v="1"/>
    <m/>
    <m/>
    <m/>
    <m/>
    <m/>
    <m/>
    <m/>
    <n v="1"/>
    <x v="0"/>
    <n v="1"/>
    <n v="1"/>
    <m/>
    <m/>
    <m/>
    <m/>
    <m/>
    <n v="2"/>
    <n v="1"/>
    <n v="0"/>
    <n v="0"/>
    <n v="0"/>
    <n v="0"/>
    <n v="0"/>
    <n v="0"/>
    <m/>
    <m/>
    <n v="1"/>
    <n v="1"/>
    <x v="1"/>
    <m/>
    <m/>
    <n v="0.25"/>
    <n v="0.25"/>
    <n v="0.25"/>
    <n v="0.25"/>
    <m/>
    <m/>
    <m/>
    <m/>
    <m/>
    <n v="1"/>
    <m/>
    <m/>
    <m/>
    <m/>
    <n v="520903"/>
    <n v="175430"/>
    <x v="12"/>
    <x v="0"/>
    <x v="12"/>
    <x v="3"/>
    <x v="0"/>
    <x v="0"/>
    <m/>
    <m/>
    <m/>
    <x v="0"/>
    <m/>
  </r>
  <r>
    <x v="287"/>
    <x v="2"/>
    <x v="0"/>
    <d v="2020-11-09T00:00:00"/>
    <d v="2023-11-09T00:00:00"/>
    <m/>
    <m/>
    <x v="2"/>
    <x v="0"/>
    <x v="0"/>
    <m/>
    <s v="Conversion of the first and second floor c3 single dwelling  (ex-HMO) into 2no. Self contained flats. Consisting of two 2 bedroom 3 person flats. Provision for external bin &amp; cycle storage to the rear."/>
    <x v="286"/>
    <s v="TW1 4BW"/>
    <m/>
    <m/>
    <m/>
    <n v="1"/>
    <m/>
    <m/>
    <m/>
    <m/>
    <m/>
    <n v="1"/>
    <x v="0"/>
    <m/>
    <n v="2"/>
    <m/>
    <m/>
    <m/>
    <m/>
    <m/>
    <n v="2"/>
    <n v="0"/>
    <n v="2"/>
    <n v="0"/>
    <n v="-1"/>
    <n v="0"/>
    <n v="0"/>
    <n v="0"/>
    <m/>
    <m/>
    <n v="1"/>
    <n v="1"/>
    <x v="1"/>
    <m/>
    <n v="0.25"/>
    <n v="0.25"/>
    <n v="0.25"/>
    <n v="0.25"/>
    <m/>
    <m/>
    <m/>
    <m/>
    <m/>
    <m/>
    <n v="1"/>
    <m/>
    <m/>
    <m/>
    <m/>
    <n v="515798"/>
    <n v="173148"/>
    <x v="14"/>
    <x v="0"/>
    <x v="14"/>
    <x v="0"/>
    <x v="0"/>
    <x v="0"/>
    <m/>
    <m/>
    <m/>
    <x v="0"/>
    <m/>
  </r>
  <r>
    <x v="288"/>
    <x v="3"/>
    <x v="0"/>
    <d v="2020-12-04T00:00:00"/>
    <d v="2023-12-04T00:00:00"/>
    <m/>
    <m/>
    <x v="2"/>
    <x v="0"/>
    <x v="0"/>
    <m/>
    <s v="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
    <x v="287"/>
    <s v="SW14 7PS"/>
    <m/>
    <m/>
    <n v="1"/>
    <m/>
    <m/>
    <m/>
    <m/>
    <m/>
    <m/>
    <n v="1"/>
    <x v="0"/>
    <n v="2"/>
    <m/>
    <m/>
    <m/>
    <m/>
    <m/>
    <m/>
    <n v="2"/>
    <n v="2"/>
    <n v="0"/>
    <n v="-1"/>
    <n v="0"/>
    <n v="0"/>
    <n v="0"/>
    <n v="0"/>
    <m/>
    <m/>
    <n v="1"/>
    <n v="1"/>
    <x v="1"/>
    <m/>
    <n v="0.25"/>
    <n v="0.25"/>
    <n v="0.25"/>
    <n v="0.25"/>
    <m/>
    <m/>
    <m/>
    <m/>
    <m/>
    <m/>
    <n v="1"/>
    <m/>
    <m/>
    <m/>
    <m/>
    <n v="520166"/>
    <n v="175305"/>
    <x v="12"/>
    <x v="0"/>
    <x v="12"/>
    <x v="3"/>
    <x v="0"/>
    <x v="0"/>
    <m/>
    <m/>
    <m/>
    <x v="0"/>
    <m/>
  </r>
  <r>
    <x v="289"/>
    <x v="4"/>
    <x v="0"/>
    <d v="2020-12-10T00:00:00"/>
    <d v="2022-08-27T00:00:00"/>
    <m/>
    <m/>
    <x v="2"/>
    <x v="0"/>
    <x v="0"/>
    <m/>
    <s v="Rear extension at second and third floor levels to form 2 x 1 person flats"/>
    <x v="288"/>
    <s v="KT1 4DT"/>
    <m/>
    <m/>
    <m/>
    <m/>
    <m/>
    <m/>
    <m/>
    <m/>
    <m/>
    <n v="0"/>
    <x v="0"/>
    <n v="2"/>
    <m/>
    <m/>
    <m/>
    <m/>
    <m/>
    <m/>
    <n v="2"/>
    <n v="2"/>
    <n v="0"/>
    <n v="0"/>
    <n v="0"/>
    <n v="0"/>
    <n v="0"/>
    <n v="0"/>
    <m/>
    <m/>
    <n v="2"/>
    <n v="2"/>
    <x v="1"/>
    <m/>
    <n v="0.5"/>
    <n v="0.5"/>
    <n v="0.5"/>
    <n v="0.5"/>
    <m/>
    <m/>
    <m/>
    <m/>
    <m/>
    <m/>
    <n v="2"/>
    <m/>
    <m/>
    <m/>
    <m/>
    <n v="517355"/>
    <n v="169968"/>
    <x v="8"/>
    <x v="0"/>
    <x v="8"/>
    <x v="1"/>
    <x v="0"/>
    <x v="0"/>
    <m/>
    <m/>
    <m/>
    <x v="0"/>
    <m/>
  </r>
  <r>
    <x v="290"/>
    <x v="2"/>
    <x v="0"/>
    <d v="2020-12-11T00:00:00"/>
    <d v="2023-12-14T00:00:00"/>
    <m/>
    <m/>
    <x v="2"/>
    <x v="0"/>
    <x v="0"/>
    <m/>
    <s v="Change of use of existing financial and professional services to C3 (Residential) to create 1 two bed flat, rear extension, fenestration alterations and insertion of rooflight to single storey front projection."/>
    <x v="289"/>
    <s v="TW2 5TX"/>
    <m/>
    <m/>
    <m/>
    <m/>
    <m/>
    <m/>
    <m/>
    <m/>
    <m/>
    <n v="0"/>
    <x v="0"/>
    <m/>
    <n v="1"/>
    <m/>
    <m/>
    <m/>
    <m/>
    <m/>
    <n v="1"/>
    <n v="0"/>
    <n v="1"/>
    <n v="0"/>
    <n v="0"/>
    <n v="0"/>
    <n v="0"/>
    <n v="0"/>
    <m/>
    <m/>
    <n v="1"/>
    <n v="1"/>
    <x v="1"/>
    <m/>
    <n v="0.25"/>
    <n v="0.25"/>
    <n v="0.25"/>
    <n v="0.25"/>
    <m/>
    <m/>
    <m/>
    <m/>
    <m/>
    <m/>
    <n v="1"/>
    <m/>
    <m/>
    <m/>
    <m/>
    <n v="515502"/>
    <n v="173093"/>
    <x v="14"/>
    <x v="0"/>
    <x v="14"/>
    <x v="1"/>
    <x v="0"/>
    <x v="1"/>
    <s v="Twickenham Green"/>
    <m/>
    <m/>
    <x v="1"/>
    <s v="CA9 Twickenham Green"/>
  </r>
  <r>
    <x v="291"/>
    <x v="0"/>
    <x v="0"/>
    <d v="2020-12-19T00:00:00"/>
    <d v="2023-12-21T00:00:00"/>
    <m/>
    <m/>
    <x v="2"/>
    <x v="0"/>
    <x v="0"/>
    <m/>
    <s v="Replacement two storey dwellinghouse with accommodation in the roof and associated cycle and refuse stores"/>
    <x v="290"/>
    <s v="SW13 9AW"/>
    <m/>
    <m/>
    <n v="1"/>
    <m/>
    <m/>
    <m/>
    <m/>
    <m/>
    <m/>
    <n v="1"/>
    <x v="0"/>
    <m/>
    <m/>
    <m/>
    <n v="1"/>
    <m/>
    <m/>
    <m/>
    <n v="1"/>
    <n v="0"/>
    <n v="0"/>
    <n v="-1"/>
    <n v="1"/>
    <n v="0"/>
    <n v="0"/>
    <n v="0"/>
    <m/>
    <m/>
    <n v="0"/>
    <n v="0"/>
    <x v="1"/>
    <m/>
    <m/>
    <n v="0"/>
    <n v="0"/>
    <n v="0"/>
    <n v="0"/>
    <m/>
    <m/>
    <m/>
    <m/>
    <m/>
    <n v="0"/>
    <m/>
    <m/>
    <m/>
    <m/>
    <n v="522113"/>
    <n v="177588"/>
    <x v="6"/>
    <x v="0"/>
    <x v="6"/>
    <x v="1"/>
    <x v="0"/>
    <x v="0"/>
    <m/>
    <m/>
    <m/>
    <x v="0"/>
    <m/>
  </r>
  <r>
    <x v="292"/>
    <x v="2"/>
    <x v="0"/>
    <d v="2020-12-22T00:00:00"/>
    <d v="2023-12-22T00:00:00"/>
    <m/>
    <m/>
    <x v="2"/>
    <x v="0"/>
    <x v="0"/>
    <m/>
    <s v="Works of alteration and refurbishment in connection with the use of the building as a single, family dwellinghouse, including: demolition of existing Victorian side extension and construction of replacement side extension with roof terrace. Construction o"/>
    <x v="291"/>
    <s v="TW10 6RN"/>
    <m/>
    <m/>
    <m/>
    <m/>
    <m/>
    <m/>
    <m/>
    <m/>
    <m/>
    <n v="0"/>
    <x v="0"/>
    <m/>
    <m/>
    <m/>
    <m/>
    <n v="1"/>
    <m/>
    <m/>
    <n v="1"/>
    <n v="0"/>
    <n v="0"/>
    <n v="0"/>
    <n v="0"/>
    <n v="1"/>
    <n v="0"/>
    <n v="0"/>
    <m/>
    <m/>
    <n v="1"/>
    <n v="1"/>
    <x v="1"/>
    <m/>
    <n v="0.25"/>
    <n v="0.25"/>
    <n v="0.25"/>
    <n v="0.25"/>
    <m/>
    <m/>
    <m/>
    <m/>
    <m/>
    <m/>
    <n v="1"/>
    <m/>
    <m/>
    <m/>
    <m/>
    <n v="518366"/>
    <n v="173868"/>
    <x v="5"/>
    <x v="0"/>
    <x v="5"/>
    <x v="1"/>
    <x v="1"/>
    <x v="0"/>
    <m/>
    <m/>
    <s v="Petersham Common"/>
    <x v="1"/>
    <s v="CA5 Richmond Hill"/>
  </r>
  <r>
    <x v="293"/>
    <x v="0"/>
    <x v="0"/>
    <d v="2020-12-23T00:00:00"/>
    <d v="2023-12-24T00:00:00"/>
    <d v="2021-04-30T00:00:00"/>
    <m/>
    <x v="2"/>
    <x v="0"/>
    <x v="0"/>
    <m/>
    <s v="Replacement Detached Dwelling with rooms in the roof"/>
    <x v="292"/>
    <s v="TW12 2TN"/>
    <m/>
    <m/>
    <m/>
    <n v="1"/>
    <m/>
    <m/>
    <m/>
    <m/>
    <m/>
    <n v="1"/>
    <x v="0"/>
    <m/>
    <m/>
    <m/>
    <n v="1"/>
    <m/>
    <m/>
    <m/>
    <n v="1"/>
    <n v="0"/>
    <n v="0"/>
    <n v="0"/>
    <n v="0"/>
    <n v="0"/>
    <n v="0"/>
    <n v="0"/>
    <m/>
    <m/>
    <n v="0"/>
    <n v="0"/>
    <x v="1"/>
    <m/>
    <m/>
    <n v="0"/>
    <n v="0"/>
    <n v="0"/>
    <n v="0"/>
    <m/>
    <m/>
    <m/>
    <m/>
    <m/>
    <n v="0"/>
    <m/>
    <m/>
    <m/>
    <m/>
    <n v="513837"/>
    <n v="170102"/>
    <x v="15"/>
    <x v="0"/>
    <x v="15"/>
    <x v="1"/>
    <x v="0"/>
    <x v="0"/>
    <m/>
    <m/>
    <m/>
    <x v="0"/>
    <m/>
  </r>
  <r>
    <x v="294"/>
    <x v="0"/>
    <x v="0"/>
    <d v="2021-01-05T00:00:00"/>
    <d v="2024-01-06T00:00:00"/>
    <m/>
    <m/>
    <x v="2"/>
    <x v="0"/>
    <x v="0"/>
    <m/>
    <s v="Erection of a single detached dwellinghouse with basement and sunken patio following demolition of existing side extension to former care home.   Conversion of former care home to a single dwellinghouse together with a proposed single storey rear extensio"/>
    <x v="293"/>
    <s v="TW12 2LY"/>
    <m/>
    <m/>
    <m/>
    <m/>
    <m/>
    <m/>
    <m/>
    <m/>
    <m/>
    <n v="0"/>
    <x v="0"/>
    <m/>
    <m/>
    <m/>
    <m/>
    <n v="2"/>
    <m/>
    <m/>
    <n v="2"/>
    <n v="0"/>
    <n v="0"/>
    <n v="0"/>
    <n v="0"/>
    <n v="2"/>
    <n v="0"/>
    <n v="0"/>
    <m/>
    <m/>
    <n v="2"/>
    <n v="2"/>
    <x v="1"/>
    <m/>
    <m/>
    <n v="0.5"/>
    <n v="0.5"/>
    <n v="0.5"/>
    <n v="0.5"/>
    <m/>
    <m/>
    <m/>
    <m/>
    <m/>
    <n v="2"/>
    <m/>
    <m/>
    <m/>
    <m/>
    <n v="513454"/>
    <n v="170508"/>
    <x v="15"/>
    <x v="0"/>
    <x v="15"/>
    <x v="1"/>
    <x v="0"/>
    <x v="0"/>
    <m/>
    <m/>
    <m/>
    <x v="0"/>
    <m/>
  </r>
  <r>
    <x v="295"/>
    <x v="0"/>
    <x v="0"/>
    <d v="2021-01-13T00:00:00"/>
    <d v="2024-01-13T00:00:00"/>
    <m/>
    <m/>
    <x v="2"/>
    <x v="0"/>
    <x v="0"/>
    <m/>
    <s v="Erection of a two-storey building with a basement level providing a commercial unit (Flexible Use Class B1 or D1) on part ground floor and basement levels and two flats (2 x 2-beds) on ground and upper floors.  Associated cycle and refuse stores."/>
    <x v="294"/>
    <s v="SW14 7LY"/>
    <m/>
    <m/>
    <m/>
    <m/>
    <m/>
    <m/>
    <m/>
    <m/>
    <m/>
    <n v="0"/>
    <x v="0"/>
    <m/>
    <n v="2"/>
    <m/>
    <m/>
    <m/>
    <m/>
    <m/>
    <n v="2"/>
    <n v="0"/>
    <n v="2"/>
    <n v="0"/>
    <n v="0"/>
    <n v="0"/>
    <n v="0"/>
    <n v="0"/>
    <m/>
    <m/>
    <n v="2"/>
    <n v="2"/>
    <x v="1"/>
    <m/>
    <m/>
    <n v="0.5"/>
    <n v="0.5"/>
    <n v="0.5"/>
    <n v="0.5"/>
    <m/>
    <m/>
    <m/>
    <m/>
    <m/>
    <n v="2"/>
    <m/>
    <m/>
    <m/>
    <m/>
    <n v="520452"/>
    <n v="175621"/>
    <x v="12"/>
    <x v="0"/>
    <x v="12"/>
    <x v="1"/>
    <x v="0"/>
    <x v="0"/>
    <m/>
    <m/>
    <m/>
    <x v="1"/>
    <s v="CA70 Sheen Lane Mortlake"/>
  </r>
  <r>
    <x v="296"/>
    <x v="0"/>
    <x v="0"/>
    <d v="2021-01-13T00:00:00"/>
    <d v="2024-01-13T00:00:00"/>
    <m/>
    <m/>
    <x v="2"/>
    <x v="0"/>
    <x v="0"/>
    <m/>
    <s v="Demolition of existing delivery office and redevelopment of the site for mixed use development (Class E and Class C3) comprising 6 residential townhouses of 2 storeys + roof in height (ground inclusive) and a building of two storeys + roof in height (ground inclusive) two employment units, along with associated landscaping and parking."/>
    <x v="295"/>
    <m/>
    <m/>
    <m/>
    <m/>
    <m/>
    <m/>
    <m/>
    <m/>
    <m/>
    <m/>
    <n v="0"/>
    <x v="1"/>
    <m/>
    <m/>
    <m/>
    <n v="6"/>
    <m/>
    <m/>
    <m/>
    <n v="6"/>
    <n v="0"/>
    <n v="0"/>
    <n v="0"/>
    <n v="6"/>
    <n v="0"/>
    <n v="0"/>
    <n v="0"/>
    <m/>
    <m/>
    <n v="6"/>
    <n v="6"/>
    <x v="1"/>
    <m/>
    <m/>
    <n v="3"/>
    <n v="3"/>
    <m/>
    <m/>
    <m/>
    <m/>
    <m/>
    <m/>
    <m/>
    <n v="6"/>
    <m/>
    <m/>
    <m/>
    <m/>
    <n v="513446"/>
    <n v="169655"/>
    <x v="15"/>
    <x v="0"/>
    <x v="15"/>
    <x v="1"/>
    <x v="0"/>
    <x v="0"/>
    <m/>
    <m/>
    <m/>
    <x v="1"/>
    <s v="CA12 Hampton Village"/>
  </r>
  <r>
    <x v="297"/>
    <x v="2"/>
    <x v="1"/>
    <d v="2021-01-26T00:00:00"/>
    <d v="2024-01-27T00:00:00"/>
    <m/>
    <m/>
    <x v="2"/>
    <x v="0"/>
    <x v="0"/>
    <m/>
    <s v="Change of Use of B1(a) (Office) accommodation to provide 3 no. self-contained flats (C3 Residential) and associated refuse, recycling and cycle parking."/>
    <x v="296"/>
    <s v="TW11 8DG"/>
    <m/>
    <m/>
    <m/>
    <m/>
    <m/>
    <m/>
    <m/>
    <m/>
    <m/>
    <n v="0"/>
    <x v="0"/>
    <n v="1"/>
    <n v="2"/>
    <m/>
    <m/>
    <m/>
    <m/>
    <m/>
    <n v="3"/>
    <n v="1"/>
    <n v="2"/>
    <n v="0"/>
    <n v="0"/>
    <n v="0"/>
    <n v="0"/>
    <n v="0"/>
    <m/>
    <m/>
    <n v="3"/>
    <n v="3"/>
    <x v="1"/>
    <m/>
    <m/>
    <n v="0.75"/>
    <n v="0.75"/>
    <n v="0.75"/>
    <n v="0.75"/>
    <m/>
    <m/>
    <m/>
    <m/>
    <m/>
    <n v="3"/>
    <m/>
    <m/>
    <m/>
    <m/>
    <n v="515781"/>
    <n v="171435"/>
    <x v="13"/>
    <x v="0"/>
    <x v="13"/>
    <x v="1"/>
    <x v="0"/>
    <x v="0"/>
    <m/>
    <m/>
    <m/>
    <x v="0"/>
    <m/>
  </r>
  <r>
    <x v="298"/>
    <x v="2"/>
    <x v="1"/>
    <d v="2021-01-29T00:00:00"/>
    <d v="2024-01-29T00:00:00"/>
    <m/>
    <m/>
    <x v="2"/>
    <x v="0"/>
    <x v="0"/>
    <m/>
    <s v="Change Of Use From Office To Residential To Create 31 Residential Units"/>
    <x v="297"/>
    <s v="TW9 4AW"/>
    <m/>
    <m/>
    <m/>
    <m/>
    <m/>
    <m/>
    <m/>
    <m/>
    <m/>
    <n v="0"/>
    <x v="0"/>
    <n v="21"/>
    <n v="10"/>
    <m/>
    <m/>
    <m/>
    <m/>
    <m/>
    <n v="31"/>
    <n v="21"/>
    <n v="10"/>
    <n v="0"/>
    <n v="0"/>
    <n v="0"/>
    <n v="0"/>
    <n v="0"/>
    <m/>
    <m/>
    <n v="31"/>
    <n v="31"/>
    <x v="0"/>
    <m/>
    <m/>
    <n v="15.5"/>
    <n v="15.5"/>
    <m/>
    <m/>
    <m/>
    <m/>
    <m/>
    <m/>
    <m/>
    <n v="31"/>
    <m/>
    <m/>
    <m/>
    <m/>
    <n v="519533"/>
    <n v="176694"/>
    <x v="7"/>
    <x v="0"/>
    <x v="7"/>
    <x v="1"/>
    <x v="0"/>
    <x v="0"/>
    <m/>
    <m/>
    <m/>
    <x v="0"/>
    <m/>
  </r>
  <r>
    <x v="299"/>
    <x v="2"/>
    <x v="1"/>
    <d v="2021-02-01T00:00:00"/>
    <d v="2024-02-02T00:00:00"/>
    <m/>
    <m/>
    <x v="2"/>
    <x v="0"/>
    <x v="0"/>
    <m/>
    <s v="Conversion of existing ground and first floor office to 2no. residential units"/>
    <x v="298"/>
    <s v="TW12 2SH"/>
    <m/>
    <m/>
    <m/>
    <m/>
    <m/>
    <m/>
    <m/>
    <m/>
    <m/>
    <n v="0"/>
    <x v="0"/>
    <n v="2"/>
    <m/>
    <m/>
    <m/>
    <m/>
    <m/>
    <m/>
    <n v="2"/>
    <n v="2"/>
    <n v="0"/>
    <n v="0"/>
    <n v="0"/>
    <n v="0"/>
    <n v="0"/>
    <n v="0"/>
    <m/>
    <m/>
    <n v="2"/>
    <n v="2"/>
    <x v="1"/>
    <m/>
    <m/>
    <n v="0.5"/>
    <n v="0.5"/>
    <n v="0.5"/>
    <n v="0.5"/>
    <m/>
    <m/>
    <m/>
    <m/>
    <m/>
    <n v="2"/>
    <m/>
    <m/>
    <m/>
    <m/>
    <n v="513964"/>
    <n v="169580"/>
    <x v="15"/>
    <x v="0"/>
    <x v="15"/>
    <x v="1"/>
    <x v="0"/>
    <x v="0"/>
    <m/>
    <m/>
    <m/>
    <x v="1"/>
    <s v="CA12 Hampton Village"/>
  </r>
  <r>
    <x v="300"/>
    <x v="0"/>
    <x v="0"/>
    <d v="2021-02-05T00:00:00"/>
    <d v="2024-02-05T00:00:00"/>
    <m/>
    <m/>
    <x v="2"/>
    <x v="0"/>
    <x v="0"/>
    <m/>
    <s v="One new, single storey, 3 bedroom house (C3a) with associated parking off Southfield Gardens and amenity space."/>
    <x v="299"/>
    <s v="TW1 4TB"/>
    <m/>
    <m/>
    <m/>
    <m/>
    <m/>
    <m/>
    <m/>
    <m/>
    <m/>
    <n v="0"/>
    <x v="0"/>
    <m/>
    <m/>
    <n v="1"/>
    <m/>
    <m/>
    <m/>
    <m/>
    <n v="1"/>
    <n v="0"/>
    <n v="0"/>
    <n v="1"/>
    <n v="0"/>
    <n v="0"/>
    <n v="0"/>
    <n v="0"/>
    <m/>
    <m/>
    <n v="1"/>
    <n v="1"/>
    <x v="1"/>
    <m/>
    <m/>
    <n v="0.25"/>
    <n v="0.25"/>
    <n v="0.25"/>
    <n v="0.25"/>
    <m/>
    <m/>
    <m/>
    <m/>
    <m/>
    <n v="1"/>
    <m/>
    <m/>
    <m/>
    <m/>
    <n v="515563"/>
    <n v="171846"/>
    <x v="14"/>
    <x v="0"/>
    <x v="14"/>
    <x v="1"/>
    <x v="0"/>
    <x v="0"/>
    <m/>
    <m/>
    <m/>
    <x v="0"/>
    <m/>
  </r>
  <r>
    <x v="301"/>
    <x v="1"/>
    <x v="0"/>
    <d v="2021-02-12T00:00:00"/>
    <d v="2024-02-12T00:00:00"/>
    <m/>
    <m/>
    <x v="2"/>
    <x v="0"/>
    <x v="0"/>
    <m/>
    <s v="Ground and basement extensions to facilitate change of use of basement and part change of use of ground floor from A1 to C3 to provide a one- bedroom residential unit"/>
    <x v="300"/>
    <s v="SW13 0NY"/>
    <m/>
    <m/>
    <m/>
    <m/>
    <m/>
    <m/>
    <m/>
    <m/>
    <m/>
    <n v="0"/>
    <x v="0"/>
    <n v="1"/>
    <m/>
    <m/>
    <m/>
    <m/>
    <m/>
    <m/>
    <n v="1"/>
    <n v="1"/>
    <n v="0"/>
    <n v="0"/>
    <n v="0"/>
    <n v="0"/>
    <n v="0"/>
    <n v="0"/>
    <m/>
    <m/>
    <n v="1"/>
    <n v="1"/>
    <x v="1"/>
    <m/>
    <m/>
    <n v="0.25"/>
    <n v="0.25"/>
    <n v="0.25"/>
    <n v="0.25"/>
    <m/>
    <m/>
    <m/>
    <m/>
    <m/>
    <n v="1"/>
    <m/>
    <m/>
    <m/>
    <m/>
    <n v="521239"/>
    <n v="176042"/>
    <x v="9"/>
    <x v="0"/>
    <x v="9"/>
    <x v="1"/>
    <x v="0"/>
    <x v="1"/>
    <s v="White Hart Lane/Mortlake H"/>
    <m/>
    <m/>
    <x v="1"/>
    <s v="CA33 Mortlake"/>
  </r>
  <r>
    <x v="302"/>
    <x v="4"/>
    <x v="0"/>
    <d v="2021-02-12T00:00:00"/>
    <d v="2024-02-12T00:00:00"/>
    <m/>
    <m/>
    <x v="2"/>
    <x v="0"/>
    <x v="0"/>
    <m/>
    <s v="Proposed erection of single storey building at rear to provide 1 no. self contained flat"/>
    <x v="301"/>
    <s v="TW12 1NT"/>
    <m/>
    <m/>
    <m/>
    <m/>
    <m/>
    <m/>
    <m/>
    <m/>
    <m/>
    <n v="0"/>
    <x v="0"/>
    <n v="1"/>
    <m/>
    <m/>
    <m/>
    <m/>
    <m/>
    <m/>
    <n v="1"/>
    <n v="1"/>
    <n v="0"/>
    <n v="0"/>
    <n v="0"/>
    <n v="0"/>
    <n v="0"/>
    <n v="0"/>
    <m/>
    <m/>
    <n v="1"/>
    <n v="1"/>
    <x v="1"/>
    <m/>
    <n v="0.25"/>
    <n v="0.25"/>
    <n v="0.25"/>
    <n v="0.25"/>
    <m/>
    <m/>
    <m/>
    <m/>
    <m/>
    <m/>
    <n v="1"/>
    <m/>
    <m/>
    <m/>
    <m/>
    <n v="514515"/>
    <n v="171261"/>
    <x v="1"/>
    <x v="0"/>
    <x v="1"/>
    <x v="1"/>
    <x v="0"/>
    <x v="1"/>
    <s v="High Street, Hampton Hill"/>
    <m/>
    <m/>
    <x v="0"/>
    <m/>
  </r>
  <r>
    <x v="303"/>
    <x v="2"/>
    <x v="1"/>
    <d v="2021-02-16T00:00:00"/>
    <d v="2024-02-16T00:00:00"/>
    <m/>
    <m/>
    <x v="2"/>
    <x v="0"/>
    <x v="0"/>
    <m/>
    <s v="Change of Use from Offices (Class E formerly B1(a)) to C3 to form 1 x 2 bed and 1 x 1 bed flats."/>
    <x v="302"/>
    <s v="TW9 2JG"/>
    <m/>
    <m/>
    <m/>
    <m/>
    <m/>
    <m/>
    <m/>
    <m/>
    <m/>
    <n v="0"/>
    <x v="0"/>
    <n v="1"/>
    <n v="1"/>
    <m/>
    <m/>
    <m/>
    <m/>
    <m/>
    <n v="2"/>
    <n v="1"/>
    <n v="1"/>
    <n v="0"/>
    <n v="0"/>
    <n v="0"/>
    <n v="0"/>
    <n v="0"/>
    <m/>
    <m/>
    <n v="2"/>
    <n v="2"/>
    <x v="1"/>
    <m/>
    <n v="0.5"/>
    <n v="0.5"/>
    <n v="0.5"/>
    <n v="0.5"/>
    <m/>
    <m/>
    <m/>
    <m/>
    <m/>
    <m/>
    <n v="2"/>
    <m/>
    <m/>
    <m/>
    <m/>
    <n v="518638"/>
    <n v="175484"/>
    <x v="4"/>
    <x v="0"/>
    <x v="4"/>
    <x v="1"/>
    <x v="0"/>
    <x v="0"/>
    <m/>
    <m/>
    <m/>
    <x v="0"/>
    <m/>
  </r>
  <r>
    <x v="304"/>
    <x v="2"/>
    <x v="1"/>
    <d v="2021-02-16T00:00:00"/>
    <d v="2024-02-16T00:00:00"/>
    <m/>
    <m/>
    <x v="2"/>
    <x v="0"/>
    <x v="0"/>
    <m/>
    <s v="Conversion of the existing 4-storey Use Class A2 unit to mixed-use, comprising an A2 unit at ground floor and two residential flats above on the second, third, and fourth floors."/>
    <x v="303"/>
    <s v="TW1 3SX"/>
    <m/>
    <m/>
    <m/>
    <m/>
    <m/>
    <m/>
    <m/>
    <m/>
    <m/>
    <n v="0"/>
    <x v="1"/>
    <n v="1"/>
    <n v="1"/>
    <m/>
    <m/>
    <m/>
    <m/>
    <m/>
    <n v="2"/>
    <n v="1"/>
    <n v="1"/>
    <n v="0"/>
    <n v="0"/>
    <n v="0"/>
    <n v="0"/>
    <n v="0"/>
    <m/>
    <m/>
    <n v="2"/>
    <n v="2"/>
    <x v="1"/>
    <m/>
    <m/>
    <n v="0.5"/>
    <n v="0.5"/>
    <n v="0.5"/>
    <n v="0.5"/>
    <m/>
    <m/>
    <m/>
    <m/>
    <m/>
    <n v="2"/>
    <m/>
    <m/>
    <m/>
    <m/>
    <n v="516260"/>
    <n v="173296"/>
    <x v="10"/>
    <x v="0"/>
    <x v="10"/>
    <x v="0"/>
    <x v="0"/>
    <x v="0"/>
    <m/>
    <m/>
    <m/>
    <x v="1"/>
    <s v="CA8 Twickenham Riverside"/>
  </r>
  <r>
    <x v="305"/>
    <x v="3"/>
    <x v="0"/>
    <d v="2021-02-25T00:00:00"/>
    <d v="2024-02-26T00:00:00"/>
    <m/>
    <m/>
    <x v="2"/>
    <x v="0"/>
    <x v="0"/>
    <m/>
    <s v="Single-storey rear extension and replacement window arrangement in side dormer and conversion of a dwelling house into two flats."/>
    <x v="304"/>
    <s v="TW4 5LJ"/>
    <m/>
    <m/>
    <n v="1"/>
    <m/>
    <m/>
    <m/>
    <m/>
    <m/>
    <m/>
    <n v="1"/>
    <x v="0"/>
    <m/>
    <n v="1"/>
    <n v="1"/>
    <m/>
    <m/>
    <m/>
    <m/>
    <n v="2"/>
    <n v="0"/>
    <n v="1"/>
    <n v="0"/>
    <n v="0"/>
    <n v="0"/>
    <n v="0"/>
    <n v="0"/>
    <m/>
    <m/>
    <n v="1"/>
    <n v="1"/>
    <x v="1"/>
    <m/>
    <n v="0.25"/>
    <n v="0.25"/>
    <n v="0.25"/>
    <n v="0.25"/>
    <m/>
    <m/>
    <m/>
    <m/>
    <m/>
    <m/>
    <n v="1"/>
    <m/>
    <m/>
    <m/>
    <m/>
    <n v="512962"/>
    <n v="173989"/>
    <x v="2"/>
    <x v="0"/>
    <x v="2"/>
    <x v="1"/>
    <x v="0"/>
    <x v="0"/>
    <m/>
    <m/>
    <m/>
    <x v="0"/>
    <m/>
  </r>
  <r>
    <x v="306"/>
    <x v="2"/>
    <x v="0"/>
    <d v="2021-02-26T00:00:00"/>
    <d v="2024-03-01T00:00:00"/>
    <m/>
    <m/>
    <x v="2"/>
    <x v="0"/>
    <x v="0"/>
    <m/>
    <s v="Conversion and extension of workshop building Use Class E(g) - light industrial (formerly B1c and B1a lightl) to form a one-storey, 3 bedroom dwelling with accomodation in the roof Use Class C3 residential."/>
    <x v="305"/>
    <s v="TW12 2SJ"/>
    <m/>
    <m/>
    <m/>
    <m/>
    <m/>
    <m/>
    <m/>
    <m/>
    <m/>
    <n v="0"/>
    <x v="0"/>
    <m/>
    <m/>
    <n v="1"/>
    <m/>
    <m/>
    <m/>
    <m/>
    <n v="1"/>
    <n v="0"/>
    <n v="0"/>
    <n v="1"/>
    <n v="0"/>
    <n v="0"/>
    <n v="0"/>
    <n v="0"/>
    <m/>
    <m/>
    <n v="1"/>
    <n v="1"/>
    <x v="1"/>
    <m/>
    <n v="0.25"/>
    <n v="0.25"/>
    <n v="0.25"/>
    <n v="0.25"/>
    <m/>
    <m/>
    <m/>
    <m/>
    <m/>
    <m/>
    <n v="1"/>
    <m/>
    <m/>
    <m/>
    <m/>
    <n v="513992"/>
    <n v="169525"/>
    <x v="15"/>
    <x v="0"/>
    <x v="15"/>
    <x v="1"/>
    <x v="0"/>
    <x v="1"/>
    <s v="Thames Street, Hampton"/>
    <m/>
    <m/>
    <x v="1"/>
    <s v="CA12 Hampton Village"/>
  </r>
  <r>
    <x v="307"/>
    <x v="2"/>
    <x v="1"/>
    <d v="2021-03-01T00:00:00"/>
    <d v="2024-03-01T00:00:00"/>
    <m/>
    <m/>
    <x v="2"/>
    <x v="0"/>
    <x v="0"/>
    <m/>
    <s v="Proposed change the use from office to residential (1No. 2-bed unit) within the wing to the south of the property"/>
    <x v="306"/>
    <s v="TW11 9JP"/>
    <m/>
    <m/>
    <m/>
    <m/>
    <m/>
    <m/>
    <m/>
    <m/>
    <m/>
    <n v="0"/>
    <x v="0"/>
    <m/>
    <n v="1"/>
    <m/>
    <m/>
    <m/>
    <m/>
    <m/>
    <n v="1"/>
    <n v="0"/>
    <n v="1"/>
    <n v="0"/>
    <n v="0"/>
    <n v="0"/>
    <n v="0"/>
    <n v="0"/>
    <m/>
    <m/>
    <n v="1"/>
    <n v="1"/>
    <x v="1"/>
    <m/>
    <n v="0.25"/>
    <n v="0.25"/>
    <n v="0.25"/>
    <n v="0.25"/>
    <m/>
    <m/>
    <m/>
    <m/>
    <m/>
    <m/>
    <n v="1"/>
    <m/>
    <m/>
    <m/>
    <m/>
    <n v="516869"/>
    <n v="170713"/>
    <x v="8"/>
    <x v="0"/>
    <x v="8"/>
    <x v="1"/>
    <x v="0"/>
    <x v="0"/>
    <m/>
    <m/>
    <m/>
    <x v="0"/>
    <m/>
  </r>
  <r>
    <x v="308"/>
    <x v="0"/>
    <x v="0"/>
    <d v="2021-03-02T00:00:00"/>
    <d v="2024-03-02T00:00:00"/>
    <m/>
    <m/>
    <x v="2"/>
    <x v="0"/>
    <x v="0"/>
    <m/>
    <s v="Demolition of existing dwelling and garage and erection of new detached dwelling and outbuilding following previous approval."/>
    <x v="307"/>
    <s v="TW11 8AE"/>
    <m/>
    <n v="1"/>
    <m/>
    <m/>
    <m/>
    <m/>
    <m/>
    <m/>
    <m/>
    <n v="1"/>
    <x v="0"/>
    <m/>
    <m/>
    <m/>
    <n v="1"/>
    <m/>
    <m/>
    <m/>
    <n v="1"/>
    <n v="0"/>
    <n v="-1"/>
    <n v="0"/>
    <n v="1"/>
    <n v="0"/>
    <n v="0"/>
    <n v="0"/>
    <m/>
    <m/>
    <n v="0"/>
    <n v="0"/>
    <x v="1"/>
    <m/>
    <m/>
    <n v="0"/>
    <n v="0"/>
    <n v="0"/>
    <n v="0"/>
    <m/>
    <m/>
    <m/>
    <m/>
    <m/>
    <n v="0"/>
    <m/>
    <m/>
    <m/>
    <m/>
    <n v="516412"/>
    <n v="171302"/>
    <x v="13"/>
    <x v="0"/>
    <x v="13"/>
    <x v="1"/>
    <x v="0"/>
    <x v="0"/>
    <m/>
    <m/>
    <m/>
    <x v="0"/>
    <m/>
  </r>
  <r>
    <x v="309"/>
    <x v="0"/>
    <x v="0"/>
    <d v="2021-03-03T00:00:00"/>
    <d v="2024-03-03T00:00:00"/>
    <m/>
    <m/>
    <x v="2"/>
    <x v="0"/>
    <x v="0"/>
    <m/>
    <s v="Proposed redevelopment of existing car park to provide a new building of 5 to 6 storeys, comprising 46 no. residential units (Use Class C3), disabled car parking, cycle parking, landscaping, enhancements to public realm and associated works"/>
    <x v="308"/>
    <s v="TW1 4LJ"/>
    <m/>
    <m/>
    <m/>
    <m/>
    <m/>
    <m/>
    <m/>
    <m/>
    <m/>
    <n v="0"/>
    <x v="0"/>
    <n v="28"/>
    <n v="8"/>
    <m/>
    <m/>
    <m/>
    <m/>
    <m/>
    <n v="36"/>
    <n v="28"/>
    <n v="8"/>
    <n v="0"/>
    <n v="0"/>
    <n v="0"/>
    <n v="0"/>
    <n v="0"/>
    <m/>
    <m/>
    <n v="36"/>
    <n v="36"/>
    <x v="0"/>
    <m/>
    <m/>
    <n v="18"/>
    <n v="18"/>
    <m/>
    <m/>
    <m/>
    <m/>
    <m/>
    <m/>
    <m/>
    <n v="36"/>
    <m/>
    <m/>
    <m/>
    <m/>
    <n v="516060"/>
    <n v="173599"/>
    <x v="10"/>
    <x v="0"/>
    <x v="10"/>
    <x v="0"/>
    <x v="0"/>
    <x v="0"/>
    <m/>
    <m/>
    <m/>
    <x v="0"/>
    <m/>
  </r>
  <r>
    <x v="309"/>
    <x v="0"/>
    <x v="0"/>
    <d v="2021-03-03T00:00:00"/>
    <d v="2024-03-03T00:00:00"/>
    <m/>
    <m/>
    <x v="2"/>
    <x v="1"/>
    <x v="0"/>
    <m/>
    <s v="Proposed redevelopment of existing car park to provide a new building of 5 to 6 storeys, comprising 46 no. residential units (Use Class C3), disabled car parking, cycle parking, landscaping, enhancements to public realm and associated works"/>
    <x v="308"/>
    <s v="TW1 4LJ"/>
    <m/>
    <m/>
    <m/>
    <m/>
    <m/>
    <m/>
    <m/>
    <m/>
    <m/>
    <n v="0"/>
    <x v="2"/>
    <n v="10"/>
    <n v="0"/>
    <m/>
    <m/>
    <m/>
    <m/>
    <m/>
    <n v="10"/>
    <n v="10"/>
    <n v="0"/>
    <n v="0"/>
    <n v="0"/>
    <n v="0"/>
    <n v="0"/>
    <n v="0"/>
    <m/>
    <m/>
    <n v="10"/>
    <n v="10"/>
    <x v="0"/>
    <m/>
    <m/>
    <n v="5"/>
    <n v="5"/>
    <m/>
    <m/>
    <m/>
    <m/>
    <m/>
    <m/>
    <m/>
    <n v="10"/>
    <m/>
    <m/>
    <m/>
    <m/>
    <n v="516060"/>
    <n v="173599"/>
    <x v="10"/>
    <x v="0"/>
    <x v="10"/>
    <x v="0"/>
    <x v="0"/>
    <x v="0"/>
    <m/>
    <m/>
    <m/>
    <x v="0"/>
    <m/>
  </r>
  <r>
    <x v="310"/>
    <x v="2"/>
    <x v="0"/>
    <d v="2021-03-08T00:00:00"/>
    <d v="2024-03-08T00:00:00"/>
    <m/>
    <m/>
    <x v="2"/>
    <x v="0"/>
    <x v="0"/>
    <m/>
    <s v="Conversion of existing ancillary residential accommodation to a single-family dwelling house with minor external alterations, associated parking, refuse and cycle enclosures."/>
    <x v="309"/>
    <s v="TW10 6HQ"/>
    <m/>
    <m/>
    <m/>
    <m/>
    <m/>
    <m/>
    <m/>
    <m/>
    <m/>
    <n v="0"/>
    <x v="1"/>
    <n v="1"/>
    <m/>
    <m/>
    <m/>
    <m/>
    <m/>
    <m/>
    <n v="1"/>
    <n v="1"/>
    <n v="0"/>
    <n v="0"/>
    <n v="0"/>
    <n v="0"/>
    <n v="0"/>
    <n v="0"/>
    <m/>
    <m/>
    <n v="1"/>
    <n v="1"/>
    <x v="1"/>
    <m/>
    <n v="0.25"/>
    <n v="0.25"/>
    <n v="0.25"/>
    <n v="0.25"/>
    <m/>
    <m/>
    <m/>
    <m/>
    <m/>
    <m/>
    <n v="1"/>
    <m/>
    <m/>
    <m/>
    <m/>
    <n v="518831"/>
    <n v="174557"/>
    <x v="3"/>
    <x v="0"/>
    <x v="3"/>
    <x v="1"/>
    <x v="0"/>
    <x v="0"/>
    <m/>
    <m/>
    <m/>
    <x v="0"/>
    <m/>
  </r>
  <r>
    <x v="311"/>
    <x v="2"/>
    <x v="1"/>
    <d v="2021-03-15T00:00:00"/>
    <d v="2024-03-15T00:00:00"/>
    <m/>
    <m/>
    <x v="2"/>
    <x v="0"/>
    <x v="0"/>
    <m/>
    <s v="Change of use of an end of terrace two storey building from office (B1) to residential use (Class C3)"/>
    <x v="310"/>
    <s v="TW2 6QW"/>
    <m/>
    <m/>
    <m/>
    <m/>
    <m/>
    <m/>
    <m/>
    <m/>
    <m/>
    <n v="0"/>
    <x v="0"/>
    <m/>
    <n v="1"/>
    <m/>
    <m/>
    <m/>
    <m/>
    <m/>
    <n v="1"/>
    <n v="0"/>
    <n v="1"/>
    <n v="0"/>
    <n v="0"/>
    <n v="0"/>
    <n v="0"/>
    <n v="0"/>
    <m/>
    <m/>
    <n v="1"/>
    <n v="1"/>
    <x v="1"/>
    <m/>
    <n v="0.25"/>
    <n v="0.25"/>
    <n v="0.25"/>
    <n v="0.25"/>
    <m/>
    <m/>
    <m/>
    <m/>
    <m/>
    <m/>
    <n v="1"/>
    <m/>
    <m/>
    <m/>
    <m/>
    <n v="515302"/>
    <n v="173042"/>
    <x v="14"/>
    <x v="0"/>
    <x v="14"/>
    <x v="1"/>
    <x v="0"/>
    <x v="1"/>
    <s v="Twickenham Green"/>
    <m/>
    <m/>
    <x v="1"/>
    <s v="CA9 Twickenham Green"/>
  </r>
  <r>
    <x v="312"/>
    <x v="4"/>
    <x v="0"/>
    <d v="2021-03-29T00:00:00"/>
    <d v="2024-03-29T00:00:00"/>
    <m/>
    <m/>
    <x v="2"/>
    <x v="0"/>
    <x v="0"/>
    <m/>
    <s v="Roof extension to provide a self contained studio flat and replacement shopfront"/>
    <x v="311"/>
    <s v="TW9 2EW"/>
    <m/>
    <m/>
    <m/>
    <m/>
    <m/>
    <m/>
    <m/>
    <m/>
    <m/>
    <n v="0"/>
    <x v="0"/>
    <n v="1"/>
    <m/>
    <m/>
    <m/>
    <m/>
    <m/>
    <m/>
    <n v="1"/>
    <n v="1"/>
    <n v="0"/>
    <n v="0"/>
    <n v="0"/>
    <n v="0"/>
    <n v="0"/>
    <n v="0"/>
    <m/>
    <m/>
    <n v="1"/>
    <n v="1"/>
    <x v="1"/>
    <m/>
    <n v="0.25"/>
    <n v="0.25"/>
    <n v="0.25"/>
    <n v="0.25"/>
    <m/>
    <m/>
    <m/>
    <m/>
    <m/>
    <m/>
    <n v="1"/>
    <m/>
    <m/>
    <m/>
    <m/>
    <n v="519103"/>
    <n v="176286"/>
    <x v="7"/>
    <x v="0"/>
    <x v="7"/>
    <x v="1"/>
    <x v="0"/>
    <x v="1"/>
    <s v="Sandycombe Road South"/>
    <m/>
    <m/>
    <x v="0"/>
    <m/>
  </r>
  <r>
    <x v="313"/>
    <x v="1"/>
    <x v="0"/>
    <m/>
    <m/>
    <m/>
    <m/>
    <x v="3"/>
    <x v="4"/>
    <x v="1"/>
    <m/>
    <m/>
    <x v="312"/>
    <m/>
    <m/>
    <m/>
    <m/>
    <m/>
    <m/>
    <m/>
    <m/>
    <m/>
    <m/>
    <m/>
    <x v="1"/>
    <m/>
    <m/>
    <m/>
    <m/>
    <m/>
    <m/>
    <m/>
    <m/>
    <m/>
    <m/>
    <m/>
    <m/>
    <m/>
    <m/>
    <m/>
    <m/>
    <m/>
    <n v="100"/>
    <m/>
    <x v="1"/>
    <m/>
    <n v="0"/>
    <n v="0"/>
    <n v="0"/>
    <n v="0"/>
    <n v="100"/>
    <n v="80"/>
    <n v="80"/>
    <n v="80"/>
    <n v="80"/>
    <n v="80"/>
    <n v="100"/>
    <n v="500"/>
    <m/>
    <m/>
    <m/>
    <m/>
    <m/>
    <x v="18"/>
    <x v="0"/>
    <x v="9"/>
    <x v="1"/>
    <x v="0"/>
    <x v="0"/>
    <m/>
    <m/>
    <m/>
    <x v="0"/>
    <m/>
  </r>
  <r>
    <x v="314"/>
    <x v="0"/>
    <x v="0"/>
    <m/>
    <m/>
    <m/>
    <m/>
    <x v="3"/>
    <x v="4"/>
    <x v="0"/>
    <m/>
    <m/>
    <x v="313"/>
    <m/>
    <m/>
    <m/>
    <m/>
    <m/>
    <m/>
    <m/>
    <m/>
    <m/>
    <m/>
    <m/>
    <x v="1"/>
    <m/>
    <m/>
    <m/>
    <m/>
    <m/>
    <m/>
    <m/>
    <m/>
    <m/>
    <m/>
    <m/>
    <m/>
    <m/>
    <m/>
    <m/>
    <m/>
    <m/>
    <n v="0"/>
    <m/>
    <x v="1"/>
    <m/>
    <n v="0"/>
    <n v="0"/>
    <n v="0"/>
    <n v="0"/>
    <n v="0"/>
    <n v="50"/>
    <n v="50"/>
    <n v="50"/>
    <n v="50"/>
    <n v="50"/>
    <n v="0"/>
    <n v="250"/>
    <m/>
    <m/>
    <m/>
    <m/>
    <m/>
    <x v="18"/>
    <x v="0"/>
    <x v="5"/>
    <x v="1"/>
    <x v="0"/>
    <x v="0"/>
    <m/>
    <m/>
    <m/>
    <x v="0"/>
    <m/>
  </r>
  <r>
    <x v="314"/>
    <x v="0"/>
    <x v="0"/>
    <m/>
    <m/>
    <m/>
    <m/>
    <x v="3"/>
    <x v="4"/>
    <x v="0"/>
    <m/>
    <m/>
    <x v="314"/>
    <m/>
    <m/>
    <m/>
    <m/>
    <m/>
    <m/>
    <m/>
    <m/>
    <m/>
    <m/>
    <m/>
    <x v="1"/>
    <m/>
    <m/>
    <m/>
    <m/>
    <m/>
    <m/>
    <m/>
    <m/>
    <m/>
    <m/>
    <m/>
    <m/>
    <m/>
    <m/>
    <m/>
    <m/>
    <m/>
    <n v="40"/>
    <m/>
    <x v="1"/>
    <m/>
    <n v="0"/>
    <n v="0"/>
    <n v="0"/>
    <n v="20"/>
    <n v="20"/>
    <n v="0"/>
    <n v="0"/>
    <n v="0"/>
    <n v="0"/>
    <n v="0"/>
    <n v="40"/>
    <n v="40"/>
    <m/>
    <m/>
    <m/>
    <m/>
    <m/>
    <x v="18"/>
    <x v="0"/>
    <x v="14"/>
    <x v="1"/>
    <x v="0"/>
    <x v="0"/>
    <m/>
    <m/>
    <m/>
    <x v="0"/>
    <m/>
  </r>
  <r>
    <x v="314"/>
    <x v="0"/>
    <x v="0"/>
    <m/>
    <m/>
    <m/>
    <m/>
    <x v="3"/>
    <x v="4"/>
    <x v="0"/>
    <m/>
    <m/>
    <x v="315"/>
    <m/>
    <m/>
    <m/>
    <m/>
    <m/>
    <m/>
    <m/>
    <m/>
    <m/>
    <m/>
    <m/>
    <x v="1"/>
    <m/>
    <m/>
    <m/>
    <m/>
    <m/>
    <m/>
    <m/>
    <m/>
    <m/>
    <m/>
    <m/>
    <m/>
    <m/>
    <m/>
    <m/>
    <m/>
    <m/>
    <n v="0"/>
    <m/>
    <x v="1"/>
    <m/>
    <n v="0"/>
    <n v="0"/>
    <n v="0"/>
    <n v="0"/>
    <n v="0"/>
    <n v="0"/>
    <n v="5"/>
    <n v="5"/>
    <n v="5"/>
    <n v="5"/>
    <n v="0"/>
    <n v="20"/>
    <m/>
    <m/>
    <m/>
    <m/>
    <m/>
    <x v="18"/>
    <x v="0"/>
    <x v="13"/>
    <x v="1"/>
    <x v="0"/>
    <x v="0"/>
    <m/>
    <m/>
    <m/>
    <x v="0"/>
    <m/>
  </r>
  <r>
    <x v="315"/>
    <x v="0"/>
    <x v="0"/>
    <m/>
    <m/>
    <m/>
    <m/>
    <x v="4"/>
    <x v="4"/>
    <x v="2"/>
    <m/>
    <s v="Demolition of existing buildings and structures and comprehensive residential-led redevelopment of a single storey pavilion, basements and four buildings of between four and nine storeys to provide 385 residential units (Class C3), flexible retail /community / office uses (Classes A1, A2, A3, D2, B1), provision of car parking spaces and cycle storage facilities, landscaping, public and private open spaces and all other necessary enabling works."/>
    <x v="316"/>
    <m/>
    <m/>
    <m/>
    <m/>
    <m/>
    <m/>
    <m/>
    <m/>
    <m/>
    <m/>
    <m/>
    <x v="1"/>
    <m/>
    <m/>
    <m/>
    <m/>
    <m/>
    <m/>
    <m/>
    <m/>
    <m/>
    <m/>
    <m/>
    <m/>
    <m/>
    <m/>
    <m/>
    <m/>
    <m/>
    <n v="385"/>
    <m/>
    <x v="1"/>
    <m/>
    <n v="0"/>
    <n v="0"/>
    <n v="0"/>
    <n v="0"/>
    <n v="96.25"/>
    <n v="96.25"/>
    <n v="96.25"/>
    <n v="96.25"/>
    <n v="0"/>
    <n v="0"/>
    <n v="96.25"/>
    <n v="385"/>
    <m/>
    <m/>
    <m/>
    <m/>
    <m/>
    <x v="18"/>
    <x v="0"/>
    <x v="4"/>
    <x v="1"/>
    <x v="0"/>
    <x v="0"/>
    <m/>
    <m/>
    <m/>
    <x v="0"/>
    <m/>
  </r>
  <r>
    <x v="316"/>
    <x v="0"/>
    <x v="0"/>
    <m/>
    <m/>
    <m/>
    <m/>
    <x v="4"/>
    <x v="5"/>
    <x v="3"/>
    <m/>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x v="317"/>
    <m/>
    <m/>
    <m/>
    <m/>
    <m/>
    <m/>
    <m/>
    <m/>
    <m/>
    <m/>
    <m/>
    <x v="1"/>
    <n v="6"/>
    <n v="17"/>
    <n v="7"/>
    <m/>
    <m/>
    <m/>
    <m/>
    <n v="30"/>
    <n v="6"/>
    <n v="17"/>
    <n v="7"/>
    <n v="0"/>
    <n v="0"/>
    <n v="0"/>
    <n v="0"/>
    <m/>
    <m/>
    <n v="30"/>
    <m/>
    <x v="0"/>
    <m/>
    <n v="0"/>
    <n v="0"/>
    <n v="30"/>
    <n v="0"/>
    <n v="0"/>
    <n v="0"/>
    <n v="0"/>
    <n v="0"/>
    <n v="0"/>
    <n v="0"/>
    <n v="30"/>
    <n v="30"/>
    <m/>
    <m/>
    <m/>
    <m/>
    <m/>
    <x v="18"/>
    <x v="0"/>
    <x v="1"/>
    <x v="1"/>
    <x v="0"/>
    <x v="0"/>
    <m/>
    <m/>
    <m/>
    <x v="0"/>
    <m/>
  </r>
  <r>
    <x v="314"/>
    <x v="0"/>
    <x v="0"/>
    <m/>
    <m/>
    <m/>
    <m/>
    <x v="4"/>
    <x v="4"/>
    <x v="4"/>
    <m/>
    <m/>
    <x v="318"/>
    <m/>
    <m/>
    <m/>
    <m/>
    <m/>
    <m/>
    <m/>
    <m/>
    <m/>
    <m/>
    <m/>
    <x v="1"/>
    <m/>
    <m/>
    <m/>
    <m/>
    <m/>
    <m/>
    <m/>
    <m/>
    <m/>
    <m/>
    <m/>
    <m/>
    <m/>
    <m/>
    <m/>
    <m/>
    <m/>
    <n v="50"/>
    <m/>
    <x v="1"/>
    <m/>
    <n v="0"/>
    <n v="0"/>
    <n v="0"/>
    <n v="0"/>
    <n v="50"/>
    <n v="50"/>
    <n v="50"/>
    <n v="50"/>
    <n v="50"/>
    <n v="50"/>
    <n v="50"/>
    <n v="300"/>
    <m/>
    <m/>
    <m/>
    <m/>
    <m/>
    <x v="18"/>
    <x v="0"/>
    <x v="5"/>
    <x v="1"/>
    <x v="0"/>
    <x v="0"/>
    <m/>
    <m/>
    <m/>
    <x v="0"/>
    <m/>
  </r>
  <r>
    <x v="314"/>
    <x v="0"/>
    <x v="0"/>
    <m/>
    <m/>
    <m/>
    <m/>
    <x v="4"/>
    <x v="4"/>
    <x v="5"/>
    <m/>
    <m/>
    <x v="319"/>
    <m/>
    <m/>
    <m/>
    <m/>
    <m/>
    <m/>
    <m/>
    <m/>
    <m/>
    <m/>
    <m/>
    <x v="1"/>
    <m/>
    <m/>
    <m/>
    <m/>
    <m/>
    <m/>
    <m/>
    <m/>
    <m/>
    <m/>
    <m/>
    <m/>
    <m/>
    <m/>
    <m/>
    <m/>
    <m/>
    <n v="20"/>
    <m/>
    <x v="1"/>
    <m/>
    <n v="0"/>
    <n v="0"/>
    <n v="0"/>
    <n v="10"/>
    <n v="10"/>
    <n v="0"/>
    <n v="0"/>
    <n v="0"/>
    <n v="0"/>
    <n v="0"/>
    <n v="20"/>
    <n v="20"/>
    <m/>
    <m/>
    <m/>
    <m/>
    <m/>
    <x v="18"/>
    <x v="0"/>
    <x v="17"/>
    <x v="1"/>
    <x v="0"/>
    <x v="0"/>
    <m/>
    <m/>
    <m/>
    <x v="0"/>
    <m/>
  </r>
  <r>
    <x v="314"/>
    <x v="0"/>
    <x v="0"/>
    <m/>
    <m/>
    <m/>
    <m/>
    <x v="4"/>
    <x v="4"/>
    <x v="6"/>
    <m/>
    <m/>
    <x v="320"/>
    <m/>
    <m/>
    <m/>
    <m/>
    <m/>
    <m/>
    <m/>
    <m/>
    <m/>
    <m/>
    <m/>
    <x v="1"/>
    <m/>
    <m/>
    <m/>
    <m/>
    <m/>
    <m/>
    <m/>
    <m/>
    <m/>
    <m/>
    <m/>
    <m/>
    <m/>
    <m/>
    <m/>
    <m/>
    <m/>
    <n v="20"/>
    <m/>
    <x v="1"/>
    <m/>
    <n v="0"/>
    <n v="0"/>
    <n v="0"/>
    <n v="10"/>
    <n v="10"/>
    <n v="0"/>
    <n v="0"/>
    <n v="0"/>
    <n v="0"/>
    <n v="0"/>
    <n v="20"/>
    <n v="20"/>
    <m/>
    <m/>
    <m/>
    <m/>
    <m/>
    <x v="18"/>
    <x v="0"/>
    <x v="10"/>
    <x v="1"/>
    <x v="0"/>
    <x v="0"/>
    <m/>
    <m/>
    <m/>
    <x v="0"/>
    <m/>
  </r>
  <r>
    <x v="314"/>
    <x v="1"/>
    <x v="0"/>
    <m/>
    <m/>
    <m/>
    <m/>
    <x v="4"/>
    <x v="4"/>
    <x v="7"/>
    <m/>
    <m/>
    <x v="321"/>
    <m/>
    <m/>
    <m/>
    <m/>
    <m/>
    <m/>
    <m/>
    <m/>
    <m/>
    <m/>
    <m/>
    <x v="1"/>
    <m/>
    <m/>
    <m/>
    <m/>
    <m/>
    <m/>
    <m/>
    <m/>
    <m/>
    <m/>
    <m/>
    <m/>
    <m/>
    <m/>
    <m/>
    <m/>
    <m/>
    <n v="20"/>
    <m/>
    <x v="1"/>
    <m/>
    <n v="0"/>
    <n v="0"/>
    <n v="0"/>
    <n v="0"/>
    <n v="20"/>
    <n v="0"/>
    <n v="0"/>
    <n v="0"/>
    <n v="0"/>
    <n v="0"/>
    <n v="20"/>
    <n v="20"/>
    <m/>
    <m/>
    <m/>
    <m/>
    <m/>
    <x v="18"/>
    <x v="0"/>
    <x v="17"/>
    <x v="1"/>
    <x v="0"/>
    <x v="0"/>
    <m/>
    <m/>
    <m/>
    <x v="0"/>
    <m/>
  </r>
  <r>
    <x v="314"/>
    <x v="1"/>
    <x v="0"/>
    <m/>
    <m/>
    <m/>
    <m/>
    <x v="4"/>
    <x v="4"/>
    <x v="8"/>
    <m/>
    <m/>
    <x v="322"/>
    <m/>
    <m/>
    <m/>
    <m/>
    <m/>
    <m/>
    <m/>
    <m/>
    <m/>
    <m/>
    <m/>
    <x v="1"/>
    <m/>
    <m/>
    <m/>
    <m/>
    <m/>
    <m/>
    <m/>
    <m/>
    <m/>
    <m/>
    <m/>
    <m/>
    <m/>
    <m/>
    <m/>
    <m/>
    <m/>
    <n v="45"/>
    <m/>
    <x v="1"/>
    <m/>
    <n v="0"/>
    <n v="0"/>
    <n v="0"/>
    <n v="22.5"/>
    <n v="22.5"/>
    <n v="0"/>
    <n v="0"/>
    <n v="0"/>
    <n v="0"/>
    <n v="0"/>
    <n v="45"/>
    <n v="45"/>
    <m/>
    <m/>
    <m/>
    <m/>
    <m/>
    <x v="18"/>
    <x v="0"/>
    <x v="17"/>
    <x v="1"/>
    <x v="0"/>
    <x v="0"/>
    <m/>
    <m/>
    <m/>
    <x v="0"/>
    <m/>
  </r>
  <r>
    <x v="317"/>
    <x v="1"/>
    <x v="0"/>
    <m/>
    <m/>
    <m/>
    <m/>
    <x v="4"/>
    <x v="4"/>
    <x v="9"/>
    <m/>
    <s v="Small Sites Trend"/>
    <x v="323"/>
    <m/>
    <m/>
    <m/>
    <m/>
    <m/>
    <m/>
    <m/>
    <m/>
    <m/>
    <m/>
    <m/>
    <x v="1"/>
    <m/>
    <m/>
    <m/>
    <m/>
    <m/>
    <m/>
    <m/>
    <m/>
    <m/>
    <m/>
    <m/>
    <m/>
    <m/>
    <m/>
    <m/>
    <m/>
    <m/>
    <n v="742"/>
    <m/>
    <x v="1"/>
    <m/>
    <n v="20"/>
    <n v="20"/>
    <n v="234"/>
    <n v="234"/>
    <n v="234"/>
    <n v="234"/>
    <n v="234"/>
    <n v="234"/>
    <n v="234"/>
    <n v="234"/>
    <n v="742"/>
    <n v="1912"/>
    <m/>
    <m/>
    <m/>
    <m/>
    <m/>
    <x v="18"/>
    <x v="0"/>
    <x v="18"/>
    <x v="1"/>
    <x v="0"/>
    <x v="0"/>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916F3D8-FA31-45FE-A1A9-5C741287F0F7}" name="PivotTable3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301:E320" firstHeaderRow="0"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9">
        <item x="10"/>
        <item x="8"/>
        <item x="9"/>
        <item x="1"/>
        <item x="4"/>
        <item x="7"/>
        <item x="3"/>
        <item x="0"/>
        <item x="15"/>
        <item x="14"/>
        <item x="13"/>
        <item x="6"/>
        <item x="12"/>
        <item x="17"/>
        <item x="5"/>
        <item x="16"/>
        <item x="2"/>
        <item x="11"/>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9">
    <i>
      <x/>
    </i>
    <i>
      <x v="1"/>
    </i>
    <i>
      <x v="2"/>
    </i>
    <i>
      <x v="3"/>
    </i>
    <i>
      <x v="4"/>
    </i>
    <i>
      <x v="5"/>
    </i>
    <i>
      <x v="6"/>
    </i>
    <i>
      <x v="7"/>
    </i>
    <i>
      <x v="8"/>
    </i>
    <i>
      <x v="9"/>
    </i>
    <i>
      <x v="10"/>
    </i>
    <i>
      <x v="11"/>
    </i>
    <i>
      <x v="12"/>
    </i>
    <i>
      <x v="13"/>
    </i>
    <i>
      <x v="14"/>
    </i>
    <i>
      <x v="15"/>
    </i>
    <i>
      <x v="16"/>
    </i>
    <i>
      <x v="17"/>
    </i>
    <i t="grand">
      <x/>
    </i>
  </rowItems>
  <colFields count="1">
    <field x="-2"/>
  </colFields>
  <colItems count="3">
    <i>
      <x/>
    </i>
    <i i="1">
      <x v="1"/>
    </i>
    <i i="2">
      <x v="2"/>
    </i>
  </colItems>
  <pageFields count="1">
    <pageField fld="7" hier="-1"/>
  </pageFields>
  <dataFields count="3">
    <dataField name="Sum of Units Proposed" fld="32" baseField="0" baseItem="0"/>
    <dataField name="Sum of Units Existing" fld="23" baseField="0" baseItem="0"/>
    <dataField name="Sum of Net Dwellings" fld="42" baseField="0" baseItem="0"/>
  </dataFields>
  <formats count="37">
    <format dxfId="38">
      <pivotArea type="all" dataOnly="0" outline="0" fieldPosition="0"/>
    </format>
    <format dxfId="37">
      <pivotArea type="all" dataOnly="0" outline="0" fieldPosition="0"/>
    </format>
    <format dxfId="36">
      <pivotArea type="all" dataOnly="0" outline="0" fieldPosition="0"/>
    </format>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63" type="button" dataOnly="0" labelOnly="1" outline="0"/>
    </format>
    <format dxfId="30">
      <pivotArea dataOnly="0" labelOnly="1" outline="0" fieldPosition="0">
        <references count="1">
          <reference field="4294967294" count="2">
            <x v="0"/>
            <x v="2"/>
          </reference>
        </references>
      </pivotArea>
    </format>
    <format dxfId="29">
      <pivotArea field="63" type="button" dataOnly="0" labelOnly="1" outline="0"/>
    </format>
    <format dxfId="28">
      <pivotArea dataOnly="0" labelOnly="1" outline="0" fieldPosition="0">
        <references count="1">
          <reference field="4294967294" count="2">
            <x v="0"/>
            <x v="2"/>
          </reference>
        </references>
      </pivotArea>
    </format>
    <format dxfId="27">
      <pivotArea field="63" type="button" dataOnly="0" labelOnly="1" outline="0"/>
    </format>
    <format dxfId="26">
      <pivotArea dataOnly="0" labelOnly="1" outline="0" fieldPosition="0">
        <references count="1">
          <reference field="4294967294" count="2">
            <x v="0"/>
            <x v="2"/>
          </reference>
        </references>
      </pivotArea>
    </format>
    <format dxfId="25">
      <pivotArea type="all" dataOnly="0" outline="0" fieldPosition="0"/>
    </format>
    <format dxfId="24">
      <pivotArea type="all" dataOnly="0" outline="0" fieldPosition="0"/>
    </format>
    <format dxfId="23">
      <pivotArea type="all" dataOnly="0" outline="0" fieldPosition="0"/>
    </format>
    <format dxfId="22">
      <pivotArea type="all" dataOnly="0" outline="0" fieldPosition="0"/>
    </format>
    <format dxfId="21">
      <pivotArea outline="0" collapsedLevelsAreSubtotals="1" fieldPosition="0"/>
    </format>
    <format dxfId="20">
      <pivotArea field="63" type="button" dataOnly="0" labelOnly="1" outline="0"/>
    </format>
    <format dxfId="19">
      <pivotArea dataOnly="0" labelOnly="1" grandRow="1" outline="0" fieldPosition="0"/>
    </format>
    <format dxfId="18">
      <pivotArea dataOnly="0" labelOnly="1" outline="0" fieldPosition="0">
        <references count="1">
          <reference field="4294967294" count="2">
            <x v="0"/>
            <x v="2"/>
          </reference>
        </references>
      </pivotArea>
    </format>
    <format dxfId="17">
      <pivotArea type="all" dataOnly="0" outline="0" fieldPosition="0"/>
    </format>
    <format dxfId="16">
      <pivotArea outline="0" collapsedLevelsAreSubtotals="1" fieldPosition="0"/>
    </format>
    <format dxfId="15">
      <pivotArea field="63" type="button" dataOnly="0" labelOnly="1" outline="0"/>
    </format>
    <format dxfId="14">
      <pivotArea dataOnly="0" labelOnly="1" grandRow="1" outline="0" fieldPosition="0"/>
    </format>
    <format dxfId="13">
      <pivotArea dataOnly="0" labelOnly="1" outline="0" fieldPosition="0">
        <references count="1">
          <reference field="4294967294" count="2">
            <x v="0"/>
            <x v="2"/>
          </reference>
        </references>
      </pivotArea>
    </format>
    <format dxfId="12">
      <pivotArea type="all" dataOnly="0" outline="0" fieldPosition="0"/>
    </format>
    <format dxfId="11">
      <pivotArea outline="0" collapsedLevelsAreSubtotals="1" fieldPosition="0"/>
    </format>
    <format dxfId="10">
      <pivotArea field="63" type="button" dataOnly="0" labelOnly="1" outline="0"/>
    </format>
    <format dxfId="9">
      <pivotArea dataOnly="0" labelOnly="1" grandRow="1" outline="0" fieldPosition="0"/>
    </format>
    <format dxfId="8">
      <pivotArea dataOnly="0" labelOnly="1" outline="0" fieldPosition="0">
        <references count="1">
          <reference field="4294967294" count="2">
            <x v="0"/>
            <x v="2"/>
          </reference>
        </references>
      </pivotArea>
    </format>
    <format dxfId="7">
      <pivotArea type="all" dataOnly="0" outline="0" fieldPosition="0"/>
    </format>
    <format dxfId="6">
      <pivotArea outline="0" collapsedLevelsAreSubtotals="1" fieldPosition="0"/>
    </format>
    <format dxfId="5">
      <pivotArea field="65" type="button" dataOnly="0" labelOnly="1" outline="0" axis="axisRow" fieldPosition="0"/>
    </format>
    <format dxfId="4">
      <pivotArea dataOnly="0" labelOnly="1" fieldPosition="0">
        <references count="1">
          <reference field="65" count="18">
            <x v="0"/>
            <x v="1"/>
            <x v="2"/>
            <x v="3"/>
            <x v="4"/>
            <x v="5"/>
            <x v="6"/>
            <x v="7"/>
            <x v="8"/>
            <x v="9"/>
            <x v="10"/>
            <x v="11"/>
            <x v="12"/>
            <x v="13"/>
            <x v="14"/>
            <x v="15"/>
            <x v="16"/>
            <x v="17"/>
          </reference>
        </references>
      </pivotArea>
    </format>
    <format dxfId="3">
      <pivotArea dataOnly="0" labelOnly="1" grandRow="1" outline="0" fieldPosition="0"/>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7F337B66-28AC-444D-93A7-40515071B29C}" name="PivotTable1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71:B72" firstHeaderRow="1" firstDataRow="1" firstDataCol="0"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Units Proposed" fld="32" baseField="0" baseItem="0"/>
  </dataFields>
  <formats count="31">
    <format dxfId="314">
      <pivotArea type="all" dataOnly="0" outline="0" fieldPosition="0"/>
    </format>
    <format dxfId="313">
      <pivotArea type="all" dataOnly="0" outline="0" fieldPosition="0"/>
    </format>
    <format dxfId="312">
      <pivotArea type="all" dataOnly="0" outline="0" fieldPosition="0"/>
    </format>
    <format dxfId="311">
      <pivotArea type="all" dataOnly="0" outline="0" fieldPosition="0"/>
    </format>
    <format dxfId="310">
      <pivotArea type="all" dataOnly="0" outline="0" fieldPosition="0"/>
    </format>
    <format dxfId="309">
      <pivotArea type="all" dataOnly="0" outline="0" fieldPosition="0"/>
    </format>
    <format dxfId="308">
      <pivotArea type="all" dataOnly="0" outline="0" fieldPosition="0"/>
    </format>
    <format dxfId="307">
      <pivotArea type="all" dataOnly="0" outline="0" fieldPosition="0"/>
    </format>
    <format dxfId="306">
      <pivotArea type="all" dataOnly="0" outline="0" fieldPosition="0"/>
    </format>
    <format dxfId="305">
      <pivotArea type="all" dataOnly="0" outline="0" fieldPosition="0"/>
    </format>
    <format dxfId="304">
      <pivotArea type="all" dataOnly="0" outline="0" fieldPosition="0"/>
    </format>
    <format dxfId="303">
      <pivotArea outline="0" collapsedLevelsAreSubtotals="1" fieldPosition="0"/>
    </format>
    <format dxfId="302">
      <pivotArea dataOnly="0" labelOnly="1" outline="0" axis="axisValues" fieldPosition="0"/>
    </format>
    <format dxfId="301">
      <pivotArea type="all" dataOnly="0" outline="0" fieldPosition="0"/>
    </format>
    <format dxfId="300">
      <pivotArea outline="0" collapsedLevelsAreSubtotals="1" fieldPosition="0"/>
    </format>
    <format dxfId="299">
      <pivotArea dataOnly="0" labelOnly="1" outline="0" axis="axisValues" fieldPosition="0"/>
    </format>
    <format dxfId="298">
      <pivotArea type="all" dataOnly="0" outline="0" fieldPosition="0"/>
    </format>
    <format dxfId="297">
      <pivotArea outline="0" collapsedLevelsAreSubtotals="1" fieldPosition="0"/>
    </format>
    <format dxfId="296">
      <pivotArea dataOnly="0" labelOnly="1" outline="0" axis="axisValues" fieldPosition="0"/>
    </format>
    <format dxfId="295">
      <pivotArea type="all" dataOnly="0" outline="0" fieldPosition="0"/>
    </format>
    <format dxfId="294">
      <pivotArea outline="0" collapsedLevelsAreSubtotals="1" fieldPosition="0"/>
    </format>
    <format dxfId="293">
      <pivotArea dataOnly="0" labelOnly="1" outline="0" axis="axisValues" fieldPosition="0"/>
    </format>
    <format dxfId="292">
      <pivotArea type="all" dataOnly="0" outline="0" fieldPosition="0"/>
    </format>
    <format dxfId="291">
      <pivotArea outline="0" collapsedLevelsAreSubtotals="1" fieldPosition="0"/>
    </format>
    <format dxfId="290">
      <pivotArea dataOnly="0" labelOnly="1" outline="0" axis="axisValues" fieldPosition="0"/>
    </format>
    <format dxfId="289">
      <pivotArea type="all" dataOnly="0" outline="0" fieldPosition="0"/>
    </format>
    <format dxfId="288">
      <pivotArea outline="0" collapsedLevelsAreSubtotals="1" fieldPosition="0"/>
    </format>
    <format dxfId="287">
      <pivotArea dataOnly="0" labelOnly="1" outline="0" axis="axisValues" fieldPosition="0"/>
    </format>
    <format dxfId="286">
      <pivotArea type="all" dataOnly="0" outline="0" fieldPosition="0"/>
    </format>
    <format dxfId="285">
      <pivotArea outline="0" collapsedLevelsAreSubtotals="1" fieldPosition="0"/>
    </format>
    <format dxfId="28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CBCE767B-B9FD-4845-933C-2BFE0821FC96}" name="PivotTable3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261:F264"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defaultSubtotal="0"/>
    <pivotField showAll="0"/>
    <pivotField axis="axisRow" showAll="0">
      <items count="3">
        <item x="1"/>
        <item x="0"/>
        <item t="default"/>
      </items>
    </pivotField>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8"/>
  </rowFields>
  <rowItems count="3">
    <i>
      <x/>
    </i>
    <i>
      <x v="1"/>
    </i>
    <i t="grand">
      <x/>
    </i>
  </rowItems>
  <colItems count="1">
    <i/>
  </colItems>
  <pageFields count="1">
    <pageField fld="7" hier="-1"/>
  </pageFields>
  <dataFields count="1">
    <dataField name="Sum of Net Dwellings" fld="42" baseField="0" baseItem="0"/>
  </dataFields>
  <formats count="28">
    <format dxfId="342">
      <pivotArea type="all" dataOnly="0" outline="0" fieldPosition="0"/>
    </format>
    <format dxfId="341">
      <pivotArea type="all" dataOnly="0" outline="0" fieldPosition="0"/>
    </format>
    <format dxfId="340">
      <pivotArea type="all" dataOnly="0" outline="0" fieldPosition="0"/>
    </format>
    <format dxfId="339">
      <pivotArea type="all" dataOnly="0" outline="0" fieldPosition="0"/>
    </format>
    <format dxfId="338">
      <pivotArea type="all" dataOnly="0" outline="0" fieldPosition="0"/>
    </format>
    <format dxfId="337">
      <pivotArea type="all" dataOnly="0" outline="0" fieldPosition="0"/>
    </format>
    <format dxfId="336">
      <pivotArea type="all" dataOnly="0" outline="0" fieldPosition="0"/>
    </format>
    <format dxfId="335">
      <pivotArea type="all" dataOnly="0" outline="0" fieldPosition="0"/>
    </format>
    <format dxfId="334">
      <pivotArea type="all" dataOnly="0" outline="0" fieldPosition="0"/>
    </format>
    <format dxfId="333">
      <pivotArea type="all" dataOnly="0" outline="0" fieldPosition="0"/>
    </format>
    <format dxfId="332">
      <pivotArea type="all" dataOnly="0" outline="0" fieldPosition="0"/>
    </format>
    <format dxfId="331">
      <pivotArea outline="0" collapsedLevelsAreSubtotals="1" fieldPosition="0"/>
    </format>
    <format dxfId="330">
      <pivotArea dataOnly="0" labelOnly="1" grandRow="1" outline="0" fieldPosition="0"/>
    </format>
    <format dxfId="329">
      <pivotArea dataOnly="0" labelOnly="1" outline="0" axis="axisValues" fieldPosition="0"/>
    </format>
    <format dxfId="328">
      <pivotArea type="all" dataOnly="0" outline="0" fieldPosition="0"/>
    </format>
    <format dxfId="327">
      <pivotArea outline="0" collapsedLevelsAreSubtotals="1" fieldPosition="0"/>
    </format>
    <format dxfId="326">
      <pivotArea dataOnly="0" labelOnly="1" grandRow="1" outline="0" fieldPosition="0"/>
    </format>
    <format dxfId="325">
      <pivotArea dataOnly="0" labelOnly="1" outline="0" axis="axisValues" fieldPosition="0"/>
    </format>
    <format dxfId="324">
      <pivotArea type="all" dataOnly="0" outline="0" fieldPosition="0"/>
    </format>
    <format dxfId="323">
      <pivotArea outline="0" collapsedLevelsAreSubtotals="1" fieldPosition="0"/>
    </format>
    <format dxfId="322">
      <pivotArea dataOnly="0" labelOnly="1" grandRow="1" outline="0" fieldPosition="0"/>
    </format>
    <format dxfId="321">
      <pivotArea dataOnly="0" labelOnly="1" outline="0" axis="axisValues" fieldPosition="0"/>
    </format>
    <format dxfId="320">
      <pivotArea type="all" dataOnly="0" outline="0" fieldPosition="0"/>
    </format>
    <format dxfId="319">
      <pivotArea outline="0" collapsedLevelsAreSubtotals="1" fieldPosition="0"/>
    </format>
    <format dxfId="318">
      <pivotArea field="68" type="button" dataOnly="0" labelOnly="1" outline="0" axis="axisRow" fieldPosition="0"/>
    </format>
    <format dxfId="317">
      <pivotArea dataOnly="0" labelOnly="1" fieldPosition="0">
        <references count="1">
          <reference field="68" count="0"/>
        </references>
      </pivotArea>
    </format>
    <format dxfId="316">
      <pivotArea dataOnly="0" labelOnly="1" grandRow="1" outline="0" fieldPosition="0"/>
    </format>
    <format dxfId="31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C6D36407-BE69-4C0B-9E72-816E38B7556D}" name="PivotTable3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247:F250"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defaultSubtotal="0"/>
    <pivotField showAll="0"/>
    <pivotField showAll="0"/>
    <pivotField showAll="0"/>
    <pivotField showAll="0"/>
    <pivotField showAll="0"/>
    <pivotField axis="axisRow" showAll="0">
      <items count="3">
        <item x="1"/>
        <item x="0"/>
        <item t="default"/>
      </items>
    </pivotField>
    <pivotField showAll="0"/>
    <pivotField dragToRow="0" dragToCol="0" dragToPage="0" showAll="0" defaultSubtotal="0"/>
    <pivotField dragToRow="0" dragToCol="0" dragToPage="0" showAll="0" defaultSubtotal="0"/>
  </pivotFields>
  <rowFields count="1">
    <field x="72"/>
  </rowFields>
  <rowItems count="3">
    <i>
      <x/>
    </i>
    <i>
      <x v="1"/>
    </i>
    <i t="grand">
      <x/>
    </i>
  </rowItems>
  <colItems count="1">
    <i/>
  </colItems>
  <pageFields count="1">
    <pageField fld="7" hier="-1"/>
  </pageFields>
  <dataFields count="1">
    <dataField name="Sum of Net Dwellings" fld="42" baseField="0" baseItem="0"/>
  </dataFields>
  <formats count="28">
    <format dxfId="370">
      <pivotArea type="all" dataOnly="0" outline="0" fieldPosition="0"/>
    </format>
    <format dxfId="369">
      <pivotArea type="all" dataOnly="0" outline="0" fieldPosition="0"/>
    </format>
    <format dxfId="368">
      <pivotArea type="all" dataOnly="0" outline="0" fieldPosition="0"/>
    </format>
    <format dxfId="367">
      <pivotArea type="all" dataOnly="0" outline="0" fieldPosition="0"/>
    </format>
    <format dxfId="366">
      <pivotArea type="all" dataOnly="0" outline="0" fieldPosition="0"/>
    </format>
    <format dxfId="365">
      <pivotArea type="all" dataOnly="0" outline="0" fieldPosition="0"/>
    </format>
    <format dxfId="364">
      <pivotArea type="all" dataOnly="0" outline="0" fieldPosition="0"/>
    </format>
    <format dxfId="363">
      <pivotArea type="all" dataOnly="0" outline="0" fieldPosition="0"/>
    </format>
    <format dxfId="362">
      <pivotArea type="all" dataOnly="0" outline="0" fieldPosition="0"/>
    </format>
    <format dxfId="361">
      <pivotArea type="all" dataOnly="0" outline="0" fieldPosition="0"/>
    </format>
    <format dxfId="360">
      <pivotArea type="all" dataOnly="0" outline="0" fieldPosition="0"/>
    </format>
    <format dxfId="359">
      <pivotArea outline="0" collapsedLevelsAreSubtotals="1" fieldPosition="0"/>
    </format>
    <format dxfId="358">
      <pivotArea dataOnly="0" labelOnly="1" grandRow="1" outline="0" fieldPosition="0"/>
    </format>
    <format dxfId="357">
      <pivotArea dataOnly="0" labelOnly="1" outline="0" axis="axisValues" fieldPosition="0"/>
    </format>
    <format dxfId="356">
      <pivotArea type="all" dataOnly="0" outline="0" fieldPosition="0"/>
    </format>
    <format dxfId="355">
      <pivotArea outline="0" collapsedLevelsAreSubtotals="1" fieldPosition="0"/>
    </format>
    <format dxfId="354">
      <pivotArea dataOnly="0" labelOnly="1" grandRow="1" outline="0" fieldPosition="0"/>
    </format>
    <format dxfId="353">
      <pivotArea dataOnly="0" labelOnly="1" outline="0" axis="axisValues" fieldPosition="0"/>
    </format>
    <format dxfId="352">
      <pivotArea type="all" dataOnly="0" outline="0" fieldPosition="0"/>
    </format>
    <format dxfId="351">
      <pivotArea outline="0" collapsedLevelsAreSubtotals="1" fieldPosition="0"/>
    </format>
    <format dxfId="350">
      <pivotArea dataOnly="0" labelOnly="1" grandRow="1" outline="0" fieldPosition="0"/>
    </format>
    <format dxfId="349">
      <pivotArea dataOnly="0" labelOnly="1" outline="0" axis="axisValues" fieldPosition="0"/>
    </format>
    <format dxfId="348">
      <pivotArea type="all" dataOnly="0" outline="0" fieldPosition="0"/>
    </format>
    <format dxfId="347">
      <pivotArea outline="0" collapsedLevelsAreSubtotals="1" fieldPosition="0"/>
    </format>
    <format dxfId="346">
      <pivotArea field="72" type="button" dataOnly="0" labelOnly="1" outline="0" axis="axisRow" fieldPosition="0"/>
    </format>
    <format dxfId="345">
      <pivotArea dataOnly="0" labelOnly="1" fieldPosition="0">
        <references count="1">
          <reference field="72" count="0"/>
        </references>
      </pivotArea>
    </format>
    <format dxfId="344">
      <pivotArea dataOnly="0" labelOnly="1" grandRow="1" outline="0" fieldPosition="0"/>
    </format>
    <format dxfId="3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5CDF61B-0479-48E1-97DD-953442130221}" name="PivotTable7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82:B183"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401">
      <pivotArea type="all" dataOnly="0" outline="0" fieldPosition="0"/>
    </format>
    <format dxfId="400">
      <pivotArea type="all" dataOnly="0" outline="0" fieldPosition="0"/>
    </format>
    <format dxfId="399">
      <pivotArea type="all" dataOnly="0" outline="0" fieldPosition="0"/>
    </format>
    <format dxfId="398">
      <pivotArea type="all" dataOnly="0" outline="0" fieldPosition="0"/>
    </format>
    <format dxfId="397">
      <pivotArea type="all" dataOnly="0" outline="0" fieldPosition="0"/>
    </format>
    <format dxfId="396">
      <pivotArea type="all" dataOnly="0" outline="0" fieldPosition="0"/>
    </format>
    <format dxfId="395">
      <pivotArea type="all" dataOnly="0" outline="0" fieldPosition="0"/>
    </format>
    <format dxfId="394">
      <pivotArea type="all" dataOnly="0" outline="0" fieldPosition="0"/>
    </format>
    <format dxfId="393">
      <pivotArea type="all" dataOnly="0" outline="0" fieldPosition="0"/>
    </format>
    <format dxfId="392">
      <pivotArea type="all" dataOnly="0" outline="0" fieldPosition="0"/>
    </format>
    <format dxfId="391">
      <pivotArea type="all" dataOnly="0" outline="0" fieldPosition="0"/>
    </format>
    <format dxfId="390">
      <pivotArea outline="0" collapsedLevelsAreSubtotals="1" fieldPosition="0"/>
    </format>
    <format dxfId="389">
      <pivotArea dataOnly="0" labelOnly="1" outline="0" axis="axisValues" fieldPosition="0"/>
    </format>
    <format dxfId="388">
      <pivotArea type="all" dataOnly="0" outline="0" fieldPosition="0"/>
    </format>
    <format dxfId="387">
      <pivotArea outline="0" collapsedLevelsAreSubtotals="1" fieldPosition="0"/>
    </format>
    <format dxfId="386">
      <pivotArea dataOnly="0" labelOnly="1" outline="0" axis="axisValues" fieldPosition="0"/>
    </format>
    <format dxfId="385">
      <pivotArea type="all" dataOnly="0" outline="0" fieldPosition="0"/>
    </format>
    <format dxfId="384">
      <pivotArea outline="0" collapsedLevelsAreSubtotals="1" fieldPosition="0"/>
    </format>
    <format dxfId="383">
      <pivotArea dataOnly="0" labelOnly="1" outline="0" axis="axisValues" fieldPosition="0"/>
    </format>
    <format dxfId="382">
      <pivotArea type="all" dataOnly="0" outline="0" fieldPosition="0"/>
    </format>
    <format dxfId="381">
      <pivotArea outline="0" collapsedLevelsAreSubtotals="1" fieldPosition="0"/>
    </format>
    <format dxfId="380">
      <pivotArea dataOnly="0" labelOnly="1" outline="0" axis="axisValues" fieldPosition="0"/>
    </format>
    <format dxfId="379">
      <pivotArea type="all" dataOnly="0" outline="0" fieldPosition="0"/>
    </format>
    <format dxfId="378">
      <pivotArea outline="0" collapsedLevelsAreSubtotals="1" fieldPosition="0"/>
    </format>
    <format dxfId="377">
      <pivotArea dataOnly="0" labelOnly="1" outline="0" axis="axisValues" fieldPosition="0"/>
    </format>
    <format dxfId="376">
      <pivotArea type="all" dataOnly="0" outline="0" fieldPosition="0"/>
    </format>
    <format dxfId="375">
      <pivotArea outline="0" collapsedLevelsAreSubtotals="1" fieldPosition="0"/>
    </format>
    <format dxfId="374">
      <pivotArea dataOnly="0" labelOnly="1" outline="0" axis="axisValues" fieldPosition="0"/>
    </format>
    <format dxfId="373">
      <pivotArea type="all" dataOnly="0" outline="0" fieldPosition="0"/>
    </format>
    <format dxfId="372">
      <pivotArea outline="0" collapsedLevelsAreSubtotals="1" fieldPosition="0"/>
    </format>
    <format dxfId="3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70E47FFC-7E58-41CE-9068-C9A0B4700292}" name="PivotTable56"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33:E134"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432">
      <pivotArea type="all" dataOnly="0" outline="0" fieldPosition="0"/>
    </format>
    <format dxfId="431">
      <pivotArea type="all" dataOnly="0" outline="0" fieldPosition="0"/>
    </format>
    <format dxfId="430">
      <pivotArea type="all" dataOnly="0" outline="0" fieldPosition="0"/>
    </format>
    <format dxfId="429">
      <pivotArea type="all" dataOnly="0" outline="0" fieldPosition="0"/>
    </format>
    <format dxfId="428">
      <pivotArea type="all" dataOnly="0" outline="0" fieldPosition="0"/>
    </format>
    <format dxfId="427">
      <pivotArea type="all" dataOnly="0" outline="0" fieldPosition="0"/>
    </format>
    <format dxfId="426">
      <pivotArea type="all" dataOnly="0" outline="0" fieldPosition="0"/>
    </format>
    <format dxfId="425">
      <pivotArea type="all" dataOnly="0" outline="0" fieldPosition="0"/>
    </format>
    <format dxfId="424">
      <pivotArea type="all" dataOnly="0" outline="0" fieldPosition="0"/>
    </format>
    <format dxfId="423">
      <pivotArea type="all" dataOnly="0" outline="0" fieldPosition="0"/>
    </format>
    <format dxfId="422">
      <pivotArea type="all" dataOnly="0" outline="0" fieldPosition="0"/>
    </format>
    <format dxfId="421">
      <pivotArea outline="0" collapsedLevelsAreSubtotals="1" fieldPosition="0"/>
    </format>
    <format dxfId="420">
      <pivotArea dataOnly="0" labelOnly="1" outline="0" axis="axisValues" fieldPosition="0"/>
    </format>
    <format dxfId="419">
      <pivotArea type="all" dataOnly="0" outline="0" fieldPosition="0"/>
    </format>
    <format dxfId="418">
      <pivotArea outline="0" collapsedLevelsAreSubtotals="1" fieldPosition="0"/>
    </format>
    <format dxfId="417">
      <pivotArea dataOnly="0" labelOnly="1" outline="0" axis="axisValues" fieldPosition="0"/>
    </format>
    <format dxfId="416">
      <pivotArea type="all" dataOnly="0" outline="0" fieldPosition="0"/>
    </format>
    <format dxfId="415">
      <pivotArea outline="0" collapsedLevelsAreSubtotals="1" fieldPosition="0"/>
    </format>
    <format dxfId="414">
      <pivotArea dataOnly="0" labelOnly="1" outline="0" axis="axisValues" fieldPosition="0"/>
    </format>
    <format dxfId="413">
      <pivotArea type="all" dataOnly="0" outline="0" fieldPosition="0"/>
    </format>
    <format dxfId="412">
      <pivotArea outline="0" collapsedLevelsAreSubtotals="1" fieldPosition="0"/>
    </format>
    <format dxfId="411">
      <pivotArea dataOnly="0" labelOnly="1" outline="0" axis="axisValues" fieldPosition="0"/>
    </format>
    <format dxfId="410">
      <pivotArea type="all" dataOnly="0" outline="0" fieldPosition="0"/>
    </format>
    <format dxfId="409">
      <pivotArea outline="0" collapsedLevelsAreSubtotals="1" fieldPosition="0"/>
    </format>
    <format dxfId="408">
      <pivotArea dataOnly="0" labelOnly="1" outline="0" axis="axisValues" fieldPosition="0"/>
    </format>
    <format dxfId="407">
      <pivotArea type="all" dataOnly="0" outline="0" fieldPosition="0"/>
    </format>
    <format dxfId="406">
      <pivotArea outline="0" collapsedLevelsAreSubtotals="1" fieldPosition="0"/>
    </format>
    <format dxfId="405">
      <pivotArea dataOnly="0" labelOnly="1" outline="0" axis="axisValues" fieldPosition="0"/>
    </format>
    <format dxfId="404">
      <pivotArea type="all" dataOnly="0" outline="0" fieldPosition="0"/>
    </format>
    <format dxfId="403">
      <pivotArea outline="0" collapsedLevelsAreSubtotals="1" fieldPosition="0"/>
    </format>
    <format dxfId="40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DEF4F556-C41F-4FF8-8F3F-58A98F2AE80F}" name="PivotTable5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33:B134"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463">
      <pivotArea type="all" dataOnly="0" outline="0" fieldPosition="0"/>
    </format>
    <format dxfId="462">
      <pivotArea type="all" dataOnly="0" outline="0" fieldPosition="0"/>
    </format>
    <format dxfId="461">
      <pivotArea type="all" dataOnly="0" outline="0" fieldPosition="0"/>
    </format>
    <format dxfId="460">
      <pivotArea type="all" dataOnly="0" outline="0" fieldPosition="0"/>
    </format>
    <format dxfId="459">
      <pivotArea type="all" dataOnly="0" outline="0" fieldPosition="0"/>
    </format>
    <format dxfId="458">
      <pivotArea type="all" dataOnly="0" outline="0" fieldPosition="0"/>
    </format>
    <format dxfId="457">
      <pivotArea type="all" dataOnly="0" outline="0" fieldPosition="0"/>
    </format>
    <format dxfId="456">
      <pivotArea type="all" dataOnly="0" outline="0" fieldPosition="0"/>
    </format>
    <format dxfId="455">
      <pivotArea type="all" dataOnly="0" outline="0" fieldPosition="0"/>
    </format>
    <format dxfId="454">
      <pivotArea type="all" dataOnly="0" outline="0" fieldPosition="0"/>
    </format>
    <format dxfId="453">
      <pivotArea type="all" dataOnly="0" outline="0" fieldPosition="0"/>
    </format>
    <format dxfId="452">
      <pivotArea outline="0" collapsedLevelsAreSubtotals="1" fieldPosition="0"/>
    </format>
    <format dxfId="451">
      <pivotArea dataOnly="0" labelOnly="1" outline="0" axis="axisValues" fieldPosition="0"/>
    </format>
    <format dxfId="450">
      <pivotArea type="all" dataOnly="0" outline="0" fieldPosition="0"/>
    </format>
    <format dxfId="449">
      <pivotArea outline="0" collapsedLevelsAreSubtotals="1" fieldPosition="0"/>
    </format>
    <format dxfId="448">
      <pivotArea dataOnly="0" labelOnly="1" outline="0" axis="axisValues" fieldPosition="0"/>
    </format>
    <format dxfId="447">
      <pivotArea type="all" dataOnly="0" outline="0" fieldPosition="0"/>
    </format>
    <format dxfId="446">
      <pivotArea outline="0" collapsedLevelsAreSubtotals="1" fieldPosition="0"/>
    </format>
    <format dxfId="445">
      <pivotArea dataOnly="0" labelOnly="1" outline="0" axis="axisValues" fieldPosition="0"/>
    </format>
    <format dxfId="444">
      <pivotArea type="all" dataOnly="0" outline="0" fieldPosition="0"/>
    </format>
    <format dxfId="443">
      <pivotArea outline="0" collapsedLevelsAreSubtotals="1" fieldPosition="0"/>
    </format>
    <format dxfId="442">
      <pivotArea dataOnly="0" labelOnly="1" outline="0" axis="axisValues" fieldPosition="0"/>
    </format>
    <format dxfId="441">
      <pivotArea type="all" dataOnly="0" outline="0" fieldPosition="0"/>
    </format>
    <format dxfId="440">
      <pivotArea outline="0" collapsedLevelsAreSubtotals="1" fieldPosition="0"/>
    </format>
    <format dxfId="439">
      <pivotArea dataOnly="0" labelOnly="1" outline="0" axis="axisValues" fieldPosition="0"/>
    </format>
    <format dxfId="438">
      <pivotArea type="all" dataOnly="0" outline="0" fieldPosition="0"/>
    </format>
    <format dxfId="437">
      <pivotArea outline="0" collapsedLevelsAreSubtotals="1" fieldPosition="0"/>
    </format>
    <format dxfId="436">
      <pivotArea dataOnly="0" labelOnly="1" outline="0" axis="axisValues" fieldPosition="0"/>
    </format>
    <format dxfId="435">
      <pivotArea type="all" dataOnly="0" outline="0" fieldPosition="0"/>
    </format>
    <format dxfId="434">
      <pivotArea outline="0" collapsedLevelsAreSubtotals="1" fieldPosition="0"/>
    </format>
    <format dxfId="43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C11CE4B3-F938-48BF-94EB-1B52A3523984}" name="PivotTable10"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62:B63" firstHeaderRow="1" firstDataRow="1" firstDataCol="0"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Net Dwellings" fld="42" baseField="0" baseItem="0"/>
  </dataFields>
  <formats count="31">
    <format dxfId="494">
      <pivotArea type="all" dataOnly="0" outline="0" fieldPosition="0"/>
    </format>
    <format dxfId="493">
      <pivotArea type="all" dataOnly="0" outline="0" fieldPosition="0"/>
    </format>
    <format dxfId="492">
      <pivotArea type="all" dataOnly="0" outline="0" fieldPosition="0"/>
    </format>
    <format dxfId="491">
      <pivotArea type="all" dataOnly="0" outline="0" fieldPosition="0"/>
    </format>
    <format dxfId="490">
      <pivotArea type="all" dataOnly="0" outline="0" fieldPosition="0"/>
    </format>
    <format dxfId="489">
      <pivotArea type="all" dataOnly="0" outline="0" fieldPosition="0"/>
    </format>
    <format dxfId="488">
      <pivotArea type="all" dataOnly="0" outline="0" fieldPosition="0"/>
    </format>
    <format dxfId="487">
      <pivotArea type="all" dataOnly="0" outline="0" fieldPosition="0"/>
    </format>
    <format dxfId="486">
      <pivotArea type="all" dataOnly="0" outline="0" fieldPosition="0"/>
    </format>
    <format dxfId="485">
      <pivotArea type="all" dataOnly="0" outline="0" fieldPosition="0"/>
    </format>
    <format dxfId="484">
      <pivotArea type="all" dataOnly="0" outline="0" fieldPosition="0"/>
    </format>
    <format dxfId="483">
      <pivotArea outline="0" collapsedLevelsAreSubtotals="1" fieldPosition="0"/>
    </format>
    <format dxfId="482">
      <pivotArea dataOnly="0" labelOnly="1" outline="0" axis="axisValues" fieldPosition="0"/>
    </format>
    <format dxfId="481">
      <pivotArea type="all" dataOnly="0" outline="0" fieldPosition="0"/>
    </format>
    <format dxfId="480">
      <pivotArea outline="0" collapsedLevelsAreSubtotals="1" fieldPosition="0"/>
    </format>
    <format dxfId="479">
      <pivotArea dataOnly="0" labelOnly="1" outline="0" axis="axisValues" fieldPosition="0"/>
    </format>
    <format dxfId="478">
      <pivotArea type="all" dataOnly="0" outline="0" fieldPosition="0"/>
    </format>
    <format dxfId="477">
      <pivotArea outline="0" collapsedLevelsAreSubtotals="1" fieldPosition="0"/>
    </format>
    <format dxfId="476">
      <pivotArea dataOnly="0" labelOnly="1" outline="0" axis="axisValues" fieldPosition="0"/>
    </format>
    <format dxfId="475">
      <pivotArea type="all" dataOnly="0" outline="0" fieldPosition="0"/>
    </format>
    <format dxfId="474">
      <pivotArea outline="0" collapsedLevelsAreSubtotals="1" fieldPosition="0"/>
    </format>
    <format dxfId="473">
      <pivotArea dataOnly="0" labelOnly="1" outline="0" axis="axisValues" fieldPosition="0"/>
    </format>
    <format dxfId="472">
      <pivotArea type="all" dataOnly="0" outline="0" fieldPosition="0"/>
    </format>
    <format dxfId="471">
      <pivotArea outline="0" collapsedLevelsAreSubtotals="1" fieldPosition="0"/>
    </format>
    <format dxfId="470">
      <pivotArea dataOnly="0" labelOnly="1" outline="0" axis="axisValues" fieldPosition="0"/>
    </format>
    <format dxfId="469">
      <pivotArea type="all" dataOnly="0" outline="0" fieldPosition="0"/>
    </format>
    <format dxfId="468">
      <pivotArea outline="0" collapsedLevelsAreSubtotals="1" fieldPosition="0"/>
    </format>
    <format dxfId="467">
      <pivotArea dataOnly="0" labelOnly="1" outline="0" axis="axisValues" fieldPosition="0"/>
    </format>
    <format dxfId="466">
      <pivotArea type="all" dataOnly="0" outline="0" fieldPosition="0"/>
    </format>
    <format dxfId="465">
      <pivotArea outline="0" collapsedLevelsAreSubtotals="1" fieldPosition="0"/>
    </format>
    <format dxfId="46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3EA58FB-7D0F-49FA-90E2-87D39F3B71E3}" name="PivotTable78"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368:F387" firstHeaderRow="1" firstDataRow="1" firstDataCol="1" rowPageCount="3" colPageCount="1"/>
  <pivotFields count="76">
    <pivotField showAll="0" defaultSubtotal="0"/>
    <pivotField axis="axisPage" multipleItemSelectionAllowed="1" showAll="0" defaultSubtotal="0">
      <items count="5">
        <item h="1" x="2"/>
        <item h="1" x="3"/>
        <item h="1" x="4"/>
        <item x="1"/>
        <item x="0"/>
      </items>
    </pivotField>
    <pivotField axis="axisPage" multipleItemSelectionAllowed="1" showAll="0" defaultSubtotal="0">
      <items count="3">
        <item x="1"/>
        <item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9">
        <item x="10"/>
        <item x="8"/>
        <item x="9"/>
        <item x="1"/>
        <item x="4"/>
        <item x="7"/>
        <item x="3"/>
        <item x="0"/>
        <item x="15"/>
        <item x="14"/>
        <item x="13"/>
        <item x="6"/>
        <item x="12"/>
        <item x="17"/>
        <item x="5"/>
        <item x="16"/>
        <item x="2"/>
        <item x="11"/>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9">
    <i>
      <x/>
    </i>
    <i>
      <x v="1"/>
    </i>
    <i>
      <x v="2"/>
    </i>
    <i>
      <x v="3"/>
    </i>
    <i>
      <x v="4"/>
    </i>
    <i>
      <x v="5"/>
    </i>
    <i>
      <x v="6"/>
    </i>
    <i>
      <x v="7"/>
    </i>
    <i>
      <x v="8"/>
    </i>
    <i>
      <x v="9"/>
    </i>
    <i>
      <x v="10"/>
    </i>
    <i>
      <x v="11"/>
    </i>
    <i>
      <x v="12"/>
    </i>
    <i>
      <x v="13"/>
    </i>
    <i>
      <x v="14"/>
    </i>
    <i>
      <x v="15"/>
    </i>
    <i>
      <x v="16"/>
    </i>
    <i>
      <x v="17"/>
    </i>
    <i t="grand">
      <x/>
    </i>
  </rowItems>
  <colItems count="1">
    <i/>
  </colItems>
  <pageFields count="3">
    <pageField fld="7" hier="-1"/>
    <pageField fld="2" hier="-1"/>
    <pageField fld="1" hier="-1"/>
  </pageFields>
  <dataFields count="1">
    <dataField name="Sum of Net Dwellings" fld="42" baseField="0" baseItem="0"/>
  </dataFields>
  <formats count="37">
    <format dxfId="531">
      <pivotArea type="all" dataOnly="0" outline="0" fieldPosition="0"/>
    </format>
    <format dxfId="530">
      <pivotArea type="all" dataOnly="0" outline="0" fieldPosition="0"/>
    </format>
    <format dxfId="529">
      <pivotArea type="all" dataOnly="0" outline="0" fieldPosition="0"/>
    </format>
    <format dxfId="528">
      <pivotArea type="all" dataOnly="0" outline="0" fieldPosition="0"/>
    </format>
    <format dxfId="527">
      <pivotArea type="all" dataOnly="0" outline="0" fieldPosition="0"/>
    </format>
    <format dxfId="526">
      <pivotArea type="all" dataOnly="0" outline="0" fieldPosition="0"/>
    </format>
    <format dxfId="525">
      <pivotArea type="all" dataOnly="0" outline="0" fieldPosition="0"/>
    </format>
    <format dxfId="524">
      <pivotArea field="63" type="button" dataOnly="0" labelOnly="1" outline="0"/>
    </format>
    <format dxfId="523">
      <pivotArea dataOnly="0" labelOnly="1" outline="0" fieldPosition="0">
        <references count="1">
          <reference field="4294967294" count="1">
            <x v="0"/>
          </reference>
        </references>
      </pivotArea>
    </format>
    <format dxfId="522">
      <pivotArea field="63" type="button" dataOnly="0" labelOnly="1" outline="0"/>
    </format>
    <format dxfId="521">
      <pivotArea dataOnly="0" labelOnly="1" outline="0" fieldPosition="0">
        <references count="1">
          <reference field="4294967294" count="1">
            <x v="0"/>
          </reference>
        </references>
      </pivotArea>
    </format>
    <format dxfId="520">
      <pivotArea field="63" type="button" dataOnly="0" labelOnly="1" outline="0"/>
    </format>
    <format dxfId="519">
      <pivotArea dataOnly="0" labelOnly="1" outline="0" fieldPosition="0">
        <references count="1">
          <reference field="4294967294" count="1">
            <x v="0"/>
          </reference>
        </references>
      </pivotArea>
    </format>
    <format dxfId="518">
      <pivotArea type="all" dataOnly="0" outline="0" fieldPosition="0"/>
    </format>
    <format dxfId="517">
      <pivotArea type="all" dataOnly="0" outline="0" fieldPosition="0"/>
    </format>
    <format dxfId="516">
      <pivotArea type="all" dataOnly="0" outline="0" fieldPosition="0"/>
    </format>
    <format dxfId="515">
      <pivotArea type="all" dataOnly="0" outline="0" fieldPosition="0"/>
    </format>
    <format dxfId="514">
      <pivotArea outline="0" collapsedLevelsAreSubtotals="1" fieldPosition="0"/>
    </format>
    <format dxfId="513">
      <pivotArea field="63" type="button" dataOnly="0" labelOnly="1" outline="0"/>
    </format>
    <format dxfId="512">
      <pivotArea dataOnly="0" labelOnly="1" grandRow="1" outline="0" fieldPosition="0"/>
    </format>
    <format dxfId="511">
      <pivotArea dataOnly="0" labelOnly="1" outline="0" axis="axisValues" fieldPosition="0"/>
    </format>
    <format dxfId="510">
      <pivotArea type="all" dataOnly="0" outline="0" fieldPosition="0"/>
    </format>
    <format dxfId="509">
      <pivotArea outline="0" collapsedLevelsAreSubtotals="1" fieldPosition="0"/>
    </format>
    <format dxfId="508">
      <pivotArea field="63" type="button" dataOnly="0" labelOnly="1" outline="0"/>
    </format>
    <format dxfId="507">
      <pivotArea dataOnly="0" labelOnly="1" grandRow="1" outline="0" fieldPosition="0"/>
    </format>
    <format dxfId="506">
      <pivotArea dataOnly="0" labelOnly="1" outline="0" axis="axisValues" fieldPosition="0"/>
    </format>
    <format dxfId="505">
      <pivotArea type="all" dataOnly="0" outline="0" fieldPosition="0"/>
    </format>
    <format dxfId="504">
      <pivotArea outline="0" collapsedLevelsAreSubtotals="1" fieldPosition="0"/>
    </format>
    <format dxfId="503">
      <pivotArea field="63" type="button" dataOnly="0" labelOnly="1" outline="0"/>
    </format>
    <format dxfId="502">
      <pivotArea dataOnly="0" labelOnly="1" grandRow="1" outline="0" fieldPosition="0"/>
    </format>
    <format dxfId="501">
      <pivotArea dataOnly="0" labelOnly="1" outline="0" axis="axisValues" fieldPosition="0"/>
    </format>
    <format dxfId="500">
      <pivotArea type="all" dataOnly="0" outline="0" fieldPosition="0"/>
    </format>
    <format dxfId="499">
      <pivotArea outline="0" collapsedLevelsAreSubtotals="1" fieldPosition="0"/>
    </format>
    <format dxfId="498">
      <pivotArea field="65" type="button" dataOnly="0" labelOnly="1" outline="0" axis="axisRow" fieldPosition="0"/>
    </format>
    <format dxfId="497">
      <pivotArea dataOnly="0" labelOnly="1" fieldPosition="0">
        <references count="1">
          <reference field="65" count="0"/>
        </references>
      </pivotArea>
    </format>
    <format dxfId="496">
      <pivotArea dataOnly="0" labelOnly="1" grandRow="1" outline="0" fieldPosition="0"/>
    </format>
    <format dxfId="49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E60ABB74-B2F0-42CC-88AB-BA9FD061E91D}" name="PivotTable8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450:H460" firstHeaderRow="0" firstDataRow="1" firstDataCol="1" rowPageCount="1" colPageCount="1"/>
  <pivotFields count="76">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defaultSubtotal="0">
      <items count="19">
        <item x="0"/>
        <item x="1"/>
        <item x="2"/>
        <item x="3"/>
        <item x="4"/>
        <item x="5"/>
        <item x="10"/>
        <item x="11"/>
        <item x="6"/>
        <item x="8"/>
        <item x="7"/>
        <item x="14"/>
        <item x="9"/>
        <item x="12"/>
        <item x="13"/>
        <item x="15"/>
        <item x="16"/>
        <item x="17"/>
        <item x="18"/>
      </items>
    </pivotField>
    <pivotField showAll="0"/>
    <pivotField axis="axisRow" showAll="0">
      <items count="21">
        <item x="6"/>
        <item x="12"/>
        <item x="1"/>
        <item x="5"/>
        <item x="15"/>
        <item x="16"/>
        <item x="8"/>
        <item x="2"/>
        <item x="7"/>
        <item x="9"/>
        <item x="18"/>
        <item x="4"/>
        <item x="3"/>
        <item x="14"/>
        <item x="0"/>
        <item x="13"/>
        <item x="10"/>
        <item x="11"/>
        <item x="17"/>
        <item m="1" x="19"/>
        <item t="default"/>
      </items>
    </pivotField>
    <pivotField showAll="0" defaultSubtotal="0"/>
    <pivotField showAll="0"/>
    <pivotField showAll="0"/>
    <pivotField showAll="0"/>
    <pivotField showAll="0"/>
    <pivotField showAll="0"/>
    <pivotField showAll="0"/>
    <pivotField showAll="0"/>
    <pivotField dragToRow="0" dragToCol="0" dragToPage="0" showAll="0" defaultSubtotal="0"/>
    <pivotField dataField="1" dragToRow="0" dragToCol="0" dragToPage="0" showAll="0" defaultSubtotal="0"/>
  </pivotFields>
  <rowFields count="1">
    <field x="65"/>
  </rowFields>
  <rowItems count="10">
    <i>
      <x v="2"/>
    </i>
    <i>
      <x v="3"/>
    </i>
    <i>
      <x v="9"/>
    </i>
    <i>
      <x v="10"/>
    </i>
    <i>
      <x v="11"/>
    </i>
    <i>
      <x v="13"/>
    </i>
    <i>
      <x v="15"/>
    </i>
    <i>
      <x v="16"/>
    </i>
    <i>
      <x v="18"/>
    </i>
    <i t="grand">
      <x/>
    </i>
  </rowItems>
  <colFields count="1">
    <field x="-2"/>
  </colFields>
  <colItems count="6">
    <i>
      <x/>
    </i>
    <i i="1">
      <x v="1"/>
    </i>
    <i i="2">
      <x v="2"/>
    </i>
    <i i="3">
      <x v="3"/>
    </i>
    <i i="4">
      <x v="4"/>
    </i>
    <i i="5">
      <x v="5"/>
    </i>
  </colItems>
  <pageFields count="1">
    <pageField fld="7" hier="-1"/>
  </pageFields>
  <dataFields count="6">
    <dataField name="Sum of 2026/27 (6)" fld="51" baseField="0" baseItem="0"/>
    <dataField name="Sum of 2027/28 (7)" fld="52" baseField="0" baseItem="0"/>
    <dataField name="Sum of 2028/29 (8)" fld="53" baseField="0" baseItem="0"/>
    <dataField name="Sum of 2029/30 (9)" fld="54" baseField="0" baseItem="0"/>
    <dataField name="Sum of 2030/31 (10)" fld="55" baseField="0" baseItem="0"/>
    <dataField name="Sum of 6-10 Year" fld="75" baseField="0" baseItem="0"/>
  </dataFields>
  <formats count="36">
    <format dxfId="567">
      <pivotArea type="all" dataOnly="0" outline="0" fieldPosition="0"/>
    </format>
    <format dxfId="566">
      <pivotArea type="all" dataOnly="0" outline="0" fieldPosition="0"/>
    </format>
    <format dxfId="565">
      <pivotArea type="all" dataOnly="0" outline="0" fieldPosition="0"/>
    </format>
    <format dxfId="564">
      <pivotArea type="all" dataOnly="0" outline="0" fieldPosition="0"/>
    </format>
    <format dxfId="563">
      <pivotArea type="all" dataOnly="0" outline="0" fieldPosition="0"/>
    </format>
    <format dxfId="562">
      <pivotArea type="all" dataOnly="0" outline="0" fieldPosition="0"/>
    </format>
    <format dxfId="561">
      <pivotArea type="all" dataOnly="0" outline="0" fieldPosition="0"/>
    </format>
    <format dxfId="560">
      <pivotArea field="63" type="button" dataOnly="0" labelOnly="1" outline="0"/>
    </format>
    <format dxfId="559">
      <pivotArea field="63" type="button" dataOnly="0" labelOnly="1" outline="0"/>
    </format>
    <format dxfId="558">
      <pivotArea field="63" type="button" dataOnly="0" labelOnly="1" outline="0"/>
    </format>
    <format dxfId="557">
      <pivotArea type="all" dataOnly="0" outline="0" fieldPosition="0"/>
    </format>
    <format dxfId="556">
      <pivotArea type="all" dataOnly="0" outline="0" fieldPosition="0"/>
    </format>
    <format dxfId="555">
      <pivotArea type="all" dataOnly="0" outline="0" fieldPosition="0"/>
    </format>
    <format dxfId="554">
      <pivotArea type="all" dataOnly="0" outline="0" fieldPosition="0"/>
    </format>
    <format dxfId="553">
      <pivotArea outline="0" collapsedLevelsAreSubtotals="1" fieldPosition="0"/>
    </format>
    <format dxfId="552">
      <pivotArea field="63" type="button" dataOnly="0" labelOnly="1" outline="0"/>
    </format>
    <format dxfId="551">
      <pivotArea dataOnly="0" labelOnly="1" grandRow="1" outline="0" fieldPosition="0"/>
    </format>
    <format dxfId="550">
      <pivotArea outline="0" collapsedLevelsAreSubtotals="1" fieldPosition="0"/>
    </format>
    <format dxfId="549">
      <pivotArea type="all" dataOnly="0" outline="0" fieldPosition="0"/>
    </format>
    <format dxfId="548">
      <pivotArea outline="0" collapsedLevelsAreSubtotals="1" fieldPosition="0"/>
    </format>
    <format dxfId="547">
      <pivotArea field="63" type="button" dataOnly="0" labelOnly="1" outline="0"/>
    </format>
    <format dxfId="546">
      <pivotArea dataOnly="0" labelOnly="1" grandRow="1" outline="0" fieldPosition="0"/>
    </format>
    <format dxfId="545">
      <pivotArea type="all" dataOnly="0" outline="0" fieldPosition="0"/>
    </format>
    <format dxfId="544">
      <pivotArea outline="0" collapsedLevelsAreSubtotals="1" fieldPosition="0"/>
    </format>
    <format dxfId="543">
      <pivotArea field="63" type="button" dataOnly="0" labelOnly="1" outline="0"/>
    </format>
    <format dxfId="542">
      <pivotArea dataOnly="0" labelOnly="1" grandRow="1" outline="0" fieldPosition="0"/>
    </format>
    <format dxfId="541">
      <pivotArea type="all" dataOnly="0" outline="0" fieldPosition="0"/>
    </format>
    <format dxfId="540">
      <pivotArea outline="0" collapsedLevelsAreSubtotals="1" fieldPosition="0"/>
    </format>
    <format dxfId="539">
      <pivotArea dataOnly="0" labelOnly="1" fieldPosition="0">
        <references count="1">
          <reference field="65" count="10">
            <x v="2"/>
            <x v="3"/>
            <x v="8"/>
            <x v="9"/>
            <x v="10"/>
            <x v="11"/>
            <x v="13"/>
            <x v="15"/>
            <x v="16"/>
            <x v="18"/>
          </reference>
        </references>
      </pivotArea>
    </format>
    <format dxfId="538">
      <pivotArea outline="0" collapsedLevelsAreSubtotals="1" fieldPosition="0"/>
    </format>
    <format dxfId="537">
      <pivotArea type="all" dataOnly="0" outline="0" fieldPosition="0"/>
    </format>
    <format dxfId="536">
      <pivotArea outline="0" collapsedLevelsAreSubtotals="1" fieldPosition="0"/>
    </format>
    <format dxfId="535">
      <pivotArea field="65" type="button" dataOnly="0" labelOnly="1" outline="0" axis="axisRow" fieldPosition="0"/>
    </format>
    <format dxfId="534">
      <pivotArea dataOnly="0" labelOnly="1" fieldPosition="0">
        <references count="1">
          <reference field="65" count="9">
            <x v="2"/>
            <x v="3"/>
            <x v="9"/>
            <x v="10"/>
            <x v="11"/>
            <x v="13"/>
            <x v="15"/>
            <x v="16"/>
            <x v="18"/>
          </reference>
        </references>
      </pivotArea>
    </format>
    <format dxfId="533">
      <pivotArea dataOnly="0" labelOnly="1" grandRow="1" outline="0" fieldPosition="0"/>
    </format>
    <format dxfId="532">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9B564E6D-B957-4087-AED9-B845E34B8F93}" name="PivotTable36"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261:I264"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axis="axisRow" showAll="0">
      <items count="3">
        <item x="1"/>
        <item x="0"/>
        <item t="default"/>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4"/>
  </rowFields>
  <rowItems count="3">
    <i>
      <x/>
    </i>
    <i>
      <x v="1"/>
    </i>
    <i t="grand">
      <x/>
    </i>
  </rowItems>
  <colItems count="1">
    <i/>
  </colItems>
  <pageFields count="1">
    <pageField fld="7" hier="-1"/>
  </pageFields>
  <dataFields count="1">
    <dataField name="Sum of Net Dwellings" fld="42" baseField="0" baseItem="0"/>
  </dataFields>
  <formats count="28">
    <format dxfId="595">
      <pivotArea type="all" dataOnly="0" outline="0" fieldPosition="0"/>
    </format>
    <format dxfId="594">
      <pivotArea type="all" dataOnly="0" outline="0" fieldPosition="0"/>
    </format>
    <format dxfId="593">
      <pivotArea type="all" dataOnly="0" outline="0" fieldPosition="0"/>
    </format>
    <format dxfId="592">
      <pivotArea type="all" dataOnly="0" outline="0" fieldPosition="0"/>
    </format>
    <format dxfId="591">
      <pivotArea type="all" dataOnly="0" outline="0" fieldPosition="0"/>
    </format>
    <format dxfId="590">
      <pivotArea type="all" dataOnly="0" outline="0" fieldPosition="0"/>
    </format>
    <format dxfId="589">
      <pivotArea type="all" dataOnly="0" outline="0" fieldPosition="0"/>
    </format>
    <format dxfId="588">
      <pivotArea type="all" dataOnly="0" outline="0" fieldPosition="0"/>
    </format>
    <format dxfId="587">
      <pivotArea type="all" dataOnly="0" outline="0" fieldPosition="0"/>
    </format>
    <format dxfId="586">
      <pivotArea type="all" dataOnly="0" outline="0" fieldPosition="0"/>
    </format>
    <format dxfId="585">
      <pivotArea type="all" dataOnly="0" outline="0" fieldPosition="0"/>
    </format>
    <format dxfId="584">
      <pivotArea outline="0" collapsedLevelsAreSubtotals="1" fieldPosition="0"/>
    </format>
    <format dxfId="583">
      <pivotArea dataOnly="0" labelOnly="1" grandRow="1" outline="0" fieldPosition="0"/>
    </format>
    <format dxfId="582">
      <pivotArea dataOnly="0" labelOnly="1" outline="0" axis="axisValues" fieldPosition="0"/>
    </format>
    <format dxfId="581">
      <pivotArea type="all" dataOnly="0" outline="0" fieldPosition="0"/>
    </format>
    <format dxfId="580">
      <pivotArea outline="0" collapsedLevelsAreSubtotals="1" fieldPosition="0"/>
    </format>
    <format dxfId="579">
      <pivotArea dataOnly="0" labelOnly="1" grandRow="1" outline="0" fieldPosition="0"/>
    </format>
    <format dxfId="578">
      <pivotArea dataOnly="0" labelOnly="1" outline="0" axis="axisValues" fieldPosition="0"/>
    </format>
    <format dxfId="577">
      <pivotArea type="all" dataOnly="0" outline="0" fieldPosition="0"/>
    </format>
    <format dxfId="576">
      <pivotArea outline="0" collapsedLevelsAreSubtotals="1" fieldPosition="0"/>
    </format>
    <format dxfId="575">
      <pivotArea dataOnly="0" labelOnly="1" grandRow="1" outline="0" fieldPosition="0"/>
    </format>
    <format dxfId="574">
      <pivotArea dataOnly="0" labelOnly="1" outline="0" axis="axisValues" fieldPosition="0"/>
    </format>
    <format dxfId="573">
      <pivotArea type="all" dataOnly="0" outline="0" fieldPosition="0"/>
    </format>
    <format dxfId="572">
      <pivotArea outline="0" collapsedLevelsAreSubtotals="1" fieldPosition="0"/>
    </format>
    <format dxfId="571">
      <pivotArea field="64" type="button" dataOnly="0" labelOnly="1" outline="0" axis="axisRow" fieldPosition="0"/>
    </format>
    <format dxfId="570">
      <pivotArea dataOnly="0" labelOnly="1" fieldPosition="0">
        <references count="1">
          <reference field="64" count="0"/>
        </references>
      </pivotArea>
    </format>
    <format dxfId="569">
      <pivotArea dataOnly="0" labelOnly="1" grandRow="1" outline="0" fieldPosition="0"/>
    </format>
    <format dxfId="56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F3BE0F4-1517-40D1-869F-F4D4B111DF48}" name="PivotTable4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07:H108"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69">
      <pivotArea type="all" dataOnly="0" outline="0" fieldPosition="0"/>
    </format>
    <format dxfId="68">
      <pivotArea type="all" dataOnly="0" outline="0" fieldPosition="0"/>
    </format>
    <format dxfId="67">
      <pivotArea type="all" dataOnly="0" outline="0" fieldPosition="0"/>
    </format>
    <format dxfId="66">
      <pivotArea type="all" dataOnly="0" outline="0" fieldPosition="0"/>
    </format>
    <format dxfId="65">
      <pivotArea type="all" dataOnly="0" outline="0" fieldPosition="0"/>
    </format>
    <format dxfId="64">
      <pivotArea type="all" dataOnly="0" outline="0" fieldPosition="0"/>
    </format>
    <format dxfId="63">
      <pivotArea type="all" dataOnly="0" outline="0" fieldPosition="0"/>
    </format>
    <format dxfId="62">
      <pivotArea type="all" dataOnly="0" outline="0" fieldPosition="0"/>
    </format>
    <format dxfId="61">
      <pivotArea type="all" dataOnly="0" outline="0" fieldPosition="0"/>
    </format>
    <format dxfId="60">
      <pivotArea type="all" dataOnly="0" outline="0" fieldPosition="0"/>
    </format>
    <format dxfId="59">
      <pivotArea type="all" dataOnly="0" outline="0" fieldPosition="0"/>
    </format>
    <format dxfId="58">
      <pivotArea outline="0" collapsedLevelsAreSubtotals="1" fieldPosition="0"/>
    </format>
    <format dxfId="57">
      <pivotArea dataOnly="0" labelOnly="1" outline="0" axis="axisValues" fieldPosition="0"/>
    </format>
    <format dxfId="56">
      <pivotArea type="all" dataOnly="0" outline="0" fieldPosition="0"/>
    </format>
    <format dxfId="55">
      <pivotArea outline="0" collapsedLevelsAreSubtotals="1" fieldPosition="0"/>
    </format>
    <format dxfId="54">
      <pivotArea dataOnly="0" labelOnly="1" outline="0" axis="axisValues" fieldPosition="0"/>
    </format>
    <format dxfId="53">
      <pivotArea type="all" dataOnly="0" outline="0" fieldPosition="0"/>
    </format>
    <format dxfId="52">
      <pivotArea outline="0" collapsedLevelsAreSubtotals="1" fieldPosition="0"/>
    </format>
    <format dxfId="51">
      <pivotArea dataOnly="0" labelOnly="1" outline="0" axis="axisValues" fieldPosition="0"/>
    </format>
    <format dxfId="50">
      <pivotArea type="all" dataOnly="0" outline="0" fieldPosition="0"/>
    </format>
    <format dxfId="49">
      <pivotArea outline="0" collapsedLevelsAreSubtotals="1" fieldPosition="0"/>
    </format>
    <format dxfId="48">
      <pivotArea dataOnly="0" labelOnly="1" outline="0" axis="axisValues" fieldPosition="0"/>
    </format>
    <format dxfId="47">
      <pivotArea type="all" dataOnly="0" outline="0" fieldPosition="0"/>
    </format>
    <format dxfId="46">
      <pivotArea outline="0" collapsedLevelsAreSubtotals="1" fieldPosition="0"/>
    </format>
    <format dxfId="45">
      <pivotArea dataOnly="0" labelOnly="1" outline="0" axis="axisValues" fieldPosition="0"/>
    </format>
    <format dxfId="44">
      <pivotArea type="all" dataOnly="0" outline="0" fieldPosition="0"/>
    </format>
    <format dxfId="43">
      <pivotArea outline="0" collapsedLevelsAreSubtotals="1" fieldPosition="0"/>
    </format>
    <format dxfId="42">
      <pivotArea dataOnly="0" labelOnly="1" outline="0" axis="axisValues" fieldPosition="0"/>
    </format>
    <format dxfId="41">
      <pivotArea type="all" dataOnly="0" outline="0" fieldPosition="0"/>
    </format>
    <format dxfId="40">
      <pivotArea outline="0" collapsedLevelsAreSubtotals="1" fieldPosition="0"/>
    </format>
    <format dxfId="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9685A07A-8449-4E17-AE65-0F90B7922DAB}" name="PivotTable5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41:E142"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626">
      <pivotArea type="all" dataOnly="0" outline="0" fieldPosition="0"/>
    </format>
    <format dxfId="625">
      <pivotArea type="all" dataOnly="0" outline="0" fieldPosition="0"/>
    </format>
    <format dxfId="624">
      <pivotArea type="all" dataOnly="0" outline="0" fieldPosition="0"/>
    </format>
    <format dxfId="623">
      <pivotArea type="all" dataOnly="0" outline="0" fieldPosition="0"/>
    </format>
    <format dxfId="622">
      <pivotArea type="all" dataOnly="0" outline="0" fieldPosition="0"/>
    </format>
    <format dxfId="621">
      <pivotArea type="all" dataOnly="0" outline="0" fieldPosition="0"/>
    </format>
    <format dxfId="620">
      <pivotArea type="all" dataOnly="0" outline="0" fieldPosition="0"/>
    </format>
    <format dxfId="619">
      <pivotArea type="all" dataOnly="0" outline="0" fieldPosition="0"/>
    </format>
    <format dxfId="618">
      <pivotArea type="all" dataOnly="0" outline="0" fieldPosition="0"/>
    </format>
    <format dxfId="617">
      <pivotArea type="all" dataOnly="0" outline="0" fieldPosition="0"/>
    </format>
    <format dxfId="616">
      <pivotArea type="all" dataOnly="0" outline="0" fieldPosition="0"/>
    </format>
    <format dxfId="615">
      <pivotArea outline="0" collapsedLevelsAreSubtotals="1" fieldPosition="0"/>
    </format>
    <format dxfId="614">
      <pivotArea dataOnly="0" labelOnly="1" outline="0" axis="axisValues" fieldPosition="0"/>
    </format>
    <format dxfId="613">
      <pivotArea type="all" dataOnly="0" outline="0" fieldPosition="0"/>
    </format>
    <format dxfId="612">
      <pivotArea outline="0" collapsedLevelsAreSubtotals="1" fieldPosition="0"/>
    </format>
    <format dxfId="611">
      <pivotArea dataOnly="0" labelOnly="1" outline="0" axis="axisValues" fieldPosition="0"/>
    </format>
    <format dxfId="610">
      <pivotArea type="all" dataOnly="0" outline="0" fieldPosition="0"/>
    </format>
    <format dxfId="609">
      <pivotArea outline="0" collapsedLevelsAreSubtotals="1" fieldPosition="0"/>
    </format>
    <format dxfId="608">
      <pivotArea dataOnly="0" labelOnly="1" outline="0" axis="axisValues" fieldPosition="0"/>
    </format>
    <format dxfId="607">
      <pivotArea type="all" dataOnly="0" outline="0" fieldPosition="0"/>
    </format>
    <format dxfId="606">
      <pivotArea outline="0" collapsedLevelsAreSubtotals="1" fieldPosition="0"/>
    </format>
    <format dxfId="605">
      <pivotArea dataOnly="0" labelOnly="1" outline="0" axis="axisValues" fieldPosition="0"/>
    </format>
    <format dxfId="604">
      <pivotArea type="all" dataOnly="0" outline="0" fieldPosition="0"/>
    </format>
    <format dxfId="603">
      <pivotArea outline="0" collapsedLevelsAreSubtotals="1" fieldPosition="0"/>
    </format>
    <format dxfId="602">
      <pivotArea dataOnly="0" labelOnly="1" outline="0" axis="axisValues" fieldPosition="0"/>
    </format>
    <format dxfId="601">
      <pivotArea type="all" dataOnly="0" outline="0" fieldPosition="0"/>
    </format>
    <format dxfId="600">
      <pivotArea outline="0" collapsedLevelsAreSubtotals="1" fieldPosition="0"/>
    </format>
    <format dxfId="599">
      <pivotArea dataOnly="0" labelOnly="1" outline="0" axis="axisValues" fieldPosition="0"/>
    </format>
    <format dxfId="598">
      <pivotArea type="all" dataOnly="0" outline="0" fieldPosition="0"/>
    </format>
    <format dxfId="597">
      <pivotArea outline="0" collapsedLevelsAreSubtotals="1" fieldPosition="0"/>
    </format>
    <format dxfId="59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946BBB6A-5AD6-42D9-B2C9-EDA39D6559D2}" name="PivotTable9"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273:C292"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defaultSubtotal="0">
      <items count="19">
        <item x="6"/>
        <item x="12"/>
        <item x="1"/>
        <item x="2"/>
        <item x="16"/>
        <item x="5"/>
        <item x="15"/>
        <item x="8"/>
        <item x="7"/>
        <item x="9"/>
        <item x="4"/>
        <item x="14"/>
        <item x="3"/>
        <item x="0"/>
        <item x="13"/>
        <item x="10"/>
        <item x="11"/>
        <item x="17"/>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42" baseField="0" baseItem="0"/>
  </dataFields>
  <formats count="31">
    <format dxfId="657">
      <pivotArea type="all" dataOnly="0" outline="0" fieldPosition="0"/>
    </format>
    <format dxfId="656">
      <pivotArea type="all" dataOnly="0" outline="0" fieldPosition="0"/>
    </format>
    <format dxfId="655">
      <pivotArea type="all" dataOnly="0" outline="0" fieldPosition="0"/>
    </format>
    <format dxfId="654">
      <pivotArea type="all" dataOnly="0" outline="0" fieldPosition="0"/>
    </format>
    <format dxfId="653">
      <pivotArea type="all" dataOnly="0" outline="0" fieldPosition="0"/>
    </format>
    <format dxfId="652">
      <pivotArea type="all" dataOnly="0" outline="0" fieldPosition="0"/>
    </format>
    <format dxfId="651">
      <pivotArea type="all" dataOnly="0" outline="0" fieldPosition="0"/>
    </format>
    <format dxfId="650">
      <pivotArea type="all" dataOnly="0" outline="0" fieldPosition="0"/>
    </format>
    <format dxfId="649">
      <pivotArea type="all" dataOnly="0" outline="0" fieldPosition="0"/>
    </format>
    <format dxfId="648">
      <pivotArea type="all" dataOnly="0" outline="0" fieldPosition="0"/>
    </format>
    <format dxfId="647">
      <pivotArea type="all" dataOnly="0" outline="0" fieldPosition="0"/>
    </format>
    <format dxfId="646">
      <pivotArea outline="0" collapsedLevelsAreSubtotals="1" fieldPosition="0"/>
    </format>
    <format dxfId="645">
      <pivotArea field="63" type="button" dataOnly="0" labelOnly="1" outline="0"/>
    </format>
    <format dxfId="644">
      <pivotArea dataOnly="0" labelOnly="1" grandRow="1" outline="0" fieldPosition="0"/>
    </format>
    <format dxfId="643">
      <pivotArea dataOnly="0" labelOnly="1" outline="0" axis="axisValues" fieldPosition="0"/>
    </format>
    <format dxfId="642">
      <pivotArea type="all" dataOnly="0" outline="0" fieldPosition="0"/>
    </format>
    <format dxfId="641">
      <pivotArea outline="0" collapsedLevelsAreSubtotals="1" fieldPosition="0"/>
    </format>
    <format dxfId="640">
      <pivotArea field="63" type="button" dataOnly="0" labelOnly="1" outline="0"/>
    </format>
    <format dxfId="639">
      <pivotArea dataOnly="0" labelOnly="1" grandRow="1" outline="0" fieldPosition="0"/>
    </format>
    <format dxfId="638">
      <pivotArea dataOnly="0" labelOnly="1" outline="0" axis="axisValues" fieldPosition="0"/>
    </format>
    <format dxfId="637">
      <pivotArea type="all" dataOnly="0" outline="0" fieldPosition="0"/>
    </format>
    <format dxfId="636">
      <pivotArea outline="0" collapsedLevelsAreSubtotals="1" fieldPosition="0"/>
    </format>
    <format dxfId="635">
      <pivotArea field="63" type="button" dataOnly="0" labelOnly="1" outline="0"/>
    </format>
    <format dxfId="634">
      <pivotArea dataOnly="0" labelOnly="1" grandRow="1" outline="0" fieldPosition="0"/>
    </format>
    <format dxfId="633">
      <pivotArea dataOnly="0" labelOnly="1" outline="0" axis="axisValues" fieldPosition="0"/>
    </format>
    <format dxfId="632">
      <pivotArea type="all" dataOnly="0" outline="0" fieldPosition="0"/>
    </format>
    <format dxfId="631">
      <pivotArea outline="0" collapsedLevelsAreSubtotals="1" fieldPosition="0"/>
    </format>
    <format dxfId="630">
      <pivotArea field="65" type="button" dataOnly="0" labelOnly="1" outline="0" axis="axisRow" fieldPosition="0"/>
    </format>
    <format dxfId="629">
      <pivotArea dataOnly="0" labelOnly="1" fieldPosition="0">
        <references count="1">
          <reference field="65" count="0"/>
        </references>
      </pivotArea>
    </format>
    <format dxfId="628">
      <pivotArea dataOnly="0" labelOnly="1" grandRow="1" outline="0" fieldPosition="0"/>
    </format>
    <format dxfId="62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D7429D4B-C2E7-472D-B973-C6AFFC5D415C}" name="PivotTable8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434:H444" firstHeaderRow="0" firstDataRow="1" firstDataCol="1" rowPageCount="1" colPageCount="1"/>
  <pivotFields count="76">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9">
        <item x="0"/>
        <item x="1"/>
        <item x="2"/>
        <item x="3"/>
        <item x="4"/>
        <item x="5"/>
        <item x="10"/>
        <item x="11"/>
        <item x="6"/>
        <item x="8"/>
        <item x="7"/>
        <item x="14"/>
        <item x="9"/>
        <item x="12"/>
        <item x="13"/>
        <item x="15"/>
        <item x="16"/>
        <item x="17"/>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defaultSubtotal="0"/>
    <pivotField showAll="0"/>
    <pivotField showAll="0"/>
    <pivotField showAll="0"/>
    <pivotField showAll="0"/>
    <pivotField showAll="0"/>
    <pivotField showAll="0"/>
    <pivotField showAll="0"/>
    <pivotField dataField="1" dragToRow="0" dragToCol="0" dragToPage="0" showAll="0" defaultSubtotal="0"/>
    <pivotField dragToRow="0" dragToCol="0" dragToPage="0" showAll="0" defaultSubtotal="0"/>
  </pivotFields>
  <rowFields count="1">
    <field x="65"/>
  </rowFields>
  <rowItems count="10">
    <i>
      <x v="2"/>
    </i>
    <i>
      <x v="3"/>
    </i>
    <i>
      <x v="9"/>
    </i>
    <i>
      <x v="10"/>
    </i>
    <i>
      <x v="12"/>
    </i>
    <i>
      <x v="14"/>
    </i>
    <i>
      <x v="15"/>
    </i>
    <i>
      <x v="17"/>
    </i>
    <i>
      <x v="18"/>
    </i>
    <i t="grand">
      <x/>
    </i>
  </rowItems>
  <colFields count="1">
    <field x="-2"/>
  </colFields>
  <colItems count="6">
    <i>
      <x/>
    </i>
    <i i="1">
      <x v="1"/>
    </i>
    <i i="2">
      <x v="2"/>
    </i>
    <i i="3">
      <x v="3"/>
    </i>
    <i i="4">
      <x v="4"/>
    </i>
    <i i="5">
      <x v="5"/>
    </i>
  </colItems>
  <pageFields count="1">
    <pageField fld="7" hier="-1"/>
  </pageFields>
  <dataFields count="6">
    <dataField name="Sum of 2021/22 (1)" fld="46" baseField="0" baseItem="0"/>
    <dataField name="Sum of 2022/23 (2)" fld="47" baseField="0" baseItem="0"/>
    <dataField name="Sum of 2023/24 (3)" fld="48" baseField="0" baseItem="0"/>
    <dataField name="Sum of 2024/25 (4)" fld="49" baseField="0" baseItem="0"/>
    <dataField name="Sum of 2025/26 (5)" fld="50" baseField="0" baseItem="0" numFmtId="1"/>
    <dataField name="Sum of 5 Year total" fld="74" baseField="0" baseItem="0"/>
  </dataFields>
  <formats count="37">
    <format dxfId="694">
      <pivotArea type="all" dataOnly="0" outline="0" fieldPosition="0"/>
    </format>
    <format dxfId="693">
      <pivotArea type="all" dataOnly="0" outline="0" fieldPosition="0"/>
    </format>
    <format dxfId="692">
      <pivotArea type="all" dataOnly="0" outline="0" fieldPosition="0"/>
    </format>
    <format dxfId="691">
      <pivotArea type="all" dataOnly="0" outline="0" fieldPosition="0"/>
    </format>
    <format dxfId="690">
      <pivotArea type="all" dataOnly="0" outline="0" fieldPosition="0"/>
    </format>
    <format dxfId="689">
      <pivotArea type="all" dataOnly="0" outline="0" fieldPosition="0"/>
    </format>
    <format dxfId="688">
      <pivotArea type="all" dataOnly="0" outline="0" fieldPosition="0"/>
    </format>
    <format dxfId="687">
      <pivotArea field="63" type="button" dataOnly="0" labelOnly="1" outline="0"/>
    </format>
    <format dxfId="686">
      <pivotArea field="63" type="button" dataOnly="0" labelOnly="1" outline="0"/>
    </format>
    <format dxfId="685">
      <pivotArea field="63" type="button" dataOnly="0" labelOnly="1" outline="0"/>
    </format>
    <format dxfId="684">
      <pivotArea type="all" dataOnly="0" outline="0" fieldPosition="0"/>
    </format>
    <format dxfId="683">
      <pivotArea type="all" dataOnly="0" outline="0" fieldPosition="0"/>
    </format>
    <format dxfId="682">
      <pivotArea type="all" dataOnly="0" outline="0" fieldPosition="0"/>
    </format>
    <format dxfId="681">
      <pivotArea type="all" dataOnly="0" outline="0" fieldPosition="0"/>
    </format>
    <format dxfId="680">
      <pivotArea outline="0" collapsedLevelsAreSubtotals="1" fieldPosition="0"/>
    </format>
    <format dxfId="679">
      <pivotArea field="63" type="button" dataOnly="0" labelOnly="1" outline="0"/>
    </format>
    <format dxfId="678">
      <pivotArea dataOnly="0" labelOnly="1" grandRow="1" outline="0" fieldPosition="0"/>
    </format>
    <format dxfId="677">
      <pivotArea outline="0" collapsedLevelsAreSubtotals="1" fieldPosition="0"/>
    </format>
    <format dxfId="676">
      <pivotArea type="all" dataOnly="0" outline="0" fieldPosition="0"/>
    </format>
    <format dxfId="675">
      <pivotArea outline="0" collapsedLevelsAreSubtotals="1" fieldPosition="0"/>
    </format>
    <format dxfId="674">
      <pivotArea field="63" type="button" dataOnly="0" labelOnly="1" outline="0"/>
    </format>
    <format dxfId="673">
      <pivotArea dataOnly="0" labelOnly="1" grandRow="1" outline="0" fieldPosition="0"/>
    </format>
    <format dxfId="672">
      <pivotArea type="all" dataOnly="0" outline="0" fieldPosition="0"/>
    </format>
    <format dxfId="671">
      <pivotArea outline="0" collapsedLevelsAreSubtotals="1" fieldPosition="0"/>
    </format>
    <format dxfId="670">
      <pivotArea field="63" type="button" dataOnly="0" labelOnly="1" outline="0"/>
    </format>
    <format dxfId="669">
      <pivotArea dataOnly="0" labelOnly="1" grandRow="1" outline="0" fieldPosition="0"/>
    </format>
    <format dxfId="668">
      <pivotArea type="all" dataOnly="0" outline="0" fieldPosition="0"/>
    </format>
    <format dxfId="667">
      <pivotArea outline="0" collapsedLevelsAreSubtotals="1" fieldPosition="0"/>
    </format>
    <format dxfId="666">
      <pivotArea dataOnly="0" labelOnly="1" fieldPosition="0">
        <references count="1">
          <reference field="65" count="10">
            <x v="2"/>
            <x v="3"/>
            <x v="8"/>
            <x v="9"/>
            <x v="10"/>
            <x v="12"/>
            <x v="14"/>
            <x v="15"/>
            <x v="17"/>
            <x v="18"/>
          </reference>
        </references>
      </pivotArea>
    </format>
    <format dxfId="665">
      <pivotArea outline="0" fieldPosition="0">
        <references count="1">
          <reference field="4294967294" count="1">
            <x v="4"/>
          </reference>
        </references>
      </pivotArea>
    </format>
    <format dxfId="664">
      <pivotArea outline="0" collapsedLevelsAreSubtotals="1" fieldPosition="0"/>
    </format>
    <format dxfId="663">
      <pivotArea type="all" dataOnly="0" outline="0" fieldPosition="0"/>
    </format>
    <format dxfId="662">
      <pivotArea outline="0" collapsedLevelsAreSubtotals="1" fieldPosition="0"/>
    </format>
    <format dxfId="661">
      <pivotArea field="65" type="button" dataOnly="0" labelOnly="1" outline="0" axis="axisRow" fieldPosition="0"/>
    </format>
    <format dxfId="660">
      <pivotArea dataOnly="0" labelOnly="1" fieldPosition="0">
        <references count="1">
          <reference field="65" count="9">
            <x v="2"/>
            <x v="3"/>
            <x v="9"/>
            <x v="10"/>
            <x v="12"/>
            <x v="14"/>
            <x v="15"/>
            <x v="17"/>
            <x v="18"/>
          </reference>
        </references>
      </pivotArea>
    </format>
    <format dxfId="659">
      <pivotArea dataOnly="0" labelOnly="1" grandRow="1" outline="0" fieldPosition="0"/>
    </format>
    <format dxfId="658">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CD1EBA8A-6634-4558-8604-0A61EE1960F0}" name="PivotTable7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339:I344" firstHeaderRow="0" firstDataRow="1" firstDataCol="1"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Row" multipleItemSelectionAllowed="1" showAll="0" defaultSubtotal="0">
      <items count="6">
        <item x="0"/>
        <item x="5"/>
        <item x="1"/>
        <item x="2"/>
        <item x="3"/>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8"/>
  </rowFields>
  <rowItems count="5">
    <i>
      <x/>
    </i>
    <i>
      <x v="2"/>
    </i>
    <i>
      <x v="3"/>
    </i>
    <i>
      <x v="4"/>
    </i>
    <i t="grand">
      <x/>
    </i>
  </rowItems>
  <colFields count="1">
    <field x="-2"/>
  </colFields>
  <colItems count="7">
    <i>
      <x/>
    </i>
    <i i="1">
      <x v="1"/>
    </i>
    <i i="2">
      <x v="2"/>
    </i>
    <i i="3">
      <x v="3"/>
    </i>
    <i i="4">
      <x v="4"/>
    </i>
    <i i="5">
      <x v="5"/>
    </i>
    <i i="6">
      <x v="6"/>
    </i>
  </colItems>
  <pageFields count="2">
    <pageField fld="7" hier="-1"/>
    <pageField fld="1" hier="-1"/>
  </pageFields>
  <dataFields count="7">
    <dataField name="Sum of 1 bed net" fld="33" baseField="0" baseItem="0"/>
    <dataField name="Sum of 2 bed net" fld="34" baseField="0" baseItem="0"/>
    <dataField name="Sum of 3 bed net" fld="35" baseField="0" baseItem="0"/>
    <dataField name="Sum of 4 bed net" fld="36" baseField="0" baseItem="0"/>
    <dataField name="Sum of 5 bed net" fld="37" baseField="0" baseItem="0"/>
    <dataField name="Sum of 6 bed net" fld="38" baseField="0" baseItem="0"/>
    <dataField name="Sum of 7 bed net" fld="39" baseField="0" baseItem="0"/>
  </dataFields>
  <formats count="34">
    <format dxfId="728">
      <pivotArea type="all" dataOnly="0" outline="0" fieldPosition="0"/>
    </format>
    <format dxfId="727">
      <pivotArea type="all" dataOnly="0" outline="0" fieldPosition="0"/>
    </format>
    <format dxfId="726">
      <pivotArea type="all" dataOnly="0" outline="0" fieldPosition="0"/>
    </format>
    <format dxfId="725">
      <pivotArea type="all" dataOnly="0" outline="0" fieldPosition="0"/>
    </format>
    <format dxfId="724">
      <pivotArea type="all" dataOnly="0" outline="0" fieldPosition="0"/>
    </format>
    <format dxfId="723">
      <pivotArea type="all" dataOnly="0" outline="0" fieldPosition="0"/>
    </format>
    <format dxfId="722">
      <pivotArea type="all" dataOnly="0" outline="0" fieldPosition="0"/>
    </format>
    <format dxfId="721">
      <pivotArea type="all" dataOnly="0" outline="0" fieldPosition="0"/>
    </format>
    <format dxfId="720">
      <pivotArea type="all" dataOnly="0" outline="0" fieldPosition="0"/>
    </format>
    <format dxfId="719">
      <pivotArea type="all" dataOnly="0" outline="0" fieldPosition="0"/>
    </format>
    <format dxfId="718">
      <pivotArea type="all" dataOnly="0" outline="0" fieldPosition="0"/>
    </format>
    <format dxfId="717">
      <pivotArea outline="0" collapsedLevelsAreSubtotals="1" fieldPosition="0"/>
    </format>
    <format dxfId="716">
      <pivotArea field="8" type="button" dataOnly="0" labelOnly="1" outline="0" axis="axisRow" fieldPosition="0"/>
    </format>
    <format dxfId="715">
      <pivotArea dataOnly="0" labelOnly="1" fieldPosition="0">
        <references count="1">
          <reference field="8" count="1">
            <x v="0"/>
          </reference>
        </references>
      </pivotArea>
    </format>
    <format dxfId="714">
      <pivotArea dataOnly="0" labelOnly="1" grandRow="1" outline="0" fieldPosition="0"/>
    </format>
    <format dxfId="713">
      <pivotArea dataOnly="0" labelOnly="1" outline="0" fieldPosition="0">
        <references count="1">
          <reference field="4294967294" count="7">
            <x v="0"/>
            <x v="1"/>
            <x v="2"/>
            <x v="3"/>
            <x v="4"/>
            <x v="5"/>
            <x v="6"/>
          </reference>
        </references>
      </pivotArea>
    </format>
    <format dxfId="712">
      <pivotArea type="all" dataOnly="0" outline="0" fieldPosition="0"/>
    </format>
    <format dxfId="711">
      <pivotArea outline="0" collapsedLevelsAreSubtotals="1" fieldPosition="0"/>
    </format>
    <format dxfId="710">
      <pivotArea field="8" type="button" dataOnly="0" labelOnly="1" outline="0" axis="axisRow" fieldPosition="0"/>
    </format>
    <format dxfId="709">
      <pivotArea dataOnly="0" labelOnly="1" fieldPosition="0">
        <references count="1">
          <reference field="8" count="1">
            <x v="0"/>
          </reference>
        </references>
      </pivotArea>
    </format>
    <format dxfId="708">
      <pivotArea dataOnly="0" labelOnly="1" grandRow="1" outline="0" fieldPosition="0"/>
    </format>
    <format dxfId="707">
      <pivotArea dataOnly="0" labelOnly="1" outline="0" fieldPosition="0">
        <references count="1">
          <reference field="4294967294" count="7">
            <x v="0"/>
            <x v="1"/>
            <x v="2"/>
            <x v="3"/>
            <x v="4"/>
            <x v="5"/>
            <x v="6"/>
          </reference>
        </references>
      </pivotArea>
    </format>
    <format dxfId="706">
      <pivotArea type="all" dataOnly="0" outline="0" fieldPosition="0"/>
    </format>
    <format dxfId="705">
      <pivotArea outline="0" collapsedLevelsAreSubtotals="1" fieldPosition="0"/>
    </format>
    <format dxfId="704">
      <pivotArea field="8" type="button" dataOnly="0" labelOnly="1" outline="0" axis="axisRow" fieldPosition="0"/>
    </format>
    <format dxfId="703">
      <pivotArea dataOnly="0" labelOnly="1" fieldPosition="0">
        <references count="1">
          <reference field="8" count="1">
            <x v="0"/>
          </reference>
        </references>
      </pivotArea>
    </format>
    <format dxfId="702">
      <pivotArea dataOnly="0" labelOnly="1" grandRow="1" outline="0" fieldPosition="0"/>
    </format>
    <format dxfId="701">
      <pivotArea dataOnly="0" labelOnly="1" outline="0" fieldPosition="0">
        <references count="1">
          <reference field="4294967294" count="7">
            <x v="0"/>
            <x v="1"/>
            <x v="2"/>
            <x v="3"/>
            <x v="4"/>
            <x v="5"/>
            <x v="6"/>
          </reference>
        </references>
      </pivotArea>
    </format>
    <format dxfId="700">
      <pivotArea type="all" dataOnly="0" outline="0" fieldPosition="0"/>
    </format>
    <format dxfId="699">
      <pivotArea outline="0" collapsedLevelsAreSubtotals="1" fieldPosition="0"/>
    </format>
    <format dxfId="698">
      <pivotArea field="8" type="button" dataOnly="0" labelOnly="1" outline="0" axis="axisRow" fieldPosition="0"/>
    </format>
    <format dxfId="697">
      <pivotArea dataOnly="0" labelOnly="1" fieldPosition="0">
        <references count="1">
          <reference field="8" count="4">
            <x v="0"/>
            <x v="2"/>
            <x v="3"/>
            <x v="4"/>
          </reference>
        </references>
      </pivotArea>
    </format>
    <format dxfId="696">
      <pivotArea dataOnly="0" labelOnly="1" grandRow="1" outline="0" fieldPosition="0"/>
    </format>
    <format dxfId="695">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E251AE9E-A775-40B3-B451-6A7A6F432410}" name="PivotTable1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71:E72" firstHeaderRow="1" firstDataRow="1" firstDataCol="0"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Units Proposed" fld="32" baseField="0" baseItem="0"/>
  </dataFields>
  <formats count="31">
    <format dxfId="759">
      <pivotArea type="all" dataOnly="0" outline="0" fieldPosition="0"/>
    </format>
    <format dxfId="758">
      <pivotArea type="all" dataOnly="0" outline="0" fieldPosition="0"/>
    </format>
    <format dxfId="757">
      <pivotArea type="all" dataOnly="0" outline="0" fieldPosition="0"/>
    </format>
    <format dxfId="756">
      <pivotArea type="all" dataOnly="0" outline="0" fieldPosition="0"/>
    </format>
    <format dxfId="755">
      <pivotArea type="all" dataOnly="0" outline="0" fieldPosition="0"/>
    </format>
    <format dxfId="754">
      <pivotArea type="all" dataOnly="0" outline="0" fieldPosition="0"/>
    </format>
    <format dxfId="753">
      <pivotArea type="all" dataOnly="0" outline="0" fieldPosition="0"/>
    </format>
    <format dxfId="752">
      <pivotArea type="all" dataOnly="0" outline="0" fieldPosition="0"/>
    </format>
    <format dxfId="751">
      <pivotArea type="all" dataOnly="0" outline="0" fieldPosition="0"/>
    </format>
    <format dxfId="750">
      <pivotArea type="all" dataOnly="0" outline="0" fieldPosition="0"/>
    </format>
    <format dxfId="749">
      <pivotArea type="all" dataOnly="0" outline="0" fieldPosition="0"/>
    </format>
    <format dxfId="748">
      <pivotArea outline="0" collapsedLevelsAreSubtotals="1" fieldPosition="0"/>
    </format>
    <format dxfId="747">
      <pivotArea dataOnly="0" labelOnly="1" outline="0" axis="axisValues" fieldPosition="0"/>
    </format>
    <format dxfId="746">
      <pivotArea type="all" dataOnly="0" outline="0" fieldPosition="0"/>
    </format>
    <format dxfId="745">
      <pivotArea outline="0" collapsedLevelsAreSubtotals="1" fieldPosition="0"/>
    </format>
    <format dxfId="744">
      <pivotArea dataOnly="0" labelOnly="1" outline="0" axis="axisValues" fieldPosition="0"/>
    </format>
    <format dxfId="743">
      <pivotArea type="all" dataOnly="0" outline="0" fieldPosition="0"/>
    </format>
    <format dxfId="742">
      <pivotArea outline="0" collapsedLevelsAreSubtotals="1" fieldPosition="0"/>
    </format>
    <format dxfId="741">
      <pivotArea dataOnly="0" labelOnly="1" outline="0" axis="axisValues" fieldPosition="0"/>
    </format>
    <format dxfId="740">
      <pivotArea type="all" dataOnly="0" outline="0" fieldPosition="0"/>
    </format>
    <format dxfId="739">
      <pivotArea outline="0" collapsedLevelsAreSubtotals="1" fieldPosition="0"/>
    </format>
    <format dxfId="738">
      <pivotArea dataOnly="0" labelOnly="1" outline="0" axis="axisValues" fieldPosition="0"/>
    </format>
    <format dxfId="737">
      <pivotArea type="all" dataOnly="0" outline="0" fieldPosition="0"/>
    </format>
    <format dxfId="736">
      <pivotArea outline="0" collapsedLevelsAreSubtotals="1" fieldPosition="0"/>
    </format>
    <format dxfId="735">
      <pivotArea dataOnly="0" labelOnly="1" outline="0" axis="axisValues" fieldPosition="0"/>
    </format>
    <format dxfId="734">
      <pivotArea type="all" dataOnly="0" outline="0" fieldPosition="0"/>
    </format>
    <format dxfId="733">
      <pivotArea outline="0" collapsedLevelsAreSubtotals="1" fieldPosition="0"/>
    </format>
    <format dxfId="732">
      <pivotArea dataOnly="0" labelOnly="1" outline="0" axis="axisValues" fieldPosition="0"/>
    </format>
    <format dxfId="731">
      <pivotArea type="all" dataOnly="0" outline="0" fieldPosition="0"/>
    </format>
    <format dxfId="730">
      <pivotArea outline="0" collapsedLevelsAreSubtotals="1" fieldPosition="0"/>
    </format>
    <format dxfId="7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3A376EB1-7F42-4FB0-B9C4-4DA718FF8B32}" name="PivotTable5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99:B100"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790">
      <pivotArea type="all" dataOnly="0" outline="0" fieldPosition="0"/>
    </format>
    <format dxfId="789">
      <pivotArea type="all" dataOnly="0" outline="0" fieldPosition="0"/>
    </format>
    <format dxfId="788">
      <pivotArea type="all" dataOnly="0" outline="0" fieldPosition="0"/>
    </format>
    <format dxfId="787">
      <pivotArea type="all" dataOnly="0" outline="0" fieldPosition="0"/>
    </format>
    <format dxfId="786">
      <pivotArea type="all" dataOnly="0" outline="0" fieldPosition="0"/>
    </format>
    <format dxfId="785">
      <pivotArea type="all" dataOnly="0" outline="0" fieldPosition="0"/>
    </format>
    <format dxfId="784">
      <pivotArea type="all" dataOnly="0" outline="0" fieldPosition="0"/>
    </format>
    <format dxfId="783">
      <pivotArea type="all" dataOnly="0" outline="0" fieldPosition="0"/>
    </format>
    <format dxfId="782">
      <pivotArea type="all" dataOnly="0" outline="0" fieldPosition="0"/>
    </format>
    <format dxfId="781">
      <pivotArea type="all" dataOnly="0" outline="0" fieldPosition="0"/>
    </format>
    <format dxfId="780">
      <pivotArea type="all" dataOnly="0" outline="0" fieldPosition="0"/>
    </format>
    <format dxfId="779">
      <pivotArea outline="0" collapsedLevelsAreSubtotals="1" fieldPosition="0"/>
    </format>
    <format dxfId="778">
      <pivotArea dataOnly="0" labelOnly="1" outline="0" axis="axisValues" fieldPosition="0"/>
    </format>
    <format dxfId="777">
      <pivotArea type="all" dataOnly="0" outline="0" fieldPosition="0"/>
    </format>
    <format dxfId="776">
      <pivotArea outline="0" collapsedLevelsAreSubtotals="1" fieldPosition="0"/>
    </format>
    <format dxfId="775">
      <pivotArea dataOnly="0" labelOnly="1" outline="0" axis="axisValues" fieldPosition="0"/>
    </format>
    <format dxfId="774">
      <pivotArea type="all" dataOnly="0" outline="0" fieldPosition="0"/>
    </format>
    <format dxfId="773">
      <pivotArea outline="0" collapsedLevelsAreSubtotals="1" fieldPosition="0"/>
    </format>
    <format dxfId="772">
      <pivotArea dataOnly="0" labelOnly="1" outline="0" axis="axisValues" fieldPosition="0"/>
    </format>
    <format dxfId="771">
      <pivotArea type="all" dataOnly="0" outline="0" fieldPosition="0"/>
    </format>
    <format dxfId="770">
      <pivotArea outline="0" collapsedLevelsAreSubtotals="1" fieldPosition="0"/>
    </format>
    <format dxfId="769">
      <pivotArea dataOnly="0" labelOnly="1" outline="0" axis="axisValues" fieldPosition="0"/>
    </format>
    <format dxfId="768">
      <pivotArea type="all" dataOnly="0" outline="0" fieldPosition="0"/>
    </format>
    <format dxfId="767">
      <pivotArea outline="0" collapsedLevelsAreSubtotals="1" fieldPosition="0"/>
    </format>
    <format dxfId="766">
      <pivotArea dataOnly="0" labelOnly="1" outline="0" axis="axisValues" fieldPosition="0"/>
    </format>
    <format dxfId="765">
      <pivotArea type="all" dataOnly="0" outline="0" fieldPosition="0"/>
    </format>
    <format dxfId="764">
      <pivotArea outline="0" collapsedLevelsAreSubtotals="1" fieldPosition="0"/>
    </format>
    <format dxfId="763">
      <pivotArea dataOnly="0" labelOnly="1" outline="0" axis="axisValues" fieldPosition="0"/>
    </format>
    <format dxfId="762">
      <pivotArea type="all" dataOnly="0" outline="0" fieldPosition="0"/>
    </format>
    <format dxfId="761">
      <pivotArea outline="0" collapsedLevelsAreSubtotals="1" fieldPosition="0"/>
    </format>
    <format dxfId="76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17B96814-3717-4E15-BC20-AC34E2DC8AC2}" name="PivotTable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4:B15" firstHeaderRow="1" firstDataRow="1" firstDataCol="0" rowPageCount="2" colPageCount="1"/>
  <pivotFields count="76">
    <pivotField showAll="0"/>
    <pivotField axis="axisPage" multipleItemSelectionAllowed="1" showAll="0" defaultSubtotal="0">
      <items count="5">
        <item h="1" x="2"/>
        <item h="1" x="3"/>
        <item h="1" x="4"/>
        <item x="1"/>
        <item x="0"/>
      </items>
    </pivotField>
    <pivotField showAll="0"/>
    <pivotField numFmtId="14" showAll="0"/>
    <pivotField numFmtId="14" showAll="0"/>
    <pivotField showAll="0" defaultSubtotal="0"/>
    <pivotField showAll="0" defaultSubtotal="0"/>
    <pivotField axis="axisPage" multipleItemSelectionAllowed="1" showAll="0">
      <items count="6">
        <item h="1" x="0"/>
        <item x="1"/>
        <item h="1" x="2"/>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Net Dwellings" fld="42" baseField="0" baseItem="0"/>
  </dataFields>
  <formats count="32">
    <format dxfId="822">
      <pivotArea type="all" dataOnly="0" outline="0" fieldPosition="0"/>
    </format>
    <format dxfId="821">
      <pivotArea type="all" dataOnly="0" outline="0" fieldPosition="0"/>
    </format>
    <format dxfId="820">
      <pivotArea type="all" dataOnly="0" outline="0" fieldPosition="0"/>
    </format>
    <format dxfId="819">
      <pivotArea type="all" dataOnly="0" outline="0" fieldPosition="0"/>
    </format>
    <format dxfId="818">
      <pivotArea type="all" dataOnly="0" outline="0" fieldPosition="0"/>
    </format>
    <format dxfId="817">
      <pivotArea type="all" dataOnly="0" outline="0" fieldPosition="0"/>
    </format>
    <format dxfId="816">
      <pivotArea type="all" dataOnly="0" outline="0" fieldPosition="0"/>
    </format>
    <format dxfId="815">
      <pivotArea type="all" dataOnly="0" outline="0" fieldPosition="0"/>
    </format>
    <format dxfId="814">
      <pivotArea type="all" dataOnly="0" outline="0" fieldPosition="0"/>
    </format>
    <format dxfId="813">
      <pivotArea type="all" dataOnly="0" outline="0" fieldPosition="0"/>
    </format>
    <format dxfId="812">
      <pivotArea type="all" dataOnly="0" outline="0" fieldPosition="0"/>
    </format>
    <format dxfId="811">
      <pivotArea outline="0" collapsedLevelsAreSubtotals="1" fieldPosition="0"/>
    </format>
    <format dxfId="810">
      <pivotArea dataOnly="0" labelOnly="1" outline="0" axis="axisValues" fieldPosition="0"/>
    </format>
    <format dxfId="809">
      <pivotArea type="all" dataOnly="0" outline="0" fieldPosition="0"/>
    </format>
    <format dxfId="808">
      <pivotArea outline="0" collapsedLevelsAreSubtotals="1" fieldPosition="0"/>
    </format>
    <format dxfId="807">
      <pivotArea dataOnly="0" labelOnly="1" outline="0" axis="axisValues" fieldPosition="0"/>
    </format>
    <format dxfId="806">
      <pivotArea type="all" dataOnly="0" outline="0" fieldPosition="0"/>
    </format>
    <format dxfId="805">
      <pivotArea outline="0" collapsedLevelsAreSubtotals="1" fieldPosition="0"/>
    </format>
    <format dxfId="804">
      <pivotArea dataOnly="0" labelOnly="1" outline="0" axis="axisValues" fieldPosition="0"/>
    </format>
    <format dxfId="803">
      <pivotArea type="all" dataOnly="0" outline="0" fieldPosition="0"/>
    </format>
    <format dxfId="802">
      <pivotArea outline="0" collapsedLevelsAreSubtotals="1" fieldPosition="0"/>
    </format>
    <format dxfId="801">
      <pivotArea dataOnly="0" labelOnly="1" outline="0" axis="axisValues" fieldPosition="0"/>
    </format>
    <format dxfId="800">
      <pivotArea outline="0" collapsedLevelsAreSubtotals="1" fieldPosition="0"/>
    </format>
    <format dxfId="799">
      <pivotArea type="all" dataOnly="0" outline="0" fieldPosition="0"/>
    </format>
    <format dxfId="798">
      <pivotArea outline="0" collapsedLevelsAreSubtotals="1" fieldPosition="0"/>
    </format>
    <format dxfId="797">
      <pivotArea dataOnly="0" labelOnly="1" outline="0" axis="axisValues" fieldPosition="0"/>
    </format>
    <format dxfId="796">
      <pivotArea type="all" dataOnly="0" outline="0" fieldPosition="0"/>
    </format>
    <format dxfId="795">
      <pivotArea outline="0" collapsedLevelsAreSubtotals="1" fieldPosition="0"/>
    </format>
    <format dxfId="794">
      <pivotArea dataOnly="0" labelOnly="1" outline="0" axis="axisValues" fieldPosition="0"/>
    </format>
    <format dxfId="793">
      <pivotArea type="all" dataOnly="0" outline="0" fieldPosition="0"/>
    </format>
    <format dxfId="792">
      <pivotArea outline="0" collapsedLevelsAreSubtotals="1" fieldPosition="0"/>
    </format>
    <format dxfId="79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6A036DF7-DC8F-4F92-915D-C8F404287148}" name="PivotTable46"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33:H134"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853">
      <pivotArea type="all" dataOnly="0" outline="0" fieldPosition="0"/>
    </format>
    <format dxfId="852">
      <pivotArea type="all" dataOnly="0" outline="0" fieldPosition="0"/>
    </format>
    <format dxfId="851">
      <pivotArea type="all" dataOnly="0" outline="0" fieldPosition="0"/>
    </format>
    <format dxfId="850">
      <pivotArea type="all" dataOnly="0" outline="0" fieldPosition="0"/>
    </format>
    <format dxfId="849">
      <pivotArea type="all" dataOnly="0" outline="0" fieldPosition="0"/>
    </format>
    <format dxfId="848">
      <pivotArea type="all" dataOnly="0" outline="0" fieldPosition="0"/>
    </format>
    <format dxfId="847">
      <pivotArea type="all" dataOnly="0" outline="0" fieldPosition="0"/>
    </format>
    <format dxfId="846">
      <pivotArea type="all" dataOnly="0" outline="0" fieldPosition="0"/>
    </format>
    <format dxfId="845">
      <pivotArea type="all" dataOnly="0" outline="0" fieldPosition="0"/>
    </format>
    <format dxfId="844">
      <pivotArea type="all" dataOnly="0" outline="0" fieldPosition="0"/>
    </format>
    <format dxfId="843">
      <pivotArea type="all" dataOnly="0" outline="0" fieldPosition="0"/>
    </format>
    <format dxfId="842">
      <pivotArea outline="0" collapsedLevelsAreSubtotals="1" fieldPosition="0"/>
    </format>
    <format dxfId="841">
      <pivotArea dataOnly="0" labelOnly="1" outline="0" axis="axisValues" fieldPosition="0"/>
    </format>
    <format dxfId="840">
      <pivotArea type="all" dataOnly="0" outline="0" fieldPosition="0"/>
    </format>
    <format dxfId="839">
      <pivotArea outline="0" collapsedLevelsAreSubtotals="1" fieldPosition="0"/>
    </format>
    <format dxfId="838">
      <pivotArea dataOnly="0" labelOnly="1" outline="0" axis="axisValues" fieldPosition="0"/>
    </format>
    <format dxfId="837">
      <pivotArea type="all" dataOnly="0" outline="0" fieldPosition="0"/>
    </format>
    <format dxfId="836">
      <pivotArea outline="0" collapsedLevelsAreSubtotals="1" fieldPosition="0"/>
    </format>
    <format dxfId="835">
      <pivotArea dataOnly="0" labelOnly="1" outline="0" axis="axisValues" fieldPosition="0"/>
    </format>
    <format dxfId="834">
      <pivotArea type="all" dataOnly="0" outline="0" fieldPosition="0"/>
    </format>
    <format dxfId="833">
      <pivotArea outline="0" collapsedLevelsAreSubtotals="1" fieldPosition="0"/>
    </format>
    <format dxfId="832">
      <pivotArea dataOnly="0" labelOnly="1" outline="0" axis="axisValues" fieldPosition="0"/>
    </format>
    <format dxfId="831">
      <pivotArea type="all" dataOnly="0" outline="0" fieldPosition="0"/>
    </format>
    <format dxfId="830">
      <pivotArea outline="0" collapsedLevelsAreSubtotals="1" fieldPosition="0"/>
    </format>
    <format dxfId="829">
      <pivotArea dataOnly="0" labelOnly="1" outline="0" axis="axisValues" fieldPosition="0"/>
    </format>
    <format dxfId="828">
      <pivotArea type="all" dataOnly="0" outline="0" fieldPosition="0"/>
    </format>
    <format dxfId="827">
      <pivotArea outline="0" collapsedLevelsAreSubtotals="1" fieldPosition="0"/>
    </format>
    <format dxfId="826">
      <pivotArea dataOnly="0" labelOnly="1" outline="0" axis="axisValues" fieldPosition="0"/>
    </format>
    <format dxfId="825">
      <pivotArea type="all" dataOnly="0" outline="0" fieldPosition="0"/>
    </format>
    <format dxfId="824">
      <pivotArea outline="0" collapsedLevelsAreSubtotals="1" fieldPosition="0"/>
    </format>
    <format dxfId="8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1C62F254-A20C-46F9-8E20-432E83005026}" name="PivotTable1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71:H72" firstHeaderRow="1" firstDataRow="1" firstDataCol="0"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Units Proposed" fld="32" baseField="0" baseItem="0"/>
  </dataFields>
  <formats count="31">
    <format dxfId="884">
      <pivotArea type="all" dataOnly="0" outline="0" fieldPosition="0"/>
    </format>
    <format dxfId="883">
      <pivotArea type="all" dataOnly="0" outline="0" fieldPosition="0"/>
    </format>
    <format dxfId="882">
      <pivotArea type="all" dataOnly="0" outline="0" fieldPosition="0"/>
    </format>
    <format dxfId="881">
      <pivotArea type="all" dataOnly="0" outline="0" fieldPosition="0"/>
    </format>
    <format dxfId="880">
      <pivotArea type="all" dataOnly="0" outline="0" fieldPosition="0"/>
    </format>
    <format dxfId="879">
      <pivotArea type="all" dataOnly="0" outline="0" fieldPosition="0"/>
    </format>
    <format dxfId="878">
      <pivotArea type="all" dataOnly="0" outline="0" fieldPosition="0"/>
    </format>
    <format dxfId="877">
      <pivotArea type="all" dataOnly="0" outline="0" fieldPosition="0"/>
    </format>
    <format dxfId="876">
      <pivotArea type="all" dataOnly="0" outline="0" fieldPosition="0"/>
    </format>
    <format dxfId="875">
      <pivotArea type="all" dataOnly="0" outline="0" fieldPosition="0"/>
    </format>
    <format dxfId="874">
      <pivotArea type="all" dataOnly="0" outline="0" fieldPosition="0"/>
    </format>
    <format dxfId="873">
      <pivotArea outline="0" collapsedLevelsAreSubtotals="1" fieldPosition="0"/>
    </format>
    <format dxfId="872">
      <pivotArea dataOnly="0" labelOnly="1" outline="0" axis="axisValues" fieldPosition="0"/>
    </format>
    <format dxfId="871">
      <pivotArea type="all" dataOnly="0" outline="0" fieldPosition="0"/>
    </format>
    <format dxfId="870">
      <pivotArea outline="0" collapsedLevelsAreSubtotals="1" fieldPosition="0"/>
    </format>
    <format dxfId="869">
      <pivotArea dataOnly="0" labelOnly="1" outline="0" axis="axisValues" fieldPosition="0"/>
    </format>
    <format dxfId="868">
      <pivotArea type="all" dataOnly="0" outline="0" fieldPosition="0"/>
    </format>
    <format dxfId="867">
      <pivotArea outline="0" collapsedLevelsAreSubtotals="1" fieldPosition="0"/>
    </format>
    <format dxfId="866">
      <pivotArea dataOnly="0" labelOnly="1" outline="0" axis="axisValues" fieldPosition="0"/>
    </format>
    <format dxfId="865">
      <pivotArea type="all" dataOnly="0" outline="0" fieldPosition="0"/>
    </format>
    <format dxfId="864">
      <pivotArea outline="0" collapsedLevelsAreSubtotals="1" fieldPosition="0"/>
    </format>
    <format dxfId="863">
      <pivotArea dataOnly="0" labelOnly="1" outline="0" axis="axisValues" fieldPosition="0"/>
    </format>
    <format dxfId="862">
      <pivotArea type="all" dataOnly="0" outline="0" fieldPosition="0"/>
    </format>
    <format dxfId="861">
      <pivotArea outline="0" collapsedLevelsAreSubtotals="1" fieldPosition="0"/>
    </format>
    <format dxfId="860">
      <pivotArea dataOnly="0" labelOnly="1" outline="0" axis="axisValues" fieldPosition="0"/>
    </format>
    <format dxfId="859">
      <pivotArea type="all" dataOnly="0" outline="0" fieldPosition="0"/>
    </format>
    <format dxfId="858">
      <pivotArea outline="0" collapsedLevelsAreSubtotals="1" fieldPosition="0"/>
    </format>
    <format dxfId="857">
      <pivotArea dataOnly="0" labelOnly="1" outline="0" axis="axisValues" fieldPosition="0"/>
    </format>
    <format dxfId="856">
      <pivotArea type="all" dataOnly="0" outline="0" fieldPosition="0"/>
    </format>
    <format dxfId="855">
      <pivotArea outline="0" collapsedLevelsAreSubtotals="1" fieldPosition="0"/>
    </format>
    <format dxfId="85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513817CC-AB9B-4E4F-B788-30DCFDC41C80}" name="PivotTable4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41:B142"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915">
      <pivotArea type="all" dataOnly="0" outline="0" fieldPosition="0"/>
    </format>
    <format dxfId="914">
      <pivotArea type="all" dataOnly="0" outline="0" fieldPosition="0"/>
    </format>
    <format dxfId="913">
      <pivotArea type="all" dataOnly="0" outline="0" fieldPosition="0"/>
    </format>
    <format dxfId="912">
      <pivotArea type="all" dataOnly="0" outline="0" fieldPosition="0"/>
    </format>
    <format dxfId="911">
      <pivotArea type="all" dataOnly="0" outline="0" fieldPosition="0"/>
    </format>
    <format dxfId="910">
      <pivotArea type="all" dataOnly="0" outline="0" fieldPosition="0"/>
    </format>
    <format dxfId="909">
      <pivotArea type="all" dataOnly="0" outline="0" fieldPosition="0"/>
    </format>
    <format dxfId="908">
      <pivotArea type="all" dataOnly="0" outline="0" fieldPosition="0"/>
    </format>
    <format dxfId="907">
      <pivotArea type="all" dataOnly="0" outline="0" fieldPosition="0"/>
    </format>
    <format dxfId="906">
      <pivotArea type="all" dataOnly="0" outline="0" fieldPosition="0"/>
    </format>
    <format dxfId="905">
      <pivotArea type="all" dataOnly="0" outline="0" fieldPosition="0"/>
    </format>
    <format dxfId="904">
      <pivotArea outline="0" collapsedLevelsAreSubtotals="1" fieldPosition="0"/>
    </format>
    <format dxfId="903">
      <pivotArea dataOnly="0" labelOnly="1" outline="0" axis="axisValues" fieldPosition="0"/>
    </format>
    <format dxfId="902">
      <pivotArea type="all" dataOnly="0" outline="0" fieldPosition="0"/>
    </format>
    <format dxfId="901">
      <pivotArea outline="0" collapsedLevelsAreSubtotals="1" fieldPosition="0"/>
    </format>
    <format dxfId="900">
      <pivotArea dataOnly="0" labelOnly="1" outline="0" axis="axisValues" fieldPosition="0"/>
    </format>
    <format dxfId="899">
      <pivotArea type="all" dataOnly="0" outline="0" fieldPosition="0"/>
    </format>
    <format dxfId="898">
      <pivotArea outline="0" collapsedLevelsAreSubtotals="1" fieldPosition="0"/>
    </format>
    <format dxfId="897">
      <pivotArea dataOnly="0" labelOnly="1" outline="0" axis="axisValues" fieldPosition="0"/>
    </format>
    <format dxfId="896">
      <pivotArea type="all" dataOnly="0" outline="0" fieldPosition="0"/>
    </format>
    <format dxfId="895">
      <pivotArea outline="0" collapsedLevelsAreSubtotals="1" fieldPosition="0"/>
    </format>
    <format dxfId="894">
      <pivotArea dataOnly="0" labelOnly="1" outline="0" axis="axisValues" fieldPosition="0"/>
    </format>
    <format dxfId="893">
      <pivotArea type="all" dataOnly="0" outline="0" fieldPosition="0"/>
    </format>
    <format dxfId="892">
      <pivotArea outline="0" collapsedLevelsAreSubtotals="1" fieldPosition="0"/>
    </format>
    <format dxfId="891">
      <pivotArea dataOnly="0" labelOnly="1" outline="0" axis="axisValues" fieldPosition="0"/>
    </format>
    <format dxfId="890">
      <pivotArea type="all" dataOnly="0" outline="0" fieldPosition="0"/>
    </format>
    <format dxfId="889">
      <pivotArea outline="0" collapsedLevelsAreSubtotals="1" fieldPosition="0"/>
    </format>
    <format dxfId="888">
      <pivotArea dataOnly="0" labelOnly="1" outline="0" axis="axisValues" fieldPosition="0"/>
    </format>
    <format dxfId="887">
      <pivotArea type="all" dataOnly="0" outline="0" fieldPosition="0"/>
    </format>
    <format dxfId="886">
      <pivotArea outline="0" collapsedLevelsAreSubtotals="1" fieldPosition="0"/>
    </format>
    <format dxfId="88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D6CC40C-409A-41FF-B022-D38602E0EE53}" name="PivotTable8"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261:C264"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44"/>
  </rowFields>
  <rowItems count="3">
    <i>
      <x/>
    </i>
    <i>
      <x v="1"/>
    </i>
    <i t="grand">
      <x/>
    </i>
  </rowItems>
  <colItems count="1">
    <i/>
  </colItems>
  <pageFields count="1">
    <pageField fld="7" hier="-1"/>
  </pageFields>
  <dataFields count="1">
    <dataField name="Sum of Net Dwellings" fld="42" baseField="0" baseItem="0"/>
  </dataFields>
  <formats count="28">
    <format dxfId="97">
      <pivotArea type="all" dataOnly="0" outline="0" fieldPosition="0"/>
    </format>
    <format dxfId="96">
      <pivotArea type="all" dataOnly="0" outline="0" fieldPosition="0"/>
    </format>
    <format dxfId="95">
      <pivotArea type="all" dataOnly="0" outline="0" fieldPosition="0"/>
    </format>
    <format dxfId="94">
      <pivotArea type="all" dataOnly="0" outline="0" fieldPosition="0"/>
    </format>
    <format dxfId="93">
      <pivotArea type="all" dataOnly="0" outline="0" fieldPosition="0"/>
    </format>
    <format dxfId="92">
      <pivotArea type="all" dataOnly="0" outline="0" fieldPosition="0"/>
    </format>
    <format dxfId="91">
      <pivotArea type="all" dataOnly="0" outline="0" fieldPosition="0"/>
    </format>
    <format dxfId="90">
      <pivotArea type="all" dataOnly="0" outline="0" fieldPosition="0"/>
    </format>
    <format dxfId="89">
      <pivotArea type="all" dataOnly="0" outline="0" fieldPosition="0"/>
    </format>
    <format dxfId="88">
      <pivotArea type="all" dataOnly="0" outline="0" fieldPosition="0"/>
    </format>
    <format dxfId="87">
      <pivotArea type="all" dataOnly="0" outline="0" fieldPosition="0"/>
    </format>
    <format dxfId="86">
      <pivotArea outline="0" collapsedLevelsAreSubtotals="1" fieldPosition="0"/>
    </format>
    <format dxfId="85">
      <pivotArea dataOnly="0" labelOnly="1" grandRow="1" outline="0" fieldPosition="0"/>
    </format>
    <format dxfId="84">
      <pivotArea dataOnly="0" labelOnly="1" outline="0" axis="axisValues" fieldPosition="0"/>
    </format>
    <format dxfId="83">
      <pivotArea type="all" dataOnly="0" outline="0" fieldPosition="0"/>
    </format>
    <format dxfId="82">
      <pivotArea outline="0" collapsedLevelsAreSubtotals="1" fieldPosition="0"/>
    </format>
    <format dxfId="81">
      <pivotArea dataOnly="0" labelOnly="1" grandRow="1" outline="0" fieldPosition="0"/>
    </format>
    <format dxfId="80">
      <pivotArea dataOnly="0" labelOnly="1" outline="0" axis="axisValues" fieldPosition="0"/>
    </format>
    <format dxfId="79">
      <pivotArea type="all" dataOnly="0" outline="0" fieldPosition="0"/>
    </format>
    <format dxfId="78">
      <pivotArea outline="0" collapsedLevelsAreSubtotals="1" fieldPosition="0"/>
    </format>
    <format dxfId="77">
      <pivotArea dataOnly="0" labelOnly="1" grandRow="1" outline="0" fieldPosition="0"/>
    </format>
    <format dxfId="76">
      <pivotArea dataOnly="0" labelOnly="1" outline="0" axis="axisValues" fieldPosition="0"/>
    </format>
    <format dxfId="75">
      <pivotArea type="all" dataOnly="0" outline="0" fieldPosition="0"/>
    </format>
    <format dxfId="74">
      <pivotArea outline="0" collapsedLevelsAreSubtotals="1" fieldPosition="0"/>
    </format>
    <format dxfId="73">
      <pivotArea field="44" type="button" dataOnly="0" labelOnly="1" outline="0" axis="axisRow" fieldPosition="0"/>
    </format>
    <format dxfId="72">
      <pivotArea dataOnly="0" labelOnly="1" fieldPosition="0">
        <references count="1">
          <reference field="44" count="0"/>
        </references>
      </pivotArea>
    </format>
    <format dxfId="71">
      <pivotArea dataOnly="0" labelOnly="1" grandRow="1" outline="0" fieldPosition="0"/>
    </format>
    <format dxfId="7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B7289361-2293-4E18-93A4-B428CAB393A4}" name="PivotTable39"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352:I356" firstHeaderRow="0" firstDataRow="1" firstDataCol="1"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Row" multipleItemSelectionAllowed="1" showAll="0" defaultSubtotal="0">
      <items count="6">
        <item x="0"/>
        <item x="5"/>
        <item x="1"/>
        <item x="2"/>
        <item x="3"/>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8"/>
  </rowFields>
  <rowItems count="4">
    <i>
      <x/>
    </i>
    <i>
      <x v="2"/>
    </i>
    <i>
      <x v="3"/>
    </i>
    <i t="grand">
      <x/>
    </i>
  </rowItems>
  <colFields count="1">
    <field x="-2"/>
  </colFields>
  <colItems count="7">
    <i>
      <x/>
    </i>
    <i i="1">
      <x v="1"/>
    </i>
    <i i="2">
      <x v="2"/>
    </i>
    <i i="3">
      <x v="3"/>
    </i>
    <i i="4">
      <x v="4"/>
    </i>
    <i i="5">
      <x v="5"/>
    </i>
    <i i="6">
      <x v="6"/>
    </i>
  </colItems>
  <pageFields count="2">
    <pageField fld="7" hier="-1"/>
    <pageField fld="1" hier="-1"/>
  </pageFields>
  <dataFields count="7">
    <dataField name="Sum of 1 bed net" fld="33" baseField="0" baseItem="0"/>
    <dataField name="Sum of 2 bed net" fld="34" baseField="0" baseItem="0"/>
    <dataField name="Sum of 3 bed net" fld="35" baseField="0" baseItem="0"/>
    <dataField name="Sum of 4 bed net" fld="36" baseField="0" baseItem="0"/>
    <dataField name="Sum of 5 bed net" fld="37" baseField="0" baseItem="0"/>
    <dataField name="Sum of 6 bed net" fld="38" baseField="0" baseItem="0"/>
    <dataField name="Sum of 7 bed net" fld="39" baseField="0" baseItem="0"/>
  </dataFields>
  <formats count="34">
    <format dxfId="949">
      <pivotArea type="all" dataOnly="0" outline="0" fieldPosition="0"/>
    </format>
    <format dxfId="948">
      <pivotArea type="all" dataOnly="0" outline="0" fieldPosition="0"/>
    </format>
    <format dxfId="947">
      <pivotArea type="all" dataOnly="0" outline="0" fieldPosition="0"/>
    </format>
    <format dxfId="946">
      <pivotArea type="all" dataOnly="0" outline="0" fieldPosition="0"/>
    </format>
    <format dxfId="945">
      <pivotArea type="all" dataOnly="0" outline="0" fieldPosition="0"/>
    </format>
    <format dxfId="944">
      <pivotArea type="all" dataOnly="0" outline="0" fieldPosition="0"/>
    </format>
    <format dxfId="943">
      <pivotArea type="all" dataOnly="0" outline="0" fieldPosition="0"/>
    </format>
    <format dxfId="942">
      <pivotArea type="all" dataOnly="0" outline="0" fieldPosition="0"/>
    </format>
    <format dxfId="941">
      <pivotArea type="all" dataOnly="0" outline="0" fieldPosition="0"/>
    </format>
    <format dxfId="940">
      <pivotArea type="all" dataOnly="0" outline="0" fieldPosition="0"/>
    </format>
    <format dxfId="939">
      <pivotArea type="all" dataOnly="0" outline="0" fieldPosition="0"/>
    </format>
    <format dxfId="938">
      <pivotArea outline="0" collapsedLevelsAreSubtotals="1" fieldPosition="0"/>
    </format>
    <format dxfId="937">
      <pivotArea field="8" type="button" dataOnly="0" labelOnly="1" outline="0" axis="axisRow" fieldPosition="0"/>
    </format>
    <format dxfId="936">
      <pivotArea dataOnly="0" labelOnly="1" fieldPosition="0">
        <references count="1">
          <reference field="8" count="1">
            <x v="0"/>
          </reference>
        </references>
      </pivotArea>
    </format>
    <format dxfId="935">
      <pivotArea dataOnly="0" labelOnly="1" grandRow="1" outline="0" fieldPosition="0"/>
    </format>
    <format dxfId="934">
      <pivotArea dataOnly="0" labelOnly="1" outline="0" fieldPosition="0">
        <references count="1">
          <reference field="4294967294" count="7">
            <x v="0"/>
            <x v="1"/>
            <x v="2"/>
            <x v="3"/>
            <x v="4"/>
            <x v="5"/>
            <x v="6"/>
          </reference>
        </references>
      </pivotArea>
    </format>
    <format dxfId="933">
      <pivotArea type="all" dataOnly="0" outline="0" fieldPosition="0"/>
    </format>
    <format dxfId="932">
      <pivotArea outline="0" collapsedLevelsAreSubtotals="1" fieldPosition="0"/>
    </format>
    <format dxfId="931">
      <pivotArea field="8" type="button" dataOnly="0" labelOnly="1" outline="0" axis="axisRow" fieldPosition="0"/>
    </format>
    <format dxfId="930">
      <pivotArea dataOnly="0" labelOnly="1" fieldPosition="0">
        <references count="1">
          <reference field="8" count="1">
            <x v="0"/>
          </reference>
        </references>
      </pivotArea>
    </format>
    <format dxfId="929">
      <pivotArea dataOnly="0" labelOnly="1" grandRow="1" outline="0" fieldPosition="0"/>
    </format>
    <format dxfId="928">
      <pivotArea dataOnly="0" labelOnly="1" outline="0" fieldPosition="0">
        <references count="1">
          <reference field="4294967294" count="7">
            <x v="0"/>
            <x v="1"/>
            <x v="2"/>
            <x v="3"/>
            <x v="4"/>
            <x v="5"/>
            <x v="6"/>
          </reference>
        </references>
      </pivotArea>
    </format>
    <format dxfId="927">
      <pivotArea type="all" dataOnly="0" outline="0" fieldPosition="0"/>
    </format>
    <format dxfId="926">
      <pivotArea outline="0" collapsedLevelsAreSubtotals="1" fieldPosition="0"/>
    </format>
    <format dxfId="925">
      <pivotArea field="8" type="button" dataOnly="0" labelOnly="1" outline="0" axis="axisRow" fieldPosition="0"/>
    </format>
    <format dxfId="924">
      <pivotArea dataOnly="0" labelOnly="1" fieldPosition="0">
        <references count="1">
          <reference field="8" count="1">
            <x v="0"/>
          </reference>
        </references>
      </pivotArea>
    </format>
    <format dxfId="923">
      <pivotArea dataOnly="0" labelOnly="1" grandRow="1" outline="0" fieldPosition="0"/>
    </format>
    <format dxfId="922">
      <pivotArea dataOnly="0" labelOnly="1" outline="0" fieldPosition="0">
        <references count="1">
          <reference field="4294967294" count="7">
            <x v="0"/>
            <x v="1"/>
            <x v="2"/>
            <x v="3"/>
            <x v="4"/>
            <x v="5"/>
            <x v="6"/>
          </reference>
        </references>
      </pivotArea>
    </format>
    <format dxfId="921">
      <pivotArea type="all" dataOnly="0" outline="0" fieldPosition="0"/>
    </format>
    <format dxfId="920">
      <pivotArea outline="0" collapsedLevelsAreSubtotals="1" fieldPosition="0"/>
    </format>
    <format dxfId="919">
      <pivotArea field="8" type="button" dataOnly="0" labelOnly="1" outline="0" axis="axisRow" fieldPosition="0"/>
    </format>
    <format dxfId="918">
      <pivotArea dataOnly="0" labelOnly="1" fieldPosition="0">
        <references count="1">
          <reference field="8" count="3">
            <x v="0"/>
            <x v="2"/>
            <x v="3"/>
          </reference>
        </references>
      </pivotArea>
    </format>
    <format dxfId="917">
      <pivotArea dataOnly="0" labelOnly="1" grandRow="1" outline="0" fieldPosition="0"/>
    </format>
    <format dxfId="916">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F34B5978-06EF-42A9-8886-8FE2979CA45C}" name="PivotTable4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07:E108"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980">
      <pivotArea type="all" dataOnly="0" outline="0" fieldPosition="0"/>
    </format>
    <format dxfId="979">
      <pivotArea type="all" dataOnly="0" outline="0" fieldPosition="0"/>
    </format>
    <format dxfId="978">
      <pivotArea type="all" dataOnly="0" outline="0" fieldPosition="0"/>
    </format>
    <format dxfId="977">
      <pivotArea type="all" dataOnly="0" outline="0" fieldPosition="0"/>
    </format>
    <format dxfId="976">
      <pivotArea type="all" dataOnly="0" outline="0" fieldPosition="0"/>
    </format>
    <format dxfId="975">
      <pivotArea type="all" dataOnly="0" outline="0" fieldPosition="0"/>
    </format>
    <format dxfId="974">
      <pivotArea type="all" dataOnly="0" outline="0" fieldPosition="0"/>
    </format>
    <format dxfId="973">
      <pivotArea type="all" dataOnly="0" outline="0" fieldPosition="0"/>
    </format>
    <format dxfId="972">
      <pivotArea type="all" dataOnly="0" outline="0" fieldPosition="0"/>
    </format>
    <format dxfId="971">
      <pivotArea type="all" dataOnly="0" outline="0" fieldPosition="0"/>
    </format>
    <format dxfId="970">
      <pivotArea type="all" dataOnly="0" outline="0" fieldPosition="0"/>
    </format>
    <format dxfId="969">
      <pivotArea outline="0" collapsedLevelsAreSubtotals="1" fieldPosition="0"/>
    </format>
    <format dxfId="968">
      <pivotArea dataOnly="0" labelOnly="1" outline="0" axis="axisValues" fieldPosition="0"/>
    </format>
    <format dxfId="967">
      <pivotArea type="all" dataOnly="0" outline="0" fieldPosition="0"/>
    </format>
    <format dxfId="966">
      <pivotArea outline="0" collapsedLevelsAreSubtotals="1" fieldPosition="0"/>
    </format>
    <format dxfId="965">
      <pivotArea dataOnly="0" labelOnly="1" outline="0" axis="axisValues" fieldPosition="0"/>
    </format>
    <format dxfId="964">
      <pivotArea type="all" dataOnly="0" outline="0" fieldPosition="0"/>
    </format>
    <format dxfId="963">
      <pivotArea outline="0" collapsedLevelsAreSubtotals="1" fieldPosition="0"/>
    </format>
    <format dxfId="962">
      <pivotArea dataOnly="0" labelOnly="1" outline="0" axis="axisValues" fieldPosition="0"/>
    </format>
    <format dxfId="961">
      <pivotArea type="all" dataOnly="0" outline="0" fieldPosition="0"/>
    </format>
    <format dxfId="960">
      <pivotArea outline="0" collapsedLevelsAreSubtotals="1" fieldPosition="0"/>
    </format>
    <format dxfId="959">
      <pivotArea dataOnly="0" labelOnly="1" outline="0" axis="axisValues" fieldPosition="0"/>
    </format>
    <format dxfId="958">
      <pivotArea type="all" dataOnly="0" outline="0" fieldPosition="0"/>
    </format>
    <format dxfId="957">
      <pivotArea outline="0" collapsedLevelsAreSubtotals="1" fieldPosition="0"/>
    </format>
    <format dxfId="956">
      <pivotArea dataOnly="0" labelOnly="1" outline="0" axis="axisValues" fieldPosition="0"/>
    </format>
    <format dxfId="955">
      <pivotArea type="all" dataOnly="0" outline="0" fieldPosition="0"/>
    </format>
    <format dxfId="954">
      <pivotArea outline="0" collapsedLevelsAreSubtotals="1" fieldPosition="0"/>
    </format>
    <format dxfId="953">
      <pivotArea dataOnly="0" labelOnly="1" outline="0" axis="axisValues" fieldPosition="0"/>
    </format>
    <format dxfId="952">
      <pivotArea type="all" dataOnly="0" outline="0" fieldPosition="0"/>
    </format>
    <format dxfId="951">
      <pivotArea outline="0" collapsedLevelsAreSubtotals="1" fieldPosition="0"/>
    </format>
    <format dxfId="95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9C39FC92-519B-4E89-8B5A-FB58C2B11727}" name="PivotTable3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rowHeaderCaption="SELECT SITES">
  <location ref="F3:G12" firstHeaderRow="1" firstDataRow="1" firstDataCol="1" rowPageCount="1" colPageCount="1"/>
  <pivotFields count="76">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6">
        <item h="1" x="0"/>
        <item h="1" x="1"/>
        <item h="1" x="2"/>
        <item x="4"/>
        <item h="1" x="3"/>
        <item t="default"/>
      </items>
    </pivotField>
    <pivotField showAll="0"/>
    <pivotField axis="axisRow" showAll="0" sortType="ascending">
      <items count="12">
        <item x="4"/>
        <item x="2"/>
        <item x="9"/>
        <item x="1"/>
        <item x="7"/>
        <item x="3"/>
        <item x="8"/>
        <item x="6"/>
        <item x="5"/>
        <item m="1" x="1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9"/>
  </rowFields>
  <rowItems count="9">
    <i>
      <x/>
    </i>
    <i>
      <x v="1"/>
    </i>
    <i>
      <x v="2"/>
    </i>
    <i>
      <x v="4"/>
    </i>
    <i>
      <x v="5"/>
    </i>
    <i>
      <x v="6"/>
    </i>
    <i>
      <x v="7"/>
    </i>
    <i>
      <x v="8"/>
    </i>
    <i t="grand">
      <x/>
    </i>
  </rowItems>
  <colItems count="1">
    <i/>
  </colItems>
  <pageFields count="1">
    <pageField fld="7" hier="-1"/>
  </pageFields>
  <dataFields count="1">
    <dataField name="Sum of 2021/2025 Total" fld="56" baseField="0" baseItem="0"/>
  </dataFields>
  <formats count="90">
    <format dxfId="1070">
      <pivotArea type="all" dataOnly="0" outline="0" fieldPosition="0"/>
    </format>
    <format dxfId="1069">
      <pivotArea type="all" dataOnly="0" outline="0" fieldPosition="0"/>
    </format>
    <format dxfId="1068">
      <pivotArea type="all" dataOnly="0" outline="0" fieldPosition="0"/>
    </format>
    <format dxfId="1067">
      <pivotArea type="all" dataOnly="0" outline="0" fieldPosition="0"/>
    </format>
    <format dxfId="1066">
      <pivotArea type="all" dataOnly="0" outline="0" fieldPosition="0"/>
    </format>
    <format dxfId="1065">
      <pivotArea type="all" dataOnly="0" outline="0" fieldPosition="0"/>
    </format>
    <format dxfId="1064">
      <pivotArea type="all" dataOnly="0" outline="0" fieldPosition="0"/>
    </format>
    <format dxfId="1063">
      <pivotArea type="all" dataOnly="0" outline="0" fieldPosition="0"/>
    </format>
    <format dxfId="1062">
      <pivotArea type="all" dataOnly="0" outline="0" fieldPosition="0"/>
    </format>
    <format dxfId="1061">
      <pivotArea type="all" dataOnly="0" outline="0" fieldPosition="0"/>
    </format>
    <format dxfId="1060">
      <pivotArea type="all" dataOnly="0" outline="0" fieldPosition="0"/>
    </format>
    <format dxfId="1059">
      <pivotArea outline="0" collapsedLevelsAreSubtotals="1" fieldPosition="0"/>
    </format>
    <format dxfId="1058">
      <pivotArea dataOnly="0" labelOnly="1" outline="0" axis="axisValues" fieldPosition="0"/>
    </format>
    <format dxfId="1057">
      <pivotArea type="all" dataOnly="0" outline="0" fieldPosition="0"/>
    </format>
    <format dxfId="1056">
      <pivotArea outline="0" collapsedLevelsAreSubtotals="1" fieldPosition="0"/>
    </format>
    <format dxfId="1055">
      <pivotArea field="9" type="button" dataOnly="0" labelOnly="1" outline="0" axis="axisRow" fieldPosition="0"/>
    </format>
    <format dxfId="1054">
      <pivotArea dataOnly="0" labelOnly="1" grandRow="1" outline="0" fieldPosition="0"/>
    </format>
    <format dxfId="1053">
      <pivotArea dataOnly="0" labelOnly="1" outline="0" axis="axisValues" fieldPosition="0"/>
    </format>
    <format dxfId="1052">
      <pivotArea type="all" dataOnly="0" outline="0" fieldPosition="0"/>
    </format>
    <format dxfId="1051">
      <pivotArea outline="0" collapsedLevelsAreSubtotals="1" fieldPosition="0"/>
    </format>
    <format dxfId="1050">
      <pivotArea field="9" type="button" dataOnly="0" labelOnly="1" outline="0" axis="axisRow" fieldPosition="0"/>
    </format>
    <format dxfId="1049">
      <pivotArea dataOnly="0" labelOnly="1" grandRow="1" outline="0" fieldPosition="0"/>
    </format>
    <format dxfId="1048">
      <pivotArea dataOnly="0" labelOnly="1" outline="0" axis="axisValues" fieldPosition="0"/>
    </format>
    <format dxfId="1047">
      <pivotArea type="all" dataOnly="0" outline="0" fieldPosition="0"/>
    </format>
    <format dxfId="1046">
      <pivotArea field="9" type="button" dataOnly="0" labelOnly="1" outline="0" axis="axisRow" fieldPosition="0"/>
    </format>
    <format dxfId="1045">
      <pivotArea field="9" type="button" dataOnly="0" labelOnly="1" outline="0" axis="axisRow" fieldPosition="0"/>
    </format>
    <format dxfId="1044">
      <pivotArea type="all" dataOnly="0" outline="0" fieldPosition="0"/>
    </format>
    <format dxfId="1043">
      <pivotArea outline="0" collapsedLevelsAreSubtotals="1" fieldPosition="0"/>
    </format>
    <format dxfId="1042">
      <pivotArea field="9" type="button" dataOnly="0" labelOnly="1" outline="0" axis="axisRow" fieldPosition="0"/>
    </format>
    <format dxfId="1041">
      <pivotArea dataOnly="0" labelOnly="1" grandRow="1" outline="0" fieldPosition="0"/>
    </format>
    <format dxfId="1040">
      <pivotArea dataOnly="0" labelOnly="1" outline="0" axis="axisValues" fieldPosition="0"/>
    </format>
    <format dxfId="1039">
      <pivotArea type="all" dataOnly="0" outline="0" fieldPosition="0"/>
    </format>
    <format dxfId="1038">
      <pivotArea outline="0" collapsedLevelsAreSubtotals="1" fieldPosition="0"/>
    </format>
    <format dxfId="1037">
      <pivotArea field="9" type="button" dataOnly="0" labelOnly="1" outline="0" axis="axisRow" fieldPosition="0"/>
    </format>
    <format dxfId="1036">
      <pivotArea dataOnly="0" labelOnly="1" fieldPosition="0">
        <references count="1">
          <reference field="9" count="4">
            <x v="1"/>
            <x v="2"/>
            <x v="3"/>
            <x v="5"/>
          </reference>
        </references>
      </pivotArea>
    </format>
    <format dxfId="1035">
      <pivotArea dataOnly="0" labelOnly="1" grandRow="1" outline="0" fieldPosition="0"/>
    </format>
    <format dxfId="1034">
      <pivotArea dataOnly="0" labelOnly="1" outline="0" axis="axisValues" fieldPosition="0"/>
    </format>
    <format dxfId="1033">
      <pivotArea type="all" dataOnly="0" outline="0" fieldPosition="0"/>
    </format>
    <format dxfId="1032">
      <pivotArea outline="0" collapsedLevelsAreSubtotals="1" fieldPosition="0"/>
    </format>
    <format dxfId="1031">
      <pivotArea field="9" type="button" dataOnly="0" labelOnly="1" outline="0" axis="axisRow" fieldPosition="0"/>
    </format>
    <format dxfId="1030">
      <pivotArea dataOnly="0" labelOnly="1" fieldPosition="0">
        <references count="1">
          <reference field="9" count="4">
            <x v="1"/>
            <x v="2"/>
            <x v="3"/>
            <x v="5"/>
          </reference>
        </references>
      </pivotArea>
    </format>
    <format dxfId="1029">
      <pivotArea dataOnly="0" labelOnly="1" grandRow="1" outline="0" fieldPosition="0"/>
    </format>
    <format dxfId="1028">
      <pivotArea dataOnly="0" labelOnly="1" outline="0" axis="axisValues" fieldPosition="0"/>
    </format>
    <format dxfId="1027">
      <pivotArea type="all" dataOnly="0" outline="0" fieldPosition="0"/>
    </format>
    <format dxfId="1026">
      <pivotArea outline="0" collapsedLevelsAreSubtotals="1" fieldPosition="0"/>
    </format>
    <format dxfId="1025">
      <pivotArea field="9" type="button" dataOnly="0" labelOnly="1" outline="0" axis="axisRow" fieldPosition="0"/>
    </format>
    <format dxfId="1024">
      <pivotArea dataOnly="0" labelOnly="1" fieldPosition="0">
        <references count="1">
          <reference field="9" count="4">
            <x v="1"/>
            <x v="2"/>
            <x v="3"/>
            <x v="5"/>
          </reference>
        </references>
      </pivotArea>
    </format>
    <format dxfId="1023">
      <pivotArea dataOnly="0" labelOnly="1" grandRow="1" outline="0" fieldPosition="0"/>
    </format>
    <format dxfId="1022">
      <pivotArea dataOnly="0" labelOnly="1" outline="0" axis="axisValues" fieldPosition="0"/>
    </format>
    <format dxfId="1021">
      <pivotArea type="all" dataOnly="0" outline="0" fieldPosition="0"/>
    </format>
    <format dxfId="1020">
      <pivotArea outline="0" collapsedLevelsAreSubtotals="1" fieldPosition="0"/>
    </format>
    <format dxfId="1019">
      <pivotArea field="9" type="button" dataOnly="0" labelOnly="1" outline="0" axis="axisRow" fieldPosition="0"/>
    </format>
    <format dxfId="1018">
      <pivotArea dataOnly="0" labelOnly="1" fieldPosition="0">
        <references count="1">
          <reference field="9" count="4">
            <x v="1"/>
            <x v="2"/>
            <x v="3"/>
            <x v="5"/>
          </reference>
        </references>
      </pivotArea>
    </format>
    <format dxfId="1017">
      <pivotArea dataOnly="0" labelOnly="1" grandRow="1" outline="0" fieldPosition="0"/>
    </format>
    <format dxfId="1016">
      <pivotArea dataOnly="0" labelOnly="1" outline="0" axis="axisValues" fieldPosition="0"/>
    </format>
    <format dxfId="1015">
      <pivotArea type="all" dataOnly="0" outline="0" fieldPosition="0"/>
    </format>
    <format dxfId="1014">
      <pivotArea outline="0" collapsedLevelsAreSubtotals="1" fieldPosition="0"/>
    </format>
    <format dxfId="1013">
      <pivotArea field="9" type="button" dataOnly="0" labelOnly="1" outline="0" axis="axisRow" fieldPosition="0"/>
    </format>
    <format dxfId="1012">
      <pivotArea dataOnly="0" labelOnly="1" fieldPosition="0">
        <references count="1">
          <reference field="9" count="4">
            <x v="1"/>
            <x v="2"/>
            <x v="3"/>
            <x v="5"/>
          </reference>
        </references>
      </pivotArea>
    </format>
    <format dxfId="1011">
      <pivotArea dataOnly="0" labelOnly="1" grandRow="1" outline="0" fieldPosition="0"/>
    </format>
    <format dxfId="1010">
      <pivotArea dataOnly="0" labelOnly="1" outline="0" axis="axisValues" fieldPosition="0"/>
    </format>
    <format dxfId="1009">
      <pivotArea type="all" dataOnly="0" outline="0" fieldPosition="0"/>
    </format>
    <format dxfId="1008">
      <pivotArea outline="0" collapsedLevelsAreSubtotals="1" fieldPosition="0"/>
    </format>
    <format dxfId="1007">
      <pivotArea field="9" type="button" dataOnly="0" labelOnly="1" outline="0" axis="axisRow" fieldPosition="0"/>
    </format>
    <format dxfId="1006">
      <pivotArea dataOnly="0" labelOnly="1" fieldPosition="0">
        <references count="1">
          <reference field="9" count="4">
            <x v="1"/>
            <x v="2"/>
            <x v="3"/>
            <x v="5"/>
          </reference>
        </references>
      </pivotArea>
    </format>
    <format dxfId="1005">
      <pivotArea dataOnly="0" labelOnly="1" grandRow="1" outline="0" fieldPosition="0"/>
    </format>
    <format dxfId="1004">
      <pivotArea dataOnly="0" labelOnly="1" outline="0" axis="axisValues" fieldPosition="0"/>
    </format>
    <format dxfId="1003">
      <pivotArea type="all" dataOnly="0" outline="0" fieldPosition="0"/>
    </format>
    <format dxfId="1002">
      <pivotArea outline="0" collapsedLevelsAreSubtotals="1" fieldPosition="0"/>
    </format>
    <format dxfId="1001">
      <pivotArea field="9" type="button" dataOnly="0" labelOnly="1" outline="0" axis="axisRow" fieldPosition="0"/>
    </format>
    <format dxfId="1000">
      <pivotArea dataOnly="0" labelOnly="1" fieldPosition="0">
        <references count="1">
          <reference field="9" count="4">
            <x v="1"/>
            <x v="2"/>
            <x v="3"/>
            <x v="5"/>
          </reference>
        </references>
      </pivotArea>
    </format>
    <format dxfId="999">
      <pivotArea dataOnly="0" labelOnly="1" grandRow="1" outline="0" fieldPosition="0"/>
    </format>
    <format dxfId="998">
      <pivotArea dataOnly="0" labelOnly="1" outline="0" axis="axisValues" fieldPosition="0"/>
    </format>
    <format dxfId="997">
      <pivotArea type="all" dataOnly="0" outline="0" fieldPosition="0"/>
    </format>
    <format dxfId="996">
      <pivotArea dataOnly="0" labelOnly="1" fieldPosition="0">
        <references count="1">
          <reference field="9" count="4">
            <x v="1"/>
            <x v="2"/>
            <x v="3"/>
            <x v="5"/>
          </reference>
        </references>
      </pivotArea>
    </format>
    <format dxfId="995">
      <pivotArea collapsedLevelsAreSubtotals="1" fieldPosition="0">
        <references count="1">
          <reference field="9" count="1">
            <x v="2"/>
          </reference>
        </references>
      </pivotArea>
    </format>
    <format dxfId="994">
      <pivotArea collapsedLevelsAreSubtotals="1" fieldPosition="0">
        <references count="1">
          <reference field="9" count="1">
            <x v="5"/>
          </reference>
        </references>
      </pivotArea>
    </format>
    <format dxfId="993">
      <pivotArea dataOnly="0" labelOnly="1" fieldPosition="0">
        <references count="1">
          <reference field="9" count="0"/>
        </references>
      </pivotArea>
    </format>
    <format dxfId="992">
      <pivotArea dataOnly="0" labelOnly="1" fieldPosition="0">
        <references count="1">
          <reference field="9" count="0"/>
        </references>
      </pivotArea>
    </format>
    <format dxfId="991">
      <pivotArea type="all" dataOnly="0" outline="0" fieldPosition="0"/>
    </format>
    <format dxfId="990">
      <pivotArea outline="0" collapsedLevelsAreSubtotals="1" fieldPosition="0"/>
    </format>
    <format dxfId="989">
      <pivotArea field="9" type="button" dataOnly="0" labelOnly="1" outline="0" axis="axisRow" fieldPosition="0"/>
    </format>
    <format dxfId="988">
      <pivotArea dataOnly="0" labelOnly="1" fieldPosition="0">
        <references count="1">
          <reference field="9" count="3">
            <x v="1"/>
            <x v="2"/>
            <x v="5"/>
          </reference>
        </references>
      </pivotArea>
    </format>
    <format dxfId="987">
      <pivotArea dataOnly="0" labelOnly="1" grandRow="1" outline="0" fieldPosition="0"/>
    </format>
    <format dxfId="986">
      <pivotArea dataOnly="0" labelOnly="1" outline="0" axis="axisValues" fieldPosition="0"/>
    </format>
    <format dxfId="985">
      <pivotArea dataOnly="0" labelOnly="1" fieldPosition="0">
        <references count="1">
          <reference field="9" count="10">
            <x v="0"/>
            <x v="1"/>
            <x v="2"/>
            <x v="3"/>
            <x v="4"/>
            <x v="5"/>
            <x v="6"/>
            <x v="7"/>
            <x v="8"/>
            <x v="10"/>
          </reference>
        </references>
      </pivotArea>
    </format>
    <format dxfId="984">
      <pivotArea dataOnly="0" labelOnly="1" fieldPosition="0">
        <references count="1">
          <reference field="9" count="10">
            <x v="0"/>
            <x v="1"/>
            <x v="2"/>
            <x v="3"/>
            <x v="4"/>
            <x v="5"/>
            <x v="6"/>
            <x v="7"/>
            <x v="8"/>
            <x v="10"/>
          </reference>
        </references>
      </pivotArea>
    </format>
    <format dxfId="983">
      <pivotArea dataOnly="0" labelOnly="1" grandRow="1" outline="0" fieldPosition="0"/>
    </format>
    <format dxfId="982">
      <pivotArea dataOnly="0" labelOnly="1" outline="0" fieldPosition="0">
        <references count="1">
          <reference field="7" count="0"/>
        </references>
      </pivotArea>
    </format>
    <format dxfId="981">
      <pivotArea dataOnly="0" labelOnly="1" fieldPosition="0">
        <references count="1">
          <reference field="9" count="8">
            <x v="0"/>
            <x v="1"/>
            <x v="2"/>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5E6B7358-4535-4234-9EE6-308558D8E386}" name="PivotTable50"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15:E116"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1101">
      <pivotArea type="all" dataOnly="0" outline="0" fieldPosition="0"/>
    </format>
    <format dxfId="1100">
      <pivotArea type="all" dataOnly="0" outline="0" fieldPosition="0"/>
    </format>
    <format dxfId="1099">
      <pivotArea type="all" dataOnly="0" outline="0" fieldPosition="0"/>
    </format>
    <format dxfId="1098">
      <pivotArea type="all" dataOnly="0" outline="0" fieldPosition="0"/>
    </format>
    <format dxfId="1097">
      <pivotArea type="all" dataOnly="0" outline="0" fieldPosition="0"/>
    </format>
    <format dxfId="1096">
      <pivotArea type="all" dataOnly="0" outline="0" fieldPosition="0"/>
    </format>
    <format dxfId="1095">
      <pivotArea type="all" dataOnly="0" outline="0" fieldPosition="0"/>
    </format>
    <format dxfId="1094">
      <pivotArea type="all" dataOnly="0" outline="0" fieldPosition="0"/>
    </format>
    <format dxfId="1093">
      <pivotArea type="all" dataOnly="0" outline="0" fieldPosition="0"/>
    </format>
    <format dxfId="1092">
      <pivotArea type="all" dataOnly="0" outline="0" fieldPosition="0"/>
    </format>
    <format dxfId="1091">
      <pivotArea type="all" dataOnly="0" outline="0" fieldPosition="0"/>
    </format>
    <format dxfId="1090">
      <pivotArea outline="0" collapsedLevelsAreSubtotals="1" fieldPosition="0"/>
    </format>
    <format dxfId="1089">
      <pivotArea dataOnly="0" labelOnly="1" outline="0" axis="axisValues" fieldPosition="0"/>
    </format>
    <format dxfId="1088">
      <pivotArea type="all" dataOnly="0" outline="0" fieldPosition="0"/>
    </format>
    <format dxfId="1087">
      <pivotArea outline="0" collapsedLevelsAreSubtotals="1" fieldPosition="0"/>
    </format>
    <format dxfId="1086">
      <pivotArea dataOnly="0" labelOnly="1" outline="0" axis="axisValues" fieldPosition="0"/>
    </format>
    <format dxfId="1085">
      <pivotArea type="all" dataOnly="0" outline="0" fieldPosition="0"/>
    </format>
    <format dxfId="1084">
      <pivotArea outline="0" collapsedLevelsAreSubtotals="1" fieldPosition="0"/>
    </format>
    <format dxfId="1083">
      <pivotArea dataOnly="0" labelOnly="1" outline="0" axis="axisValues" fieldPosition="0"/>
    </format>
    <format dxfId="1082">
      <pivotArea type="all" dataOnly="0" outline="0" fieldPosition="0"/>
    </format>
    <format dxfId="1081">
      <pivotArea outline="0" collapsedLevelsAreSubtotals="1" fieldPosition="0"/>
    </format>
    <format dxfId="1080">
      <pivotArea dataOnly="0" labelOnly="1" outline="0" axis="axisValues" fieldPosition="0"/>
    </format>
    <format dxfId="1079">
      <pivotArea type="all" dataOnly="0" outline="0" fieldPosition="0"/>
    </format>
    <format dxfId="1078">
      <pivotArea outline="0" collapsedLevelsAreSubtotals="1" fieldPosition="0"/>
    </format>
    <format dxfId="1077">
      <pivotArea dataOnly="0" labelOnly="1" outline="0" axis="axisValues" fieldPosition="0"/>
    </format>
    <format dxfId="1076">
      <pivotArea type="all" dataOnly="0" outline="0" fieldPosition="0"/>
    </format>
    <format dxfId="1075">
      <pivotArea outline="0" collapsedLevelsAreSubtotals="1" fieldPosition="0"/>
    </format>
    <format dxfId="1074">
      <pivotArea dataOnly="0" labelOnly="1" outline="0" axis="axisValues" fieldPosition="0"/>
    </format>
    <format dxfId="1073">
      <pivotArea type="all" dataOnly="0" outline="0" fieldPosition="0"/>
    </format>
    <format dxfId="1072">
      <pivotArea outline="0" collapsedLevelsAreSubtotals="1" fieldPosition="0"/>
    </format>
    <format dxfId="10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45186A21-34FA-4C7E-953C-358167173EEA}" name="PivotTable5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25:E126"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1132">
      <pivotArea type="all" dataOnly="0" outline="0" fieldPosition="0"/>
    </format>
    <format dxfId="1131">
      <pivotArea type="all" dataOnly="0" outline="0" fieldPosition="0"/>
    </format>
    <format dxfId="1130">
      <pivotArea type="all" dataOnly="0" outline="0" fieldPosition="0"/>
    </format>
    <format dxfId="1129">
      <pivotArea type="all" dataOnly="0" outline="0" fieldPosition="0"/>
    </format>
    <format dxfId="1128">
      <pivotArea type="all" dataOnly="0" outline="0" fieldPosition="0"/>
    </format>
    <format dxfId="1127">
      <pivotArea type="all" dataOnly="0" outline="0" fieldPosition="0"/>
    </format>
    <format dxfId="1126">
      <pivotArea type="all" dataOnly="0" outline="0" fieldPosition="0"/>
    </format>
    <format dxfId="1125">
      <pivotArea type="all" dataOnly="0" outline="0" fieldPosition="0"/>
    </format>
    <format dxfId="1124">
      <pivotArea type="all" dataOnly="0" outline="0" fieldPosition="0"/>
    </format>
    <format dxfId="1123">
      <pivotArea type="all" dataOnly="0" outline="0" fieldPosition="0"/>
    </format>
    <format dxfId="1122">
      <pivotArea type="all" dataOnly="0" outline="0" fieldPosition="0"/>
    </format>
    <format dxfId="1121">
      <pivotArea outline="0" collapsedLevelsAreSubtotals="1" fieldPosition="0"/>
    </format>
    <format dxfId="1120">
      <pivotArea dataOnly="0" labelOnly="1" outline="0" axis="axisValues" fieldPosition="0"/>
    </format>
    <format dxfId="1119">
      <pivotArea type="all" dataOnly="0" outline="0" fieldPosition="0"/>
    </format>
    <format dxfId="1118">
      <pivotArea outline="0" collapsedLevelsAreSubtotals="1" fieldPosition="0"/>
    </format>
    <format dxfId="1117">
      <pivotArea dataOnly="0" labelOnly="1" outline="0" axis="axisValues" fieldPosition="0"/>
    </format>
    <format dxfId="1116">
      <pivotArea type="all" dataOnly="0" outline="0" fieldPosition="0"/>
    </format>
    <format dxfId="1115">
      <pivotArea outline="0" collapsedLevelsAreSubtotals="1" fieldPosition="0"/>
    </format>
    <format dxfId="1114">
      <pivotArea dataOnly="0" labelOnly="1" outline="0" axis="axisValues" fieldPosition="0"/>
    </format>
    <format dxfId="1113">
      <pivotArea type="all" dataOnly="0" outline="0" fieldPosition="0"/>
    </format>
    <format dxfId="1112">
      <pivotArea outline="0" collapsedLevelsAreSubtotals="1" fieldPosition="0"/>
    </format>
    <format dxfId="1111">
      <pivotArea dataOnly="0" labelOnly="1" outline="0" axis="axisValues" fieldPosition="0"/>
    </format>
    <format dxfId="1110">
      <pivotArea type="all" dataOnly="0" outline="0" fieldPosition="0"/>
    </format>
    <format dxfId="1109">
      <pivotArea outline="0" collapsedLevelsAreSubtotals="1" fieldPosition="0"/>
    </format>
    <format dxfId="1108">
      <pivotArea dataOnly="0" labelOnly="1" outline="0" axis="axisValues" fieldPosition="0"/>
    </format>
    <format dxfId="1107">
      <pivotArea type="all" dataOnly="0" outline="0" fieldPosition="0"/>
    </format>
    <format dxfId="1106">
      <pivotArea outline="0" collapsedLevelsAreSubtotals="1" fieldPosition="0"/>
    </format>
    <format dxfId="1105">
      <pivotArea dataOnly="0" labelOnly="1" outline="0" axis="axisValues" fieldPosition="0"/>
    </format>
    <format dxfId="1104">
      <pivotArea type="all" dataOnly="0" outline="0" fieldPosition="0"/>
    </format>
    <format dxfId="1103">
      <pivotArea outline="0" collapsedLevelsAreSubtotals="1" fieldPosition="0"/>
    </format>
    <format dxfId="110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EE1984C8-035C-4DBF-BF19-2661D6D10743}" name="PivotTable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49:B50" firstHeaderRow="1" firstDataRow="1" firstDataCol="0" rowPageCount="3" colPageCount="1"/>
  <pivotFields count="76">
    <pivotField showAll="0"/>
    <pivotField axis="axisPage" multipleItemSelectionAllowed="1" showAll="0" defaultSubtotal="0">
      <items count="5">
        <item x="2"/>
        <item x="3"/>
        <item x="4"/>
        <item x="1"/>
        <item x="0"/>
      </items>
    </pivotField>
    <pivotField axis="axisPage" multipleItemSelectionAllowed="1" showAll="0">
      <items count="4">
        <item x="1"/>
        <item h="1" x="0"/>
        <item h="1" x="2"/>
        <item t="default"/>
      </items>
    </pivotField>
    <pivotField numFmtId="14" showAll="0"/>
    <pivotField numFmtId="14" showAll="0"/>
    <pivotField showAll="0" defaultSubtotal="0"/>
    <pivotField showAll="0" defaultSubtotal="0"/>
    <pivotField axis="axisPage" multipleItemSelectionAllowed="1" showAll="0">
      <items count="6">
        <item h="1" x="0"/>
        <item h="1" x="1"/>
        <item x="2"/>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1" hier="-1"/>
    <pageField fld="2" hier="-1"/>
    <pageField fld="7" hier="-1"/>
  </pageFields>
  <dataFields count="1">
    <dataField name="Sum of Net Dwellings" fld="42" baseField="0" baseItem="0"/>
  </dataFields>
  <formats count="31">
    <format dxfId="1163">
      <pivotArea type="all" dataOnly="0" outline="0" fieldPosition="0"/>
    </format>
    <format dxfId="1162">
      <pivotArea type="all" dataOnly="0" outline="0" fieldPosition="0"/>
    </format>
    <format dxfId="1161">
      <pivotArea type="all" dataOnly="0" outline="0" fieldPosition="0"/>
    </format>
    <format dxfId="1160">
      <pivotArea type="all" dataOnly="0" outline="0" fieldPosition="0"/>
    </format>
    <format dxfId="1159">
      <pivotArea type="all" dataOnly="0" outline="0" fieldPosition="0"/>
    </format>
    <format dxfId="1158">
      <pivotArea type="all" dataOnly="0" outline="0" fieldPosition="0"/>
    </format>
    <format dxfId="1157">
      <pivotArea type="all" dataOnly="0" outline="0" fieldPosition="0"/>
    </format>
    <format dxfId="1156">
      <pivotArea type="all" dataOnly="0" outline="0" fieldPosition="0"/>
    </format>
    <format dxfId="1155">
      <pivotArea type="all" dataOnly="0" outline="0" fieldPosition="0"/>
    </format>
    <format dxfId="1154">
      <pivotArea type="all" dataOnly="0" outline="0" fieldPosition="0"/>
    </format>
    <format dxfId="1153">
      <pivotArea type="all" dataOnly="0" outline="0" fieldPosition="0"/>
    </format>
    <format dxfId="1152">
      <pivotArea outline="0" collapsedLevelsAreSubtotals="1" fieldPosition="0"/>
    </format>
    <format dxfId="1151">
      <pivotArea dataOnly="0" labelOnly="1" outline="0" axis="axisValues" fieldPosition="0"/>
    </format>
    <format dxfId="1150">
      <pivotArea type="all" dataOnly="0" outline="0" fieldPosition="0"/>
    </format>
    <format dxfId="1149">
      <pivotArea outline="0" collapsedLevelsAreSubtotals="1" fieldPosition="0"/>
    </format>
    <format dxfId="1148">
      <pivotArea dataOnly="0" labelOnly="1" outline="0" axis="axisValues" fieldPosition="0"/>
    </format>
    <format dxfId="1147">
      <pivotArea type="all" dataOnly="0" outline="0" fieldPosition="0"/>
    </format>
    <format dxfId="1146">
      <pivotArea outline="0" collapsedLevelsAreSubtotals="1" fieldPosition="0"/>
    </format>
    <format dxfId="1145">
      <pivotArea dataOnly="0" labelOnly="1" outline="0" axis="axisValues" fieldPosition="0"/>
    </format>
    <format dxfId="1144">
      <pivotArea type="all" dataOnly="0" outline="0" fieldPosition="0"/>
    </format>
    <format dxfId="1143">
      <pivotArea outline="0" collapsedLevelsAreSubtotals="1" fieldPosition="0"/>
    </format>
    <format dxfId="1142">
      <pivotArea dataOnly="0" labelOnly="1" outline="0" axis="axisValues" fieldPosition="0"/>
    </format>
    <format dxfId="1141">
      <pivotArea type="all" dataOnly="0" outline="0" fieldPosition="0"/>
    </format>
    <format dxfId="1140">
      <pivotArea outline="0" collapsedLevelsAreSubtotals="1" fieldPosition="0"/>
    </format>
    <format dxfId="1139">
      <pivotArea dataOnly="0" labelOnly="1" outline="0" axis="axisValues" fieldPosition="0"/>
    </format>
    <format dxfId="1138">
      <pivotArea type="all" dataOnly="0" outline="0" fieldPosition="0"/>
    </format>
    <format dxfId="1137">
      <pivotArea outline="0" collapsedLevelsAreSubtotals="1" fieldPosition="0"/>
    </format>
    <format dxfId="1136">
      <pivotArea dataOnly="0" labelOnly="1" outline="0" axis="axisValues" fieldPosition="0"/>
    </format>
    <format dxfId="1135">
      <pivotArea type="all" dataOnly="0" outline="0" fieldPosition="0"/>
    </format>
    <format dxfId="1134">
      <pivotArea outline="0" collapsedLevelsAreSubtotals="1" fieldPosition="0"/>
    </format>
    <format dxfId="113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BD2F7424-51C3-47F3-8487-15F6551D62C9}" name="PivotTable70"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55:E156"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1194">
      <pivotArea type="all" dataOnly="0" outline="0" fieldPosition="0"/>
    </format>
    <format dxfId="1193">
      <pivotArea type="all" dataOnly="0" outline="0" fieldPosition="0"/>
    </format>
    <format dxfId="1192">
      <pivotArea type="all" dataOnly="0" outline="0" fieldPosition="0"/>
    </format>
    <format dxfId="1191">
      <pivotArea type="all" dataOnly="0" outline="0" fieldPosition="0"/>
    </format>
    <format dxfId="1190">
      <pivotArea type="all" dataOnly="0" outline="0" fieldPosition="0"/>
    </format>
    <format dxfId="1189">
      <pivotArea type="all" dataOnly="0" outline="0" fieldPosition="0"/>
    </format>
    <format dxfId="1188">
      <pivotArea type="all" dataOnly="0" outline="0" fieldPosition="0"/>
    </format>
    <format dxfId="1187">
      <pivotArea type="all" dataOnly="0" outline="0" fieldPosition="0"/>
    </format>
    <format dxfId="1186">
      <pivotArea type="all" dataOnly="0" outline="0" fieldPosition="0"/>
    </format>
    <format dxfId="1185">
      <pivotArea type="all" dataOnly="0" outline="0" fieldPosition="0"/>
    </format>
    <format dxfId="1184">
      <pivotArea type="all" dataOnly="0" outline="0" fieldPosition="0"/>
    </format>
    <format dxfId="1183">
      <pivotArea outline="0" collapsedLevelsAreSubtotals="1" fieldPosition="0"/>
    </format>
    <format dxfId="1182">
      <pivotArea dataOnly="0" labelOnly="1" outline="0" axis="axisValues" fieldPosition="0"/>
    </format>
    <format dxfId="1181">
      <pivotArea type="all" dataOnly="0" outline="0" fieldPosition="0"/>
    </format>
    <format dxfId="1180">
      <pivotArea outline="0" collapsedLevelsAreSubtotals="1" fieldPosition="0"/>
    </format>
    <format dxfId="1179">
      <pivotArea dataOnly="0" labelOnly="1" outline="0" axis="axisValues" fieldPosition="0"/>
    </format>
    <format dxfId="1178">
      <pivotArea type="all" dataOnly="0" outline="0" fieldPosition="0"/>
    </format>
    <format dxfId="1177">
      <pivotArea outline="0" collapsedLevelsAreSubtotals="1" fieldPosition="0"/>
    </format>
    <format dxfId="1176">
      <pivotArea dataOnly="0" labelOnly="1" outline="0" axis="axisValues" fieldPosition="0"/>
    </format>
    <format dxfId="1175">
      <pivotArea type="all" dataOnly="0" outline="0" fieldPosition="0"/>
    </format>
    <format dxfId="1174">
      <pivotArea outline="0" collapsedLevelsAreSubtotals="1" fieldPosition="0"/>
    </format>
    <format dxfId="1173">
      <pivotArea dataOnly="0" labelOnly="1" outline="0" axis="axisValues" fieldPosition="0"/>
    </format>
    <format dxfId="1172">
      <pivotArea type="all" dataOnly="0" outline="0" fieldPosition="0"/>
    </format>
    <format dxfId="1171">
      <pivotArea outline="0" collapsedLevelsAreSubtotals="1" fieldPosition="0"/>
    </format>
    <format dxfId="1170">
      <pivotArea dataOnly="0" labelOnly="1" outline="0" axis="axisValues" fieldPosition="0"/>
    </format>
    <format dxfId="1169">
      <pivotArea type="all" dataOnly="0" outline="0" fieldPosition="0"/>
    </format>
    <format dxfId="1168">
      <pivotArea outline="0" collapsedLevelsAreSubtotals="1" fieldPosition="0"/>
    </format>
    <format dxfId="1167">
      <pivotArea dataOnly="0" labelOnly="1" outline="0" axis="axisValues" fieldPosition="0"/>
    </format>
    <format dxfId="1166">
      <pivotArea type="all" dataOnly="0" outline="0" fieldPosition="0"/>
    </format>
    <format dxfId="1165">
      <pivotArea outline="0" collapsedLevelsAreSubtotals="1" fieldPosition="0"/>
    </format>
    <format dxfId="116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96835331-C5C4-4933-8CE7-B0F412FF59A4}" name="PivotTable8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400:I410" firstHeaderRow="1" firstDataRow="1" firstDataCol="1" rowPageCount="3" colPageCount="1"/>
  <pivotFields count="76">
    <pivotField showAll="0" defaultSubtotal="0"/>
    <pivotField axis="axisPage" multipleItemSelectionAllowed="1" showAll="0" defaultSubtotal="0">
      <items count="5">
        <item x="2"/>
        <item x="3"/>
        <item x="4"/>
        <item x="1"/>
        <item x="0"/>
      </items>
    </pivotField>
    <pivotField axis="axisPage" multipleItemSelectionAllowed="1" showAll="0" defaultSubtotal="0">
      <items count="3">
        <item x="1"/>
        <item h="1"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9">
        <item x="10"/>
        <item x="8"/>
        <item x="9"/>
        <item x="1"/>
        <item x="4"/>
        <item x="7"/>
        <item x="3"/>
        <item x="0"/>
        <item x="15"/>
        <item x="14"/>
        <item x="13"/>
        <item x="6"/>
        <item x="12"/>
        <item x="17"/>
        <item x="5"/>
        <item x="16"/>
        <item x="2"/>
        <item x="11"/>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0">
    <i>
      <x v="1"/>
    </i>
    <i>
      <x v="2"/>
    </i>
    <i>
      <x v="4"/>
    </i>
    <i>
      <x v="6"/>
    </i>
    <i>
      <x v="8"/>
    </i>
    <i>
      <x v="10"/>
    </i>
    <i>
      <x v="12"/>
    </i>
    <i>
      <x v="14"/>
    </i>
    <i>
      <x v="15"/>
    </i>
    <i t="grand">
      <x/>
    </i>
  </rowItems>
  <colItems count="1">
    <i/>
  </colItems>
  <pageFields count="3">
    <pageField fld="7" hier="-1"/>
    <pageField fld="2" hier="-1"/>
    <pageField fld="1" hier="-1"/>
  </pageFields>
  <dataFields count="1">
    <dataField name="Sum of Net Dwellings" fld="42" baseField="0" baseItem="0"/>
  </dataFields>
  <formats count="37">
    <format dxfId="1231">
      <pivotArea type="all" dataOnly="0" outline="0" fieldPosition="0"/>
    </format>
    <format dxfId="1230">
      <pivotArea type="all" dataOnly="0" outline="0" fieldPosition="0"/>
    </format>
    <format dxfId="1229">
      <pivotArea type="all" dataOnly="0" outline="0" fieldPosition="0"/>
    </format>
    <format dxfId="1228">
      <pivotArea type="all" dataOnly="0" outline="0" fieldPosition="0"/>
    </format>
    <format dxfId="1227">
      <pivotArea type="all" dataOnly="0" outline="0" fieldPosition="0"/>
    </format>
    <format dxfId="1226">
      <pivotArea type="all" dataOnly="0" outline="0" fieldPosition="0"/>
    </format>
    <format dxfId="1225">
      <pivotArea type="all" dataOnly="0" outline="0" fieldPosition="0"/>
    </format>
    <format dxfId="1224">
      <pivotArea field="63" type="button" dataOnly="0" labelOnly="1" outline="0"/>
    </format>
    <format dxfId="1223">
      <pivotArea dataOnly="0" labelOnly="1" outline="0" fieldPosition="0">
        <references count="1">
          <reference field="4294967294" count="1">
            <x v="0"/>
          </reference>
        </references>
      </pivotArea>
    </format>
    <format dxfId="1222">
      <pivotArea field="63" type="button" dataOnly="0" labelOnly="1" outline="0"/>
    </format>
    <format dxfId="1221">
      <pivotArea dataOnly="0" labelOnly="1" outline="0" fieldPosition="0">
        <references count="1">
          <reference field="4294967294" count="1">
            <x v="0"/>
          </reference>
        </references>
      </pivotArea>
    </format>
    <format dxfId="1220">
      <pivotArea field="63" type="button" dataOnly="0" labelOnly="1" outline="0"/>
    </format>
    <format dxfId="1219">
      <pivotArea dataOnly="0" labelOnly="1" outline="0" fieldPosition="0">
        <references count="1">
          <reference field="4294967294" count="1">
            <x v="0"/>
          </reference>
        </references>
      </pivotArea>
    </format>
    <format dxfId="1218">
      <pivotArea type="all" dataOnly="0" outline="0" fieldPosition="0"/>
    </format>
    <format dxfId="1217">
      <pivotArea type="all" dataOnly="0" outline="0" fieldPosition="0"/>
    </format>
    <format dxfId="1216">
      <pivotArea type="all" dataOnly="0" outline="0" fieldPosition="0"/>
    </format>
    <format dxfId="1215">
      <pivotArea type="all" dataOnly="0" outline="0" fieldPosition="0"/>
    </format>
    <format dxfId="1214">
      <pivotArea outline="0" collapsedLevelsAreSubtotals="1" fieldPosition="0"/>
    </format>
    <format dxfId="1213">
      <pivotArea field="63" type="button" dataOnly="0" labelOnly="1" outline="0"/>
    </format>
    <format dxfId="1212">
      <pivotArea dataOnly="0" labelOnly="1" grandRow="1" outline="0" fieldPosition="0"/>
    </format>
    <format dxfId="1211">
      <pivotArea dataOnly="0" labelOnly="1" outline="0" axis="axisValues" fieldPosition="0"/>
    </format>
    <format dxfId="1210">
      <pivotArea type="all" dataOnly="0" outline="0" fieldPosition="0"/>
    </format>
    <format dxfId="1209">
      <pivotArea outline="0" collapsedLevelsAreSubtotals="1" fieldPosition="0"/>
    </format>
    <format dxfId="1208">
      <pivotArea field="63" type="button" dataOnly="0" labelOnly="1" outline="0"/>
    </format>
    <format dxfId="1207">
      <pivotArea dataOnly="0" labelOnly="1" grandRow="1" outline="0" fieldPosition="0"/>
    </format>
    <format dxfId="1206">
      <pivotArea dataOnly="0" labelOnly="1" outline="0" axis="axisValues" fieldPosition="0"/>
    </format>
    <format dxfId="1205">
      <pivotArea type="all" dataOnly="0" outline="0" fieldPosition="0"/>
    </format>
    <format dxfId="1204">
      <pivotArea outline="0" collapsedLevelsAreSubtotals="1" fieldPosition="0"/>
    </format>
    <format dxfId="1203">
      <pivotArea field="63" type="button" dataOnly="0" labelOnly="1" outline="0"/>
    </format>
    <format dxfId="1202">
      <pivotArea dataOnly="0" labelOnly="1" grandRow="1" outline="0" fieldPosition="0"/>
    </format>
    <format dxfId="1201">
      <pivotArea dataOnly="0" labelOnly="1" outline="0" axis="axisValues" fieldPosition="0"/>
    </format>
    <format dxfId="1200">
      <pivotArea type="all" dataOnly="0" outline="0" fieldPosition="0"/>
    </format>
    <format dxfId="1199">
      <pivotArea outline="0" collapsedLevelsAreSubtotals="1" fieldPosition="0"/>
    </format>
    <format dxfId="1198">
      <pivotArea field="65" type="button" dataOnly="0" labelOnly="1" outline="0" axis="axisRow" fieldPosition="0"/>
    </format>
    <format dxfId="1197">
      <pivotArea dataOnly="0" labelOnly="1" fieldPosition="0">
        <references count="1">
          <reference field="65" count="9">
            <x v="1"/>
            <x v="2"/>
            <x v="4"/>
            <x v="6"/>
            <x v="8"/>
            <x v="10"/>
            <x v="12"/>
            <x v="14"/>
            <x v="15"/>
          </reference>
        </references>
      </pivotArea>
    </format>
    <format dxfId="1196">
      <pivotArea dataOnly="0" labelOnly="1" grandRow="1" outline="0" fieldPosition="0"/>
    </format>
    <format dxfId="119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1958F47-FB3E-4BAE-B973-8975E6CC99FF}" name="PivotTable6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55:H156"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1262">
      <pivotArea type="all" dataOnly="0" outline="0" fieldPosition="0"/>
    </format>
    <format dxfId="1261">
      <pivotArea type="all" dataOnly="0" outline="0" fieldPosition="0"/>
    </format>
    <format dxfId="1260">
      <pivotArea type="all" dataOnly="0" outline="0" fieldPosition="0"/>
    </format>
    <format dxfId="1259">
      <pivotArea type="all" dataOnly="0" outline="0" fieldPosition="0"/>
    </format>
    <format dxfId="1258">
      <pivotArea type="all" dataOnly="0" outline="0" fieldPosition="0"/>
    </format>
    <format dxfId="1257">
      <pivotArea type="all" dataOnly="0" outline="0" fieldPosition="0"/>
    </format>
    <format dxfId="1256">
      <pivotArea type="all" dataOnly="0" outline="0" fieldPosition="0"/>
    </format>
    <format dxfId="1255">
      <pivotArea type="all" dataOnly="0" outline="0" fieldPosition="0"/>
    </format>
    <format dxfId="1254">
      <pivotArea type="all" dataOnly="0" outline="0" fieldPosition="0"/>
    </format>
    <format dxfId="1253">
      <pivotArea type="all" dataOnly="0" outline="0" fieldPosition="0"/>
    </format>
    <format dxfId="1252">
      <pivotArea type="all" dataOnly="0" outline="0" fieldPosition="0"/>
    </format>
    <format dxfId="1251">
      <pivotArea outline="0" collapsedLevelsAreSubtotals="1" fieldPosition="0"/>
    </format>
    <format dxfId="1250">
      <pivotArea dataOnly="0" labelOnly="1" outline="0" axis="axisValues" fieldPosition="0"/>
    </format>
    <format dxfId="1249">
      <pivotArea type="all" dataOnly="0" outline="0" fieldPosition="0"/>
    </format>
    <format dxfId="1248">
      <pivotArea outline="0" collapsedLevelsAreSubtotals="1" fieldPosition="0"/>
    </format>
    <format dxfId="1247">
      <pivotArea dataOnly="0" labelOnly="1" outline="0" axis="axisValues" fieldPosition="0"/>
    </format>
    <format dxfId="1246">
      <pivotArea type="all" dataOnly="0" outline="0" fieldPosition="0"/>
    </format>
    <format dxfId="1245">
      <pivotArea outline="0" collapsedLevelsAreSubtotals="1" fieldPosition="0"/>
    </format>
    <format dxfId="1244">
      <pivotArea dataOnly="0" labelOnly="1" outline="0" axis="axisValues" fieldPosition="0"/>
    </format>
    <format dxfId="1243">
      <pivotArea type="all" dataOnly="0" outline="0" fieldPosition="0"/>
    </format>
    <format dxfId="1242">
      <pivotArea outline="0" collapsedLevelsAreSubtotals="1" fieldPosition="0"/>
    </format>
    <format dxfId="1241">
      <pivotArea dataOnly="0" labelOnly="1" outline="0" axis="axisValues" fieldPosition="0"/>
    </format>
    <format dxfId="1240">
      <pivotArea type="all" dataOnly="0" outline="0" fieldPosition="0"/>
    </format>
    <format dxfId="1239">
      <pivotArea outline="0" collapsedLevelsAreSubtotals="1" fieldPosition="0"/>
    </format>
    <format dxfId="1238">
      <pivotArea dataOnly="0" labelOnly="1" outline="0" axis="axisValues" fieldPosition="0"/>
    </format>
    <format dxfId="1237">
      <pivotArea type="all" dataOnly="0" outline="0" fieldPosition="0"/>
    </format>
    <format dxfId="1236">
      <pivotArea outline="0" collapsedLevelsAreSubtotals="1" fieldPosition="0"/>
    </format>
    <format dxfId="1235">
      <pivotArea dataOnly="0" labelOnly="1" outline="0" axis="axisValues" fieldPosition="0"/>
    </format>
    <format dxfId="1234">
      <pivotArea type="all" dataOnly="0" outline="0" fieldPosition="0"/>
    </format>
    <format dxfId="1233">
      <pivotArea outline="0" collapsedLevelsAreSubtotals="1" fieldPosition="0"/>
    </format>
    <format dxfId="123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849E3D4E-DD78-4B36-93C7-1F94B90FAD6B}" name="PivotTable8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400:F412" firstHeaderRow="1" firstDataRow="1" firstDataCol="1" rowPageCount="3" colPageCount="1"/>
  <pivotFields count="76">
    <pivotField showAll="0" defaultSubtotal="0"/>
    <pivotField axis="axisPage" multipleItemSelectionAllowed="1" showAll="0" defaultSubtotal="0">
      <items count="5">
        <item x="2"/>
        <item x="3"/>
        <item x="4"/>
        <item h="1" x="1"/>
        <item h="1" x="0"/>
      </items>
    </pivotField>
    <pivotField axis="axisPage" multipleItemSelectionAllowed="1" showAll="0" defaultSubtotal="0">
      <items count="3">
        <item x="1"/>
        <item h="1" x="0"/>
        <item h="1"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9">
        <item x="10"/>
        <item x="8"/>
        <item x="9"/>
        <item x="1"/>
        <item x="4"/>
        <item x="7"/>
        <item x="3"/>
        <item x="0"/>
        <item x="15"/>
        <item x="14"/>
        <item x="13"/>
        <item x="6"/>
        <item x="12"/>
        <item x="17"/>
        <item x="5"/>
        <item x="16"/>
        <item x="2"/>
        <item x="11"/>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2">
    <i>
      <x/>
    </i>
    <i>
      <x v="1"/>
    </i>
    <i>
      <x v="2"/>
    </i>
    <i>
      <x v="4"/>
    </i>
    <i>
      <x v="5"/>
    </i>
    <i>
      <x v="6"/>
    </i>
    <i>
      <x v="9"/>
    </i>
    <i>
      <x v="10"/>
    </i>
    <i>
      <x v="12"/>
    </i>
    <i>
      <x v="13"/>
    </i>
    <i>
      <x v="14"/>
    </i>
    <i t="grand">
      <x/>
    </i>
  </rowItems>
  <colItems count="1">
    <i/>
  </colItems>
  <pageFields count="3">
    <pageField fld="7" hier="-1"/>
    <pageField fld="2" hier="-1"/>
    <pageField fld="1" hier="-1"/>
  </pageFields>
  <dataFields count="1">
    <dataField name="Sum of Net Dwellings" fld="42" baseField="0" baseItem="0"/>
  </dataFields>
  <formats count="37">
    <format dxfId="1299">
      <pivotArea type="all" dataOnly="0" outline="0" fieldPosition="0"/>
    </format>
    <format dxfId="1298">
      <pivotArea type="all" dataOnly="0" outline="0" fieldPosition="0"/>
    </format>
    <format dxfId="1297">
      <pivotArea type="all" dataOnly="0" outline="0" fieldPosition="0"/>
    </format>
    <format dxfId="1296">
      <pivotArea type="all" dataOnly="0" outline="0" fieldPosition="0"/>
    </format>
    <format dxfId="1295">
      <pivotArea type="all" dataOnly="0" outline="0" fieldPosition="0"/>
    </format>
    <format dxfId="1294">
      <pivotArea type="all" dataOnly="0" outline="0" fieldPosition="0"/>
    </format>
    <format dxfId="1293">
      <pivotArea type="all" dataOnly="0" outline="0" fieldPosition="0"/>
    </format>
    <format dxfId="1292">
      <pivotArea field="63" type="button" dataOnly="0" labelOnly="1" outline="0"/>
    </format>
    <format dxfId="1291">
      <pivotArea dataOnly="0" labelOnly="1" outline="0" fieldPosition="0">
        <references count="1">
          <reference field="4294967294" count="1">
            <x v="0"/>
          </reference>
        </references>
      </pivotArea>
    </format>
    <format dxfId="1290">
      <pivotArea field="63" type="button" dataOnly="0" labelOnly="1" outline="0"/>
    </format>
    <format dxfId="1289">
      <pivotArea dataOnly="0" labelOnly="1" outline="0" fieldPosition="0">
        <references count="1">
          <reference field="4294967294" count="1">
            <x v="0"/>
          </reference>
        </references>
      </pivotArea>
    </format>
    <format dxfId="1288">
      <pivotArea field="63" type="button" dataOnly="0" labelOnly="1" outline="0"/>
    </format>
    <format dxfId="1287">
      <pivotArea dataOnly="0" labelOnly="1" outline="0" fieldPosition="0">
        <references count="1">
          <reference field="4294967294" count="1">
            <x v="0"/>
          </reference>
        </references>
      </pivotArea>
    </format>
    <format dxfId="1286">
      <pivotArea type="all" dataOnly="0" outline="0" fieldPosition="0"/>
    </format>
    <format dxfId="1285">
      <pivotArea type="all" dataOnly="0" outline="0" fieldPosition="0"/>
    </format>
    <format dxfId="1284">
      <pivotArea type="all" dataOnly="0" outline="0" fieldPosition="0"/>
    </format>
    <format dxfId="1283">
      <pivotArea type="all" dataOnly="0" outline="0" fieldPosition="0"/>
    </format>
    <format dxfId="1282">
      <pivotArea outline="0" collapsedLevelsAreSubtotals="1" fieldPosition="0"/>
    </format>
    <format dxfId="1281">
      <pivotArea field="63" type="button" dataOnly="0" labelOnly="1" outline="0"/>
    </format>
    <format dxfId="1280">
      <pivotArea dataOnly="0" labelOnly="1" grandRow="1" outline="0" fieldPosition="0"/>
    </format>
    <format dxfId="1279">
      <pivotArea dataOnly="0" labelOnly="1" outline="0" axis="axisValues" fieldPosition="0"/>
    </format>
    <format dxfId="1278">
      <pivotArea type="all" dataOnly="0" outline="0" fieldPosition="0"/>
    </format>
    <format dxfId="1277">
      <pivotArea outline="0" collapsedLevelsAreSubtotals="1" fieldPosition="0"/>
    </format>
    <format dxfId="1276">
      <pivotArea field="63" type="button" dataOnly="0" labelOnly="1" outline="0"/>
    </format>
    <format dxfId="1275">
      <pivotArea dataOnly="0" labelOnly="1" grandRow="1" outline="0" fieldPosition="0"/>
    </format>
    <format dxfId="1274">
      <pivotArea dataOnly="0" labelOnly="1" outline="0" axis="axisValues" fieldPosition="0"/>
    </format>
    <format dxfId="1273">
      <pivotArea type="all" dataOnly="0" outline="0" fieldPosition="0"/>
    </format>
    <format dxfId="1272">
      <pivotArea outline="0" collapsedLevelsAreSubtotals="1" fieldPosition="0"/>
    </format>
    <format dxfId="1271">
      <pivotArea field="63" type="button" dataOnly="0" labelOnly="1" outline="0"/>
    </format>
    <format dxfId="1270">
      <pivotArea dataOnly="0" labelOnly="1" grandRow="1" outline="0" fieldPosition="0"/>
    </format>
    <format dxfId="1269">
      <pivotArea dataOnly="0" labelOnly="1" outline="0" axis="axisValues" fieldPosition="0"/>
    </format>
    <format dxfId="1268">
      <pivotArea type="all" dataOnly="0" outline="0" fieldPosition="0"/>
    </format>
    <format dxfId="1267">
      <pivotArea outline="0" collapsedLevelsAreSubtotals="1" fieldPosition="0"/>
    </format>
    <format dxfId="1266">
      <pivotArea field="65" type="button" dataOnly="0" labelOnly="1" outline="0" axis="axisRow" fieldPosition="0"/>
    </format>
    <format dxfId="1265">
      <pivotArea dataOnly="0" labelOnly="1" fieldPosition="0">
        <references count="1">
          <reference field="65" count="4">
            <x v="1"/>
            <x v="5"/>
            <x v="12"/>
            <x v="14"/>
          </reference>
        </references>
      </pivotArea>
    </format>
    <format dxfId="1264">
      <pivotArea dataOnly="0" labelOnly="1" grandRow="1" outline="0" fieldPosition="0"/>
    </format>
    <format dxfId="12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5617798-BE70-427F-A804-3480B4DDDC43}" name="PivotTable20"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89:B90" firstHeaderRow="1" firstDataRow="1" firstDataCol="0" rowPageCount="2"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Units Proposed" fld="32" baseField="0" baseItem="0"/>
  </dataFields>
  <formats count="31">
    <format dxfId="128">
      <pivotArea type="all" dataOnly="0" outline="0" fieldPosition="0"/>
    </format>
    <format dxfId="127">
      <pivotArea type="all" dataOnly="0" outline="0" fieldPosition="0"/>
    </format>
    <format dxfId="126">
      <pivotArea type="all" dataOnly="0" outline="0" fieldPosition="0"/>
    </format>
    <format dxfId="125">
      <pivotArea type="all" dataOnly="0" outline="0" fieldPosition="0"/>
    </format>
    <format dxfId="124">
      <pivotArea type="all" dataOnly="0" outline="0" fieldPosition="0"/>
    </format>
    <format dxfId="123">
      <pivotArea type="all" dataOnly="0" outline="0" fieldPosition="0"/>
    </format>
    <format dxfId="122">
      <pivotArea type="all" dataOnly="0" outline="0" fieldPosition="0"/>
    </format>
    <format dxfId="121">
      <pivotArea type="all" dataOnly="0" outline="0" fieldPosition="0"/>
    </format>
    <format dxfId="120">
      <pivotArea type="all" dataOnly="0" outline="0" fieldPosition="0"/>
    </format>
    <format dxfId="119">
      <pivotArea type="all" dataOnly="0" outline="0" fieldPosition="0"/>
    </format>
    <format dxfId="118">
      <pivotArea type="all" dataOnly="0" outline="0" fieldPosition="0"/>
    </format>
    <format dxfId="117">
      <pivotArea outline="0" collapsedLevelsAreSubtotals="1" fieldPosition="0"/>
    </format>
    <format dxfId="116">
      <pivotArea dataOnly="0" labelOnly="1" outline="0" axis="axisValues" fieldPosition="0"/>
    </format>
    <format dxfId="115">
      <pivotArea type="all" dataOnly="0" outline="0" fieldPosition="0"/>
    </format>
    <format dxfId="114">
      <pivotArea outline="0" collapsedLevelsAreSubtotals="1" fieldPosition="0"/>
    </format>
    <format dxfId="113">
      <pivotArea dataOnly="0" labelOnly="1" outline="0" axis="axisValues" fieldPosition="0"/>
    </format>
    <format dxfId="112">
      <pivotArea type="all" dataOnly="0" outline="0" fieldPosition="0"/>
    </format>
    <format dxfId="111">
      <pivotArea outline="0" collapsedLevelsAreSubtotals="1" fieldPosition="0"/>
    </format>
    <format dxfId="110">
      <pivotArea dataOnly="0" labelOnly="1" outline="0" axis="axisValues" fieldPosition="0"/>
    </format>
    <format dxfId="109">
      <pivotArea type="all" dataOnly="0" outline="0" fieldPosition="0"/>
    </format>
    <format dxfId="108">
      <pivotArea outline="0" collapsedLevelsAreSubtotals="1" fieldPosition="0"/>
    </format>
    <format dxfId="107">
      <pivotArea dataOnly="0" labelOnly="1" outline="0" axis="axisValues" fieldPosition="0"/>
    </format>
    <format dxfId="106">
      <pivotArea type="all" dataOnly="0" outline="0" fieldPosition="0"/>
    </format>
    <format dxfId="105">
      <pivotArea outline="0" collapsedLevelsAreSubtotals="1" fieldPosition="0"/>
    </format>
    <format dxfId="104">
      <pivotArea dataOnly="0" labelOnly="1" outline="0" axis="axisValues" fieldPosition="0"/>
    </format>
    <format dxfId="103">
      <pivotArea type="all" dataOnly="0" outline="0" fieldPosition="0"/>
    </format>
    <format dxfId="102">
      <pivotArea outline="0" collapsedLevelsAreSubtotals="1" fieldPosition="0"/>
    </format>
    <format dxfId="101">
      <pivotArea dataOnly="0" labelOnly="1" outline="0" axis="axisValues" fieldPosition="0"/>
    </format>
    <format dxfId="100">
      <pivotArea type="all" dataOnly="0" outline="0" fieldPosition="0"/>
    </format>
    <format dxfId="99">
      <pivotArea outline="0" collapsedLevelsAreSubtotals="1" fieldPosition="0"/>
    </format>
    <format dxfId="9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ED8DB182-978F-454B-9F1E-96D36E841351}" name="PivotTable38"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368:C385" firstHeaderRow="1" firstDataRow="1" firstDataCol="1" rowPageCount="3" colPageCount="1"/>
  <pivotFields count="76">
    <pivotField showAll="0" defaultSubtotal="0"/>
    <pivotField axis="axisPage" multipleItemSelectionAllowed="1" showAll="0" defaultSubtotal="0">
      <items count="5">
        <item h="1" x="2"/>
        <item h="1" x="3"/>
        <item h="1" x="4"/>
        <item x="1"/>
        <item x="0"/>
      </items>
    </pivotField>
    <pivotField axis="axisPage" multipleItemSelectionAllowed="1" showAll="0" defaultSubtotal="0">
      <items count="3">
        <item x="1"/>
        <item x="0"/>
        <item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9">
        <item x="10"/>
        <item x="8"/>
        <item x="9"/>
        <item x="1"/>
        <item x="4"/>
        <item x="7"/>
        <item x="3"/>
        <item x="0"/>
        <item x="15"/>
        <item x="14"/>
        <item x="13"/>
        <item x="6"/>
        <item x="12"/>
        <item x="17"/>
        <item x="5"/>
        <item x="16"/>
        <item x="2"/>
        <item x="11"/>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7">
    <i>
      <x/>
    </i>
    <i>
      <x v="1"/>
    </i>
    <i>
      <x v="2"/>
    </i>
    <i>
      <x v="3"/>
    </i>
    <i>
      <x v="4"/>
    </i>
    <i>
      <x v="6"/>
    </i>
    <i>
      <x v="7"/>
    </i>
    <i>
      <x v="8"/>
    </i>
    <i>
      <x v="9"/>
    </i>
    <i>
      <x v="11"/>
    </i>
    <i>
      <x v="12"/>
    </i>
    <i>
      <x v="13"/>
    </i>
    <i>
      <x v="14"/>
    </i>
    <i>
      <x v="15"/>
    </i>
    <i>
      <x v="16"/>
    </i>
    <i>
      <x v="17"/>
    </i>
    <i t="grand">
      <x/>
    </i>
  </rowItems>
  <colItems count="1">
    <i/>
  </colItems>
  <pageFields count="3">
    <pageField fld="7" hier="-1"/>
    <pageField fld="2" hier="-1"/>
    <pageField fld="1" hier="-1"/>
  </pageFields>
  <dataFields count="1">
    <dataField name="Sum of Net Dwellings" fld="42" baseField="0" baseItem="0"/>
  </dataFields>
  <formats count="37">
    <format dxfId="1336">
      <pivotArea type="all" dataOnly="0" outline="0" fieldPosition="0"/>
    </format>
    <format dxfId="1335">
      <pivotArea type="all" dataOnly="0" outline="0" fieldPosition="0"/>
    </format>
    <format dxfId="1334">
      <pivotArea type="all" dataOnly="0" outline="0" fieldPosition="0"/>
    </format>
    <format dxfId="1333">
      <pivotArea type="all" dataOnly="0" outline="0" fieldPosition="0"/>
    </format>
    <format dxfId="1332">
      <pivotArea type="all" dataOnly="0" outline="0" fieldPosition="0"/>
    </format>
    <format dxfId="1331">
      <pivotArea type="all" dataOnly="0" outline="0" fieldPosition="0"/>
    </format>
    <format dxfId="1330">
      <pivotArea type="all" dataOnly="0" outline="0" fieldPosition="0"/>
    </format>
    <format dxfId="1329">
      <pivotArea field="63" type="button" dataOnly="0" labelOnly="1" outline="0"/>
    </format>
    <format dxfId="1328">
      <pivotArea dataOnly="0" labelOnly="1" outline="0" fieldPosition="0">
        <references count="1">
          <reference field="4294967294" count="1">
            <x v="0"/>
          </reference>
        </references>
      </pivotArea>
    </format>
    <format dxfId="1327">
      <pivotArea field="63" type="button" dataOnly="0" labelOnly="1" outline="0"/>
    </format>
    <format dxfId="1326">
      <pivotArea dataOnly="0" labelOnly="1" outline="0" fieldPosition="0">
        <references count="1">
          <reference field="4294967294" count="1">
            <x v="0"/>
          </reference>
        </references>
      </pivotArea>
    </format>
    <format dxfId="1325">
      <pivotArea field="63" type="button" dataOnly="0" labelOnly="1" outline="0"/>
    </format>
    <format dxfId="1324">
      <pivotArea dataOnly="0" labelOnly="1" outline="0" fieldPosition="0">
        <references count="1">
          <reference field="4294967294" count="1">
            <x v="0"/>
          </reference>
        </references>
      </pivotArea>
    </format>
    <format dxfId="1323">
      <pivotArea type="all" dataOnly="0" outline="0" fieldPosition="0"/>
    </format>
    <format dxfId="1322">
      <pivotArea type="all" dataOnly="0" outline="0" fieldPosition="0"/>
    </format>
    <format dxfId="1321">
      <pivotArea type="all" dataOnly="0" outline="0" fieldPosition="0"/>
    </format>
    <format dxfId="1320">
      <pivotArea type="all" dataOnly="0" outline="0" fieldPosition="0"/>
    </format>
    <format dxfId="1319">
      <pivotArea outline="0" collapsedLevelsAreSubtotals="1" fieldPosition="0"/>
    </format>
    <format dxfId="1318">
      <pivotArea field="63" type="button" dataOnly="0" labelOnly="1" outline="0"/>
    </format>
    <format dxfId="1317">
      <pivotArea dataOnly="0" labelOnly="1" grandRow="1" outline="0" fieldPosition="0"/>
    </format>
    <format dxfId="1316">
      <pivotArea dataOnly="0" labelOnly="1" outline="0" axis="axisValues" fieldPosition="0"/>
    </format>
    <format dxfId="1315">
      <pivotArea type="all" dataOnly="0" outline="0" fieldPosition="0"/>
    </format>
    <format dxfId="1314">
      <pivotArea outline="0" collapsedLevelsAreSubtotals="1" fieldPosition="0"/>
    </format>
    <format dxfId="1313">
      <pivotArea field="63" type="button" dataOnly="0" labelOnly="1" outline="0"/>
    </format>
    <format dxfId="1312">
      <pivotArea dataOnly="0" labelOnly="1" grandRow="1" outline="0" fieldPosition="0"/>
    </format>
    <format dxfId="1311">
      <pivotArea dataOnly="0" labelOnly="1" outline="0" axis="axisValues" fieldPosition="0"/>
    </format>
    <format dxfId="1310">
      <pivotArea type="all" dataOnly="0" outline="0" fieldPosition="0"/>
    </format>
    <format dxfId="1309">
      <pivotArea outline="0" collapsedLevelsAreSubtotals="1" fieldPosition="0"/>
    </format>
    <format dxfId="1308">
      <pivotArea field="63" type="button" dataOnly="0" labelOnly="1" outline="0"/>
    </format>
    <format dxfId="1307">
      <pivotArea dataOnly="0" labelOnly="1" grandRow="1" outline="0" fieldPosition="0"/>
    </format>
    <format dxfId="1306">
      <pivotArea dataOnly="0" labelOnly="1" outline="0" axis="axisValues" fieldPosition="0"/>
    </format>
    <format dxfId="1305">
      <pivotArea type="all" dataOnly="0" outline="0" fieldPosition="0"/>
    </format>
    <format dxfId="1304">
      <pivotArea outline="0" collapsedLevelsAreSubtotals="1" fieldPosition="0"/>
    </format>
    <format dxfId="1303">
      <pivotArea field="65" type="button" dataOnly="0" labelOnly="1" outline="0" axis="axisRow" fieldPosition="0"/>
    </format>
    <format dxfId="1302">
      <pivotArea dataOnly="0" labelOnly="1" fieldPosition="0">
        <references count="1">
          <reference field="65" count="16">
            <x v="0"/>
            <x v="1"/>
            <x v="2"/>
            <x v="3"/>
            <x v="4"/>
            <x v="6"/>
            <x v="7"/>
            <x v="8"/>
            <x v="9"/>
            <x v="11"/>
            <x v="12"/>
            <x v="13"/>
            <x v="14"/>
            <x v="15"/>
            <x v="16"/>
            <x v="17"/>
          </reference>
        </references>
      </pivotArea>
    </format>
    <format dxfId="1301">
      <pivotArea dataOnly="0" labelOnly="1" grandRow="1" outline="0" fieldPosition="0"/>
    </format>
    <format dxfId="130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BC1E32DC-2762-480B-A736-76D10B896E84}" name="PivotTable4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15:B116"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1367">
      <pivotArea type="all" dataOnly="0" outline="0" fieldPosition="0"/>
    </format>
    <format dxfId="1366">
      <pivotArea type="all" dataOnly="0" outline="0" fieldPosition="0"/>
    </format>
    <format dxfId="1365">
      <pivotArea type="all" dataOnly="0" outline="0" fieldPosition="0"/>
    </format>
    <format dxfId="1364">
      <pivotArea type="all" dataOnly="0" outline="0" fieldPosition="0"/>
    </format>
    <format dxfId="1363">
      <pivotArea type="all" dataOnly="0" outline="0" fieldPosition="0"/>
    </format>
    <format dxfId="1362">
      <pivotArea type="all" dataOnly="0" outline="0" fieldPosition="0"/>
    </format>
    <format dxfId="1361">
      <pivotArea type="all" dataOnly="0" outline="0" fieldPosition="0"/>
    </format>
    <format dxfId="1360">
      <pivotArea type="all" dataOnly="0" outline="0" fieldPosition="0"/>
    </format>
    <format dxfId="1359">
      <pivotArea type="all" dataOnly="0" outline="0" fieldPosition="0"/>
    </format>
    <format dxfId="1358">
      <pivotArea type="all" dataOnly="0" outline="0" fieldPosition="0"/>
    </format>
    <format dxfId="1357">
      <pivotArea type="all" dataOnly="0" outline="0" fieldPosition="0"/>
    </format>
    <format dxfId="1356">
      <pivotArea outline="0" collapsedLevelsAreSubtotals="1" fieldPosition="0"/>
    </format>
    <format dxfId="1355">
      <pivotArea dataOnly="0" labelOnly="1" outline="0" axis="axisValues" fieldPosition="0"/>
    </format>
    <format dxfId="1354">
      <pivotArea type="all" dataOnly="0" outline="0" fieldPosition="0"/>
    </format>
    <format dxfId="1353">
      <pivotArea outline="0" collapsedLevelsAreSubtotals="1" fieldPosition="0"/>
    </format>
    <format dxfId="1352">
      <pivotArea dataOnly="0" labelOnly="1" outline="0" axis="axisValues" fieldPosition="0"/>
    </format>
    <format dxfId="1351">
      <pivotArea type="all" dataOnly="0" outline="0" fieldPosition="0"/>
    </format>
    <format dxfId="1350">
      <pivotArea outline="0" collapsedLevelsAreSubtotals="1" fieldPosition="0"/>
    </format>
    <format dxfId="1349">
      <pivotArea dataOnly="0" labelOnly="1" outline="0" axis="axisValues" fieldPosition="0"/>
    </format>
    <format dxfId="1348">
      <pivotArea type="all" dataOnly="0" outline="0" fieldPosition="0"/>
    </format>
    <format dxfId="1347">
      <pivotArea outline="0" collapsedLevelsAreSubtotals="1" fieldPosition="0"/>
    </format>
    <format dxfId="1346">
      <pivotArea dataOnly="0" labelOnly="1" outline="0" axis="axisValues" fieldPosition="0"/>
    </format>
    <format dxfId="1345">
      <pivotArea type="all" dataOnly="0" outline="0" fieldPosition="0"/>
    </format>
    <format dxfId="1344">
      <pivotArea outline="0" collapsedLevelsAreSubtotals="1" fieldPosition="0"/>
    </format>
    <format dxfId="1343">
      <pivotArea dataOnly="0" labelOnly="1" outline="0" axis="axisValues" fieldPosition="0"/>
    </format>
    <format dxfId="1342">
      <pivotArea type="all" dataOnly="0" outline="0" fieldPosition="0"/>
    </format>
    <format dxfId="1341">
      <pivotArea outline="0" collapsedLevelsAreSubtotals="1" fieldPosition="0"/>
    </format>
    <format dxfId="1340">
      <pivotArea dataOnly="0" labelOnly="1" outline="0" axis="axisValues" fieldPosition="0"/>
    </format>
    <format dxfId="1339">
      <pivotArea type="all" dataOnly="0" outline="0" fieldPosition="0"/>
    </format>
    <format dxfId="1338">
      <pivotArea outline="0" collapsedLevelsAreSubtotals="1" fieldPosition="0"/>
    </format>
    <format dxfId="13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D368A98C-3780-48CB-874B-42BA8A0FF460}" name="PivotTable26"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213:E214"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x="0"/>
        <item x="1"/>
        <item x="2"/>
        <item x="3"/>
        <item x="4"/>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1398">
      <pivotArea type="all" dataOnly="0" outline="0" fieldPosition="0"/>
    </format>
    <format dxfId="1397">
      <pivotArea type="all" dataOnly="0" outline="0" fieldPosition="0"/>
    </format>
    <format dxfId="1396">
      <pivotArea type="all" dataOnly="0" outline="0" fieldPosition="0"/>
    </format>
    <format dxfId="1395">
      <pivotArea type="all" dataOnly="0" outline="0" fieldPosition="0"/>
    </format>
    <format dxfId="1394">
      <pivotArea type="all" dataOnly="0" outline="0" fieldPosition="0"/>
    </format>
    <format dxfId="1393">
      <pivotArea type="all" dataOnly="0" outline="0" fieldPosition="0"/>
    </format>
    <format dxfId="1392">
      <pivotArea type="all" dataOnly="0" outline="0" fieldPosition="0"/>
    </format>
    <format dxfId="1391">
      <pivotArea type="all" dataOnly="0" outline="0" fieldPosition="0"/>
    </format>
    <format dxfId="1390">
      <pivotArea type="all" dataOnly="0" outline="0" fieldPosition="0"/>
    </format>
    <format dxfId="1389">
      <pivotArea type="all" dataOnly="0" outline="0" fieldPosition="0"/>
    </format>
    <format dxfId="1388">
      <pivotArea type="all" dataOnly="0" outline="0" fieldPosition="0"/>
    </format>
    <format dxfId="1387">
      <pivotArea outline="0" collapsedLevelsAreSubtotals="1" fieldPosition="0"/>
    </format>
    <format dxfId="1386">
      <pivotArea dataOnly="0" labelOnly="1" outline="0" axis="axisValues" fieldPosition="0"/>
    </format>
    <format dxfId="1385">
      <pivotArea type="all" dataOnly="0" outline="0" fieldPosition="0"/>
    </format>
    <format dxfId="1384">
      <pivotArea outline="0" collapsedLevelsAreSubtotals="1" fieldPosition="0"/>
    </format>
    <format dxfId="1383">
      <pivotArea dataOnly="0" labelOnly="1" outline="0" axis="axisValues" fieldPosition="0"/>
    </format>
    <format dxfId="1382">
      <pivotArea type="all" dataOnly="0" outline="0" fieldPosition="0"/>
    </format>
    <format dxfId="1381">
      <pivotArea outline="0" collapsedLevelsAreSubtotals="1" fieldPosition="0"/>
    </format>
    <format dxfId="1380">
      <pivotArea dataOnly="0" labelOnly="1" outline="0" axis="axisValues" fieldPosition="0"/>
    </format>
    <format dxfId="1379">
      <pivotArea type="all" dataOnly="0" outline="0" fieldPosition="0"/>
    </format>
    <format dxfId="1378">
      <pivotArea outline="0" collapsedLevelsAreSubtotals="1" fieldPosition="0"/>
    </format>
    <format dxfId="1377">
      <pivotArea dataOnly="0" labelOnly="1" outline="0" axis="axisValues" fieldPosition="0"/>
    </format>
    <format dxfId="1376">
      <pivotArea type="all" dataOnly="0" outline="0" fieldPosition="0"/>
    </format>
    <format dxfId="1375">
      <pivotArea outline="0" collapsedLevelsAreSubtotals="1" fieldPosition="0"/>
    </format>
    <format dxfId="1374">
      <pivotArea dataOnly="0" labelOnly="1" outline="0" axis="axisValues" fieldPosition="0"/>
    </format>
    <format dxfId="1373">
      <pivotArea type="all" dataOnly="0" outline="0" fieldPosition="0"/>
    </format>
    <format dxfId="1372">
      <pivotArea outline="0" collapsedLevelsAreSubtotals="1" fieldPosition="0"/>
    </format>
    <format dxfId="1371">
      <pivotArea dataOnly="0" labelOnly="1" outline="0" axis="axisValues" fieldPosition="0"/>
    </format>
    <format dxfId="1370">
      <pivotArea type="all" dataOnly="0" outline="0" fieldPosition="0"/>
    </format>
    <format dxfId="1369">
      <pivotArea outline="0" collapsedLevelsAreSubtotals="1" fieldPosition="0"/>
    </format>
    <format dxfId="136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9B0967FB-601B-45E1-B715-3A5810463518}" name="PivotTable2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80:B81" firstHeaderRow="1" firstDataRow="1" firstDataCol="0" rowPageCount="2"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Net Dwellings" fld="42" baseField="0" baseItem="0"/>
  </dataFields>
  <formats count="31">
    <format dxfId="1429">
      <pivotArea type="all" dataOnly="0" outline="0" fieldPosition="0"/>
    </format>
    <format dxfId="1428">
      <pivotArea type="all" dataOnly="0" outline="0" fieldPosition="0"/>
    </format>
    <format dxfId="1427">
      <pivotArea type="all" dataOnly="0" outline="0" fieldPosition="0"/>
    </format>
    <format dxfId="1426">
      <pivotArea type="all" dataOnly="0" outline="0" fieldPosition="0"/>
    </format>
    <format dxfId="1425">
      <pivotArea type="all" dataOnly="0" outline="0" fieldPosition="0"/>
    </format>
    <format dxfId="1424">
      <pivotArea type="all" dataOnly="0" outline="0" fieldPosition="0"/>
    </format>
    <format dxfId="1423">
      <pivotArea type="all" dataOnly="0" outline="0" fieldPosition="0"/>
    </format>
    <format dxfId="1422">
      <pivotArea type="all" dataOnly="0" outline="0" fieldPosition="0"/>
    </format>
    <format dxfId="1421">
      <pivotArea type="all" dataOnly="0" outline="0" fieldPosition="0"/>
    </format>
    <format dxfId="1420">
      <pivotArea type="all" dataOnly="0" outline="0" fieldPosition="0"/>
    </format>
    <format dxfId="1419">
      <pivotArea type="all" dataOnly="0" outline="0" fieldPosition="0"/>
    </format>
    <format dxfId="1418">
      <pivotArea outline="0" collapsedLevelsAreSubtotals="1" fieldPosition="0"/>
    </format>
    <format dxfId="1417">
      <pivotArea dataOnly="0" labelOnly="1" outline="0" axis="axisValues" fieldPosition="0"/>
    </format>
    <format dxfId="1416">
      <pivotArea type="all" dataOnly="0" outline="0" fieldPosition="0"/>
    </format>
    <format dxfId="1415">
      <pivotArea outline="0" collapsedLevelsAreSubtotals="1" fieldPosition="0"/>
    </format>
    <format dxfId="1414">
      <pivotArea dataOnly="0" labelOnly="1" outline="0" axis="axisValues" fieldPosition="0"/>
    </format>
    <format dxfId="1413">
      <pivotArea type="all" dataOnly="0" outline="0" fieldPosition="0"/>
    </format>
    <format dxfId="1412">
      <pivotArea outline="0" collapsedLevelsAreSubtotals="1" fieldPosition="0"/>
    </format>
    <format dxfId="1411">
      <pivotArea dataOnly="0" labelOnly="1" outline="0" axis="axisValues" fieldPosition="0"/>
    </format>
    <format dxfId="1410">
      <pivotArea type="all" dataOnly="0" outline="0" fieldPosition="0"/>
    </format>
    <format dxfId="1409">
      <pivotArea outline="0" collapsedLevelsAreSubtotals="1" fieldPosition="0"/>
    </format>
    <format dxfId="1408">
      <pivotArea dataOnly="0" labelOnly="1" outline="0" axis="axisValues" fieldPosition="0"/>
    </format>
    <format dxfId="1407">
      <pivotArea type="all" dataOnly="0" outline="0" fieldPosition="0"/>
    </format>
    <format dxfId="1406">
      <pivotArea outline="0" collapsedLevelsAreSubtotals="1" fieldPosition="0"/>
    </format>
    <format dxfId="1405">
      <pivotArea dataOnly="0" labelOnly="1" outline="0" axis="axisValues" fieldPosition="0"/>
    </format>
    <format dxfId="1404">
      <pivotArea type="all" dataOnly="0" outline="0" fieldPosition="0"/>
    </format>
    <format dxfId="1403">
      <pivotArea outline="0" collapsedLevelsAreSubtotals="1" fieldPosition="0"/>
    </format>
    <format dxfId="1402">
      <pivotArea dataOnly="0" labelOnly="1" outline="0" axis="axisValues" fieldPosition="0"/>
    </format>
    <format dxfId="1401">
      <pivotArea type="all" dataOnly="0" outline="0" fieldPosition="0"/>
    </format>
    <format dxfId="1400">
      <pivotArea outline="0" collapsedLevelsAreSubtotals="1" fieldPosition="0"/>
    </format>
    <format dxfId="139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10DFC9D5-E083-444B-A57E-5142AFA52CED}" name="PivotTable49"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99:E100"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1460">
      <pivotArea type="all" dataOnly="0" outline="0" fieldPosition="0"/>
    </format>
    <format dxfId="1459">
      <pivotArea type="all" dataOnly="0" outline="0" fieldPosition="0"/>
    </format>
    <format dxfId="1458">
      <pivotArea type="all" dataOnly="0" outline="0" fieldPosition="0"/>
    </format>
    <format dxfId="1457">
      <pivotArea type="all" dataOnly="0" outline="0" fieldPosition="0"/>
    </format>
    <format dxfId="1456">
      <pivotArea type="all" dataOnly="0" outline="0" fieldPosition="0"/>
    </format>
    <format dxfId="1455">
      <pivotArea type="all" dataOnly="0" outline="0" fieldPosition="0"/>
    </format>
    <format dxfId="1454">
      <pivotArea type="all" dataOnly="0" outline="0" fieldPosition="0"/>
    </format>
    <format dxfId="1453">
      <pivotArea type="all" dataOnly="0" outline="0" fieldPosition="0"/>
    </format>
    <format dxfId="1452">
      <pivotArea type="all" dataOnly="0" outline="0" fieldPosition="0"/>
    </format>
    <format dxfId="1451">
      <pivotArea type="all" dataOnly="0" outline="0" fieldPosition="0"/>
    </format>
    <format dxfId="1450">
      <pivotArea type="all" dataOnly="0" outline="0" fieldPosition="0"/>
    </format>
    <format dxfId="1449">
      <pivotArea outline="0" collapsedLevelsAreSubtotals="1" fieldPosition="0"/>
    </format>
    <format dxfId="1448">
      <pivotArea dataOnly="0" labelOnly="1" outline="0" axis="axisValues" fieldPosition="0"/>
    </format>
    <format dxfId="1447">
      <pivotArea type="all" dataOnly="0" outline="0" fieldPosition="0"/>
    </format>
    <format dxfId="1446">
      <pivotArea outline="0" collapsedLevelsAreSubtotals="1" fieldPosition="0"/>
    </format>
    <format dxfId="1445">
      <pivotArea dataOnly="0" labelOnly="1" outline="0" axis="axisValues" fieldPosition="0"/>
    </format>
    <format dxfId="1444">
      <pivotArea type="all" dataOnly="0" outline="0" fieldPosition="0"/>
    </format>
    <format dxfId="1443">
      <pivotArea outline="0" collapsedLevelsAreSubtotals="1" fieldPosition="0"/>
    </format>
    <format dxfId="1442">
      <pivotArea dataOnly="0" labelOnly="1" outline="0" axis="axisValues" fieldPosition="0"/>
    </format>
    <format dxfId="1441">
      <pivotArea type="all" dataOnly="0" outline="0" fieldPosition="0"/>
    </format>
    <format dxfId="1440">
      <pivotArea outline="0" collapsedLevelsAreSubtotals="1" fieldPosition="0"/>
    </format>
    <format dxfId="1439">
      <pivotArea dataOnly="0" labelOnly="1" outline="0" axis="axisValues" fieldPosition="0"/>
    </format>
    <format dxfId="1438">
      <pivotArea type="all" dataOnly="0" outline="0" fieldPosition="0"/>
    </format>
    <format dxfId="1437">
      <pivotArea outline="0" collapsedLevelsAreSubtotals="1" fieldPosition="0"/>
    </format>
    <format dxfId="1436">
      <pivotArea dataOnly="0" labelOnly="1" outline="0" axis="axisValues" fieldPosition="0"/>
    </format>
    <format dxfId="1435">
      <pivotArea type="all" dataOnly="0" outline="0" fieldPosition="0"/>
    </format>
    <format dxfId="1434">
      <pivotArea outline="0" collapsedLevelsAreSubtotals="1" fieldPosition="0"/>
    </format>
    <format dxfId="1433">
      <pivotArea dataOnly="0" labelOnly="1" outline="0" axis="axisValues" fieldPosition="0"/>
    </format>
    <format dxfId="1432">
      <pivotArea type="all" dataOnly="0" outline="0" fieldPosition="0"/>
    </format>
    <format dxfId="1431">
      <pivotArea outline="0" collapsedLevelsAreSubtotals="1" fieldPosition="0"/>
    </format>
    <format dxfId="143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1286FB41-5C72-4224-B8F4-FE353D463CDF}" name="PivotTable7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64:E165"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1491">
      <pivotArea type="all" dataOnly="0" outline="0" fieldPosition="0"/>
    </format>
    <format dxfId="1490">
      <pivotArea type="all" dataOnly="0" outline="0" fieldPosition="0"/>
    </format>
    <format dxfId="1489">
      <pivotArea type="all" dataOnly="0" outline="0" fieldPosition="0"/>
    </format>
    <format dxfId="1488">
      <pivotArea type="all" dataOnly="0" outline="0" fieldPosition="0"/>
    </format>
    <format dxfId="1487">
      <pivotArea type="all" dataOnly="0" outline="0" fieldPosition="0"/>
    </format>
    <format dxfId="1486">
      <pivotArea type="all" dataOnly="0" outline="0" fieldPosition="0"/>
    </format>
    <format dxfId="1485">
      <pivotArea type="all" dataOnly="0" outline="0" fieldPosition="0"/>
    </format>
    <format dxfId="1484">
      <pivotArea type="all" dataOnly="0" outline="0" fieldPosition="0"/>
    </format>
    <format dxfId="1483">
      <pivotArea type="all" dataOnly="0" outline="0" fieldPosition="0"/>
    </format>
    <format dxfId="1482">
      <pivotArea type="all" dataOnly="0" outline="0" fieldPosition="0"/>
    </format>
    <format dxfId="1481">
      <pivotArea type="all" dataOnly="0" outline="0" fieldPosition="0"/>
    </format>
    <format dxfId="1480">
      <pivotArea outline="0" collapsedLevelsAreSubtotals="1" fieldPosition="0"/>
    </format>
    <format dxfId="1479">
      <pivotArea dataOnly="0" labelOnly="1" outline="0" axis="axisValues" fieldPosition="0"/>
    </format>
    <format dxfId="1478">
      <pivotArea type="all" dataOnly="0" outline="0" fieldPosition="0"/>
    </format>
    <format dxfId="1477">
      <pivotArea outline="0" collapsedLevelsAreSubtotals="1" fieldPosition="0"/>
    </format>
    <format dxfId="1476">
      <pivotArea dataOnly="0" labelOnly="1" outline="0" axis="axisValues" fieldPosition="0"/>
    </format>
    <format dxfId="1475">
      <pivotArea type="all" dataOnly="0" outline="0" fieldPosition="0"/>
    </format>
    <format dxfId="1474">
      <pivotArea outline="0" collapsedLevelsAreSubtotals="1" fieldPosition="0"/>
    </format>
    <format dxfId="1473">
      <pivotArea dataOnly="0" labelOnly="1" outline="0" axis="axisValues" fieldPosition="0"/>
    </format>
    <format dxfId="1472">
      <pivotArea type="all" dataOnly="0" outline="0" fieldPosition="0"/>
    </format>
    <format dxfId="1471">
      <pivotArea outline="0" collapsedLevelsAreSubtotals="1" fieldPosition="0"/>
    </format>
    <format dxfId="1470">
      <pivotArea dataOnly="0" labelOnly="1" outline="0" axis="axisValues" fieldPosition="0"/>
    </format>
    <format dxfId="1469">
      <pivotArea type="all" dataOnly="0" outline="0" fieldPosition="0"/>
    </format>
    <format dxfId="1468">
      <pivotArea outline="0" collapsedLevelsAreSubtotals="1" fieldPosition="0"/>
    </format>
    <format dxfId="1467">
      <pivotArea dataOnly="0" labelOnly="1" outline="0" axis="axisValues" fieldPosition="0"/>
    </format>
    <format dxfId="1466">
      <pivotArea type="all" dataOnly="0" outline="0" fieldPosition="0"/>
    </format>
    <format dxfId="1465">
      <pivotArea outline="0" collapsedLevelsAreSubtotals="1" fieldPosition="0"/>
    </format>
    <format dxfId="1464">
      <pivotArea dataOnly="0" labelOnly="1" outline="0" axis="axisValues" fieldPosition="0"/>
    </format>
    <format dxfId="1463">
      <pivotArea type="all" dataOnly="0" outline="0" fieldPosition="0"/>
    </format>
    <format dxfId="1462">
      <pivotArea outline="0" collapsedLevelsAreSubtotals="1" fieldPosition="0"/>
    </format>
    <format dxfId="146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E7F56B26-9888-485F-9198-A88DD29A826B}" name="PivotTable2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213:H214"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x="0"/>
        <item x="1"/>
        <item x="2"/>
        <item x="3"/>
        <item x="4"/>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1522">
      <pivotArea type="all" dataOnly="0" outline="0" fieldPosition="0"/>
    </format>
    <format dxfId="1521">
      <pivotArea type="all" dataOnly="0" outline="0" fieldPosition="0"/>
    </format>
    <format dxfId="1520">
      <pivotArea type="all" dataOnly="0" outline="0" fieldPosition="0"/>
    </format>
    <format dxfId="1519">
      <pivotArea type="all" dataOnly="0" outline="0" fieldPosition="0"/>
    </format>
    <format dxfId="1518">
      <pivotArea type="all" dataOnly="0" outline="0" fieldPosition="0"/>
    </format>
    <format dxfId="1517">
      <pivotArea type="all" dataOnly="0" outline="0" fieldPosition="0"/>
    </format>
    <format dxfId="1516">
      <pivotArea type="all" dataOnly="0" outline="0" fieldPosition="0"/>
    </format>
    <format dxfId="1515">
      <pivotArea type="all" dataOnly="0" outline="0" fieldPosition="0"/>
    </format>
    <format dxfId="1514">
      <pivotArea type="all" dataOnly="0" outline="0" fieldPosition="0"/>
    </format>
    <format dxfId="1513">
      <pivotArea type="all" dataOnly="0" outline="0" fieldPosition="0"/>
    </format>
    <format dxfId="1512">
      <pivotArea type="all" dataOnly="0" outline="0" fieldPosition="0"/>
    </format>
    <format dxfId="1511">
      <pivotArea outline="0" collapsedLevelsAreSubtotals="1" fieldPosition="0"/>
    </format>
    <format dxfId="1510">
      <pivotArea dataOnly="0" labelOnly="1" outline="0" axis="axisValues" fieldPosition="0"/>
    </format>
    <format dxfId="1509">
      <pivotArea type="all" dataOnly="0" outline="0" fieldPosition="0"/>
    </format>
    <format dxfId="1508">
      <pivotArea outline="0" collapsedLevelsAreSubtotals="1" fieldPosition="0"/>
    </format>
    <format dxfId="1507">
      <pivotArea dataOnly="0" labelOnly="1" outline="0" axis="axisValues" fieldPosition="0"/>
    </format>
    <format dxfId="1506">
      <pivotArea type="all" dataOnly="0" outline="0" fieldPosition="0"/>
    </format>
    <format dxfId="1505">
      <pivotArea outline="0" collapsedLevelsAreSubtotals="1" fieldPosition="0"/>
    </format>
    <format dxfId="1504">
      <pivotArea dataOnly="0" labelOnly="1" outline="0" axis="axisValues" fieldPosition="0"/>
    </format>
    <format dxfId="1503">
      <pivotArea type="all" dataOnly="0" outline="0" fieldPosition="0"/>
    </format>
    <format dxfId="1502">
      <pivotArea outline="0" collapsedLevelsAreSubtotals="1" fieldPosition="0"/>
    </format>
    <format dxfId="1501">
      <pivotArea dataOnly="0" labelOnly="1" outline="0" axis="axisValues" fieldPosition="0"/>
    </format>
    <format dxfId="1500">
      <pivotArea type="all" dataOnly="0" outline="0" fieldPosition="0"/>
    </format>
    <format dxfId="1499">
      <pivotArea outline="0" collapsedLevelsAreSubtotals="1" fieldPosition="0"/>
    </format>
    <format dxfId="1498">
      <pivotArea dataOnly="0" labelOnly="1" outline="0" axis="axisValues" fieldPosition="0"/>
    </format>
    <format dxfId="1497">
      <pivotArea type="all" dataOnly="0" outline="0" fieldPosition="0"/>
    </format>
    <format dxfId="1496">
      <pivotArea outline="0" collapsedLevelsAreSubtotals="1" fieldPosition="0"/>
    </format>
    <format dxfId="1495">
      <pivotArea dataOnly="0" labelOnly="1" outline="0" axis="axisValues" fieldPosition="0"/>
    </format>
    <format dxfId="1494">
      <pivotArea type="all" dataOnly="0" outline="0" fieldPosition="0"/>
    </format>
    <format dxfId="1493">
      <pivotArea outline="0" collapsedLevelsAreSubtotals="1" fieldPosition="0"/>
    </format>
    <format dxfId="149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CC4F4BC1-787C-4BDA-AF35-6F48B5B7731A}" name="PivotTable6"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40:B41" firstHeaderRow="1" firstDataRow="1" firstDataCol="0" rowPageCount="3" colPageCount="1"/>
  <pivotFields count="76">
    <pivotField showAll="0"/>
    <pivotField axis="axisPage" multipleItemSelectionAllowed="1" showAll="0" defaultSubtotal="0">
      <items count="5">
        <item x="2"/>
        <item x="3"/>
        <item x="4"/>
        <item h="1" x="1"/>
        <item h="1" x="0"/>
      </items>
    </pivotField>
    <pivotField axis="axisPage" multipleItemSelectionAllowed="1" showAll="0">
      <items count="4">
        <item h="1" x="1"/>
        <item x="0"/>
        <item h="1" x="2"/>
        <item t="default"/>
      </items>
    </pivotField>
    <pivotField numFmtId="14" showAll="0"/>
    <pivotField numFmtId="14" showAll="0"/>
    <pivotField showAll="0" defaultSubtotal="0"/>
    <pivotField showAll="0" defaultSubtotal="0"/>
    <pivotField axis="axisPage" multipleItemSelectionAllowed="1" showAll="0">
      <items count="6">
        <item h="1" x="0"/>
        <item h="1" x="1"/>
        <item x="2"/>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1" hier="-1"/>
    <pageField fld="2" hier="-1"/>
    <pageField fld="7" hier="-1"/>
  </pageFields>
  <dataFields count="1">
    <dataField name="Sum of Net Dwellings" fld="42" baseField="0" baseItem="0"/>
  </dataFields>
  <formats count="31">
    <format dxfId="1553">
      <pivotArea type="all" dataOnly="0" outline="0" fieldPosition="0"/>
    </format>
    <format dxfId="1552">
      <pivotArea type="all" dataOnly="0" outline="0" fieldPosition="0"/>
    </format>
    <format dxfId="1551">
      <pivotArea type="all" dataOnly="0" outline="0" fieldPosition="0"/>
    </format>
    <format dxfId="1550">
      <pivotArea type="all" dataOnly="0" outline="0" fieldPosition="0"/>
    </format>
    <format dxfId="1549">
      <pivotArea type="all" dataOnly="0" outline="0" fieldPosition="0"/>
    </format>
    <format dxfId="1548">
      <pivotArea type="all" dataOnly="0" outline="0" fieldPosition="0"/>
    </format>
    <format dxfId="1547">
      <pivotArea type="all" dataOnly="0" outline="0" fieldPosition="0"/>
    </format>
    <format dxfId="1546">
      <pivotArea type="all" dataOnly="0" outline="0" fieldPosition="0"/>
    </format>
    <format dxfId="1545">
      <pivotArea type="all" dataOnly="0" outline="0" fieldPosition="0"/>
    </format>
    <format dxfId="1544">
      <pivotArea type="all" dataOnly="0" outline="0" fieldPosition="0"/>
    </format>
    <format dxfId="1543">
      <pivotArea type="all" dataOnly="0" outline="0" fieldPosition="0"/>
    </format>
    <format dxfId="1542">
      <pivotArea outline="0" collapsedLevelsAreSubtotals="1" fieldPosition="0"/>
    </format>
    <format dxfId="1541">
      <pivotArea dataOnly="0" labelOnly="1" outline="0" axis="axisValues" fieldPosition="0"/>
    </format>
    <format dxfId="1540">
      <pivotArea type="all" dataOnly="0" outline="0" fieldPosition="0"/>
    </format>
    <format dxfId="1539">
      <pivotArea outline="0" collapsedLevelsAreSubtotals="1" fieldPosition="0"/>
    </format>
    <format dxfId="1538">
      <pivotArea dataOnly="0" labelOnly="1" outline="0" axis="axisValues" fieldPosition="0"/>
    </format>
    <format dxfId="1537">
      <pivotArea type="all" dataOnly="0" outline="0" fieldPosition="0"/>
    </format>
    <format dxfId="1536">
      <pivotArea outline="0" collapsedLevelsAreSubtotals="1" fieldPosition="0"/>
    </format>
    <format dxfId="1535">
      <pivotArea dataOnly="0" labelOnly="1" outline="0" axis="axisValues" fieldPosition="0"/>
    </format>
    <format dxfId="1534">
      <pivotArea type="all" dataOnly="0" outline="0" fieldPosition="0"/>
    </format>
    <format dxfId="1533">
      <pivotArea outline="0" collapsedLevelsAreSubtotals="1" fieldPosition="0"/>
    </format>
    <format dxfId="1532">
      <pivotArea dataOnly="0" labelOnly="1" outline="0" axis="axisValues" fieldPosition="0"/>
    </format>
    <format dxfId="1531">
      <pivotArea type="all" dataOnly="0" outline="0" fieldPosition="0"/>
    </format>
    <format dxfId="1530">
      <pivotArea outline="0" collapsedLevelsAreSubtotals="1" fieldPosition="0"/>
    </format>
    <format dxfId="1529">
      <pivotArea dataOnly="0" labelOnly="1" outline="0" axis="axisValues" fieldPosition="0"/>
    </format>
    <format dxfId="1528">
      <pivotArea type="all" dataOnly="0" outline="0" fieldPosition="0"/>
    </format>
    <format dxfId="1527">
      <pivotArea outline="0" collapsedLevelsAreSubtotals="1" fieldPosition="0"/>
    </format>
    <format dxfId="1526">
      <pivotArea dataOnly="0" labelOnly="1" outline="0" axis="axisValues" fieldPosition="0"/>
    </format>
    <format dxfId="1525">
      <pivotArea type="all" dataOnly="0" outline="0" fieldPosition="0"/>
    </format>
    <format dxfId="1524">
      <pivotArea outline="0" collapsedLevelsAreSubtotals="1" fieldPosition="0"/>
    </format>
    <format dxfId="15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9310D17B-FA3C-4745-9F4A-ADE5A9D2FDCD}" name="PivotTable30"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246:C251"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showAll="0">
      <items count="7">
        <item x="3"/>
        <item x="2"/>
        <item x="4"/>
        <item x="0"/>
        <item x="5"/>
        <item h="1" x="1"/>
        <item t="default"/>
      </items>
    </pivotField>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6"/>
  </rowFields>
  <rowItems count="5">
    <i>
      <x/>
    </i>
    <i>
      <x v="1"/>
    </i>
    <i>
      <x v="2"/>
    </i>
    <i>
      <x v="3"/>
    </i>
    <i t="grand">
      <x/>
    </i>
  </rowItems>
  <colItems count="1">
    <i/>
  </colItems>
  <pageFields count="1">
    <pageField fld="7" hier="-1"/>
  </pageFields>
  <dataFields count="1">
    <dataField name="Sum of Net Dwellings" fld="42" baseField="0" baseItem="0"/>
  </dataFields>
  <formats count="32">
    <format dxfId="1585">
      <pivotArea type="all" dataOnly="0" outline="0" fieldPosition="0"/>
    </format>
    <format dxfId="1584">
      <pivotArea type="all" dataOnly="0" outline="0" fieldPosition="0"/>
    </format>
    <format dxfId="1583">
      <pivotArea type="all" dataOnly="0" outline="0" fieldPosition="0"/>
    </format>
    <format dxfId="1582">
      <pivotArea type="all" dataOnly="0" outline="0" fieldPosition="0"/>
    </format>
    <format dxfId="1581">
      <pivotArea type="all" dataOnly="0" outline="0" fieldPosition="0"/>
    </format>
    <format dxfId="1580">
      <pivotArea type="all" dataOnly="0" outline="0" fieldPosition="0"/>
    </format>
    <format dxfId="1579">
      <pivotArea type="all" dataOnly="0" outline="0" fieldPosition="0"/>
    </format>
    <format dxfId="1578">
      <pivotArea type="all" dataOnly="0" outline="0" fieldPosition="0"/>
    </format>
    <format dxfId="1577">
      <pivotArea type="all" dataOnly="0" outline="0" fieldPosition="0"/>
    </format>
    <format dxfId="1576">
      <pivotArea type="all" dataOnly="0" outline="0" fieldPosition="0"/>
    </format>
    <format dxfId="1575">
      <pivotArea type="all" dataOnly="0" outline="0" fieldPosition="0"/>
    </format>
    <format dxfId="1574">
      <pivotArea outline="0" collapsedLevelsAreSubtotals="1" fieldPosition="0"/>
    </format>
    <format dxfId="1573">
      <pivotArea dataOnly="0" labelOnly="1" grandRow="1" outline="0" fieldPosition="0"/>
    </format>
    <format dxfId="1572">
      <pivotArea dataOnly="0" labelOnly="1" outline="0" axis="axisValues" fieldPosition="0"/>
    </format>
    <format dxfId="1571">
      <pivotArea type="all" dataOnly="0" outline="0" fieldPosition="0"/>
    </format>
    <format dxfId="1570">
      <pivotArea outline="0" collapsedLevelsAreSubtotals="1" fieldPosition="0"/>
    </format>
    <format dxfId="1569">
      <pivotArea field="66" type="button" dataOnly="0" labelOnly="1" outline="0" axis="axisRow" fieldPosition="0"/>
    </format>
    <format dxfId="1568">
      <pivotArea dataOnly="0" labelOnly="1" fieldPosition="0">
        <references count="1">
          <reference field="66" count="0"/>
        </references>
      </pivotArea>
    </format>
    <format dxfId="1567">
      <pivotArea dataOnly="0" labelOnly="1" grandRow="1" outline="0" fieldPosition="0"/>
    </format>
    <format dxfId="1566">
      <pivotArea dataOnly="0" labelOnly="1" outline="0" axis="axisValues" fieldPosition="0"/>
    </format>
    <format dxfId="1565">
      <pivotArea type="all" dataOnly="0" outline="0" fieldPosition="0"/>
    </format>
    <format dxfId="1564">
      <pivotArea outline="0" collapsedLevelsAreSubtotals="1" fieldPosition="0"/>
    </format>
    <format dxfId="1563">
      <pivotArea field="66" type="button" dataOnly="0" labelOnly="1" outline="0" axis="axisRow" fieldPosition="0"/>
    </format>
    <format dxfId="1562">
      <pivotArea dataOnly="0" labelOnly="1" fieldPosition="0">
        <references count="1">
          <reference field="66" count="0"/>
        </references>
      </pivotArea>
    </format>
    <format dxfId="1561">
      <pivotArea dataOnly="0" labelOnly="1" grandRow="1" outline="0" fieldPosition="0"/>
    </format>
    <format dxfId="1560">
      <pivotArea dataOnly="0" labelOnly="1" outline="0" axis="axisValues" fieldPosition="0"/>
    </format>
    <format dxfId="1559">
      <pivotArea type="all" dataOnly="0" outline="0" fieldPosition="0"/>
    </format>
    <format dxfId="1558">
      <pivotArea outline="0" collapsedLevelsAreSubtotals="1" fieldPosition="0"/>
    </format>
    <format dxfId="1557">
      <pivotArea field="66" type="button" dataOnly="0" labelOnly="1" outline="0" axis="axisRow" fieldPosition="0"/>
    </format>
    <format dxfId="1556">
      <pivotArea dataOnly="0" labelOnly="1" fieldPosition="0">
        <references count="1">
          <reference field="66" count="4">
            <x v="0"/>
            <x v="1"/>
            <x v="2"/>
            <x v="3"/>
          </reference>
        </references>
      </pivotArea>
    </format>
    <format dxfId="1555">
      <pivotArea dataOnly="0" labelOnly="1" grandRow="1" outline="0" fieldPosition="0"/>
    </format>
    <format dxfId="155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17F1F8DB-6DA7-4F8E-A200-B18595EA3066}" name="PivotTable2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222:B223" firstHeaderRow="1" firstDataRow="1" firstDataCol="0" rowPageCount="3"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x="0"/>
        <item x="1"/>
        <item x="2"/>
        <item x="3"/>
        <item x="4"/>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1616">
      <pivotArea type="all" dataOnly="0" outline="0" fieldPosition="0"/>
    </format>
    <format dxfId="1615">
      <pivotArea type="all" dataOnly="0" outline="0" fieldPosition="0"/>
    </format>
    <format dxfId="1614">
      <pivotArea type="all" dataOnly="0" outline="0" fieldPosition="0"/>
    </format>
    <format dxfId="1613">
      <pivotArea type="all" dataOnly="0" outline="0" fieldPosition="0"/>
    </format>
    <format dxfId="1612">
      <pivotArea type="all" dataOnly="0" outline="0" fieldPosition="0"/>
    </format>
    <format dxfId="1611">
      <pivotArea type="all" dataOnly="0" outline="0" fieldPosition="0"/>
    </format>
    <format dxfId="1610">
      <pivotArea type="all" dataOnly="0" outline="0" fieldPosition="0"/>
    </format>
    <format dxfId="1609">
      <pivotArea type="all" dataOnly="0" outline="0" fieldPosition="0"/>
    </format>
    <format dxfId="1608">
      <pivotArea type="all" dataOnly="0" outline="0" fieldPosition="0"/>
    </format>
    <format dxfId="1607">
      <pivotArea type="all" dataOnly="0" outline="0" fieldPosition="0"/>
    </format>
    <format dxfId="1606">
      <pivotArea type="all" dataOnly="0" outline="0" fieldPosition="0"/>
    </format>
    <format dxfId="1605">
      <pivotArea outline="0" collapsedLevelsAreSubtotals="1" fieldPosition="0"/>
    </format>
    <format dxfId="1604">
      <pivotArea dataOnly="0" labelOnly="1" outline="0" axis="axisValues" fieldPosition="0"/>
    </format>
    <format dxfId="1603">
      <pivotArea type="all" dataOnly="0" outline="0" fieldPosition="0"/>
    </format>
    <format dxfId="1602">
      <pivotArea outline="0" collapsedLevelsAreSubtotals="1" fieldPosition="0"/>
    </format>
    <format dxfId="1601">
      <pivotArea dataOnly="0" labelOnly="1" outline="0" axis="axisValues" fieldPosition="0"/>
    </format>
    <format dxfId="1600">
      <pivotArea type="all" dataOnly="0" outline="0" fieldPosition="0"/>
    </format>
    <format dxfId="1599">
      <pivotArea outline="0" collapsedLevelsAreSubtotals="1" fieldPosition="0"/>
    </format>
    <format dxfId="1598">
      <pivotArea dataOnly="0" labelOnly="1" outline="0" axis="axisValues" fieldPosition="0"/>
    </format>
    <format dxfId="1597">
      <pivotArea type="all" dataOnly="0" outline="0" fieldPosition="0"/>
    </format>
    <format dxfId="1596">
      <pivotArea outline="0" collapsedLevelsAreSubtotals="1" fieldPosition="0"/>
    </format>
    <format dxfId="1595">
      <pivotArea dataOnly="0" labelOnly="1" outline="0" axis="axisValues" fieldPosition="0"/>
    </format>
    <format dxfId="1594">
      <pivotArea type="all" dataOnly="0" outline="0" fieldPosition="0"/>
    </format>
    <format dxfId="1593">
      <pivotArea outline="0" collapsedLevelsAreSubtotals="1" fieldPosition="0"/>
    </format>
    <format dxfId="1592">
      <pivotArea dataOnly="0" labelOnly="1" outline="0" axis="axisValues" fieldPosition="0"/>
    </format>
    <format dxfId="1591">
      <pivotArea type="all" dataOnly="0" outline="0" fieldPosition="0"/>
    </format>
    <format dxfId="1590">
      <pivotArea outline="0" collapsedLevelsAreSubtotals="1" fieldPosition="0"/>
    </format>
    <format dxfId="1589">
      <pivotArea dataOnly="0" labelOnly="1" outline="0" axis="axisValues" fieldPosition="0"/>
    </format>
    <format dxfId="1588">
      <pivotArea type="all" dataOnly="0" outline="0" fieldPosition="0"/>
    </format>
    <format dxfId="1587">
      <pivotArea outline="0" collapsedLevelsAreSubtotals="1" fieldPosition="0"/>
    </format>
    <format dxfId="15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FCAF2BE-6FFE-4726-962E-36793453D054}" name="PivotTable28"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273:F292"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defaultSubtotal="0">
      <items count="19">
        <item x="6"/>
        <item x="12"/>
        <item x="1"/>
        <item x="2"/>
        <item x="16"/>
        <item x="5"/>
        <item x="15"/>
        <item x="8"/>
        <item x="7"/>
        <item x="9"/>
        <item x="4"/>
        <item x="14"/>
        <item x="3"/>
        <item x="0"/>
        <item x="13"/>
        <item x="10"/>
        <item x="11"/>
        <item x="17"/>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42" baseField="0" baseItem="0"/>
  </dataFields>
  <formats count="31">
    <format dxfId="159">
      <pivotArea type="all" dataOnly="0" outline="0" fieldPosition="0"/>
    </format>
    <format dxfId="158">
      <pivotArea type="all" dataOnly="0" outline="0" fieldPosition="0"/>
    </format>
    <format dxfId="157">
      <pivotArea type="all" dataOnly="0" outline="0" fieldPosition="0"/>
    </format>
    <format dxfId="156">
      <pivotArea type="all" dataOnly="0" outline="0" fieldPosition="0"/>
    </format>
    <format dxfId="155">
      <pivotArea type="all" dataOnly="0" outline="0" fieldPosition="0"/>
    </format>
    <format dxfId="154">
      <pivotArea type="all" dataOnly="0" outline="0" fieldPosition="0"/>
    </format>
    <format dxfId="153">
      <pivotArea type="all" dataOnly="0" outline="0" fieldPosition="0"/>
    </format>
    <format dxfId="152">
      <pivotArea type="all" dataOnly="0" outline="0" fieldPosition="0"/>
    </format>
    <format dxfId="151">
      <pivotArea type="all" dataOnly="0" outline="0" fieldPosition="0"/>
    </format>
    <format dxfId="150">
      <pivotArea type="all" dataOnly="0" outline="0" fieldPosition="0"/>
    </format>
    <format dxfId="149">
      <pivotArea type="all" dataOnly="0" outline="0" fieldPosition="0"/>
    </format>
    <format dxfId="148">
      <pivotArea outline="0" collapsedLevelsAreSubtotals="1" fieldPosition="0"/>
    </format>
    <format dxfId="147">
      <pivotArea field="63" type="button" dataOnly="0" labelOnly="1" outline="0"/>
    </format>
    <format dxfId="146">
      <pivotArea dataOnly="0" labelOnly="1" grandRow="1" outline="0" fieldPosition="0"/>
    </format>
    <format dxfId="145">
      <pivotArea dataOnly="0" labelOnly="1" outline="0" axis="axisValues" fieldPosition="0"/>
    </format>
    <format dxfId="144">
      <pivotArea type="all" dataOnly="0" outline="0" fieldPosition="0"/>
    </format>
    <format dxfId="143">
      <pivotArea outline="0" collapsedLevelsAreSubtotals="1" fieldPosition="0"/>
    </format>
    <format dxfId="142">
      <pivotArea field="63" type="button" dataOnly="0" labelOnly="1" outline="0"/>
    </format>
    <format dxfId="141">
      <pivotArea dataOnly="0" labelOnly="1" grandRow="1" outline="0" fieldPosition="0"/>
    </format>
    <format dxfId="140">
      <pivotArea dataOnly="0" labelOnly="1" outline="0" axis="axisValues" fieldPosition="0"/>
    </format>
    <format dxfId="139">
      <pivotArea type="all" dataOnly="0" outline="0" fieldPosition="0"/>
    </format>
    <format dxfId="138">
      <pivotArea outline="0" collapsedLevelsAreSubtotals="1" fieldPosition="0"/>
    </format>
    <format dxfId="137">
      <pivotArea field="63" type="button" dataOnly="0" labelOnly="1" outline="0"/>
    </format>
    <format dxfId="136">
      <pivotArea dataOnly="0" labelOnly="1" grandRow="1" outline="0" fieldPosition="0"/>
    </format>
    <format dxfId="135">
      <pivotArea dataOnly="0" labelOnly="1" outline="0" axis="axisValues" fieldPosition="0"/>
    </format>
    <format dxfId="134">
      <pivotArea type="all" dataOnly="0" outline="0" fieldPosition="0"/>
    </format>
    <format dxfId="133">
      <pivotArea outline="0" collapsedLevelsAreSubtotals="1" fieldPosition="0"/>
    </format>
    <format dxfId="132">
      <pivotArea field="65" type="button" dataOnly="0" labelOnly="1" outline="0" axis="axisRow" fieldPosition="0"/>
    </format>
    <format dxfId="131">
      <pivotArea dataOnly="0" labelOnly="1" fieldPosition="0">
        <references count="1">
          <reference field="65" count="18">
            <x v="0"/>
            <x v="1"/>
            <x v="2"/>
            <x v="3"/>
            <x v="4"/>
            <x v="5"/>
            <x v="6"/>
            <x v="7"/>
            <x v="8"/>
            <x v="9"/>
            <x v="10"/>
            <x v="11"/>
            <x v="12"/>
            <x v="13"/>
            <x v="14"/>
            <x v="15"/>
            <x v="16"/>
            <x v="17"/>
          </reference>
        </references>
      </pivotArea>
    </format>
    <format dxfId="130">
      <pivotArea dataOnly="0" labelOnly="1" grandRow="1" outline="0" fieldPosition="0"/>
    </format>
    <format dxfId="1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B1CAFDEC-D6D3-432A-A5B1-107E7AD43E6A}" name="PivotTable7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82:H183"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1647">
      <pivotArea type="all" dataOnly="0" outline="0" fieldPosition="0"/>
    </format>
    <format dxfId="1646">
      <pivotArea type="all" dataOnly="0" outline="0" fieldPosition="0"/>
    </format>
    <format dxfId="1645">
      <pivotArea type="all" dataOnly="0" outline="0" fieldPosition="0"/>
    </format>
    <format dxfId="1644">
      <pivotArea type="all" dataOnly="0" outline="0" fieldPosition="0"/>
    </format>
    <format dxfId="1643">
      <pivotArea type="all" dataOnly="0" outline="0" fieldPosition="0"/>
    </format>
    <format dxfId="1642">
      <pivotArea type="all" dataOnly="0" outline="0" fieldPosition="0"/>
    </format>
    <format dxfId="1641">
      <pivotArea type="all" dataOnly="0" outline="0" fieldPosition="0"/>
    </format>
    <format dxfId="1640">
      <pivotArea type="all" dataOnly="0" outline="0" fieldPosition="0"/>
    </format>
    <format dxfId="1639">
      <pivotArea type="all" dataOnly="0" outline="0" fieldPosition="0"/>
    </format>
    <format dxfId="1638">
      <pivotArea type="all" dataOnly="0" outline="0" fieldPosition="0"/>
    </format>
    <format dxfId="1637">
      <pivotArea type="all" dataOnly="0" outline="0" fieldPosition="0"/>
    </format>
    <format dxfId="1636">
      <pivotArea outline="0" collapsedLevelsAreSubtotals="1" fieldPosition="0"/>
    </format>
    <format dxfId="1635">
      <pivotArea dataOnly="0" labelOnly="1" outline="0" axis="axisValues" fieldPosition="0"/>
    </format>
    <format dxfId="1634">
      <pivotArea type="all" dataOnly="0" outline="0" fieldPosition="0"/>
    </format>
    <format dxfId="1633">
      <pivotArea outline="0" collapsedLevelsAreSubtotals="1" fieldPosition="0"/>
    </format>
    <format dxfId="1632">
      <pivotArea dataOnly="0" labelOnly="1" outline="0" axis="axisValues" fieldPosition="0"/>
    </format>
    <format dxfId="1631">
      <pivotArea type="all" dataOnly="0" outline="0" fieldPosition="0"/>
    </format>
    <format dxfId="1630">
      <pivotArea outline="0" collapsedLevelsAreSubtotals="1" fieldPosition="0"/>
    </format>
    <format dxfId="1629">
      <pivotArea dataOnly="0" labelOnly="1" outline="0" axis="axisValues" fieldPosition="0"/>
    </format>
    <format dxfId="1628">
      <pivotArea type="all" dataOnly="0" outline="0" fieldPosition="0"/>
    </format>
    <format dxfId="1627">
      <pivotArea outline="0" collapsedLevelsAreSubtotals="1" fieldPosition="0"/>
    </format>
    <format dxfId="1626">
      <pivotArea dataOnly="0" labelOnly="1" outline="0" axis="axisValues" fieldPosition="0"/>
    </format>
    <format dxfId="1625">
      <pivotArea type="all" dataOnly="0" outline="0" fieldPosition="0"/>
    </format>
    <format dxfId="1624">
      <pivotArea outline="0" collapsedLevelsAreSubtotals="1" fieldPosition="0"/>
    </format>
    <format dxfId="1623">
      <pivotArea dataOnly="0" labelOnly="1" outline="0" axis="axisValues" fieldPosition="0"/>
    </format>
    <format dxfId="1622">
      <pivotArea type="all" dataOnly="0" outline="0" fieldPosition="0"/>
    </format>
    <format dxfId="1621">
      <pivotArea outline="0" collapsedLevelsAreSubtotals="1" fieldPosition="0"/>
    </format>
    <format dxfId="1620">
      <pivotArea dataOnly="0" labelOnly="1" outline="0" axis="axisValues" fieldPosition="0"/>
    </format>
    <format dxfId="1619">
      <pivotArea type="all" dataOnly="0" outline="0" fieldPosition="0"/>
    </format>
    <format dxfId="1618">
      <pivotArea outline="0" collapsedLevelsAreSubtotals="1" fieldPosition="0"/>
    </format>
    <format dxfId="161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9EFC9FA6-3441-44B2-8704-5B5D5072C347}" name="PivotTable5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25:H126"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1678">
      <pivotArea type="all" dataOnly="0" outline="0" fieldPosition="0"/>
    </format>
    <format dxfId="1677">
      <pivotArea type="all" dataOnly="0" outline="0" fieldPosition="0"/>
    </format>
    <format dxfId="1676">
      <pivotArea type="all" dataOnly="0" outline="0" fieldPosition="0"/>
    </format>
    <format dxfId="1675">
      <pivotArea type="all" dataOnly="0" outline="0" fieldPosition="0"/>
    </format>
    <format dxfId="1674">
      <pivotArea type="all" dataOnly="0" outline="0" fieldPosition="0"/>
    </format>
    <format dxfId="1673">
      <pivotArea type="all" dataOnly="0" outline="0" fieldPosition="0"/>
    </format>
    <format dxfId="1672">
      <pivotArea type="all" dataOnly="0" outline="0" fieldPosition="0"/>
    </format>
    <format dxfId="1671">
      <pivotArea type="all" dataOnly="0" outline="0" fieldPosition="0"/>
    </format>
    <format dxfId="1670">
      <pivotArea type="all" dataOnly="0" outline="0" fieldPosition="0"/>
    </format>
    <format dxfId="1669">
      <pivotArea type="all" dataOnly="0" outline="0" fieldPosition="0"/>
    </format>
    <format dxfId="1668">
      <pivotArea type="all" dataOnly="0" outline="0" fieldPosition="0"/>
    </format>
    <format dxfId="1667">
      <pivotArea outline="0" collapsedLevelsAreSubtotals="1" fieldPosition="0"/>
    </format>
    <format dxfId="1666">
      <pivotArea dataOnly="0" labelOnly="1" outline="0" axis="axisValues" fieldPosition="0"/>
    </format>
    <format dxfId="1665">
      <pivotArea type="all" dataOnly="0" outline="0" fieldPosition="0"/>
    </format>
    <format dxfId="1664">
      <pivotArea outline="0" collapsedLevelsAreSubtotals="1" fieldPosition="0"/>
    </format>
    <format dxfId="1663">
      <pivotArea dataOnly="0" labelOnly="1" outline="0" axis="axisValues" fieldPosition="0"/>
    </format>
    <format dxfId="1662">
      <pivotArea type="all" dataOnly="0" outline="0" fieldPosition="0"/>
    </format>
    <format dxfId="1661">
      <pivotArea outline="0" collapsedLevelsAreSubtotals="1" fieldPosition="0"/>
    </format>
    <format dxfId="1660">
      <pivotArea dataOnly="0" labelOnly="1" outline="0" axis="axisValues" fieldPosition="0"/>
    </format>
    <format dxfId="1659">
      <pivotArea type="all" dataOnly="0" outline="0" fieldPosition="0"/>
    </format>
    <format dxfId="1658">
      <pivotArea outline="0" collapsedLevelsAreSubtotals="1" fieldPosition="0"/>
    </format>
    <format dxfId="1657">
      <pivotArea dataOnly="0" labelOnly="1" outline="0" axis="axisValues" fieldPosition="0"/>
    </format>
    <format dxfId="1656">
      <pivotArea type="all" dataOnly="0" outline="0" fieldPosition="0"/>
    </format>
    <format dxfId="1655">
      <pivotArea outline="0" collapsedLevelsAreSubtotals="1" fieldPosition="0"/>
    </format>
    <format dxfId="1654">
      <pivotArea dataOnly="0" labelOnly="1" outline="0" axis="axisValues" fieldPosition="0"/>
    </format>
    <format dxfId="1653">
      <pivotArea type="all" dataOnly="0" outline="0" fieldPosition="0"/>
    </format>
    <format dxfId="1652">
      <pivotArea outline="0" collapsedLevelsAreSubtotals="1" fieldPosition="0"/>
    </format>
    <format dxfId="1651">
      <pivotArea dataOnly="0" labelOnly="1" outline="0" axis="axisValues" fieldPosition="0"/>
    </format>
    <format dxfId="1650">
      <pivotArea type="all" dataOnly="0" outline="0" fieldPosition="0"/>
    </format>
    <format dxfId="1649">
      <pivotArea outline="0" collapsedLevelsAreSubtotals="1" fieldPosition="0"/>
    </format>
    <format dxfId="164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82F46679-62D9-443F-A8D5-60C5899B936E}" name="PivotTable8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rowHeaderCaption="SELECT SITES">
  <location ref="F20:G29" firstHeaderRow="1" firstDataRow="1" firstDataCol="1" rowPageCount="1" colPageCount="1"/>
  <pivotFields count="76">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6">
        <item h="1" x="0"/>
        <item h="1" x="1"/>
        <item h="1" x="2"/>
        <item x="4"/>
        <item h="1" x="3"/>
        <item t="default"/>
      </items>
    </pivotField>
    <pivotField showAll="0"/>
    <pivotField axis="axisRow" showAll="0" sortType="ascending">
      <items count="12">
        <item x="4"/>
        <item x="2"/>
        <item x="9"/>
        <item x="1"/>
        <item x="7"/>
        <item x="3"/>
        <item x="8"/>
        <item x="6"/>
        <item x="5"/>
        <item m="1" x="1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9"/>
  </rowFields>
  <rowItems count="9">
    <i>
      <x/>
    </i>
    <i>
      <x v="1"/>
    </i>
    <i>
      <x v="2"/>
    </i>
    <i>
      <x v="4"/>
    </i>
    <i>
      <x v="5"/>
    </i>
    <i>
      <x v="6"/>
    </i>
    <i>
      <x v="7"/>
    </i>
    <i>
      <x v="8"/>
    </i>
    <i t="grand">
      <x/>
    </i>
  </rowItems>
  <colItems count="1">
    <i/>
  </colItems>
  <pageFields count="1">
    <pageField fld="7" hier="-1"/>
  </pageFields>
  <dataFields count="1">
    <dataField name="Sum of 2021-2031 Total" fld="57" baseField="0" baseItem="0"/>
  </dataFields>
  <formats count="88">
    <format dxfId="1766">
      <pivotArea type="all" dataOnly="0" outline="0" fieldPosition="0"/>
    </format>
    <format dxfId="1765">
      <pivotArea type="all" dataOnly="0" outline="0" fieldPosition="0"/>
    </format>
    <format dxfId="1764">
      <pivotArea type="all" dataOnly="0" outline="0" fieldPosition="0"/>
    </format>
    <format dxfId="1763">
      <pivotArea type="all" dataOnly="0" outline="0" fieldPosition="0"/>
    </format>
    <format dxfId="1762">
      <pivotArea type="all" dataOnly="0" outline="0" fieldPosition="0"/>
    </format>
    <format dxfId="1761">
      <pivotArea type="all" dataOnly="0" outline="0" fieldPosition="0"/>
    </format>
    <format dxfId="1760">
      <pivotArea type="all" dataOnly="0" outline="0" fieldPosition="0"/>
    </format>
    <format dxfId="1759">
      <pivotArea type="all" dataOnly="0" outline="0" fieldPosition="0"/>
    </format>
    <format dxfId="1758">
      <pivotArea type="all" dataOnly="0" outline="0" fieldPosition="0"/>
    </format>
    <format dxfId="1757">
      <pivotArea type="all" dataOnly="0" outline="0" fieldPosition="0"/>
    </format>
    <format dxfId="1756">
      <pivotArea type="all" dataOnly="0" outline="0" fieldPosition="0"/>
    </format>
    <format dxfId="1755">
      <pivotArea outline="0" collapsedLevelsAreSubtotals="1" fieldPosition="0"/>
    </format>
    <format dxfId="1754">
      <pivotArea dataOnly="0" labelOnly="1" outline="0" axis="axisValues" fieldPosition="0"/>
    </format>
    <format dxfId="1753">
      <pivotArea type="all" dataOnly="0" outline="0" fieldPosition="0"/>
    </format>
    <format dxfId="1752">
      <pivotArea outline="0" collapsedLevelsAreSubtotals="1" fieldPosition="0"/>
    </format>
    <format dxfId="1751">
      <pivotArea field="9" type="button" dataOnly="0" labelOnly="1" outline="0" axis="axisRow" fieldPosition="0"/>
    </format>
    <format dxfId="1750">
      <pivotArea dataOnly="0" labelOnly="1" grandRow="1" outline="0" fieldPosition="0"/>
    </format>
    <format dxfId="1749">
      <pivotArea dataOnly="0" labelOnly="1" outline="0" axis="axisValues" fieldPosition="0"/>
    </format>
    <format dxfId="1748">
      <pivotArea type="all" dataOnly="0" outline="0" fieldPosition="0"/>
    </format>
    <format dxfId="1747">
      <pivotArea outline="0" collapsedLevelsAreSubtotals="1" fieldPosition="0"/>
    </format>
    <format dxfId="1746">
      <pivotArea field="9" type="button" dataOnly="0" labelOnly="1" outline="0" axis="axisRow" fieldPosition="0"/>
    </format>
    <format dxfId="1745">
      <pivotArea dataOnly="0" labelOnly="1" grandRow="1" outline="0" fieldPosition="0"/>
    </format>
    <format dxfId="1744">
      <pivotArea dataOnly="0" labelOnly="1" outline="0" axis="axisValues" fieldPosition="0"/>
    </format>
    <format dxfId="1743">
      <pivotArea type="all" dataOnly="0" outline="0" fieldPosition="0"/>
    </format>
    <format dxfId="1742">
      <pivotArea field="9" type="button" dataOnly="0" labelOnly="1" outline="0" axis="axisRow" fieldPosition="0"/>
    </format>
    <format dxfId="1741">
      <pivotArea field="9" type="button" dataOnly="0" labelOnly="1" outline="0" axis="axisRow" fieldPosition="0"/>
    </format>
    <format dxfId="1740">
      <pivotArea type="all" dataOnly="0" outline="0" fieldPosition="0"/>
    </format>
    <format dxfId="1739">
      <pivotArea outline="0" collapsedLevelsAreSubtotals="1" fieldPosition="0"/>
    </format>
    <format dxfId="1738">
      <pivotArea field="9" type="button" dataOnly="0" labelOnly="1" outline="0" axis="axisRow" fieldPosition="0"/>
    </format>
    <format dxfId="1737">
      <pivotArea dataOnly="0" labelOnly="1" grandRow="1" outline="0" fieldPosition="0"/>
    </format>
    <format dxfId="1736">
      <pivotArea dataOnly="0" labelOnly="1" outline="0" axis="axisValues" fieldPosition="0"/>
    </format>
    <format dxfId="1735">
      <pivotArea type="all" dataOnly="0" outline="0" fieldPosition="0"/>
    </format>
    <format dxfId="1734">
      <pivotArea outline="0" collapsedLevelsAreSubtotals="1" fieldPosition="0"/>
    </format>
    <format dxfId="1733">
      <pivotArea field="9" type="button" dataOnly="0" labelOnly="1" outline="0" axis="axisRow" fieldPosition="0"/>
    </format>
    <format dxfId="1732">
      <pivotArea dataOnly="0" labelOnly="1" fieldPosition="0">
        <references count="1">
          <reference field="9" count="4">
            <x v="1"/>
            <x v="2"/>
            <x v="3"/>
            <x v="5"/>
          </reference>
        </references>
      </pivotArea>
    </format>
    <format dxfId="1731">
      <pivotArea dataOnly="0" labelOnly="1" grandRow="1" outline="0" fieldPosition="0"/>
    </format>
    <format dxfId="1730">
      <pivotArea dataOnly="0" labelOnly="1" outline="0" axis="axisValues" fieldPosition="0"/>
    </format>
    <format dxfId="1729">
      <pivotArea type="all" dataOnly="0" outline="0" fieldPosition="0"/>
    </format>
    <format dxfId="1728">
      <pivotArea outline="0" collapsedLevelsAreSubtotals="1" fieldPosition="0"/>
    </format>
    <format dxfId="1727">
      <pivotArea field="9" type="button" dataOnly="0" labelOnly="1" outline="0" axis="axisRow" fieldPosition="0"/>
    </format>
    <format dxfId="1726">
      <pivotArea dataOnly="0" labelOnly="1" fieldPosition="0">
        <references count="1">
          <reference field="9" count="4">
            <x v="1"/>
            <x v="2"/>
            <x v="3"/>
            <x v="5"/>
          </reference>
        </references>
      </pivotArea>
    </format>
    <format dxfId="1725">
      <pivotArea dataOnly="0" labelOnly="1" grandRow="1" outline="0" fieldPosition="0"/>
    </format>
    <format dxfId="1724">
      <pivotArea dataOnly="0" labelOnly="1" outline="0" axis="axisValues" fieldPosition="0"/>
    </format>
    <format dxfId="1723">
      <pivotArea type="all" dataOnly="0" outline="0" fieldPosition="0"/>
    </format>
    <format dxfId="1722">
      <pivotArea outline="0" collapsedLevelsAreSubtotals="1" fieldPosition="0"/>
    </format>
    <format dxfId="1721">
      <pivotArea field="9" type="button" dataOnly="0" labelOnly="1" outline="0" axis="axisRow" fieldPosition="0"/>
    </format>
    <format dxfId="1720">
      <pivotArea dataOnly="0" labelOnly="1" fieldPosition="0">
        <references count="1">
          <reference field="9" count="4">
            <x v="1"/>
            <x v="2"/>
            <x v="3"/>
            <x v="5"/>
          </reference>
        </references>
      </pivotArea>
    </format>
    <format dxfId="1719">
      <pivotArea dataOnly="0" labelOnly="1" grandRow="1" outline="0" fieldPosition="0"/>
    </format>
    <format dxfId="1718">
      <pivotArea dataOnly="0" labelOnly="1" outline="0" axis="axisValues" fieldPosition="0"/>
    </format>
    <format dxfId="1717">
      <pivotArea type="all" dataOnly="0" outline="0" fieldPosition="0"/>
    </format>
    <format dxfId="1716">
      <pivotArea outline="0" collapsedLevelsAreSubtotals="1" fieldPosition="0"/>
    </format>
    <format dxfId="1715">
      <pivotArea field="9" type="button" dataOnly="0" labelOnly="1" outline="0" axis="axisRow" fieldPosition="0"/>
    </format>
    <format dxfId="1714">
      <pivotArea dataOnly="0" labelOnly="1" fieldPosition="0">
        <references count="1">
          <reference field="9" count="4">
            <x v="1"/>
            <x v="2"/>
            <x v="3"/>
            <x v="5"/>
          </reference>
        </references>
      </pivotArea>
    </format>
    <format dxfId="1713">
      <pivotArea dataOnly="0" labelOnly="1" grandRow="1" outline="0" fieldPosition="0"/>
    </format>
    <format dxfId="1712">
      <pivotArea dataOnly="0" labelOnly="1" outline="0" axis="axisValues" fieldPosition="0"/>
    </format>
    <format dxfId="1711">
      <pivotArea type="all" dataOnly="0" outline="0" fieldPosition="0"/>
    </format>
    <format dxfId="1710">
      <pivotArea outline="0" collapsedLevelsAreSubtotals="1" fieldPosition="0"/>
    </format>
    <format dxfId="1709">
      <pivotArea field="9" type="button" dataOnly="0" labelOnly="1" outline="0" axis="axisRow" fieldPosition="0"/>
    </format>
    <format dxfId="1708">
      <pivotArea dataOnly="0" labelOnly="1" fieldPosition="0">
        <references count="1">
          <reference field="9" count="4">
            <x v="1"/>
            <x v="2"/>
            <x v="3"/>
            <x v="5"/>
          </reference>
        </references>
      </pivotArea>
    </format>
    <format dxfId="1707">
      <pivotArea dataOnly="0" labelOnly="1" grandRow="1" outline="0" fieldPosition="0"/>
    </format>
    <format dxfId="1706">
      <pivotArea dataOnly="0" labelOnly="1" outline="0" axis="axisValues" fieldPosition="0"/>
    </format>
    <format dxfId="1705">
      <pivotArea type="all" dataOnly="0" outline="0" fieldPosition="0"/>
    </format>
    <format dxfId="1704">
      <pivotArea outline="0" collapsedLevelsAreSubtotals="1" fieldPosition="0"/>
    </format>
    <format dxfId="1703">
      <pivotArea field="9" type="button" dataOnly="0" labelOnly="1" outline="0" axis="axisRow" fieldPosition="0"/>
    </format>
    <format dxfId="1702">
      <pivotArea dataOnly="0" labelOnly="1" fieldPosition="0">
        <references count="1">
          <reference field="9" count="4">
            <x v="1"/>
            <x v="2"/>
            <x v="3"/>
            <x v="5"/>
          </reference>
        </references>
      </pivotArea>
    </format>
    <format dxfId="1701">
      <pivotArea dataOnly="0" labelOnly="1" grandRow="1" outline="0" fieldPosition="0"/>
    </format>
    <format dxfId="1700">
      <pivotArea dataOnly="0" labelOnly="1" outline="0" axis="axisValues" fieldPosition="0"/>
    </format>
    <format dxfId="1699">
      <pivotArea type="all" dataOnly="0" outline="0" fieldPosition="0"/>
    </format>
    <format dxfId="1698">
      <pivotArea outline="0" collapsedLevelsAreSubtotals="1" fieldPosition="0"/>
    </format>
    <format dxfId="1697">
      <pivotArea field="9" type="button" dataOnly="0" labelOnly="1" outline="0" axis="axisRow" fieldPosition="0"/>
    </format>
    <format dxfId="1696">
      <pivotArea dataOnly="0" labelOnly="1" fieldPosition="0">
        <references count="1">
          <reference field="9" count="4">
            <x v="1"/>
            <x v="2"/>
            <x v="3"/>
            <x v="5"/>
          </reference>
        </references>
      </pivotArea>
    </format>
    <format dxfId="1695">
      <pivotArea dataOnly="0" labelOnly="1" grandRow="1" outline="0" fieldPosition="0"/>
    </format>
    <format dxfId="1694">
      <pivotArea dataOnly="0" labelOnly="1" outline="0" axis="axisValues" fieldPosition="0"/>
    </format>
    <format dxfId="1693">
      <pivotArea type="all" dataOnly="0" outline="0" fieldPosition="0"/>
    </format>
    <format dxfId="1692">
      <pivotArea dataOnly="0" labelOnly="1" fieldPosition="0">
        <references count="1">
          <reference field="9" count="4">
            <x v="1"/>
            <x v="2"/>
            <x v="3"/>
            <x v="5"/>
          </reference>
        </references>
      </pivotArea>
    </format>
    <format dxfId="1691">
      <pivotArea collapsedLevelsAreSubtotals="1" fieldPosition="0">
        <references count="1">
          <reference field="9" count="1">
            <x v="2"/>
          </reference>
        </references>
      </pivotArea>
    </format>
    <format dxfId="1690">
      <pivotArea collapsedLevelsAreSubtotals="1" fieldPosition="0">
        <references count="1">
          <reference field="9" count="1">
            <x v="5"/>
          </reference>
        </references>
      </pivotArea>
    </format>
    <format dxfId="1689">
      <pivotArea dataOnly="0" labelOnly="1" fieldPosition="0">
        <references count="1">
          <reference field="9" count="0"/>
        </references>
      </pivotArea>
    </format>
    <format dxfId="1688">
      <pivotArea dataOnly="0" labelOnly="1" fieldPosition="0">
        <references count="1">
          <reference field="9" count="0"/>
        </references>
      </pivotArea>
    </format>
    <format dxfId="1687">
      <pivotArea type="all" dataOnly="0" outline="0" fieldPosition="0"/>
    </format>
    <format dxfId="1686">
      <pivotArea outline="0" collapsedLevelsAreSubtotals="1" fieldPosition="0"/>
    </format>
    <format dxfId="1685">
      <pivotArea field="9" type="button" dataOnly="0" labelOnly="1" outline="0" axis="axisRow" fieldPosition="0"/>
    </format>
    <format dxfId="1684">
      <pivotArea dataOnly="0" labelOnly="1" fieldPosition="0">
        <references count="1">
          <reference field="9" count="3">
            <x v="1"/>
            <x v="2"/>
            <x v="5"/>
          </reference>
        </references>
      </pivotArea>
    </format>
    <format dxfId="1683">
      <pivotArea dataOnly="0" labelOnly="1" grandRow="1" outline="0" fieldPosition="0"/>
    </format>
    <format dxfId="1682">
      <pivotArea dataOnly="0" labelOnly="1" outline="0" axis="axisValues" fieldPosition="0"/>
    </format>
    <format dxfId="1681">
      <pivotArea dataOnly="0" labelOnly="1" grandRow="1" outline="0" fieldPosition="0"/>
    </format>
    <format dxfId="1680">
      <pivotArea dataOnly="0" labelOnly="1" fieldPosition="0">
        <references count="1">
          <reference field="9" count="10">
            <x v="0"/>
            <x v="1"/>
            <x v="2"/>
            <x v="3"/>
            <x v="4"/>
            <x v="5"/>
            <x v="6"/>
            <x v="7"/>
            <x v="8"/>
            <x v="10"/>
          </reference>
        </references>
      </pivotArea>
    </format>
    <format dxfId="1679">
      <pivotArea dataOnly="0" labelOnly="1" fieldPosition="0">
        <references count="1">
          <reference field="9" count="8">
            <x v="0"/>
            <x v="1"/>
            <x v="2"/>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D979BFB7-FDE5-4142-80A3-AD8706A75738}" name="PivotTable3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426:K427" firstHeaderRow="0" firstDataRow="1" firstDataCol="0"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x="1"/>
        <item x="2"/>
        <item x="4"/>
        <item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defaultSubtotal="0"/>
    <pivotField showAll="0"/>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Fields count="1">
    <field x="-2"/>
  </colFields>
  <colItems count="10">
    <i>
      <x/>
    </i>
    <i i="1">
      <x v="1"/>
    </i>
    <i i="2">
      <x v="2"/>
    </i>
    <i i="3">
      <x v="3"/>
    </i>
    <i i="4">
      <x v="4"/>
    </i>
    <i i="5">
      <x v="5"/>
    </i>
    <i i="6">
      <x v="6"/>
    </i>
    <i i="7">
      <x v="7"/>
    </i>
    <i i="8">
      <x v="8"/>
    </i>
    <i i="9">
      <x v="9"/>
    </i>
  </colItems>
  <pageFields count="1">
    <pageField fld="7" hier="-1"/>
  </pageFields>
  <dataFields count="10">
    <dataField name="Sum of 2021/22 (1)" fld="46" baseField="0" baseItem="0"/>
    <dataField name="Sum of 2022/23 (2)" fld="47" baseField="0" baseItem="0"/>
    <dataField name="Sum of 2023/24 (3)" fld="48" baseField="0" baseItem="0"/>
    <dataField name="Sum of 2024/25 (4)" fld="49" baseField="0" baseItem="0"/>
    <dataField name="Sum of 2025/26 (5)" fld="50" baseField="0" baseItem="0"/>
    <dataField name="Sum of 2026/27 (6)" fld="51" baseField="0" baseItem="0"/>
    <dataField name="Sum of 2027/28 (7)" fld="52" baseField="0" baseItem="0"/>
    <dataField name="Sum of 2028/29 (8)" fld="53" baseField="0" baseItem="0"/>
    <dataField name="Sum of 2029/30 (9)" fld="54" baseField="0" baseItem="0"/>
    <dataField name="Sum of 2030/31 (10)" fld="55" baseField="0" baseItem="0"/>
  </dataFields>
  <formats count="20">
    <format dxfId="1786">
      <pivotArea type="all" dataOnly="0" outline="0" fieldPosition="0"/>
    </format>
    <format dxfId="1785">
      <pivotArea type="all" dataOnly="0" outline="0" fieldPosition="0"/>
    </format>
    <format dxfId="1784">
      <pivotArea type="all" dataOnly="0" outline="0" fieldPosition="0"/>
    </format>
    <format dxfId="1783">
      <pivotArea type="all" dataOnly="0" outline="0" fieldPosition="0"/>
    </format>
    <format dxfId="1782">
      <pivotArea type="all" dataOnly="0" outline="0" fieldPosition="0"/>
    </format>
    <format dxfId="1781">
      <pivotArea type="all" dataOnly="0" outline="0" fieldPosition="0"/>
    </format>
    <format dxfId="1780">
      <pivotArea type="all" dataOnly="0" outline="0" fieldPosition="0"/>
    </format>
    <format dxfId="1779">
      <pivotArea outline="0" collapsedLevelsAreSubtotals="1" fieldPosition="0"/>
    </format>
    <format dxfId="1778">
      <pivotArea type="all" dataOnly="0" outline="0" fieldPosition="0"/>
    </format>
    <format dxfId="1777">
      <pivotArea type="all" dataOnly="0" outline="0" fieldPosition="0"/>
    </format>
    <format dxfId="1776">
      <pivotArea type="all" dataOnly="0" outline="0" fieldPosition="0"/>
    </format>
    <format dxfId="1775">
      <pivotArea type="all" dataOnly="0" outline="0" fieldPosition="0"/>
    </format>
    <format dxfId="1774">
      <pivotArea outline="0" collapsedLevelsAreSubtotals="1" fieldPosition="0"/>
    </format>
    <format dxfId="1773">
      <pivotArea type="all" dataOnly="0" outline="0" fieldPosition="0"/>
    </format>
    <format dxfId="1772">
      <pivotArea outline="0" collapsedLevelsAreSubtotals="1" fieldPosition="0"/>
    </format>
    <format dxfId="1771">
      <pivotArea type="all" dataOnly="0" outline="0" fieldPosition="0"/>
    </format>
    <format dxfId="1770">
      <pivotArea outline="0" collapsedLevelsAreSubtotals="1" fieldPosition="0"/>
    </format>
    <format dxfId="1769">
      <pivotArea type="all" dataOnly="0" outline="0" fieldPosition="0"/>
    </format>
    <format dxfId="1768">
      <pivotArea outline="0" collapsedLevelsAreSubtotals="1" fieldPosition="0"/>
    </format>
    <format dxfId="1767">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E9F29334-8638-47B7-B911-3BCBA77FD342}" name="PivotTable7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92:B193"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1817">
      <pivotArea type="all" dataOnly="0" outline="0" fieldPosition="0"/>
    </format>
    <format dxfId="1816">
      <pivotArea type="all" dataOnly="0" outline="0" fieldPosition="0"/>
    </format>
    <format dxfId="1815">
      <pivotArea type="all" dataOnly="0" outline="0" fieldPosition="0"/>
    </format>
    <format dxfId="1814">
      <pivotArea type="all" dataOnly="0" outline="0" fieldPosition="0"/>
    </format>
    <format dxfId="1813">
      <pivotArea type="all" dataOnly="0" outline="0" fieldPosition="0"/>
    </format>
    <format dxfId="1812">
      <pivotArea type="all" dataOnly="0" outline="0" fieldPosition="0"/>
    </format>
    <format dxfId="1811">
      <pivotArea type="all" dataOnly="0" outline="0" fieldPosition="0"/>
    </format>
    <format dxfId="1810">
      <pivotArea type="all" dataOnly="0" outline="0" fieldPosition="0"/>
    </format>
    <format dxfId="1809">
      <pivotArea type="all" dataOnly="0" outline="0" fieldPosition="0"/>
    </format>
    <format dxfId="1808">
      <pivotArea type="all" dataOnly="0" outline="0" fieldPosition="0"/>
    </format>
    <format dxfId="1807">
      <pivotArea type="all" dataOnly="0" outline="0" fieldPosition="0"/>
    </format>
    <format dxfId="1806">
      <pivotArea outline="0" collapsedLevelsAreSubtotals="1" fieldPosition="0"/>
    </format>
    <format dxfId="1805">
      <pivotArea dataOnly="0" labelOnly="1" outline="0" axis="axisValues" fieldPosition="0"/>
    </format>
    <format dxfId="1804">
      <pivotArea type="all" dataOnly="0" outline="0" fieldPosition="0"/>
    </format>
    <format dxfId="1803">
      <pivotArea outline="0" collapsedLevelsAreSubtotals="1" fieldPosition="0"/>
    </format>
    <format dxfId="1802">
      <pivotArea dataOnly="0" labelOnly="1" outline="0" axis="axisValues" fieldPosition="0"/>
    </format>
    <format dxfId="1801">
      <pivotArea type="all" dataOnly="0" outline="0" fieldPosition="0"/>
    </format>
    <format dxfId="1800">
      <pivotArea outline="0" collapsedLevelsAreSubtotals="1" fieldPosition="0"/>
    </format>
    <format dxfId="1799">
      <pivotArea dataOnly="0" labelOnly="1" outline="0" axis="axisValues" fieldPosition="0"/>
    </format>
    <format dxfId="1798">
      <pivotArea type="all" dataOnly="0" outline="0" fieldPosition="0"/>
    </format>
    <format dxfId="1797">
      <pivotArea outline="0" collapsedLevelsAreSubtotals="1" fieldPosition="0"/>
    </format>
    <format dxfId="1796">
      <pivotArea dataOnly="0" labelOnly="1" outline="0" axis="axisValues" fieldPosition="0"/>
    </format>
    <format dxfId="1795">
      <pivotArea type="all" dataOnly="0" outline="0" fieldPosition="0"/>
    </format>
    <format dxfId="1794">
      <pivotArea outline="0" collapsedLevelsAreSubtotals="1" fieldPosition="0"/>
    </format>
    <format dxfId="1793">
      <pivotArea dataOnly="0" labelOnly="1" outline="0" axis="axisValues" fieldPosition="0"/>
    </format>
    <format dxfId="1792">
      <pivotArea type="all" dataOnly="0" outline="0" fieldPosition="0"/>
    </format>
    <format dxfId="1791">
      <pivotArea outline="0" collapsedLevelsAreSubtotals="1" fieldPosition="0"/>
    </format>
    <format dxfId="1790">
      <pivotArea dataOnly="0" labelOnly="1" outline="0" axis="axisValues" fieldPosition="0"/>
    </format>
    <format dxfId="1789">
      <pivotArea type="all" dataOnly="0" outline="0" fieldPosition="0"/>
    </format>
    <format dxfId="1788">
      <pivotArea outline="0" collapsedLevelsAreSubtotals="1" fieldPosition="0"/>
    </format>
    <format dxfId="178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ADA3D4BD-9376-4018-A34F-C9EFA5262274}" name="PivotTable7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82:E183"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1848">
      <pivotArea type="all" dataOnly="0" outline="0" fieldPosition="0"/>
    </format>
    <format dxfId="1847">
      <pivotArea type="all" dataOnly="0" outline="0" fieldPosition="0"/>
    </format>
    <format dxfId="1846">
      <pivotArea type="all" dataOnly="0" outline="0" fieldPosition="0"/>
    </format>
    <format dxfId="1845">
      <pivotArea type="all" dataOnly="0" outline="0" fieldPosition="0"/>
    </format>
    <format dxfId="1844">
      <pivotArea type="all" dataOnly="0" outline="0" fieldPosition="0"/>
    </format>
    <format dxfId="1843">
      <pivotArea type="all" dataOnly="0" outline="0" fieldPosition="0"/>
    </format>
    <format dxfId="1842">
      <pivotArea type="all" dataOnly="0" outline="0" fieldPosition="0"/>
    </format>
    <format dxfId="1841">
      <pivotArea type="all" dataOnly="0" outline="0" fieldPosition="0"/>
    </format>
    <format dxfId="1840">
      <pivotArea type="all" dataOnly="0" outline="0" fieldPosition="0"/>
    </format>
    <format dxfId="1839">
      <pivotArea type="all" dataOnly="0" outline="0" fieldPosition="0"/>
    </format>
    <format dxfId="1838">
      <pivotArea type="all" dataOnly="0" outline="0" fieldPosition="0"/>
    </format>
    <format dxfId="1837">
      <pivotArea outline="0" collapsedLevelsAreSubtotals="1" fieldPosition="0"/>
    </format>
    <format dxfId="1836">
      <pivotArea dataOnly="0" labelOnly="1" outline="0" axis="axisValues" fieldPosition="0"/>
    </format>
    <format dxfId="1835">
      <pivotArea type="all" dataOnly="0" outline="0" fieldPosition="0"/>
    </format>
    <format dxfId="1834">
      <pivotArea outline="0" collapsedLevelsAreSubtotals="1" fieldPosition="0"/>
    </format>
    <format dxfId="1833">
      <pivotArea dataOnly="0" labelOnly="1" outline="0" axis="axisValues" fieldPosition="0"/>
    </format>
    <format dxfId="1832">
      <pivotArea type="all" dataOnly="0" outline="0" fieldPosition="0"/>
    </format>
    <format dxfId="1831">
      <pivotArea outline="0" collapsedLevelsAreSubtotals="1" fieldPosition="0"/>
    </format>
    <format dxfId="1830">
      <pivotArea dataOnly="0" labelOnly="1" outline="0" axis="axisValues" fieldPosition="0"/>
    </format>
    <format dxfId="1829">
      <pivotArea type="all" dataOnly="0" outline="0" fieldPosition="0"/>
    </format>
    <format dxfId="1828">
      <pivotArea outline="0" collapsedLevelsAreSubtotals="1" fieldPosition="0"/>
    </format>
    <format dxfId="1827">
      <pivotArea dataOnly="0" labelOnly="1" outline="0" axis="axisValues" fieldPosition="0"/>
    </format>
    <format dxfId="1826">
      <pivotArea type="all" dataOnly="0" outline="0" fieldPosition="0"/>
    </format>
    <format dxfId="1825">
      <pivotArea outline="0" collapsedLevelsAreSubtotals="1" fieldPosition="0"/>
    </format>
    <format dxfId="1824">
      <pivotArea dataOnly="0" labelOnly="1" outline="0" axis="axisValues" fieldPosition="0"/>
    </format>
    <format dxfId="1823">
      <pivotArea type="all" dataOnly="0" outline="0" fieldPosition="0"/>
    </format>
    <format dxfId="1822">
      <pivotArea outline="0" collapsedLevelsAreSubtotals="1" fieldPosition="0"/>
    </format>
    <format dxfId="1821">
      <pivotArea dataOnly="0" labelOnly="1" outline="0" axis="axisValues" fieldPosition="0"/>
    </format>
    <format dxfId="1820">
      <pivotArea type="all" dataOnly="0" outline="0" fieldPosition="0"/>
    </format>
    <format dxfId="1819">
      <pivotArea outline="0" collapsedLevelsAreSubtotals="1" fieldPosition="0"/>
    </format>
    <format dxfId="181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27AFE794-6088-4C85-A1E8-96FE3BB9BA82}" name="PivotTable2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213:B214"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x="0"/>
        <item x="1"/>
        <item x="2"/>
        <item x="3"/>
        <item x="4"/>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1879">
      <pivotArea type="all" dataOnly="0" outline="0" fieldPosition="0"/>
    </format>
    <format dxfId="1878">
      <pivotArea type="all" dataOnly="0" outline="0" fieldPosition="0"/>
    </format>
    <format dxfId="1877">
      <pivotArea type="all" dataOnly="0" outline="0" fieldPosition="0"/>
    </format>
    <format dxfId="1876">
      <pivotArea type="all" dataOnly="0" outline="0" fieldPosition="0"/>
    </format>
    <format dxfId="1875">
      <pivotArea type="all" dataOnly="0" outline="0" fieldPosition="0"/>
    </format>
    <format dxfId="1874">
      <pivotArea type="all" dataOnly="0" outline="0" fieldPosition="0"/>
    </format>
    <format dxfId="1873">
      <pivotArea type="all" dataOnly="0" outline="0" fieldPosition="0"/>
    </format>
    <format dxfId="1872">
      <pivotArea type="all" dataOnly="0" outline="0" fieldPosition="0"/>
    </format>
    <format dxfId="1871">
      <pivotArea type="all" dataOnly="0" outline="0" fieldPosition="0"/>
    </format>
    <format dxfId="1870">
      <pivotArea type="all" dataOnly="0" outline="0" fieldPosition="0"/>
    </format>
    <format dxfId="1869">
      <pivotArea type="all" dataOnly="0" outline="0" fieldPosition="0"/>
    </format>
    <format dxfId="1868">
      <pivotArea outline="0" collapsedLevelsAreSubtotals="1" fieldPosition="0"/>
    </format>
    <format dxfId="1867">
      <pivotArea dataOnly="0" labelOnly="1" outline="0" axis="axisValues" fieldPosition="0"/>
    </format>
    <format dxfId="1866">
      <pivotArea type="all" dataOnly="0" outline="0" fieldPosition="0"/>
    </format>
    <format dxfId="1865">
      <pivotArea outline="0" collapsedLevelsAreSubtotals="1" fieldPosition="0"/>
    </format>
    <format dxfId="1864">
      <pivotArea dataOnly="0" labelOnly="1" outline="0" axis="axisValues" fieldPosition="0"/>
    </format>
    <format dxfId="1863">
      <pivotArea type="all" dataOnly="0" outline="0" fieldPosition="0"/>
    </format>
    <format dxfId="1862">
      <pivotArea outline="0" collapsedLevelsAreSubtotals="1" fieldPosition="0"/>
    </format>
    <format dxfId="1861">
      <pivotArea dataOnly="0" labelOnly="1" outline="0" axis="axisValues" fieldPosition="0"/>
    </format>
    <format dxfId="1860">
      <pivotArea type="all" dataOnly="0" outline="0" fieldPosition="0"/>
    </format>
    <format dxfId="1859">
      <pivotArea outline="0" collapsedLevelsAreSubtotals="1" fieldPosition="0"/>
    </format>
    <format dxfId="1858">
      <pivotArea dataOnly="0" labelOnly="1" outline="0" axis="axisValues" fieldPosition="0"/>
    </format>
    <format dxfId="1857">
      <pivotArea type="all" dataOnly="0" outline="0" fieldPosition="0"/>
    </format>
    <format dxfId="1856">
      <pivotArea outline="0" collapsedLevelsAreSubtotals="1" fieldPosition="0"/>
    </format>
    <format dxfId="1855">
      <pivotArea dataOnly="0" labelOnly="1" outline="0" axis="axisValues" fieldPosition="0"/>
    </format>
    <format dxfId="1854">
      <pivotArea type="all" dataOnly="0" outline="0" fieldPosition="0"/>
    </format>
    <format dxfId="1853">
      <pivotArea outline="0" collapsedLevelsAreSubtotals="1" fieldPosition="0"/>
    </format>
    <format dxfId="1852">
      <pivotArea dataOnly="0" labelOnly="1" outline="0" axis="axisValues" fieldPosition="0"/>
    </format>
    <format dxfId="1851">
      <pivotArea type="all" dataOnly="0" outline="0" fieldPosition="0"/>
    </format>
    <format dxfId="1850">
      <pivotArea outline="0" collapsedLevelsAreSubtotals="1" fieldPosition="0"/>
    </format>
    <format dxfId="184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2D781FEE-6B71-43B2-9CE9-F3A262E60205}" name="PivotTable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32:B33" firstHeaderRow="1" firstDataRow="1" firstDataCol="0" rowPageCount="2" colPageCount="1"/>
  <pivotFields count="76">
    <pivotField showAll="0"/>
    <pivotField axis="axisPage" multipleItemSelectionAllowed="1" showAll="0" defaultSubtotal="0">
      <items count="5">
        <item x="2"/>
        <item x="3"/>
        <item x="4"/>
        <item h="1" x="1"/>
        <item h="1" x="0"/>
      </items>
    </pivotField>
    <pivotField showAll="0"/>
    <pivotField numFmtId="14" showAll="0"/>
    <pivotField numFmtId="14" showAll="0"/>
    <pivotField showAll="0" defaultSubtotal="0"/>
    <pivotField showAll="0" defaultSubtotal="0"/>
    <pivotField axis="axisPage" multipleItemSelectionAllowed="1" showAll="0">
      <items count="6">
        <item h="1" x="0"/>
        <item x="1"/>
        <item h="1" x="2"/>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1" hier="-1"/>
    <pageField fld="7" hier="-1"/>
  </pageFields>
  <dataFields count="1">
    <dataField name="Sum of Net Dwellings" fld="42" baseField="0" baseItem="0"/>
  </dataFields>
  <formats count="31">
    <format dxfId="1910">
      <pivotArea type="all" dataOnly="0" outline="0" fieldPosition="0"/>
    </format>
    <format dxfId="1909">
      <pivotArea type="all" dataOnly="0" outline="0" fieldPosition="0"/>
    </format>
    <format dxfId="1908">
      <pivotArea type="all" dataOnly="0" outline="0" fieldPosition="0"/>
    </format>
    <format dxfId="1907">
      <pivotArea type="all" dataOnly="0" outline="0" fieldPosition="0"/>
    </format>
    <format dxfId="1906">
      <pivotArea type="all" dataOnly="0" outline="0" fieldPosition="0"/>
    </format>
    <format dxfId="1905">
      <pivotArea type="all" dataOnly="0" outline="0" fieldPosition="0"/>
    </format>
    <format dxfId="1904">
      <pivotArea type="all" dataOnly="0" outline="0" fieldPosition="0"/>
    </format>
    <format dxfId="1903">
      <pivotArea type="all" dataOnly="0" outline="0" fieldPosition="0"/>
    </format>
    <format dxfId="1902">
      <pivotArea type="all" dataOnly="0" outline="0" fieldPosition="0"/>
    </format>
    <format dxfId="1901">
      <pivotArea type="all" dataOnly="0" outline="0" fieldPosition="0"/>
    </format>
    <format dxfId="1900">
      <pivotArea type="all" dataOnly="0" outline="0" fieldPosition="0"/>
    </format>
    <format dxfId="1899">
      <pivotArea outline="0" collapsedLevelsAreSubtotals="1" fieldPosition="0"/>
    </format>
    <format dxfId="1898">
      <pivotArea dataOnly="0" labelOnly="1" outline="0" axis="axisValues" fieldPosition="0"/>
    </format>
    <format dxfId="1897">
      <pivotArea type="all" dataOnly="0" outline="0" fieldPosition="0"/>
    </format>
    <format dxfId="1896">
      <pivotArea outline="0" collapsedLevelsAreSubtotals="1" fieldPosition="0"/>
    </format>
    <format dxfId="1895">
      <pivotArea dataOnly="0" labelOnly="1" outline="0" axis="axisValues" fieldPosition="0"/>
    </format>
    <format dxfId="1894">
      <pivotArea type="all" dataOnly="0" outline="0" fieldPosition="0"/>
    </format>
    <format dxfId="1893">
      <pivotArea outline="0" collapsedLevelsAreSubtotals="1" fieldPosition="0"/>
    </format>
    <format dxfId="1892">
      <pivotArea dataOnly="0" labelOnly="1" outline="0" axis="axisValues" fieldPosition="0"/>
    </format>
    <format dxfId="1891">
      <pivotArea type="all" dataOnly="0" outline="0" fieldPosition="0"/>
    </format>
    <format dxfId="1890">
      <pivotArea outline="0" collapsedLevelsAreSubtotals="1" fieldPosition="0"/>
    </format>
    <format dxfId="1889">
      <pivotArea dataOnly="0" labelOnly="1" outline="0" axis="axisValues" fieldPosition="0"/>
    </format>
    <format dxfId="1888">
      <pivotArea type="all" dataOnly="0" outline="0" fieldPosition="0"/>
    </format>
    <format dxfId="1887">
      <pivotArea outline="0" collapsedLevelsAreSubtotals="1" fieldPosition="0"/>
    </format>
    <format dxfId="1886">
      <pivotArea dataOnly="0" labelOnly="1" outline="0" axis="axisValues" fieldPosition="0"/>
    </format>
    <format dxfId="1885">
      <pivotArea type="all" dataOnly="0" outline="0" fieldPosition="0"/>
    </format>
    <format dxfId="1884">
      <pivotArea outline="0" collapsedLevelsAreSubtotals="1" fieldPosition="0"/>
    </format>
    <format dxfId="1883">
      <pivotArea dataOnly="0" labelOnly="1" outline="0" axis="axisValues" fieldPosition="0"/>
    </format>
    <format dxfId="1882">
      <pivotArea type="all" dataOnly="0" outline="0" fieldPosition="0"/>
    </format>
    <format dxfId="1881">
      <pivotArea outline="0" collapsedLevelsAreSubtotals="1" fieldPosition="0"/>
    </format>
    <format dxfId="18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92AAAFC9-9E1B-41CC-B246-B5B3E17671B0}" name="PivotTable6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73:B174"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1941">
      <pivotArea type="all" dataOnly="0" outline="0" fieldPosition="0"/>
    </format>
    <format dxfId="1940">
      <pivotArea type="all" dataOnly="0" outline="0" fieldPosition="0"/>
    </format>
    <format dxfId="1939">
      <pivotArea type="all" dataOnly="0" outline="0" fieldPosition="0"/>
    </format>
    <format dxfId="1938">
      <pivotArea type="all" dataOnly="0" outline="0" fieldPosition="0"/>
    </format>
    <format dxfId="1937">
      <pivotArea type="all" dataOnly="0" outline="0" fieldPosition="0"/>
    </format>
    <format dxfId="1936">
      <pivotArea type="all" dataOnly="0" outline="0" fieldPosition="0"/>
    </format>
    <format dxfId="1935">
      <pivotArea type="all" dataOnly="0" outline="0" fieldPosition="0"/>
    </format>
    <format dxfId="1934">
      <pivotArea type="all" dataOnly="0" outline="0" fieldPosition="0"/>
    </format>
    <format dxfId="1933">
      <pivotArea type="all" dataOnly="0" outline="0" fieldPosition="0"/>
    </format>
    <format dxfId="1932">
      <pivotArea type="all" dataOnly="0" outline="0" fieldPosition="0"/>
    </format>
    <format dxfId="1931">
      <pivotArea type="all" dataOnly="0" outline="0" fieldPosition="0"/>
    </format>
    <format dxfId="1930">
      <pivotArea outline="0" collapsedLevelsAreSubtotals="1" fieldPosition="0"/>
    </format>
    <format dxfId="1929">
      <pivotArea dataOnly="0" labelOnly="1" outline="0" axis="axisValues" fieldPosition="0"/>
    </format>
    <format dxfId="1928">
      <pivotArea type="all" dataOnly="0" outline="0" fieldPosition="0"/>
    </format>
    <format dxfId="1927">
      <pivotArea outline="0" collapsedLevelsAreSubtotals="1" fieldPosition="0"/>
    </format>
    <format dxfId="1926">
      <pivotArea dataOnly="0" labelOnly="1" outline="0" axis="axisValues" fieldPosition="0"/>
    </format>
    <format dxfId="1925">
      <pivotArea type="all" dataOnly="0" outline="0" fieldPosition="0"/>
    </format>
    <format dxfId="1924">
      <pivotArea outline="0" collapsedLevelsAreSubtotals="1" fieldPosition="0"/>
    </format>
    <format dxfId="1923">
      <pivotArea dataOnly="0" labelOnly="1" outline="0" axis="axisValues" fieldPosition="0"/>
    </format>
    <format dxfId="1922">
      <pivotArea type="all" dataOnly="0" outline="0" fieldPosition="0"/>
    </format>
    <format dxfId="1921">
      <pivotArea outline="0" collapsedLevelsAreSubtotals="1" fieldPosition="0"/>
    </format>
    <format dxfId="1920">
      <pivotArea dataOnly="0" labelOnly="1" outline="0" axis="axisValues" fieldPosition="0"/>
    </format>
    <format dxfId="1919">
      <pivotArea type="all" dataOnly="0" outline="0" fieldPosition="0"/>
    </format>
    <format dxfId="1918">
      <pivotArea outline="0" collapsedLevelsAreSubtotals="1" fieldPosition="0"/>
    </format>
    <format dxfId="1917">
      <pivotArea dataOnly="0" labelOnly="1" outline="0" axis="axisValues" fieldPosition="0"/>
    </format>
    <format dxfId="1916">
      <pivotArea type="all" dataOnly="0" outline="0" fieldPosition="0"/>
    </format>
    <format dxfId="1915">
      <pivotArea outline="0" collapsedLevelsAreSubtotals="1" fieldPosition="0"/>
    </format>
    <format dxfId="1914">
      <pivotArea dataOnly="0" labelOnly="1" outline="0" axis="axisValues" fieldPosition="0"/>
    </format>
    <format dxfId="1913">
      <pivotArea type="all" dataOnly="0" outline="0" fieldPosition="0"/>
    </format>
    <format dxfId="1912">
      <pivotArea outline="0" collapsedLevelsAreSubtotals="1" fieldPosition="0"/>
    </format>
    <format dxfId="19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A3D812C0-0D7A-4FDC-B72D-5AD372704D9E}" name="PivotTable4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07:B108"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1972">
      <pivotArea type="all" dataOnly="0" outline="0" fieldPosition="0"/>
    </format>
    <format dxfId="1971">
      <pivotArea type="all" dataOnly="0" outline="0" fieldPosition="0"/>
    </format>
    <format dxfId="1970">
      <pivotArea type="all" dataOnly="0" outline="0" fieldPosition="0"/>
    </format>
    <format dxfId="1969">
      <pivotArea type="all" dataOnly="0" outline="0" fieldPosition="0"/>
    </format>
    <format dxfId="1968">
      <pivotArea type="all" dataOnly="0" outline="0" fieldPosition="0"/>
    </format>
    <format dxfId="1967">
      <pivotArea type="all" dataOnly="0" outline="0" fieldPosition="0"/>
    </format>
    <format dxfId="1966">
      <pivotArea type="all" dataOnly="0" outline="0" fieldPosition="0"/>
    </format>
    <format dxfId="1965">
      <pivotArea type="all" dataOnly="0" outline="0" fieldPosition="0"/>
    </format>
    <format dxfId="1964">
      <pivotArea type="all" dataOnly="0" outline="0" fieldPosition="0"/>
    </format>
    <format dxfId="1963">
      <pivotArea type="all" dataOnly="0" outline="0" fieldPosition="0"/>
    </format>
    <format dxfId="1962">
      <pivotArea type="all" dataOnly="0" outline="0" fieldPosition="0"/>
    </format>
    <format dxfId="1961">
      <pivotArea outline="0" collapsedLevelsAreSubtotals="1" fieldPosition="0"/>
    </format>
    <format dxfId="1960">
      <pivotArea dataOnly="0" labelOnly="1" outline="0" axis="axisValues" fieldPosition="0"/>
    </format>
    <format dxfId="1959">
      <pivotArea type="all" dataOnly="0" outline="0" fieldPosition="0"/>
    </format>
    <format dxfId="1958">
      <pivotArea outline="0" collapsedLevelsAreSubtotals="1" fieldPosition="0"/>
    </format>
    <format dxfId="1957">
      <pivotArea dataOnly="0" labelOnly="1" outline="0" axis="axisValues" fieldPosition="0"/>
    </format>
    <format dxfId="1956">
      <pivotArea type="all" dataOnly="0" outline="0" fieldPosition="0"/>
    </format>
    <format dxfId="1955">
      <pivotArea outline="0" collapsedLevelsAreSubtotals="1" fieldPosition="0"/>
    </format>
    <format dxfId="1954">
      <pivotArea dataOnly="0" labelOnly="1" outline="0" axis="axisValues" fieldPosition="0"/>
    </format>
    <format dxfId="1953">
      <pivotArea type="all" dataOnly="0" outline="0" fieldPosition="0"/>
    </format>
    <format dxfId="1952">
      <pivotArea outline="0" collapsedLevelsAreSubtotals="1" fieldPosition="0"/>
    </format>
    <format dxfId="1951">
      <pivotArea dataOnly="0" labelOnly="1" outline="0" axis="axisValues" fieldPosition="0"/>
    </format>
    <format dxfId="1950">
      <pivotArea type="all" dataOnly="0" outline="0" fieldPosition="0"/>
    </format>
    <format dxfId="1949">
      <pivotArea outline="0" collapsedLevelsAreSubtotals="1" fieldPosition="0"/>
    </format>
    <format dxfId="1948">
      <pivotArea dataOnly="0" labelOnly="1" outline="0" axis="axisValues" fieldPosition="0"/>
    </format>
    <format dxfId="1947">
      <pivotArea type="all" dataOnly="0" outline="0" fieldPosition="0"/>
    </format>
    <format dxfId="1946">
      <pivotArea outline="0" collapsedLevelsAreSubtotals="1" fieldPosition="0"/>
    </format>
    <format dxfId="1945">
      <pivotArea dataOnly="0" labelOnly="1" outline="0" axis="axisValues" fieldPosition="0"/>
    </format>
    <format dxfId="1944">
      <pivotArea type="all" dataOnly="0" outline="0" fieldPosition="0"/>
    </format>
    <format dxfId="1943">
      <pivotArea outline="0" collapsedLevelsAreSubtotals="1" fieldPosition="0"/>
    </format>
    <format dxfId="194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1BA6288-039E-420A-8CD3-6911C7443379}" name="PivotTable16"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89:H90" firstHeaderRow="1" firstDataRow="1" firstDataCol="0" rowPageCount="2"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Units Proposed" fld="32" baseField="0" baseItem="0"/>
  </dataFields>
  <formats count="31">
    <format dxfId="190">
      <pivotArea type="all" dataOnly="0" outline="0" fieldPosition="0"/>
    </format>
    <format dxfId="189">
      <pivotArea type="all" dataOnly="0" outline="0" fieldPosition="0"/>
    </format>
    <format dxfId="188">
      <pivotArea type="all" dataOnly="0" outline="0" fieldPosition="0"/>
    </format>
    <format dxfId="187">
      <pivotArea type="all" dataOnly="0" outline="0" fieldPosition="0"/>
    </format>
    <format dxfId="186">
      <pivotArea type="all" dataOnly="0" outline="0" fieldPosition="0"/>
    </format>
    <format dxfId="185">
      <pivotArea type="all" dataOnly="0" outline="0" fieldPosition="0"/>
    </format>
    <format dxfId="184">
      <pivotArea type="all" dataOnly="0" outline="0" fieldPosition="0"/>
    </format>
    <format dxfId="183">
      <pivotArea type="all" dataOnly="0" outline="0" fieldPosition="0"/>
    </format>
    <format dxfId="182">
      <pivotArea type="all" dataOnly="0" outline="0" fieldPosition="0"/>
    </format>
    <format dxfId="181">
      <pivotArea type="all" dataOnly="0" outline="0" fieldPosition="0"/>
    </format>
    <format dxfId="180">
      <pivotArea type="all" dataOnly="0" outline="0" fieldPosition="0"/>
    </format>
    <format dxfId="179">
      <pivotArea outline="0" collapsedLevelsAreSubtotals="1" fieldPosition="0"/>
    </format>
    <format dxfId="178">
      <pivotArea dataOnly="0" labelOnly="1" outline="0" axis="axisValues" fieldPosition="0"/>
    </format>
    <format dxfId="177">
      <pivotArea type="all" dataOnly="0" outline="0" fieldPosition="0"/>
    </format>
    <format dxfId="176">
      <pivotArea outline="0" collapsedLevelsAreSubtotals="1" fieldPosition="0"/>
    </format>
    <format dxfId="175">
      <pivotArea dataOnly="0" labelOnly="1" outline="0" axis="axisValues" fieldPosition="0"/>
    </format>
    <format dxfId="174">
      <pivotArea type="all" dataOnly="0" outline="0" fieldPosition="0"/>
    </format>
    <format dxfId="173">
      <pivotArea outline="0" collapsedLevelsAreSubtotals="1" fieldPosition="0"/>
    </format>
    <format dxfId="172">
      <pivotArea dataOnly="0" labelOnly="1" outline="0" axis="axisValues" fieldPosition="0"/>
    </format>
    <format dxfId="171">
      <pivotArea type="all" dataOnly="0" outline="0" fieldPosition="0"/>
    </format>
    <format dxfId="170">
      <pivotArea outline="0" collapsedLevelsAreSubtotals="1" fieldPosition="0"/>
    </format>
    <format dxfId="169">
      <pivotArea dataOnly="0" labelOnly="1" outline="0" axis="axisValues" fieldPosition="0"/>
    </format>
    <format dxfId="168">
      <pivotArea type="all" dataOnly="0" outline="0" fieldPosition="0"/>
    </format>
    <format dxfId="167">
      <pivotArea outline="0" collapsedLevelsAreSubtotals="1" fieldPosition="0"/>
    </format>
    <format dxfId="166">
      <pivotArea dataOnly="0" labelOnly="1" outline="0" axis="axisValues" fieldPosition="0"/>
    </format>
    <format dxfId="165">
      <pivotArea type="all" dataOnly="0" outline="0" fieldPosition="0"/>
    </format>
    <format dxfId="164">
      <pivotArea outline="0" collapsedLevelsAreSubtotals="1" fieldPosition="0"/>
    </format>
    <format dxfId="163">
      <pivotArea dataOnly="0" labelOnly="1" outline="0" axis="axisValues" fieldPosition="0"/>
    </format>
    <format dxfId="162">
      <pivotArea type="all" dataOnly="0" outline="0" fieldPosition="0"/>
    </format>
    <format dxfId="161">
      <pivotArea outline="0" collapsedLevelsAreSubtotals="1" fieldPosition="0"/>
    </format>
    <format dxfId="16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E9762D78-BBFF-4E29-B66D-8232D1A30659}" name="PivotTable2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222:H223" firstHeaderRow="1" firstDataRow="1" firstDataCol="0" rowPageCount="3"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x="0"/>
        <item x="1"/>
        <item x="2"/>
        <item x="3"/>
        <item x="4"/>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2003">
      <pivotArea type="all" dataOnly="0" outline="0" fieldPosition="0"/>
    </format>
    <format dxfId="2002">
      <pivotArea type="all" dataOnly="0" outline="0" fieldPosition="0"/>
    </format>
    <format dxfId="2001">
      <pivotArea type="all" dataOnly="0" outline="0" fieldPosition="0"/>
    </format>
    <format dxfId="2000">
      <pivotArea type="all" dataOnly="0" outline="0" fieldPosition="0"/>
    </format>
    <format dxfId="1999">
      <pivotArea type="all" dataOnly="0" outline="0" fieldPosition="0"/>
    </format>
    <format dxfId="1998">
      <pivotArea type="all" dataOnly="0" outline="0" fieldPosition="0"/>
    </format>
    <format dxfId="1997">
      <pivotArea type="all" dataOnly="0" outline="0" fieldPosition="0"/>
    </format>
    <format dxfId="1996">
      <pivotArea type="all" dataOnly="0" outline="0" fieldPosition="0"/>
    </format>
    <format dxfId="1995">
      <pivotArea type="all" dataOnly="0" outline="0" fieldPosition="0"/>
    </format>
    <format dxfId="1994">
      <pivotArea type="all" dataOnly="0" outline="0" fieldPosition="0"/>
    </format>
    <format dxfId="1993">
      <pivotArea type="all" dataOnly="0" outline="0" fieldPosition="0"/>
    </format>
    <format dxfId="1992">
      <pivotArea outline="0" collapsedLevelsAreSubtotals="1" fieldPosition="0"/>
    </format>
    <format dxfId="1991">
      <pivotArea dataOnly="0" labelOnly="1" outline="0" axis="axisValues" fieldPosition="0"/>
    </format>
    <format dxfId="1990">
      <pivotArea type="all" dataOnly="0" outline="0" fieldPosition="0"/>
    </format>
    <format dxfId="1989">
      <pivotArea outline="0" collapsedLevelsAreSubtotals="1" fieldPosition="0"/>
    </format>
    <format dxfId="1988">
      <pivotArea dataOnly="0" labelOnly="1" outline="0" axis="axisValues" fieldPosition="0"/>
    </format>
    <format dxfId="1987">
      <pivotArea type="all" dataOnly="0" outline="0" fieldPosition="0"/>
    </format>
    <format dxfId="1986">
      <pivotArea outline="0" collapsedLevelsAreSubtotals="1" fieldPosition="0"/>
    </format>
    <format dxfId="1985">
      <pivotArea dataOnly="0" labelOnly="1" outline="0" axis="axisValues" fieldPosition="0"/>
    </format>
    <format dxfId="1984">
      <pivotArea type="all" dataOnly="0" outline="0" fieldPosition="0"/>
    </format>
    <format dxfId="1983">
      <pivotArea outline="0" collapsedLevelsAreSubtotals="1" fieldPosition="0"/>
    </format>
    <format dxfId="1982">
      <pivotArea dataOnly="0" labelOnly="1" outline="0" axis="axisValues" fieldPosition="0"/>
    </format>
    <format dxfId="1981">
      <pivotArea type="all" dataOnly="0" outline="0" fieldPosition="0"/>
    </format>
    <format dxfId="1980">
      <pivotArea outline="0" collapsedLevelsAreSubtotals="1" fieldPosition="0"/>
    </format>
    <format dxfId="1979">
      <pivotArea dataOnly="0" labelOnly="1" outline="0" axis="axisValues" fieldPosition="0"/>
    </format>
    <format dxfId="1978">
      <pivotArea type="all" dataOnly="0" outline="0" fieldPosition="0"/>
    </format>
    <format dxfId="1977">
      <pivotArea outline="0" collapsedLevelsAreSubtotals="1" fieldPosition="0"/>
    </format>
    <format dxfId="1976">
      <pivotArea dataOnly="0" labelOnly="1" outline="0" axis="axisValues" fieldPosition="0"/>
    </format>
    <format dxfId="1975">
      <pivotArea type="all" dataOnly="0" outline="0" fieldPosition="0"/>
    </format>
    <format dxfId="1974">
      <pivotArea outline="0" collapsedLevelsAreSubtotals="1" fieldPosition="0"/>
    </format>
    <format dxfId="197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64B8E5B8-6EE5-4874-B14C-71D049262F61}" name="PivotTable66"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201:E202"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2034">
      <pivotArea type="all" dataOnly="0" outline="0" fieldPosition="0"/>
    </format>
    <format dxfId="2033">
      <pivotArea type="all" dataOnly="0" outline="0" fieldPosition="0"/>
    </format>
    <format dxfId="2032">
      <pivotArea type="all" dataOnly="0" outline="0" fieldPosition="0"/>
    </format>
    <format dxfId="2031">
      <pivotArea type="all" dataOnly="0" outline="0" fieldPosition="0"/>
    </format>
    <format dxfId="2030">
      <pivotArea type="all" dataOnly="0" outline="0" fieldPosition="0"/>
    </format>
    <format dxfId="2029">
      <pivotArea type="all" dataOnly="0" outline="0" fieldPosition="0"/>
    </format>
    <format dxfId="2028">
      <pivotArea type="all" dataOnly="0" outline="0" fieldPosition="0"/>
    </format>
    <format dxfId="2027">
      <pivotArea type="all" dataOnly="0" outline="0" fieldPosition="0"/>
    </format>
    <format dxfId="2026">
      <pivotArea type="all" dataOnly="0" outline="0" fieldPosition="0"/>
    </format>
    <format dxfId="2025">
      <pivotArea type="all" dataOnly="0" outline="0" fieldPosition="0"/>
    </format>
    <format dxfId="2024">
      <pivotArea type="all" dataOnly="0" outline="0" fieldPosition="0"/>
    </format>
    <format dxfId="2023">
      <pivotArea outline="0" collapsedLevelsAreSubtotals="1" fieldPosition="0"/>
    </format>
    <format dxfId="2022">
      <pivotArea dataOnly="0" labelOnly="1" outline="0" axis="axisValues" fieldPosition="0"/>
    </format>
    <format dxfId="2021">
      <pivotArea type="all" dataOnly="0" outline="0" fieldPosition="0"/>
    </format>
    <format dxfId="2020">
      <pivotArea outline="0" collapsedLevelsAreSubtotals="1" fieldPosition="0"/>
    </format>
    <format dxfId="2019">
      <pivotArea dataOnly="0" labelOnly="1" outline="0" axis="axisValues" fieldPosition="0"/>
    </format>
    <format dxfId="2018">
      <pivotArea type="all" dataOnly="0" outline="0" fieldPosition="0"/>
    </format>
    <format dxfId="2017">
      <pivotArea outline="0" collapsedLevelsAreSubtotals="1" fieldPosition="0"/>
    </format>
    <format dxfId="2016">
      <pivotArea dataOnly="0" labelOnly="1" outline="0" axis="axisValues" fieldPosition="0"/>
    </format>
    <format dxfId="2015">
      <pivotArea type="all" dataOnly="0" outline="0" fieldPosition="0"/>
    </format>
    <format dxfId="2014">
      <pivotArea outline="0" collapsedLevelsAreSubtotals="1" fieldPosition="0"/>
    </format>
    <format dxfId="2013">
      <pivotArea dataOnly="0" labelOnly="1" outline="0" axis="axisValues" fieldPosition="0"/>
    </format>
    <format dxfId="2012">
      <pivotArea type="all" dataOnly="0" outline="0" fieldPosition="0"/>
    </format>
    <format dxfId="2011">
      <pivotArea outline="0" collapsedLevelsAreSubtotals="1" fieldPosition="0"/>
    </format>
    <format dxfId="2010">
      <pivotArea dataOnly="0" labelOnly="1" outline="0" axis="axisValues" fieldPosition="0"/>
    </format>
    <format dxfId="2009">
      <pivotArea type="all" dataOnly="0" outline="0" fieldPosition="0"/>
    </format>
    <format dxfId="2008">
      <pivotArea outline="0" collapsedLevelsAreSubtotals="1" fieldPosition="0"/>
    </format>
    <format dxfId="2007">
      <pivotArea dataOnly="0" labelOnly="1" outline="0" axis="axisValues" fieldPosition="0"/>
    </format>
    <format dxfId="2006">
      <pivotArea type="all" dataOnly="0" outline="0" fieldPosition="0"/>
    </format>
    <format dxfId="2005">
      <pivotArea outline="0" collapsedLevelsAreSubtotals="1" fieldPosition="0"/>
    </format>
    <format dxfId="200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F698153B-E45B-4EE5-908E-B0D353A73D44}" name="PivotTable6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92:E193"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2065">
      <pivotArea type="all" dataOnly="0" outline="0" fieldPosition="0"/>
    </format>
    <format dxfId="2064">
      <pivotArea type="all" dataOnly="0" outline="0" fieldPosition="0"/>
    </format>
    <format dxfId="2063">
      <pivotArea type="all" dataOnly="0" outline="0" fieldPosition="0"/>
    </format>
    <format dxfId="2062">
      <pivotArea type="all" dataOnly="0" outline="0" fieldPosition="0"/>
    </format>
    <format dxfId="2061">
      <pivotArea type="all" dataOnly="0" outline="0" fieldPosition="0"/>
    </format>
    <format dxfId="2060">
      <pivotArea type="all" dataOnly="0" outline="0" fieldPosition="0"/>
    </format>
    <format dxfId="2059">
      <pivotArea type="all" dataOnly="0" outline="0" fieldPosition="0"/>
    </format>
    <format dxfId="2058">
      <pivotArea type="all" dataOnly="0" outline="0" fieldPosition="0"/>
    </format>
    <format dxfId="2057">
      <pivotArea type="all" dataOnly="0" outline="0" fieldPosition="0"/>
    </format>
    <format dxfId="2056">
      <pivotArea type="all" dataOnly="0" outline="0" fieldPosition="0"/>
    </format>
    <format dxfId="2055">
      <pivotArea type="all" dataOnly="0" outline="0" fieldPosition="0"/>
    </format>
    <format dxfId="2054">
      <pivotArea outline="0" collapsedLevelsAreSubtotals="1" fieldPosition="0"/>
    </format>
    <format dxfId="2053">
      <pivotArea dataOnly="0" labelOnly="1" outline="0" axis="axisValues" fieldPosition="0"/>
    </format>
    <format dxfId="2052">
      <pivotArea type="all" dataOnly="0" outline="0" fieldPosition="0"/>
    </format>
    <format dxfId="2051">
      <pivotArea outline="0" collapsedLevelsAreSubtotals="1" fieldPosition="0"/>
    </format>
    <format dxfId="2050">
      <pivotArea dataOnly="0" labelOnly="1" outline="0" axis="axisValues" fieldPosition="0"/>
    </format>
    <format dxfId="2049">
      <pivotArea type="all" dataOnly="0" outline="0" fieldPosition="0"/>
    </format>
    <format dxfId="2048">
      <pivotArea outline="0" collapsedLevelsAreSubtotals="1" fieldPosition="0"/>
    </format>
    <format dxfId="2047">
      <pivotArea dataOnly="0" labelOnly="1" outline="0" axis="axisValues" fieldPosition="0"/>
    </format>
    <format dxfId="2046">
      <pivotArea type="all" dataOnly="0" outline="0" fieldPosition="0"/>
    </format>
    <format dxfId="2045">
      <pivotArea outline="0" collapsedLevelsAreSubtotals="1" fieldPosition="0"/>
    </format>
    <format dxfId="2044">
      <pivotArea dataOnly="0" labelOnly="1" outline="0" axis="axisValues" fieldPosition="0"/>
    </format>
    <format dxfId="2043">
      <pivotArea type="all" dataOnly="0" outline="0" fieldPosition="0"/>
    </format>
    <format dxfId="2042">
      <pivotArea outline="0" collapsedLevelsAreSubtotals="1" fieldPosition="0"/>
    </format>
    <format dxfId="2041">
      <pivotArea dataOnly="0" labelOnly="1" outline="0" axis="axisValues" fieldPosition="0"/>
    </format>
    <format dxfId="2040">
      <pivotArea type="all" dataOnly="0" outline="0" fieldPosition="0"/>
    </format>
    <format dxfId="2039">
      <pivotArea outline="0" collapsedLevelsAreSubtotals="1" fieldPosition="0"/>
    </format>
    <format dxfId="2038">
      <pivotArea dataOnly="0" labelOnly="1" outline="0" axis="axisValues" fieldPosition="0"/>
    </format>
    <format dxfId="2037">
      <pivotArea type="all" dataOnly="0" outline="0" fieldPosition="0"/>
    </format>
    <format dxfId="2036">
      <pivotArea outline="0" collapsedLevelsAreSubtotals="1" fieldPosition="0"/>
    </format>
    <format dxfId="203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4C5E566C-CFE7-40DC-A2B8-0E0692382D08}" name="PivotTable19"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89:E90" firstHeaderRow="1" firstDataRow="1" firstDataCol="0" rowPageCount="2"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Units Proposed" fld="32" baseField="0" baseItem="0"/>
  </dataFields>
  <formats count="31">
    <format dxfId="2096">
      <pivotArea type="all" dataOnly="0" outline="0" fieldPosition="0"/>
    </format>
    <format dxfId="2095">
      <pivotArea type="all" dataOnly="0" outline="0" fieldPosition="0"/>
    </format>
    <format dxfId="2094">
      <pivotArea type="all" dataOnly="0" outline="0" fieldPosition="0"/>
    </format>
    <format dxfId="2093">
      <pivotArea type="all" dataOnly="0" outline="0" fieldPosition="0"/>
    </format>
    <format dxfId="2092">
      <pivotArea type="all" dataOnly="0" outline="0" fieldPosition="0"/>
    </format>
    <format dxfId="2091">
      <pivotArea type="all" dataOnly="0" outline="0" fieldPosition="0"/>
    </format>
    <format dxfId="2090">
      <pivotArea type="all" dataOnly="0" outline="0" fieldPosition="0"/>
    </format>
    <format dxfId="2089">
      <pivotArea type="all" dataOnly="0" outline="0" fieldPosition="0"/>
    </format>
    <format dxfId="2088">
      <pivotArea type="all" dataOnly="0" outline="0" fieldPosition="0"/>
    </format>
    <format dxfId="2087">
      <pivotArea type="all" dataOnly="0" outline="0" fieldPosition="0"/>
    </format>
    <format dxfId="2086">
      <pivotArea type="all" dataOnly="0" outline="0" fieldPosition="0"/>
    </format>
    <format dxfId="2085">
      <pivotArea outline="0" collapsedLevelsAreSubtotals="1" fieldPosition="0"/>
    </format>
    <format dxfId="2084">
      <pivotArea dataOnly="0" labelOnly="1" outline="0" axis="axisValues" fieldPosition="0"/>
    </format>
    <format dxfId="2083">
      <pivotArea type="all" dataOnly="0" outline="0" fieldPosition="0"/>
    </format>
    <format dxfId="2082">
      <pivotArea outline="0" collapsedLevelsAreSubtotals="1" fieldPosition="0"/>
    </format>
    <format dxfId="2081">
      <pivotArea dataOnly="0" labelOnly="1" outline="0" axis="axisValues" fieldPosition="0"/>
    </format>
    <format dxfId="2080">
      <pivotArea type="all" dataOnly="0" outline="0" fieldPosition="0"/>
    </format>
    <format dxfId="2079">
      <pivotArea outline="0" collapsedLevelsAreSubtotals="1" fieldPosition="0"/>
    </format>
    <format dxfId="2078">
      <pivotArea dataOnly="0" labelOnly="1" outline="0" axis="axisValues" fieldPosition="0"/>
    </format>
    <format dxfId="2077">
      <pivotArea type="all" dataOnly="0" outline="0" fieldPosition="0"/>
    </format>
    <format dxfId="2076">
      <pivotArea outline="0" collapsedLevelsAreSubtotals="1" fieldPosition="0"/>
    </format>
    <format dxfId="2075">
      <pivotArea dataOnly="0" labelOnly="1" outline="0" axis="axisValues" fieldPosition="0"/>
    </format>
    <format dxfId="2074">
      <pivotArea type="all" dataOnly="0" outline="0" fieldPosition="0"/>
    </format>
    <format dxfId="2073">
      <pivotArea outline="0" collapsedLevelsAreSubtotals="1" fieldPosition="0"/>
    </format>
    <format dxfId="2072">
      <pivotArea dataOnly="0" labelOnly="1" outline="0" axis="axisValues" fieldPosition="0"/>
    </format>
    <format dxfId="2071">
      <pivotArea type="all" dataOnly="0" outline="0" fieldPosition="0"/>
    </format>
    <format dxfId="2070">
      <pivotArea outline="0" collapsedLevelsAreSubtotals="1" fieldPosition="0"/>
    </format>
    <format dxfId="2069">
      <pivotArea dataOnly="0" labelOnly="1" outline="0" axis="axisValues" fieldPosition="0"/>
    </format>
    <format dxfId="2068">
      <pivotArea type="all" dataOnly="0" outline="0" fieldPosition="0"/>
    </format>
    <format dxfId="2067">
      <pivotArea outline="0" collapsedLevelsAreSubtotals="1" fieldPosition="0"/>
    </format>
    <format dxfId="20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54D9B4AA-CBBB-41A0-AC0A-D1020E2AD2B9}" name="PivotTable69"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64:H165"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2127">
      <pivotArea type="all" dataOnly="0" outline="0" fieldPosition="0"/>
    </format>
    <format dxfId="2126">
      <pivotArea type="all" dataOnly="0" outline="0" fieldPosition="0"/>
    </format>
    <format dxfId="2125">
      <pivotArea type="all" dataOnly="0" outline="0" fieldPosition="0"/>
    </format>
    <format dxfId="2124">
      <pivotArea type="all" dataOnly="0" outline="0" fieldPosition="0"/>
    </format>
    <format dxfId="2123">
      <pivotArea type="all" dataOnly="0" outline="0" fieldPosition="0"/>
    </format>
    <format dxfId="2122">
      <pivotArea type="all" dataOnly="0" outline="0" fieldPosition="0"/>
    </format>
    <format dxfId="2121">
      <pivotArea type="all" dataOnly="0" outline="0" fieldPosition="0"/>
    </format>
    <format dxfId="2120">
      <pivotArea type="all" dataOnly="0" outline="0" fieldPosition="0"/>
    </format>
    <format dxfId="2119">
      <pivotArea type="all" dataOnly="0" outline="0" fieldPosition="0"/>
    </format>
    <format dxfId="2118">
      <pivotArea type="all" dataOnly="0" outline="0" fieldPosition="0"/>
    </format>
    <format dxfId="2117">
      <pivotArea type="all" dataOnly="0" outline="0" fieldPosition="0"/>
    </format>
    <format dxfId="2116">
      <pivotArea outline="0" collapsedLevelsAreSubtotals="1" fieldPosition="0"/>
    </format>
    <format dxfId="2115">
      <pivotArea dataOnly="0" labelOnly="1" outline="0" axis="axisValues" fieldPosition="0"/>
    </format>
    <format dxfId="2114">
      <pivotArea type="all" dataOnly="0" outline="0" fieldPosition="0"/>
    </format>
    <format dxfId="2113">
      <pivotArea outline="0" collapsedLevelsAreSubtotals="1" fieldPosition="0"/>
    </format>
    <format dxfId="2112">
      <pivotArea dataOnly="0" labelOnly="1" outline="0" axis="axisValues" fieldPosition="0"/>
    </format>
    <format dxfId="2111">
      <pivotArea type="all" dataOnly="0" outline="0" fieldPosition="0"/>
    </format>
    <format dxfId="2110">
      <pivotArea outline="0" collapsedLevelsAreSubtotals="1" fieldPosition="0"/>
    </format>
    <format dxfId="2109">
      <pivotArea dataOnly="0" labelOnly="1" outline="0" axis="axisValues" fieldPosition="0"/>
    </format>
    <format dxfId="2108">
      <pivotArea type="all" dataOnly="0" outline="0" fieldPosition="0"/>
    </format>
    <format dxfId="2107">
      <pivotArea outline="0" collapsedLevelsAreSubtotals="1" fieldPosition="0"/>
    </format>
    <format dxfId="2106">
      <pivotArea dataOnly="0" labelOnly="1" outline="0" axis="axisValues" fieldPosition="0"/>
    </format>
    <format dxfId="2105">
      <pivotArea type="all" dataOnly="0" outline="0" fieldPosition="0"/>
    </format>
    <format dxfId="2104">
      <pivotArea outline="0" collapsedLevelsAreSubtotals="1" fieldPosition="0"/>
    </format>
    <format dxfId="2103">
      <pivotArea dataOnly="0" labelOnly="1" outline="0" axis="axisValues" fieldPosition="0"/>
    </format>
    <format dxfId="2102">
      <pivotArea type="all" dataOnly="0" outline="0" fieldPosition="0"/>
    </format>
    <format dxfId="2101">
      <pivotArea outline="0" collapsedLevelsAreSubtotals="1" fieldPosition="0"/>
    </format>
    <format dxfId="2100">
      <pivotArea dataOnly="0" labelOnly="1" outline="0" axis="axisValues" fieldPosition="0"/>
    </format>
    <format dxfId="2099">
      <pivotArea type="all" dataOnly="0" outline="0" fieldPosition="0"/>
    </format>
    <format dxfId="2098">
      <pivotArea outline="0" collapsedLevelsAreSubtotals="1" fieldPosition="0"/>
    </format>
    <format dxfId="209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6F98F924-2FF1-4E03-BA7A-45147D44FA26}" name="PivotTable6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64:B165"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2158">
      <pivotArea type="all" dataOnly="0" outline="0" fieldPosition="0"/>
    </format>
    <format dxfId="2157">
      <pivotArea type="all" dataOnly="0" outline="0" fieldPosition="0"/>
    </format>
    <format dxfId="2156">
      <pivotArea type="all" dataOnly="0" outline="0" fieldPosition="0"/>
    </format>
    <format dxfId="2155">
      <pivotArea type="all" dataOnly="0" outline="0" fieldPosition="0"/>
    </format>
    <format dxfId="2154">
      <pivotArea type="all" dataOnly="0" outline="0" fieldPosition="0"/>
    </format>
    <format dxfId="2153">
      <pivotArea type="all" dataOnly="0" outline="0" fieldPosition="0"/>
    </format>
    <format dxfId="2152">
      <pivotArea type="all" dataOnly="0" outline="0" fieldPosition="0"/>
    </format>
    <format dxfId="2151">
      <pivotArea type="all" dataOnly="0" outline="0" fieldPosition="0"/>
    </format>
    <format dxfId="2150">
      <pivotArea type="all" dataOnly="0" outline="0" fieldPosition="0"/>
    </format>
    <format dxfId="2149">
      <pivotArea type="all" dataOnly="0" outline="0" fieldPosition="0"/>
    </format>
    <format dxfId="2148">
      <pivotArea type="all" dataOnly="0" outline="0" fieldPosition="0"/>
    </format>
    <format dxfId="2147">
      <pivotArea outline="0" collapsedLevelsAreSubtotals="1" fieldPosition="0"/>
    </format>
    <format dxfId="2146">
      <pivotArea dataOnly="0" labelOnly="1" outline="0" axis="axisValues" fieldPosition="0"/>
    </format>
    <format dxfId="2145">
      <pivotArea type="all" dataOnly="0" outline="0" fieldPosition="0"/>
    </format>
    <format dxfId="2144">
      <pivotArea outline="0" collapsedLevelsAreSubtotals="1" fieldPosition="0"/>
    </format>
    <format dxfId="2143">
      <pivotArea dataOnly="0" labelOnly="1" outline="0" axis="axisValues" fieldPosition="0"/>
    </format>
    <format dxfId="2142">
      <pivotArea type="all" dataOnly="0" outline="0" fieldPosition="0"/>
    </format>
    <format dxfId="2141">
      <pivotArea outline="0" collapsedLevelsAreSubtotals="1" fieldPosition="0"/>
    </format>
    <format dxfId="2140">
      <pivotArea dataOnly="0" labelOnly="1" outline="0" axis="axisValues" fieldPosition="0"/>
    </format>
    <format dxfId="2139">
      <pivotArea type="all" dataOnly="0" outline="0" fieldPosition="0"/>
    </format>
    <format dxfId="2138">
      <pivotArea outline="0" collapsedLevelsAreSubtotals="1" fieldPosition="0"/>
    </format>
    <format dxfId="2137">
      <pivotArea dataOnly="0" labelOnly="1" outline="0" axis="axisValues" fieldPosition="0"/>
    </format>
    <format dxfId="2136">
      <pivotArea type="all" dataOnly="0" outline="0" fieldPosition="0"/>
    </format>
    <format dxfId="2135">
      <pivotArea outline="0" collapsedLevelsAreSubtotals="1" fieldPosition="0"/>
    </format>
    <format dxfId="2134">
      <pivotArea dataOnly="0" labelOnly="1" outline="0" axis="axisValues" fieldPosition="0"/>
    </format>
    <format dxfId="2133">
      <pivotArea type="all" dataOnly="0" outline="0" fieldPosition="0"/>
    </format>
    <format dxfId="2132">
      <pivotArea outline="0" collapsedLevelsAreSubtotals="1" fieldPosition="0"/>
    </format>
    <format dxfId="2131">
      <pivotArea dataOnly="0" labelOnly="1" outline="0" axis="axisValues" fieldPosition="0"/>
    </format>
    <format dxfId="2130">
      <pivotArea type="all" dataOnly="0" outline="0" fieldPosition="0"/>
    </format>
    <format dxfId="2129">
      <pivotArea outline="0" collapsedLevelsAreSubtotals="1" fieldPosition="0"/>
    </format>
    <format dxfId="21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621BD944-B092-4E84-8505-CAF313ABE4F6}" name="PivotTable48"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99:H100"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2189">
      <pivotArea type="all" dataOnly="0" outline="0" fieldPosition="0"/>
    </format>
    <format dxfId="2188">
      <pivotArea type="all" dataOnly="0" outline="0" fieldPosition="0"/>
    </format>
    <format dxfId="2187">
      <pivotArea type="all" dataOnly="0" outline="0" fieldPosition="0"/>
    </format>
    <format dxfId="2186">
      <pivotArea type="all" dataOnly="0" outline="0" fieldPosition="0"/>
    </format>
    <format dxfId="2185">
      <pivotArea type="all" dataOnly="0" outline="0" fieldPosition="0"/>
    </format>
    <format dxfId="2184">
      <pivotArea type="all" dataOnly="0" outline="0" fieldPosition="0"/>
    </format>
    <format dxfId="2183">
      <pivotArea type="all" dataOnly="0" outline="0" fieldPosition="0"/>
    </format>
    <format dxfId="2182">
      <pivotArea type="all" dataOnly="0" outline="0" fieldPosition="0"/>
    </format>
    <format dxfId="2181">
      <pivotArea type="all" dataOnly="0" outline="0" fieldPosition="0"/>
    </format>
    <format dxfId="2180">
      <pivotArea type="all" dataOnly="0" outline="0" fieldPosition="0"/>
    </format>
    <format dxfId="2179">
      <pivotArea type="all" dataOnly="0" outline="0" fieldPosition="0"/>
    </format>
    <format dxfId="2178">
      <pivotArea outline="0" collapsedLevelsAreSubtotals="1" fieldPosition="0"/>
    </format>
    <format dxfId="2177">
      <pivotArea dataOnly="0" labelOnly="1" outline="0" axis="axisValues" fieldPosition="0"/>
    </format>
    <format dxfId="2176">
      <pivotArea type="all" dataOnly="0" outline="0" fieldPosition="0"/>
    </format>
    <format dxfId="2175">
      <pivotArea outline="0" collapsedLevelsAreSubtotals="1" fieldPosition="0"/>
    </format>
    <format dxfId="2174">
      <pivotArea dataOnly="0" labelOnly="1" outline="0" axis="axisValues" fieldPosition="0"/>
    </format>
    <format dxfId="2173">
      <pivotArea type="all" dataOnly="0" outline="0" fieldPosition="0"/>
    </format>
    <format dxfId="2172">
      <pivotArea outline="0" collapsedLevelsAreSubtotals="1" fieldPosition="0"/>
    </format>
    <format dxfId="2171">
      <pivotArea dataOnly="0" labelOnly="1" outline="0" axis="axisValues" fieldPosition="0"/>
    </format>
    <format dxfId="2170">
      <pivotArea type="all" dataOnly="0" outline="0" fieldPosition="0"/>
    </format>
    <format dxfId="2169">
      <pivotArea outline="0" collapsedLevelsAreSubtotals="1" fieldPosition="0"/>
    </format>
    <format dxfId="2168">
      <pivotArea dataOnly="0" labelOnly="1" outline="0" axis="axisValues" fieldPosition="0"/>
    </format>
    <format dxfId="2167">
      <pivotArea type="all" dataOnly="0" outline="0" fieldPosition="0"/>
    </format>
    <format dxfId="2166">
      <pivotArea outline="0" collapsedLevelsAreSubtotals="1" fieldPosition="0"/>
    </format>
    <format dxfId="2165">
      <pivotArea dataOnly="0" labelOnly="1" outline="0" axis="axisValues" fieldPosition="0"/>
    </format>
    <format dxfId="2164">
      <pivotArea type="all" dataOnly="0" outline="0" fieldPosition="0"/>
    </format>
    <format dxfId="2163">
      <pivotArea outline="0" collapsedLevelsAreSubtotals="1" fieldPosition="0"/>
    </format>
    <format dxfId="2162">
      <pivotArea dataOnly="0" labelOnly="1" outline="0" axis="axisValues" fieldPosition="0"/>
    </format>
    <format dxfId="2161">
      <pivotArea type="all" dataOnly="0" outline="0" fieldPosition="0"/>
    </format>
    <format dxfId="2160">
      <pivotArea outline="0" collapsedLevelsAreSubtotals="1" fieldPosition="0"/>
    </format>
    <format dxfId="215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F34F99CD-E716-4EDA-91DC-83F3347C456E}" name="PivotTable6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55:B156"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2220">
      <pivotArea type="all" dataOnly="0" outline="0" fieldPosition="0"/>
    </format>
    <format dxfId="2219">
      <pivotArea type="all" dataOnly="0" outline="0" fieldPosition="0"/>
    </format>
    <format dxfId="2218">
      <pivotArea type="all" dataOnly="0" outline="0" fieldPosition="0"/>
    </format>
    <format dxfId="2217">
      <pivotArea type="all" dataOnly="0" outline="0" fieldPosition="0"/>
    </format>
    <format dxfId="2216">
      <pivotArea type="all" dataOnly="0" outline="0" fieldPosition="0"/>
    </format>
    <format dxfId="2215">
      <pivotArea type="all" dataOnly="0" outline="0" fieldPosition="0"/>
    </format>
    <format dxfId="2214">
      <pivotArea type="all" dataOnly="0" outline="0" fieldPosition="0"/>
    </format>
    <format dxfId="2213">
      <pivotArea type="all" dataOnly="0" outline="0" fieldPosition="0"/>
    </format>
    <format dxfId="2212">
      <pivotArea type="all" dataOnly="0" outline="0" fieldPosition="0"/>
    </format>
    <format dxfId="2211">
      <pivotArea type="all" dataOnly="0" outline="0" fieldPosition="0"/>
    </format>
    <format dxfId="2210">
      <pivotArea type="all" dataOnly="0" outline="0" fieldPosition="0"/>
    </format>
    <format dxfId="2209">
      <pivotArea outline="0" collapsedLevelsAreSubtotals="1" fieldPosition="0"/>
    </format>
    <format dxfId="2208">
      <pivotArea dataOnly="0" labelOnly="1" outline="0" axis="axisValues" fieldPosition="0"/>
    </format>
    <format dxfId="2207">
      <pivotArea type="all" dataOnly="0" outline="0" fieldPosition="0"/>
    </format>
    <format dxfId="2206">
      <pivotArea outline="0" collapsedLevelsAreSubtotals="1" fieldPosition="0"/>
    </format>
    <format dxfId="2205">
      <pivotArea dataOnly="0" labelOnly="1" outline="0" axis="axisValues" fieldPosition="0"/>
    </format>
    <format dxfId="2204">
      <pivotArea type="all" dataOnly="0" outline="0" fieldPosition="0"/>
    </format>
    <format dxfId="2203">
      <pivotArea outline="0" collapsedLevelsAreSubtotals="1" fieldPosition="0"/>
    </format>
    <format dxfId="2202">
      <pivotArea dataOnly="0" labelOnly="1" outline="0" axis="axisValues" fieldPosition="0"/>
    </format>
    <format dxfId="2201">
      <pivotArea type="all" dataOnly="0" outline="0" fieldPosition="0"/>
    </format>
    <format dxfId="2200">
      <pivotArea outline="0" collapsedLevelsAreSubtotals="1" fieldPosition="0"/>
    </format>
    <format dxfId="2199">
      <pivotArea dataOnly="0" labelOnly="1" outline="0" axis="axisValues" fieldPosition="0"/>
    </format>
    <format dxfId="2198">
      <pivotArea type="all" dataOnly="0" outline="0" fieldPosition="0"/>
    </format>
    <format dxfId="2197">
      <pivotArea outline="0" collapsedLevelsAreSubtotals="1" fieldPosition="0"/>
    </format>
    <format dxfId="2196">
      <pivotArea dataOnly="0" labelOnly="1" outline="0" axis="axisValues" fieldPosition="0"/>
    </format>
    <format dxfId="2195">
      <pivotArea type="all" dataOnly="0" outline="0" fieldPosition="0"/>
    </format>
    <format dxfId="2194">
      <pivotArea outline="0" collapsedLevelsAreSubtotals="1" fieldPosition="0"/>
    </format>
    <format dxfId="2193">
      <pivotArea dataOnly="0" labelOnly="1" outline="0" axis="axisValues" fieldPosition="0"/>
    </format>
    <format dxfId="2192">
      <pivotArea type="all" dataOnly="0" outline="0" fieldPosition="0"/>
    </format>
    <format dxfId="2191">
      <pivotArea outline="0" collapsedLevelsAreSubtotals="1" fieldPosition="0"/>
    </format>
    <format dxfId="219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2CB264E5-7A08-40F0-9E4B-7D8C969E1A2D}" name="PivotTable18"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80:E81" firstHeaderRow="1" firstDataRow="1" firstDataCol="0" rowPageCount="2"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Net Dwellings" fld="42" baseField="0" baseItem="0"/>
  </dataFields>
  <formats count="31">
    <format dxfId="2251">
      <pivotArea type="all" dataOnly="0" outline="0" fieldPosition="0"/>
    </format>
    <format dxfId="2250">
      <pivotArea type="all" dataOnly="0" outline="0" fieldPosition="0"/>
    </format>
    <format dxfId="2249">
      <pivotArea type="all" dataOnly="0" outline="0" fieldPosition="0"/>
    </format>
    <format dxfId="2248">
      <pivotArea type="all" dataOnly="0" outline="0" fieldPosition="0"/>
    </format>
    <format dxfId="2247">
      <pivotArea type="all" dataOnly="0" outline="0" fieldPosition="0"/>
    </format>
    <format dxfId="2246">
      <pivotArea type="all" dataOnly="0" outline="0" fieldPosition="0"/>
    </format>
    <format dxfId="2245">
      <pivotArea type="all" dataOnly="0" outline="0" fieldPosition="0"/>
    </format>
    <format dxfId="2244">
      <pivotArea type="all" dataOnly="0" outline="0" fieldPosition="0"/>
    </format>
    <format dxfId="2243">
      <pivotArea type="all" dataOnly="0" outline="0" fieldPosition="0"/>
    </format>
    <format dxfId="2242">
      <pivotArea type="all" dataOnly="0" outline="0" fieldPosition="0"/>
    </format>
    <format dxfId="2241">
      <pivotArea type="all" dataOnly="0" outline="0" fieldPosition="0"/>
    </format>
    <format dxfId="2240">
      <pivotArea outline="0" collapsedLevelsAreSubtotals="1" fieldPosition="0"/>
    </format>
    <format dxfId="2239">
      <pivotArea dataOnly="0" labelOnly="1" outline="0" axis="axisValues" fieldPosition="0"/>
    </format>
    <format dxfId="2238">
      <pivotArea type="all" dataOnly="0" outline="0" fieldPosition="0"/>
    </format>
    <format dxfId="2237">
      <pivotArea outline="0" collapsedLevelsAreSubtotals="1" fieldPosition="0"/>
    </format>
    <format dxfId="2236">
      <pivotArea dataOnly="0" labelOnly="1" outline="0" axis="axisValues" fieldPosition="0"/>
    </format>
    <format dxfId="2235">
      <pivotArea type="all" dataOnly="0" outline="0" fieldPosition="0"/>
    </format>
    <format dxfId="2234">
      <pivotArea outline="0" collapsedLevelsAreSubtotals="1" fieldPosition="0"/>
    </format>
    <format dxfId="2233">
      <pivotArea dataOnly="0" labelOnly="1" outline="0" axis="axisValues" fieldPosition="0"/>
    </format>
    <format dxfId="2232">
      <pivotArea type="all" dataOnly="0" outline="0" fieldPosition="0"/>
    </format>
    <format dxfId="2231">
      <pivotArea outline="0" collapsedLevelsAreSubtotals="1" fieldPosition="0"/>
    </format>
    <format dxfId="2230">
      <pivotArea dataOnly="0" labelOnly="1" outline="0" axis="axisValues" fieldPosition="0"/>
    </format>
    <format dxfId="2229">
      <pivotArea type="all" dataOnly="0" outline="0" fieldPosition="0"/>
    </format>
    <format dxfId="2228">
      <pivotArea outline="0" collapsedLevelsAreSubtotals="1" fieldPosition="0"/>
    </format>
    <format dxfId="2227">
      <pivotArea dataOnly="0" labelOnly="1" outline="0" axis="axisValues" fieldPosition="0"/>
    </format>
    <format dxfId="2226">
      <pivotArea type="all" dataOnly="0" outline="0" fieldPosition="0"/>
    </format>
    <format dxfId="2225">
      <pivotArea outline="0" collapsedLevelsAreSubtotals="1" fieldPosition="0"/>
    </format>
    <format dxfId="2224">
      <pivotArea dataOnly="0" labelOnly="1" outline="0" axis="axisValues" fieldPosition="0"/>
    </format>
    <format dxfId="2223">
      <pivotArea type="all" dataOnly="0" outline="0" fieldPosition="0"/>
    </format>
    <format dxfId="2222">
      <pivotArea outline="0" collapsedLevelsAreSubtotals="1" fieldPosition="0"/>
    </format>
    <format dxfId="222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8FE47D05-950F-4D8B-8040-DE139206AF9D}" name="PivotTable68"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173:E174"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2282">
      <pivotArea type="all" dataOnly="0" outline="0" fieldPosition="0"/>
    </format>
    <format dxfId="2281">
      <pivotArea type="all" dataOnly="0" outline="0" fieldPosition="0"/>
    </format>
    <format dxfId="2280">
      <pivotArea type="all" dataOnly="0" outline="0" fieldPosition="0"/>
    </format>
    <format dxfId="2279">
      <pivotArea type="all" dataOnly="0" outline="0" fieldPosition="0"/>
    </format>
    <format dxfId="2278">
      <pivotArea type="all" dataOnly="0" outline="0" fieldPosition="0"/>
    </format>
    <format dxfId="2277">
      <pivotArea type="all" dataOnly="0" outline="0" fieldPosition="0"/>
    </format>
    <format dxfId="2276">
      <pivotArea type="all" dataOnly="0" outline="0" fieldPosition="0"/>
    </format>
    <format dxfId="2275">
      <pivotArea type="all" dataOnly="0" outline="0" fieldPosition="0"/>
    </format>
    <format dxfId="2274">
      <pivotArea type="all" dataOnly="0" outline="0" fieldPosition="0"/>
    </format>
    <format dxfId="2273">
      <pivotArea type="all" dataOnly="0" outline="0" fieldPosition="0"/>
    </format>
    <format dxfId="2272">
      <pivotArea type="all" dataOnly="0" outline="0" fieldPosition="0"/>
    </format>
    <format dxfId="2271">
      <pivotArea outline="0" collapsedLevelsAreSubtotals="1" fieldPosition="0"/>
    </format>
    <format dxfId="2270">
      <pivotArea dataOnly="0" labelOnly="1" outline="0" axis="axisValues" fieldPosition="0"/>
    </format>
    <format dxfId="2269">
      <pivotArea type="all" dataOnly="0" outline="0" fieldPosition="0"/>
    </format>
    <format dxfId="2268">
      <pivotArea outline="0" collapsedLevelsAreSubtotals="1" fieldPosition="0"/>
    </format>
    <format dxfId="2267">
      <pivotArea dataOnly="0" labelOnly="1" outline="0" axis="axisValues" fieldPosition="0"/>
    </format>
    <format dxfId="2266">
      <pivotArea type="all" dataOnly="0" outline="0" fieldPosition="0"/>
    </format>
    <format dxfId="2265">
      <pivotArea outline="0" collapsedLevelsAreSubtotals="1" fieldPosition="0"/>
    </format>
    <format dxfId="2264">
      <pivotArea dataOnly="0" labelOnly="1" outline="0" axis="axisValues" fieldPosition="0"/>
    </format>
    <format dxfId="2263">
      <pivotArea type="all" dataOnly="0" outline="0" fieldPosition="0"/>
    </format>
    <format dxfId="2262">
      <pivotArea outline="0" collapsedLevelsAreSubtotals="1" fieldPosition="0"/>
    </format>
    <format dxfId="2261">
      <pivotArea dataOnly="0" labelOnly="1" outline="0" axis="axisValues" fieldPosition="0"/>
    </format>
    <format dxfId="2260">
      <pivotArea type="all" dataOnly="0" outline="0" fieldPosition="0"/>
    </format>
    <format dxfId="2259">
      <pivotArea outline="0" collapsedLevelsAreSubtotals="1" fieldPosition="0"/>
    </format>
    <format dxfId="2258">
      <pivotArea dataOnly="0" labelOnly="1" outline="0" axis="axisValues" fieldPosition="0"/>
    </format>
    <format dxfId="2257">
      <pivotArea type="all" dataOnly="0" outline="0" fieldPosition="0"/>
    </format>
    <format dxfId="2256">
      <pivotArea outline="0" collapsedLevelsAreSubtotals="1" fieldPosition="0"/>
    </format>
    <format dxfId="2255">
      <pivotArea dataOnly="0" labelOnly="1" outline="0" axis="axisValues" fieldPosition="0"/>
    </format>
    <format dxfId="2254">
      <pivotArea type="all" dataOnly="0" outline="0" fieldPosition="0"/>
    </format>
    <format dxfId="2253">
      <pivotArea outline="0" collapsedLevelsAreSubtotals="1" fieldPosition="0"/>
    </format>
    <format dxfId="225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1449F93-5F90-4E4B-86E7-ADCE4770C6B1}" name="PivotTable29"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273:I292"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defaultSubtotal="0">
      <items count="19">
        <item x="6"/>
        <item x="12"/>
        <item x="1"/>
        <item x="2"/>
        <item x="16"/>
        <item x="5"/>
        <item x="15"/>
        <item x="8"/>
        <item x="7"/>
        <item x="9"/>
        <item x="4"/>
        <item x="14"/>
        <item x="3"/>
        <item x="0"/>
        <item x="13"/>
        <item x="10"/>
        <item x="11"/>
        <item x="17"/>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42" baseField="0" baseItem="0"/>
  </dataFields>
  <formats count="31">
    <format dxfId="221">
      <pivotArea type="all" dataOnly="0" outline="0" fieldPosition="0"/>
    </format>
    <format dxfId="220">
      <pivotArea type="all" dataOnly="0" outline="0" fieldPosition="0"/>
    </format>
    <format dxfId="219">
      <pivotArea type="all" dataOnly="0" outline="0" fieldPosition="0"/>
    </format>
    <format dxfId="218">
      <pivotArea type="all" dataOnly="0" outline="0" fieldPosition="0"/>
    </format>
    <format dxfId="217">
      <pivotArea type="all" dataOnly="0" outline="0" fieldPosition="0"/>
    </format>
    <format dxfId="216">
      <pivotArea type="all" dataOnly="0" outline="0" fieldPosition="0"/>
    </format>
    <format dxfId="215">
      <pivotArea type="all" dataOnly="0" outline="0" fieldPosition="0"/>
    </format>
    <format dxfId="214">
      <pivotArea type="all" dataOnly="0" outline="0" fieldPosition="0"/>
    </format>
    <format dxfId="213">
      <pivotArea type="all" dataOnly="0" outline="0" fieldPosition="0"/>
    </format>
    <format dxfId="212">
      <pivotArea type="all" dataOnly="0" outline="0" fieldPosition="0"/>
    </format>
    <format dxfId="211">
      <pivotArea type="all" dataOnly="0" outline="0" fieldPosition="0"/>
    </format>
    <format dxfId="210">
      <pivotArea outline="0" collapsedLevelsAreSubtotals="1" fieldPosition="0"/>
    </format>
    <format dxfId="209">
      <pivotArea field="63" type="button" dataOnly="0" labelOnly="1" outline="0"/>
    </format>
    <format dxfId="208">
      <pivotArea dataOnly="0" labelOnly="1" grandRow="1" outline="0" fieldPosition="0"/>
    </format>
    <format dxfId="207">
      <pivotArea dataOnly="0" labelOnly="1" outline="0" axis="axisValues" fieldPosition="0"/>
    </format>
    <format dxfId="206">
      <pivotArea type="all" dataOnly="0" outline="0" fieldPosition="0"/>
    </format>
    <format dxfId="205">
      <pivotArea outline="0" collapsedLevelsAreSubtotals="1" fieldPosition="0"/>
    </format>
    <format dxfId="204">
      <pivotArea field="63" type="button" dataOnly="0" labelOnly="1" outline="0"/>
    </format>
    <format dxfId="203">
      <pivotArea dataOnly="0" labelOnly="1" grandRow="1" outline="0" fieldPosition="0"/>
    </format>
    <format dxfId="202">
      <pivotArea dataOnly="0" labelOnly="1" outline="0" axis="axisValues" fieldPosition="0"/>
    </format>
    <format dxfId="201">
      <pivotArea type="all" dataOnly="0" outline="0" fieldPosition="0"/>
    </format>
    <format dxfId="200">
      <pivotArea outline="0" collapsedLevelsAreSubtotals="1" fieldPosition="0"/>
    </format>
    <format dxfId="199">
      <pivotArea field="63" type="button" dataOnly="0" labelOnly="1" outline="0"/>
    </format>
    <format dxfId="198">
      <pivotArea dataOnly="0" labelOnly="1" grandRow="1" outline="0" fieldPosition="0"/>
    </format>
    <format dxfId="197">
      <pivotArea dataOnly="0" labelOnly="1" outline="0" axis="axisValues" fieldPosition="0"/>
    </format>
    <format dxfId="196">
      <pivotArea type="all" dataOnly="0" outline="0" fieldPosition="0"/>
    </format>
    <format dxfId="195">
      <pivotArea outline="0" collapsedLevelsAreSubtotals="1" fieldPosition="0"/>
    </format>
    <format dxfId="194">
      <pivotArea field="65" type="button" dataOnly="0" labelOnly="1" outline="0" axis="axisRow" fieldPosition="0"/>
    </format>
    <format dxfId="193">
      <pivotArea dataOnly="0" labelOnly="1" fieldPosition="0">
        <references count="1">
          <reference field="65" count="0"/>
        </references>
      </pivotArea>
    </format>
    <format dxfId="192">
      <pivotArea dataOnly="0" labelOnly="1" grandRow="1" outline="0" fieldPosition="0"/>
    </format>
    <format dxfId="19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14DED96E-B229-48A2-BE45-9069F87919FE}" name="PivotTable2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222:E223" firstHeaderRow="1" firstDataRow="1" firstDataCol="0" rowPageCount="3"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6">
        <item x="0"/>
        <item x="1"/>
        <item x="2"/>
        <item x="3"/>
        <item x="4"/>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2313">
      <pivotArea type="all" dataOnly="0" outline="0" fieldPosition="0"/>
    </format>
    <format dxfId="2312">
      <pivotArea type="all" dataOnly="0" outline="0" fieldPosition="0"/>
    </format>
    <format dxfId="2311">
      <pivotArea type="all" dataOnly="0" outline="0" fieldPosition="0"/>
    </format>
    <format dxfId="2310">
      <pivotArea type="all" dataOnly="0" outline="0" fieldPosition="0"/>
    </format>
    <format dxfId="2309">
      <pivotArea type="all" dataOnly="0" outline="0" fieldPosition="0"/>
    </format>
    <format dxfId="2308">
      <pivotArea type="all" dataOnly="0" outline="0" fieldPosition="0"/>
    </format>
    <format dxfId="2307">
      <pivotArea type="all" dataOnly="0" outline="0" fieldPosition="0"/>
    </format>
    <format dxfId="2306">
      <pivotArea type="all" dataOnly="0" outline="0" fieldPosition="0"/>
    </format>
    <format dxfId="2305">
      <pivotArea type="all" dataOnly="0" outline="0" fieldPosition="0"/>
    </format>
    <format dxfId="2304">
      <pivotArea type="all" dataOnly="0" outline="0" fieldPosition="0"/>
    </format>
    <format dxfId="2303">
      <pivotArea type="all" dataOnly="0" outline="0" fieldPosition="0"/>
    </format>
    <format dxfId="2302">
      <pivotArea outline="0" collapsedLevelsAreSubtotals="1" fieldPosition="0"/>
    </format>
    <format dxfId="2301">
      <pivotArea dataOnly="0" labelOnly="1" outline="0" axis="axisValues" fieldPosition="0"/>
    </format>
    <format dxfId="2300">
      <pivotArea type="all" dataOnly="0" outline="0" fieldPosition="0"/>
    </format>
    <format dxfId="2299">
      <pivotArea outline="0" collapsedLevelsAreSubtotals="1" fieldPosition="0"/>
    </format>
    <format dxfId="2298">
      <pivotArea dataOnly="0" labelOnly="1" outline="0" axis="axisValues" fieldPosition="0"/>
    </format>
    <format dxfId="2297">
      <pivotArea type="all" dataOnly="0" outline="0" fieldPosition="0"/>
    </format>
    <format dxfId="2296">
      <pivotArea outline="0" collapsedLevelsAreSubtotals="1" fieldPosition="0"/>
    </format>
    <format dxfId="2295">
      <pivotArea dataOnly="0" labelOnly="1" outline="0" axis="axisValues" fieldPosition="0"/>
    </format>
    <format dxfId="2294">
      <pivotArea type="all" dataOnly="0" outline="0" fieldPosition="0"/>
    </format>
    <format dxfId="2293">
      <pivotArea outline="0" collapsedLevelsAreSubtotals="1" fieldPosition="0"/>
    </format>
    <format dxfId="2292">
      <pivotArea dataOnly="0" labelOnly="1" outline="0" axis="axisValues" fieldPosition="0"/>
    </format>
    <format dxfId="2291">
      <pivotArea type="all" dataOnly="0" outline="0" fieldPosition="0"/>
    </format>
    <format dxfId="2290">
      <pivotArea outline="0" collapsedLevelsAreSubtotals="1" fieldPosition="0"/>
    </format>
    <format dxfId="2289">
      <pivotArea dataOnly="0" labelOnly="1" outline="0" axis="axisValues" fieldPosition="0"/>
    </format>
    <format dxfId="2288">
      <pivotArea type="all" dataOnly="0" outline="0" fieldPosition="0"/>
    </format>
    <format dxfId="2287">
      <pivotArea outline="0" collapsedLevelsAreSubtotals="1" fieldPosition="0"/>
    </format>
    <format dxfId="2286">
      <pivotArea dataOnly="0" labelOnly="1" outline="0" axis="axisValues" fieldPosition="0"/>
    </format>
    <format dxfId="2285">
      <pivotArea type="all" dataOnly="0" outline="0" fieldPosition="0"/>
    </format>
    <format dxfId="2284">
      <pivotArea outline="0" collapsedLevelsAreSubtotals="1" fieldPosition="0"/>
    </format>
    <format dxfId="228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E7BA3A25-C496-4D1D-86C7-D008A8FB63A6}" name="PivotTable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23:B24" firstHeaderRow="1" firstDataRow="1" firstDataCol="0" rowPageCount="2" colPageCount="1"/>
  <pivotFields count="76">
    <pivotField showAll="0"/>
    <pivotField axis="axisPage" multipleItemSelectionAllowed="1" showAll="0" defaultSubtotal="0">
      <items count="5">
        <item h="1" x="2"/>
        <item h="1" x="3"/>
        <item h="1" x="4"/>
        <item x="1"/>
        <item x="0"/>
      </items>
    </pivotField>
    <pivotField showAll="0"/>
    <pivotField numFmtId="14" showAll="0"/>
    <pivotField numFmtId="14" showAll="0"/>
    <pivotField showAll="0" defaultSubtotal="0"/>
    <pivotField showAll="0" defaultSubtotal="0"/>
    <pivotField axis="axisPage" multipleItemSelectionAllowed="1" showAll="0">
      <items count="6">
        <item h="1" x="0"/>
        <item h="1" x="1"/>
        <item x="2"/>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1" hier="-1"/>
    <pageField fld="7" hier="-1"/>
  </pageFields>
  <dataFields count="1">
    <dataField name="Sum of Net Dwellings" fld="42" baseField="0" baseItem="0"/>
  </dataFields>
  <formats count="33">
    <format dxfId="2346">
      <pivotArea type="all" dataOnly="0" outline="0" fieldPosition="0"/>
    </format>
    <format dxfId="2345">
      <pivotArea type="all" dataOnly="0" outline="0" fieldPosition="0"/>
    </format>
    <format dxfId="2344">
      <pivotArea type="all" dataOnly="0" outline="0" fieldPosition="0"/>
    </format>
    <format dxfId="2343">
      <pivotArea type="all" dataOnly="0" outline="0" fieldPosition="0"/>
    </format>
    <format dxfId="2342">
      <pivotArea type="all" dataOnly="0" outline="0" fieldPosition="0"/>
    </format>
    <format dxfId="2341">
      <pivotArea type="all" dataOnly="0" outline="0" fieldPosition="0"/>
    </format>
    <format dxfId="2340">
      <pivotArea type="all" dataOnly="0" outline="0" fieldPosition="0"/>
    </format>
    <format dxfId="2339">
      <pivotArea type="all" dataOnly="0" outline="0" fieldPosition="0"/>
    </format>
    <format dxfId="2338">
      <pivotArea type="all" dataOnly="0" outline="0" fieldPosition="0"/>
    </format>
    <format dxfId="2337">
      <pivotArea type="all" dataOnly="0" outline="0" fieldPosition="0"/>
    </format>
    <format dxfId="2336">
      <pivotArea type="all" dataOnly="0" outline="0" fieldPosition="0"/>
    </format>
    <format dxfId="2335">
      <pivotArea outline="0" collapsedLevelsAreSubtotals="1" fieldPosition="0"/>
    </format>
    <format dxfId="2334">
      <pivotArea dataOnly="0" labelOnly="1" outline="0" axis="axisValues" fieldPosition="0"/>
    </format>
    <format dxfId="2333">
      <pivotArea type="all" dataOnly="0" outline="0" fieldPosition="0"/>
    </format>
    <format dxfId="2332">
      <pivotArea outline="0" collapsedLevelsAreSubtotals="1" fieldPosition="0"/>
    </format>
    <format dxfId="2331">
      <pivotArea dataOnly="0" labelOnly="1" outline="0" axis="axisValues" fieldPosition="0"/>
    </format>
    <format dxfId="2330">
      <pivotArea type="all" dataOnly="0" outline="0" fieldPosition="0"/>
    </format>
    <format dxfId="2329">
      <pivotArea outline="0" collapsedLevelsAreSubtotals="1" fieldPosition="0"/>
    </format>
    <format dxfId="2328">
      <pivotArea dataOnly="0" labelOnly="1" outline="0" axis="axisValues" fieldPosition="0"/>
    </format>
    <format dxfId="2327">
      <pivotArea type="all" dataOnly="0" outline="0" fieldPosition="0"/>
    </format>
    <format dxfId="2326">
      <pivotArea outline="0" collapsedLevelsAreSubtotals="1" fieldPosition="0"/>
    </format>
    <format dxfId="2325">
      <pivotArea dataOnly="0" labelOnly="1" outline="0" axis="axisValues" fieldPosition="0"/>
    </format>
    <format dxfId="2324">
      <pivotArea outline="0" collapsedLevelsAreSubtotals="1" fieldPosition="0"/>
    </format>
    <format dxfId="2323">
      <pivotArea outline="0" collapsedLevelsAreSubtotals="1" fieldPosition="0"/>
    </format>
    <format dxfId="2322">
      <pivotArea type="all" dataOnly="0" outline="0" fieldPosition="0"/>
    </format>
    <format dxfId="2321">
      <pivotArea outline="0" collapsedLevelsAreSubtotals="1" fieldPosition="0"/>
    </format>
    <format dxfId="2320">
      <pivotArea dataOnly="0" labelOnly="1" outline="0" axis="axisValues" fieldPosition="0"/>
    </format>
    <format dxfId="2319">
      <pivotArea type="all" dataOnly="0" outline="0" fieldPosition="0"/>
    </format>
    <format dxfId="2318">
      <pivotArea outline="0" collapsedLevelsAreSubtotals="1" fieldPosition="0"/>
    </format>
    <format dxfId="2317">
      <pivotArea dataOnly="0" labelOnly="1" outline="0" axis="axisValues" fieldPosition="0"/>
    </format>
    <format dxfId="2316">
      <pivotArea type="all" dataOnly="0" outline="0" fieldPosition="0"/>
    </format>
    <format dxfId="2315">
      <pivotArea outline="0" collapsedLevelsAreSubtotals="1" fieldPosition="0"/>
    </format>
    <format dxfId="23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122F79BA-7BF6-4D48-9AD4-980AF23CB491}" name="PivotTable58"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328:I331" firstHeaderRow="0" firstDataRow="1" firstDataCol="1"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Row" multipleItemSelectionAllowed="1" showAll="0" defaultSubtotal="0">
      <items count="6">
        <item x="0"/>
        <item x="5"/>
        <item x="1"/>
        <item x="2"/>
        <item x="3"/>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8"/>
  </rowFields>
  <rowItems count="3">
    <i>
      <x/>
    </i>
    <i>
      <x v="2"/>
    </i>
    <i t="grand">
      <x/>
    </i>
  </rowItems>
  <colFields count="1">
    <field x="-2"/>
  </colFields>
  <colItems count="7">
    <i>
      <x/>
    </i>
    <i i="1">
      <x v="1"/>
    </i>
    <i i="2">
      <x v="2"/>
    </i>
    <i i="3">
      <x v="3"/>
    </i>
    <i i="4">
      <x v="4"/>
    </i>
    <i i="5">
      <x v="5"/>
    </i>
    <i i="6">
      <x v="6"/>
    </i>
  </colItems>
  <pageFields count="2">
    <pageField fld="7" hier="-1"/>
    <pageField fld="1" hier="-1"/>
  </pageFields>
  <dataFields count="7">
    <dataField name="Sum of 1 bed net" fld="33" baseField="0" baseItem="0"/>
    <dataField name="Sum of 2 bed net" fld="34" baseField="0" baseItem="0"/>
    <dataField name="Sum of 3 bed net" fld="35" baseField="0" baseItem="0"/>
    <dataField name="Sum of 4 bed net" fld="36" baseField="0" baseItem="0"/>
    <dataField name="Sum of 5 bed net" fld="37" baseField="0" baseItem="0"/>
    <dataField name="Sum of 6 bed net" fld="38" baseField="0" baseItem="0"/>
    <dataField name="Sum of 7 bed net" fld="39" baseField="0" baseItem="0"/>
  </dataFields>
  <formats count="34">
    <format dxfId="2380">
      <pivotArea type="all" dataOnly="0" outline="0" fieldPosition="0"/>
    </format>
    <format dxfId="2379">
      <pivotArea type="all" dataOnly="0" outline="0" fieldPosition="0"/>
    </format>
    <format dxfId="2378">
      <pivotArea type="all" dataOnly="0" outline="0" fieldPosition="0"/>
    </format>
    <format dxfId="2377">
      <pivotArea type="all" dataOnly="0" outline="0" fieldPosition="0"/>
    </format>
    <format dxfId="2376">
      <pivotArea type="all" dataOnly="0" outline="0" fieldPosition="0"/>
    </format>
    <format dxfId="2375">
      <pivotArea type="all" dataOnly="0" outline="0" fieldPosition="0"/>
    </format>
    <format dxfId="2374">
      <pivotArea type="all" dataOnly="0" outline="0" fieldPosition="0"/>
    </format>
    <format dxfId="2373">
      <pivotArea type="all" dataOnly="0" outline="0" fieldPosition="0"/>
    </format>
    <format dxfId="2372">
      <pivotArea type="all" dataOnly="0" outline="0" fieldPosition="0"/>
    </format>
    <format dxfId="2371">
      <pivotArea type="all" dataOnly="0" outline="0" fieldPosition="0"/>
    </format>
    <format dxfId="2370">
      <pivotArea type="all" dataOnly="0" outline="0" fieldPosition="0"/>
    </format>
    <format dxfId="2369">
      <pivotArea outline="0" collapsedLevelsAreSubtotals="1" fieldPosition="0"/>
    </format>
    <format dxfId="2368">
      <pivotArea field="8" type="button" dataOnly="0" labelOnly="1" outline="0" axis="axisRow" fieldPosition="0"/>
    </format>
    <format dxfId="2367">
      <pivotArea dataOnly="0" labelOnly="1" fieldPosition="0">
        <references count="1">
          <reference field="8" count="1">
            <x v="0"/>
          </reference>
        </references>
      </pivotArea>
    </format>
    <format dxfId="2366">
      <pivotArea dataOnly="0" labelOnly="1" grandRow="1" outline="0" fieldPosition="0"/>
    </format>
    <format dxfId="2365">
      <pivotArea dataOnly="0" labelOnly="1" outline="0" fieldPosition="0">
        <references count="1">
          <reference field="4294967294" count="7">
            <x v="0"/>
            <x v="1"/>
            <x v="2"/>
            <x v="3"/>
            <x v="4"/>
            <x v="5"/>
            <x v="6"/>
          </reference>
        </references>
      </pivotArea>
    </format>
    <format dxfId="2364">
      <pivotArea type="all" dataOnly="0" outline="0" fieldPosition="0"/>
    </format>
    <format dxfId="2363">
      <pivotArea outline="0" collapsedLevelsAreSubtotals="1" fieldPosition="0"/>
    </format>
    <format dxfId="2362">
      <pivotArea field="8" type="button" dataOnly="0" labelOnly="1" outline="0" axis="axisRow" fieldPosition="0"/>
    </format>
    <format dxfId="2361">
      <pivotArea dataOnly="0" labelOnly="1" fieldPosition="0">
        <references count="1">
          <reference field="8" count="1">
            <x v="0"/>
          </reference>
        </references>
      </pivotArea>
    </format>
    <format dxfId="2360">
      <pivotArea dataOnly="0" labelOnly="1" grandRow="1" outline="0" fieldPosition="0"/>
    </format>
    <format dxfId="2359">
      <pivotArea dataOnly="0" labelOnly="1" outline="0" fieldPosition="0">
        <references count="1">
          <reference field="4294967294" count="7">
            <x v="0"/>
            <x v="1"/>
            <x v="2"/>
            <x v="3"/>
            <x v="4"/>
            <x v="5"/>
            <x v="6"/>
          </reference>
        </references>
      </pivotArea>
    </format>
    <format dxfId="2358">
      <pivotArea type="all" dataOnly="0" outline="0" fieldPosition="0"/>
    </format>
    <format dxfId="2357">
      <pivotArea outline="0" collapsedLevelsAreSubtotals="1" fieldPosition="0"/>
    </format>
    <format dxfId="2356">
      <pivotArea field="8" type="button" dataOnly="0" labelOnly="1" outline="0" axis="axisRow" fieldPosition="0"/>
    </format>
    <format dxfId="2355">
      <pivotArea dataOnly="0" labelOnly="1" fieldPosition="0">
        <references count="1">
          <reference field="8" count="1">
            <x v="0"/>
          </reference>
        </references>
      </pivotArea>
    </format>
    <format dxfId="2354">
      <pivotArea dataOnly="0" labelOnly="1" grandRow="1" outline="0" fieldPosition="0"/>
    </format>
    <format dxfId="2353">
      <pivotArea dataOnly="0" labelOnly="1" outline="0" fieldPosition="0">
        <references count="1">
          <reference field="4294967294" count="7">
            <x v="0"/>
            <x v="1"/>
            <x v="2"/>
            <x v="3"/>
            <x v="4"/>
            <x v="5"/>
            <x v="6"/>
          </reference>
        </references>
      </pivotArea>
    </format>
    <format dxfId="2352">
      <pivotArea type="all" dataOnly="0" outline="0" fieldPosition="0"/>
    </format>
    <format dxfId="2351">
      <pivotArea outline="0" collapsedLevelsAreSubtotals="1" fieldPosition="0"/>
    </format>
    <format dxfId="2350">
      <pivotArea field="8" type="button" dataOnly="0" labelOnly="1" outline="0" axis="axisRow" fieldPosition="0"/>
    </format>
    <format dxfId="2349">
      <pivotArea dataOnly="0" labelOnly="1" fieldPosition="0">
        <references count="1">
          <reference field="8" count="2">
            <x v="0"/>
            <x v="2"/>
          </reference>
        </references>
      </pivotArea>
    </format>
    <format dxfId="2348">
      <pivotArea dataOnly="0" labelOnly="1" grandRow="1" outline="0" fieldPosition="0"/>
    </format>
    <format dxfId="2347">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6828D9BA-095D-4619-A094-0113D8395E16}" name="PivotTable80"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400:C418" firstHeaderRow="1" firstDataRow="1" firstDataCol="1" rowPageCount="3" colPageCount="1"/>
  <pivotFields count="76">
    <pivotField showAll="0" defaultSubtotal="0"/>
    <pivotField axis="axisPage" multipleItemSelectionAllowed="1" showAll="0" defaultSubtotal="0">
      <items count="5">
        <item x="2"/>
        <item x="3"/>
        <item x="4"/>
        <item h="1" x="1"/>
        <item h="1" x="0"/>
      </items>
    </pivotField>
    <pivotField axis="axisPage" multipleItemSelectionAllowed="1" showAll="0" defaultSubtotal="0">
      <items count="3">
        <item h="1" x="1"/>
        <item x="0"/>
        <item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9">
        <item x="10"/>
        <item x="8"/>
        <item x="9"/>
        <item x="1"/>
        <item x="4"/>
        <item x="7"/>
        <item x="3"/>
        <item x="0"/>
        <item x="15"/>
        <item x="14"/>
        <item x="13"/>
        <item x="6"/>
        <item x="12"/>
        <item x="17"/>
        <item x="5"/>
        <item x="16"/>
        <item x="2"/>
        <item x="11"/>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8">
    <i>
      <x/>
    </i>
    <i>
      <x v="1"/>
    </i>
    <i>
      <x v="2"/>
    </i>
    <i>
      <x v="3"/>
    </i>
    <i>
      <x v="4"/>
    </i>
    <i>
      <x v="5"/>
    </i>
    <i>
      <x v="6"/>
    </i>
    <i>
      <x v="7"/>
    </i>
    <i>
      <x v="8"/>
    </i>
    <i>
      <x v="9"/>
    </i>
    <i>
      <x v="10"/>
    </i>
    <i>
      <x v="11"/>
    </i>
    <i>
      <x v="12"/>
    </i>
    <i>
      <x v="14"/>
    </i>
    <i>
      <x v="15"/>
    </i>
    <i>
      <x v="16"/>
    </i>
    <i>
      <x v="17"/>
    </i>
    <i t="grand">
      <x/>
    </i>
  </rowItems>
  <colItems count="1">
    <i/>
  </colItems>
  <pageFields count="3">
    <pageField fld="7" hier="-1"/>
    <pageField fld="2" hier="-1"/>
    <pageField fld="1" hier="-1"/>
  </pageFields>
  <dataFields count="1">
    <dataField name="Sum of Net Dwellings" fld="42" baseField="0" baseItem="0"/>
  </dataFields>
  <formats count="37">
    <format dxfId="2417">
      <pivotArea type="all" dataOnly="0" outline="0" fieldPosition="0"/>
    </format>
    <format dxfId="2416">
      <pivotArea type="all" dataOnly="0" outline="0" fieldPosition="0"/>
    </format>
    <format dxfId="2415">
      <pivotArea type="all" dataOnly="0" outline="0" fieldPosition="0"/>
    </format>
    <format dxfId="2414">
      <pivotArea type="all" dataOnly="0" outline="0" fieldPosition="0"/>
    </format>
    <format dxfId="2413">
      <pivotArea type="all" dataOnly="0" outline="0" fieldPosition="0"/>
    </format>
    <format dxfId="2412">
      <pivotArea type="all" dataOnly="0" outline="0" fieldPosition="0"/>
    </format>
    <format dxfId="2411">
      <pivotArea type="all" dataOnly="0" outline="0" fieldPosition="0"/>
    </format>
    <format dxfId="2410">
      <pivotArea field="63" type="button" dataOnly="0" labelOnly="1" outline="0"/>
    </format>
    <format dxfId="2409">
      <pivotArea dataOnly="0" labelOnly="1" outline="0" fieldPosition="0">
        <references count="1">
          <reference field="4294967294" count="1">
            <x v="0"/>
          </reference>
        </references>
      </pivotArea>
    </format>
    <format dxfId="2408">
      <pivotArea field="63" type="button" dataOnly="0" labelOnly="1" outline="0"/>
    </format>
    <format dxfId="2407">
      <pivotArea dataOnly="0" labelOnly="1" outline="0" fieldPosition="0">
        <references count="1">
          <reference field="4294967294" count="1">
            <x v="0"/>
          </reference>
        </references>
      </pivotArea>
    </format>
    <format dxfId="2406">
      <pivotArea field="63" type="button" dataOnly="0" labelOnly="1" outline="0"/>
    </format>
    <format dxfId="2405">
      <pivotArea dataOnly="0" labelOnly="1" outline="0" fieldPosition="0">
        <references count="1">
          <reference field="4294967294" count="1">
            <x v="0"/>
          </reference>
        </references>
      </pivotArea>
    </format>
    <format dxfId="2404">
      <pivotArea type="all" dataOnly="0" outline="0" fieldPosition="0"/>
    </format>
    <format dxfId="2403">
      <pivotArea type="all" dataOnly="0" outline="0" fieldPosition="0"/>
    </format>
    <format dxfId="2402">
      <pivotArea type="all" dataOnly="0" outline="0" fieldPosition="0"/>
    </format>
    <format dxfId="2401">
      <pivotArea type="all" dataOnly="0" outline="0" fieldPosition="0"/>
    </format>
    <format dxfId="2400">
      <pivotArea outline="0" collapsedLevelsAreSubtotals="1" fieldPosition="0"/>
    </format>
    <format dxfId="2399">
      <pivotArea field="63" type="button" dataOnly="0" labelOnly="1" outline="0"/>
    </format>
    <format dxfId="2398">
      <pivotArea dataOnly="0" labelOnly="1" grandRow="1" outline="0" fieldPosition="0"/>
    </format>
    <format dxfId="2397">
      <pivotArea dataOnly="0" labelOnly="1" outline="0" axis="axisValues" fieldPosition="0"/>
    </format>
    <format dxfId="2396">
      <pivotArea type="all" dataOnly="0" outline="0" fieldPosition="0"/>
    </format>
    <format dxfId="2395">
      <pivotArea outline="0" collapsedLevelsAreSubtotals="1" fieldPosition="0"/>
    </format>
    <format dxfId="2394">
      <pivotArea field="63" type="button" dataOnly="0" labelOnly="1" outline="0"/>
    </format>
    <format dxfId="2393">
      <pivotArea dataOnly="0" labelOnly="1" grandRow="1" outline="0" fieldPosition="0"/>
    </format>
    <format dxfId="2392">
      <pivotArea dataOnly="0" labelOnly="1" outline="0" axis="axisValues" fieldPosition="0"/>
    </format>
    <format dxfId="2391">
      <pivotArea type="all" dataOnly="0" outline="0" fieldPosition="0"/>
    </format>
    <format dxfId="2390">
      <pivotArea outline="0" collapsedLevelsAreSubtotals="1" fieldPosition="0"/>
    </format>
    <format dxfId="2389">
      <pivotArea field="63" type="button" dataOnly="0" labelOnly="1" outline="0"/>
    </format>
    <format dxfId="2388">
      <pivotArea dataOnly="0" labelOnly="1" grandRow="1" outline="0" fieldPosition="0"/>
    </format>
    <format dxfId="2387">
      <pivotArea dataOnly="0" labelOnly="1" outline="0" axis="axisValues" fieldPosition="0"/>
    </format>
    <format dxfId="2386">
      <pivotArea type="all" dataOnly="0" outline="0" fieldPosition="0"/>
    </format>
    <format dxfId="2385">
      <pivotArea outline="0" collapsedLevelsAreSubtotals="1" fieldPosition="0"/>
    </format>
    <format dxfId="2384">
      <pivotArea field="65" type="button" dataOnly="0" labelOnly="1" outline="0" axis="axisRow" fieldPosition="0"/>
    </format>
    <format dxfId="2383">
      <pivotArea dataOnly="0" labelOnly="1" fieldPosition="0">
        <references count="1">
          <reference field="65" count="17">
            <x v="0"/>
            <x v="1"/>
            <x v="2"/>
            <x v="3"/>
            <x v="4"/>
            <x v="5"/>
            <x v="6"/>
            <x v="7"/>
            <x v="8"/>
            <x v="9"/>
            <x v="10"/>
            <x v="11"/>
            <x v="12"/>
            <x v="14"/>
            <x v="15"/>
            <x v="16"/>
            <x v="17"/>
          </reference>
        </references>
      </pivotArea>
    </format>
    <format dxfId="2382">
      <pivotArea dataOnly="0" labelOnly="1" grandRow="1" outline="0" fieldPosition="0"/>
    </format>
    <format dxfId="23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A21D1D5B-A800-42A5-91D1-EAF0AA721342}" name="PivotTable40"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125:B126"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2448">
      <pivotArea type="all" dataOnly="0" outline="0" fieldPosition="0"/>
    </format>
    <format dxfId="2447">
      <pivotArea type="all" dataOnly="0" outline="0" fieldPosition="0"/>
    </format>
    <format dxfId="2446">
      <pivotArea type="all" dataOnly="0" outline="0" fieldPosition="0"/>
    </format>
    <format dxfId="2445">
      <pivotArea type="all" dataOnly="0" outline="0" fieldPosition="0"/>
    </format>
    <format dxfId="2444">
      <pivotArea type="all" dataOnly="0" outline="0" fieldPosition="0"/>
    </format>
    <format dxfId="2443">
      <pivotArea type="all" dataOnly="0" outline="0" fieldPosition="0"/>
    </format>
    <format dxfId="2442">
      <pivotArea type="all" dataOnly="0" outline="0" fieldPosition="0"/>
    </format>
    <format dxfId="2441">
      <pivotArea type="all" dataOnly="0" outline="0" fieldPosition="0"/>
    </format>
    <format dxfId="2440">
      <pivotArea type="all" dataOnly="0" outline="0" fieldPosition="0"/>
    </format>
    <format dxfId="2439">
      <pivotArea type="all" dataOnly="0" outline="0" fieldPosition="0"/>
    </format>
    <format dxfId="2438">
      <pivotArea type="all" dataOnly="0" outline="0" fieldPosition="0"/>
    </format>
    <format dxfId="2437">
      <pivotArea outline="0" collapsedLevelsAreSubtotals="1" fieldPosition="0"/>
    </format>
    <format dxfId="2436">
      <pivotArea dataOnly="0" labelOnly="1" outline="0" axis="axisValues" fieldPosition="0"/>
    </format>
    <format dxfId="2435">
      <pivotArea type="all" dataOnly="0" outline="0" fieldPosition="0"/>
    </format>
    <format dxfId="2434">
      <pivotArea outline="0" collapsedLevelsAreSubtotals="1" fieldPosition="0"/>
    </format>
    <format dxfId="2433">
      <pivotArea dataOnly="0" labelOnly="1" outline="0" axis="axisValues" fieldPosition="0"/>
    </format>
    <format dxfId="2432">
      <pivotArea type="all" dataOnly="0" outline="0" fieldPosition="0"/>
    </format>
    <format dxfId="2431">
      <pivotArea outline="0" collapsedLevelsAreSubtotals="1" fieldPosition="0"/>
    </format>
    <format dxfId="2430">
      <pivotArea dataOnly="0" labelOnly="1" outline="0" axis="axisValues" fieldPosition="0"/>
    </format>
    <format dxfId="2429">
      <pivotArea type="all" dataOnly="0" outline="0" fieldPosition="0"/>
    </format>
    <format dxfId="2428">
      <pivotArea outline="0" collapsedLevelsAreSubtotals="1" fieldPosition="0"/>
    </format>
    <format dxfId="2427">
      <pivotArea dataOnly="0" labelOnly="1" outline="0" axis="axisValues" fieldPosition="0"/>
    </format>
    <format dxfId="2426">
      <pivotArea type="all" dataOnly="0" outline="0" fieldPosition="0"/>
    </format>
    <format dxfId="2425">
      <pivotArea outline="0" collapsedLevelsAreSubtotals="1" fieldPosition="0"/>
    </format>
    <format dxfId="2424">
      <pivotArea dataOnly="0" labelOnly="1" outline="0" axis="axisValues" fieldPosition="0"/>
    </format>
    <format dxfId="2423">
      <pivotArea type="all" dataOnly="0" outline="0" fieldPosition="0"/>
    </format>
    <format dxfId="2422">
      <pivotArea outline="0" collapsedLevelsAreSubtotals="1" fieldPosition="0"/>
    </format>
    <format dxfId="2421">
      <pivotArea dataOnly="0" labelOnly="1" outline="0" axis="axisValues" fieldPosition="0"/>
    </format>
    <format dxfId="2420">
      <pivotArea type="all" dataOnly="0" outline="0" fieldPosition="0"/>
    </format>
    <format dxfId="2419">
      <pivotArea outline="0" collapsedLevelsAreSubtotals="1" fieldPosition="0"/>
    </format>
    <format dxfId="241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11B48901-5E19-4B53-B040-DFB300B5C3F0}" name="PivotTable35"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247:I250" firstHeaderRow="1" firstDataRow="1" firstDataCol="1" rowPageCount="1" colPageCount="1"/>
  <pivotFields count="7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defaultSubtotal="0"/>
    <pivotField axis="axisRow" showAll="0">
      <items count="3">
        <item x="1"/>
        <item x="0"/>
        <item t="default"/>
      </items>
    </pivotField>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7"/>
  </rowFields>
  <rowItems count="3">
    <i>
      <x/>
    </i>
    <i>
      <x v="1"/>
    </i>
    <i t="grand">
      <x/>
    </i>
  </rowItems>
  <colItems count="1">
    <i/>
  </colItems>
  <pageFields count="1">
    <pageField fld="7" hier="-1"/>
  </pageFields>
  <dataFields count="1">
    <dataField name="Sum of Net Dwellings" fld="42" baseField="0" baseItem="0"/>
  </dataFields>
  <formats count="28">
    <format dxfId="2476">
      <pivotArea type="all" dataOnly="0" outline="0" fieldPosition="0"/>
    </format>
    <format dxfId="2475">
      <pivotArea type="all" dataOnly="0" outline="0" fieldPosition="0"/>
    </format>
    <format dxfId="2474">
      <pivotArea type="all" dataOnly="0" outline="0" fieldPosition="0"/>
    </format>
    <format dxfId="2473">
      <pivotArea type="all" dataOnly="0" outline="0" fieldPosition="0"/>
    </format>
    <format dxfId="2472">
      <pivotArea type="all" dataOnly="0" outline="0" fieldPosition="0"/>
    </format>
    <format dxfId="2471">
      <pivotArea type="all" dataOnly="0" outline="0" fieldPosition="0"/>
    </format>
    <format dxfId="2470">
      <pivotArea type="all" dataOnly="0" outline="0" fieldPosition="0"/>
    </format>
    <format dxfId="2469">
      <pivotArea type="all" dataOnly="0" outline="0" fieldPosition="0"/>
    </format>
    <format dxfId="2468">
      <pivotArea type="all" dataOnly="0" outline="0" fieldPosition="0"/>
    </format>
    <format dxfId="2467">
      <pivotArea type="all" dataOnly="0" outline="0" fieldPosition="0"/>
    </format>
    <format dxfId="2466">
      <pivotArea type="all" dataOnly="0" outline="0" fieldPosition="0"/>
    </format>
    <format dxfId="2465">
      <pivotArea outline="0" collapsedLevelsAreSubtotals="1" fieldPosition="0"/>
    </format>
    <format dxfId="2464">
      <pivotArea dataOnly="0" labelOnly="1" grandRow="1" outline="0" fieldPosition="0"/>
    </format>
    <format dxfId="2463">
      <pivotArea dataOnly="0" labelOnly="1" outline="0" axis="axisValues" fieldPosition="0"/>
    </format>
    <format dxfId="2462">
      <pivotArea type="all" dataOnly="0" outline="0" fieldPosition="0"/>
    </format>
    <format dxfId="2461">
      <pivotArea outline="0" collapsedLevelsAreSubtotals="1" fieldPosition="0"/>
    </format>
    <format dxfId="2460">
      <pivotArea dataOnly="0" labelOnly="1" grandRow="1" outline="0" fieldPosition="0"/>
    </format>
    <format dxfId="2459">
      <pivotArea dataOnly="0" labelOnly="1" outline="0" axis="axisValues" fieldPosition="0"/>
    </format>
    <format dxfId="2458">
      <pivotArea type="all" dataOnly="0" outline="0" fieldPosition="0"/>
    </format>
    <format dxfId="2457">
      <pivotArea outline="0" collapsedLevelsAreSubtotals="1" fieldPosition="0"/>
    </format>
    <format dxfId="2456">
      <pivotArea dataOnly="0" labelOnly="1" grandRow="1" outline="0" fieldPosition="0"/>
    </format>
    <format dxfId="2455">
      <pivotArea dataOnly="0" labelOnly="1" outline="0" axis="axisValues" fieldPosition="0"/>
    </format>
    <format dxfId="2454">
      <pivotArea type="all" dataOnly="0" outline="0" fieldPosition="0"/>
    </format>
    <format dxfId="2453">
      <pivotArea outline="0" collapsedLevelsAreSubtotals="1" fieldPosition="0"/>
    </format>
    <format dxfId="2452">
      <pivotArea field="67" type="button" dataOnly="0" labelOnly="1" outline="0" axis="axisRow" fieldPosition="0"/>
    </format>
    <format dxfId="2451">
      <pivotArea dataOnly="0" labelOnly="1" fieldPosition="0">
        <references count="1">
          <reference field="67" count="0"/>
        </references>
      </pivotArea>
    </format>
    <format dxfId="2450">
      <pivotArea dataOnly="0" labelOnly="1" grandRow="1" outline="0" fieldPosition="0"/>
    </format>
    <format dxfId="244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EB84CDC2-3646-4733-AB98-B053F82A3BDD}" name="PivotTable79" cacheId="0" applyNumberFormats="0" applyBorderFormats="0" applyFontFormats="0" applyPatternFormats="0" applyAlignmentFormats="0" applyWidthHeightFormats="1" dataCaption="Values" missingCaption="0" updatedVersion="7" minRefreshableVersion="3" itemPrintTitles="1" createdVersion="4" indent="0" outline="1" outlineData="1" multipleFieldFilters="0">
  <location ref="H368:I385" firstHeaderRow="1" firstDataRow="1" firstDataCol="1" rowPageCount="3" colPageCount="1"/>
  <pivotFields count="76">
    <pivotField showAll="0" defaultSubtotal="0"/>
    <pivotField axis="axisPage" multipleItemSelectionAllowed="1" showAll="0" defaultSubtotal="0">
      <items count="5">
        <item x="2"/>
        <item x="3"/>
        <item x="4"/>
        <item h="1" x="1"/>
        <item h="1" x="0"/>
      </items>
    </pivotField>
    <pivotField axis="axisPage" multipleItemSelectionAllowed="1" showAll="0" defaultSubtotal="0">
      <items count="3">
        <item x="1"/>
        <item x="0"/>
        <item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9">
        <item x="10"/>
        <item x="8"/>
        <item x="9"/>
        <item x="1"/>
        <item x="4"/>
        <item x="7"/>
        <item x="3"/>
        <item x="0"/>
        <item x="15"/>
        <item x="14"/>
        <item x="13"/>
        <item x="6"/>
        <item x="12"/>
        <item x="17"/>
        <item x="5"/>
        <item x="16"/>
        <item x="2"/>
        <item x="11"/>
        <item x="18"/>
      </items>
    </pivotField>
    <pivotField showAll="0"/>
    <pivotField axis="axisRow" showAll="0">
      <items count="21">
        <item x="6"/>
        <item x="12"/>
        <item x="1"/>
        <item x="5"/>
        <item x="15"/>
        <item x="16"/>
        <item x="8"/>
        <item x="2"/>
        <item x="7"/>
        <item x="9"/>
        <item x="4"/>
        <item x="3"/>
        <item x="14"/>
        <item x="0"/>
        <item x="13"/>
        <item x="10"/>
        <item x="11"/>
        <item x="17"/>
        <item x="18"/>
        <item m="1" x="19"/>
        <item t="default"/>
      </items>
    </pivotField>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65"/>
  </rowFields>
  <rowItems count="17">
    <i>
      <x/>
    </i>
    <i>
      <x v="1"/>
    </i>
    <i>
      <x v="2"/>
    </i>
    <i>
      <x v="3"/>
    </i>
    <i>
      <x v="4"/>
    </i>
    <i>
      <x v="5"/>
    </i>
    <i>
      <x v="6"/>
    </i>
    <i>
      <x v="8"/>
    </i>
    <i>
      <x v="9"/>
    </i>
    <i>
      <x v="10"/>
    </i>
    <i>
      <x v="11"/>
    </i>
    <i>
      <x v="12"/>
    </i>
    <i>
      <x v="13"/>
    </i>
    <i>
      <x v="14"/>
    </i>
    <i>
      <x v="15"/>
    </i>
    <i>
      <x v="16"/>
    </i>
    <i t="grand">
      <x/>
    </i>
  </rowItems>
  <colItems count="1">
    <i/>
  </colItems>
  <pageFields count="3">
    <pageField fld="7" hier="-1"/>
    <pageField fld="2" hier="-1"/>
    <pageField fld="1" hier="-1"/>
  </pageFields>
  <dataFields count="1">
    <dataField name="Sum of Net Dwellings" fld="42" baseField="0" baseItem="0"/>
  </dataFields>
  <formats count="38">
    <format dxfId="2514">
      <pivotArea type="all" dataOnly="0" outline="0" fieldPosition="0"/>
    </format>
    <format dxfId="2513">
      <pivotArea type="all" dataOnly="0" outline="0" fieldPosition="0"/>
    </format>
    <format dxfId="2512">
      <pivotArea type="all" dataOnly="0" outline="0" fieldPosition="0"/>
    </format>
    <format dxfId="2511">
      <pivotArea type="all" dataOnly="0" outline="0" fieldPosition="0"/>
    </format>
    <format dxfId="2510">
      <pivotArea type="all" dataOnly="0" outline="0" fieldPosition="0"/>
    </format>
    <format dxfId="2509">
      <pivotArea type="all" dataOnly="0" outline="0" fieldPosition="0"/>
    </format>
    <format dxfId="2508">
      <pivotArea type="all" dataOnly="0" outline="0" fieldPosition="0"/>
    </format>
    <format dxfId="2507">
      <pivotArea field="63" type="button" dataOnly="0" labelOnly="1" outline="0"/>
    </format>
    <format dxfId="2506">
      <pivotArea dataOnly="0" labelOnly="1" outline="0" fieldPosition="0">
        <references count="1">
          <reference field="4294967294" count="1">
            <x v="0"/>
          </reference>
        </references>
      </pivotArea>
    </format>
    <format dxfId="2505">
      <pivotArea field="63" type="button" dataOnly="0" labelOnly="1" outline="0"/>
    </format>
    <format dxfId="2504">
      <pivotArea dataOnly="0" labelOnly="1" outline="0" fieldPosition="0">
        <references count="1">
          <reference field="4294967294" count="1">
            <x v="0"/>
          </reference>
        </references>
      </pivotArea>
    </format>
    <format dxfId="2503">
      <pivotArea field="63" type="button" dataOnly="0" labelOnly="1" outline="0"/>
    </format>
    <format dxfId="2502">
      <pivotArea dataOnly="0" labelOnly="1" outline="0" fieldPosition="0">
        <references count="1">
          <reference field="4294967294" count="1">
            <x v="0"/>
          </reference>
        </references>
      </pivotArea>
    </format>
    <format dxfId="2501">
      <pivotArea type="all" dataOnly="0" outline="0" fieldPosition="0"/>
    </format>
    <format dxfId="2500">
      <pivotArea type="all" dataOnly="0" outline="0" fieldPosition="0"/>
    </format>
    <format dxfId="2499">
      <pivotArea type="all" dataOnly="0" outline="0" fieldPosition="0"/>
    </format>
    <format dxfId="2498">
      <pivotArea type="all" dataOnly="0" outline="0" fieldPosition="0"/>
    </format>
    <format dxfId="2497">
      <pivotArea outline="0" collapsedLevelsAreSubtotals="1" fieldPosition="0"/>
    </format>
    <format dxfId="2496">
      <pivotArea field="63" type="button" dataOnly="0" labelOnly="1" outline="0"/>
    </format>
    <format dxfId="2495">
      <pivotArea dataOnly="0" labelOnly="1" grandRow="1" outline="0" fieldPosition="0"/>
    </format>
    <format dxfId="2494">
      <pivotArea dataOnly="0" labelOnly="1" outline="0" axis="axisValues" fieldPosition="0"/>
    </format>
    <format dxfId="2493">
      <pivotArea grandRow="1" outline="0" collapsedLevelsAreSubtotals="1" fieldPosition="0"/>
    </format>
    <format dxfId="2492">
      <pivotArea type="all" dataOnly="0" outline="0" fieldPosition="0"/>
    </format>
    <format dxfId="2491">
      <pivotArea outline="0" collapsedLevelsAreSubtotals="1" fieldPosition="0"/>
    </format>
    <format dxfId="2490">
      <pivotArea field="63" type="button" dataOnly="0" labelOnly="1" outline="0"/>
    </format>
    <format dxfId="2489">
      <pivotArea dataOnly="0" labelOnly="1" grandRow="1" outline="0" fieldPosition="0"/>
    </format>
    <format dxfId="2488">
      <pivotArea dataOnly="0" labelOnly="1" outline="0" axis="axisValues" fieldPosition="0"/>
    </format>
    <format dxfId="2487">
      <pivotArea type="all" dataOnly="0" outline="0" fieldPosition="0"/>
    </format>
    <format dxfId="2486">
      <pivotArea outline="0" collapsedLevelsAreSubtotals="1" fieldPosition="0"/>
    </format>
    <format dxfId="2485">
      <pivotArea field="63" type="button" dataOnly="0" labelOnly="1" outline="0"/>
    </format>
    <format dxfId="2484">
      <pivotArea dataOnly="0" labelOnly="1" grandRow="1" outline="0" fieldPosition="0"/>
    </format>
    <format dxfId="2483">
      <pivotArea dataOnly="0" labelOnly="1" outline="0" axis="axisValues" fieldPosition="0"/>
    </format>
    <format dxfId="2482">
      <pivotArea type="all" dataOnly="0" outline="0" fieldPosition="0"/>
    </format>
    <format dxfId="2481">
      <pivotArea outline="0" collapsedLevelsAreSubtotals="1" fieldPosition="0"/>
    </format>
    <format dxfId="2480">
      <pivotArea field="65" type="button" dataOnly="0" labelOnly="1" outline="0" axis="axisRow" fieldPosition="0"/>
    </format>
    <format dxfId="2479">
      <pivotArea dataOnly="0" labelOnly="1" fieldPosition="0">
        <references count="1">
          <reference field="65" count="15">
            <x v="0"/>
            <x v="1"/>
            <x v="2"/>
            <x v="3"/>
            <x v="4"/>
            <x v="5"/>
            <x v="6"/>
            <x v="9"/>
            <x v="10"/>
            <x v="11"/>
            <x v="12"/>
            <x v="13"/>
            <x v="14"/>
            <x v="15"/>
            <x v="16"/>
          </reference>
        </references>
      </pivotArea>
    </format>
    <format dxfId="2478">
      <pivotArea dataOnly="0" labelOnly="1" grandRow="1" outline="0" fieldPosition="0"/>
    </format>
    <format dxfId="247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8E83776F-42FA-4EA9-AC6B-B32AD5ACE0ED}" name="PivotTable2"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6:B7" firstHeaderRow="1" firstDataRow="1" firstDataCol="0" rowPageCount="1" colPageCount="1"/>
  <pivotFields count="76">
    <pivotField showAll="0"/>
    <pivotField multipleItemSelectionAllowed="1" showAll="0" defaultSubtotal="0"/>
    <pivotField showAll="0"/>
    <pivotField numFmtId="14" showAll="0"/>
    <pivotField numFmtId="14" showAll="0"/>
    <pivotField showAll="0" defaultSubtotal="0"/>
    <pivotField showAll="0" defaultSubtotal="0"/>
    <pivotField axis="axisPage" multipleItemSelectionAllowed="1" showAll="0">
      <items count="6">
        <item x="0"/>
        <item h="1" x="1"/>
        <item h="1" x="2"/>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1">
    <pageField fld="7" hier="-1"/>
  </pageFields>
  <dataFields count="1">
    <dataField name="Sum of Net Dwellings" fld="42" baseField="0" baseItem="0"/>
  </dataFields>
  <formats count="31">
    <format dxfId="2545">
      <pivotArea type="all" dataOnly="0" outline="0" fieldPosition="0"/>
    </format>
    <format dxfId="2544">
      <pivotArea type="all" dataOnly="0" outline="0" fieldPosition="0"/>
    </format>
    <format dxfId="2543">
      <pivotArea type="all" dataOnly="0" outline="0" fieldPosition="0"/>
    </format>
    <format dxfId="2542">
      <pivotArea type="all" dataOnly="0" outline="0" fieldPosition="0"/>
    </format>
    <format dxfId="2541">
      <pivotArea type="all" dataOnly="0" outline="0" fieldPosition="0"/>
    </format>
    <format dxfId="2540">
      <pivotArea type="all" dataOnly="0" outline="0" fieldPosition="0"/>
    </format>
    <format dxfId="2539">
      <pivotArea type="all" dataOnly="0" outline="0" fieldPosition="0"/>
    </format>
    <format dxfId="2538">
      <pivotArea type="all" dataOnly="0" outline="0" fieldPosition="0"/>
    </format>
    <format dxfId="2537">
      <pivotArea type="all" dataOnly="0" outline="0" fieldPosition="0"/>
    </format>
    <format dxfId="2536">
      <pivotArea type="all" dataOnly="0" outline="0" fieldPosition="0"/>
    </format>
    <format dxfId="2535">
      <pivotArea type="all" dataOnly="0" outline="0" fieldPosition="0"/>
    </format>
    <format dxfId="2534">
      <pivotArea outline="0" collapsedLevelsAreSubtotals="1" fieldPosition="0"/>
    </format>
    <format dxfId="2533">
      <pivotArea dataOnly="0" labelOnly="1" outline="0" axis="axisValues" fieldPosition="0"/>
    </format>
    <format dxfId="2532">
      <pivotArea type="all" dataOnly="0" outline="0" fieldPosition="0"/>
    </format>
    <format dxfId="2531">
      <pivotArea outline="0" collapsedLevelsAreSubtotals="1" fieldPosition="0"/>
    </format>
    <format dxfId="2530">
      <pivotArea dataOnly="0" labelOnly="1" outline="0" axis="axisValues" fieldPosition="0"/>
    </format>
    <format dxfId="2529">
      <pivotArea type="all" dataOnly="0" outline="0" fieldPosition="0"/>
    </format>
    <format dxfId="2528">
      <pivotArea outline="0" collapsedLevelsAreSubtotals="1" fieldPosition="0"/>
    </format>
    <format dxfId="2527">
      <pivotArea dataOnly="0" labelOnly="1" outline="0" axis="axisValues" fieldPosition="0"/>
    </format>
    <format dxfId="2526">
      <pivotArea type="all" dataOnly="0" outline="0" fieldPosition="0"/>
    </format>
    <format dxfId="2525">
      <pivotArea outline="0" collapsedLevelsAreSubtotals="1" fieldPosition="0"/>
    </format>
    <format dxfId="2524">
      <pivotArea dataOnly="0" labelOnly="1" outline="0" axis="axisValues" fieldPosition="0"/>
    </format>
    <format dxfId="2523">
      <pivotArea type="all" dataOnly="0" outline="0" fieldPosition="0"/>
    </format>
    <format dxfId="2522">
      <pivotArea outline="0" collapsedLevelsAreSubtotals="1" fieldPosition="0"/>
    </format>
    <format dxfId="2521">
      <pivotArea dataOnly="0" labelOnly="1" outline="0" axis="axisValues" fieldPosition="0"/>
    </format>
    <format dxfId="2520">
      <pivotArea type="all" dataOnly="0" outline="0" fieldPosition="0"/>
    </format>
    <format dxfId="2519">
      <pivotArea outline="0" collapsedLevelsAreSubtotals="1" fieldPosition="0"/>
    </format>
    <format dxfId="2518">
      <pivotArea dataOnly="0" labelOnly="1" outline="0" axis="axisValues" fieldPosition="0"/>
    </format>
    <format dxfId="2517">
      <pivotArea type="all" dataOnly="0" outline="0" fieldPosition="0"/>
    </format>
    <format dxfId="2516">
      <pivotArea outline="0" collapsedLevelsAreSubtotals="1" fieldPosition="0"/>
    </format>
    <format dxfId="251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55D5327F-B603-4C32-A676-E898DB0C885B}" name="PivotTable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235:K238" firstHeaderRow="0" firstDataRow="1" firstDataCol="1" rowPageCount="1" colPageCount="1"/>
  <pivotFields count="76">
    <pivotField showAll="0" defaultSubtotal="0"/>
    <pivotField multipleItemSelectionAllowed="1" showAll="0" defaultSubtotal="0"/>
    <pivotField axis="axisRow" showAll="0" defaultSubtotal="0">
      <items count="3">
        <item x="1"/>
        <item x="0"/>
        <item x="2"/>
      </items>
    </pivotField>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2"/>
  </rowFields>
  <rowItems count="3">
    <i>
      <x/>
    </i>
    <i>
      <x v="1"/>
    </i>
    <i t="grand">
      <x/>
    </i>
  </rowItems>
  <colFields count="1">
    <field x="-2"/>
  </colFields>
  <colItems count="9">
    <i>
      <x/>
    </i>
    <i i="1">
      <x v="1"/>
    </i>
    <i i="2">
      <x v="2"/>
    </i>
    <i i="3">
      <x v="3"/>
    </i>
    <i i="4">
      <x v="4"/>
    </i>
    <i i="5">
      <x v="5"/>
    </i>
    <i i="6">
      <x v="6"/>
    </i>
    <i i="7">
      <x v="7"/>
    </i>
    <i i="8">
      <x v="8"/>
    </i>
  </colItems>
  <pageFields count="1">
    <pageField fld="7" hier="-1"/>
  </pageFields>
  <dataFields count="9">
    <dataField name="Sum of 1 bed net" fld="33" baseField="0" baseItem="0"/>
    <dataField name="Sum of 2 bed net" fld="34" baseField="0" baseItem="0"/>
    <dataField name="Sum of 3 bed net" fld="35" baseField="0" baseItem="0"/>
    <dataField name="Sum of 4 bed net" fld="36" baseField="0" baseItem="0"/>
    <dataField name="Sum of 5 bed net" fld="37" baseField="0" baseItem="0"/>
    <dataField name="Sum of 6 bed net" fld="38" baseField="0" baseItem="0"/>
    <dataField name="Sum of 7 bed net" fld="39" baseField="0" baseItem="0"/>
    <dataField name="Sum of 8 bed net" fld="40" baseField="0" baseItem="0"/>
    <dataField name="Sum of 9 bed net" fld="41" baseField="0" baseItem="0"/>
  </dataFields>
  <formats count="30">
    <format dxfId="2575">
      <pivotArea type="all" dataOnly="0" outline="0" fieldPosition="0"/>
    </format>
    <format dxfId="2574">
      <pivotArea type="all" dataOnly="0" outline="0" fieldPosition="0"/>
    </format>
    <format dxfId="2573">
      <pivotArea type="all" dataOnly="0" outline="0" fieldPosition="0"/>
    </format>
    <format dxfId="2572">
      <pivotArea type="all" dataOnly="0" outline="0" fieldPosition="0"/>
    </format>
    <format dxfId="2571">
      <pivotArea type="all" dataOnly="0" outline="0" fieldPosition="0"/>
    </format>
    <format dxfId="2570">
      <pivotArea type="all" dataOnly="0" outline="0" fieldPosition="0"/>
    </format>
    <format dxfId="2569">
      <pivotArea type="all" dataOnly="0" outline="0" fieldPosition="0"/>
    </format>
    <format dxfId="2568">
      <pivotArea type="all" dataOnly="0" outline="0" fieldPosition="0"/>
    </format>
    <format dxfId="2567">
      <pivotArea type="all" dataOnly="0" outline="0" fieldPosition="0"/>
    </format>
    <format dxfId="2566">
      <pivotArea type="all" dataOnly="0" outline="0" fieldPosition="0"/>
    </format>
    <format dxfId="2565">
      <pivotArea type="all" dataOnly="0" outline="0" fieldPosition="0"/>
    </format>
    <format dxfId="2564">
      <pivotArea outline="0" collapsedLevelsAreSubtotals="1" fieldPosition="0"/>
    </format>
    <format dxfId="2563">
      <pivotArea field="2" type="button" dataOnly="0" labelOnly="1" outline="0" axis="axisRow" fieldPosition="0"/>
    </format>
    <format dxfId="2562">
      <pivotArea dataOnly="0" labelOnly="1" grandRow="1" outline="0" fieldPosition="0"/>
    </format>
    <format dxfId="2561">
      <pivotArea type="all" dataOnly="0" outline="0" fieldPosition="0"/>
    </format>
    <format dxfId="2560">
      <pivotArea outline="0" collapsedLevelsAreSubtotals="1" fieldPosition="0"/>
    </format>
    <format dxfId="2559">
      <pivotArea field="2" type="button" dataOnly="0" labelOnly="1" outline="0" axis="axisRow" fieldPosition="0"/>
    </format>
    <format dxfId="2558">
      <pivotArea dataOnly="0" labelOnly="1" fieldPosition="0">
        <references count="1">
          <reference field="2" count="0"/>
        </references>
      </pivotArea>
    </format>
    <format dxfId="2557">
      <pivotArea dataOnly="0" labelOnly="1" grandRow="1" outline="0" fieldPosition="0"/>
    </format>
    <format dxfId="2556">
      <pivotArea type="all" dataOnly="0" outline="0" fieldPosition="0"/>
    </format>
    <format dxfId="2555">
      <pivotArea outline="0" collapsedLevelsAreSubtotals="1" fieldPosition="0"/>
    </format>
    <format dxfId="2554">
      <pivotArea field="2" type="button" dataOnly="0" labelOnly="1" outline="0" axis="axisRow" fieldPosition="0"/>
    </format>
    <format dxfId="2553">
      <pivotArea dataOnly="0" labelOnly="1" fieldPosition="0">
        <references count="1">
          <reference field="2" count="0"/>
        </references>
      </pivotArea>
    </format>
    <format dxfId="2552">
      <pivotArea dataOnly="0" labelOnly="1" grandRow="1" outline="0" fieldPosition="0"/>
    </format>
    <format dxfId="2551">
      <pivotArea type="all" dataOnly="0" outline="0" fieldPosition="0"/>
    </format>
    <format dxfId="2550">
      <pivotArea outline="0" collapsedLevelsAreSubtotals="1" fieldPosition="0"/>
    </format>
    <format dxfId="2549">
      <pivotArea field="2" type="button" dataOnly="0" labelOnly="1" outline="0" axis="axisRow" fieldPosition="0"/>
    </format>
    <format dxfId="2548">
      <pivotArea dataOnly="0" labelOnly="1" fieldPosition="0">
        <references count="1">
          <reference field="2" count="2">
            <x v="0"/>
            <x v="1"/>
          </reference>
        </references>
      </pivotArea>
    </format>
    <format dxfId="2547">
      <pivotArea dataOnly="0" labelOnly="1" grandRow="1" outline="0" fieldPosition="0"/>
    </format>
    <format dxfId="2546">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2109E214-6537-41DA-AED6-F3F0CECE6C24}" name="PivotTable1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80:H81" firstHeaderRow="1" firstDataRow="1" firstDataCol="0" rowPageCount="2" colPageCount="1"/>
  <pivotFields count="76">
    <pivotField showAll="0" defaultSubtotal="0"/>
    <pivotField axis="axisPage" multipleItemSelectionAllowed="1" showAll="0" defaultSubtotal="0">
      <items count="5">
        <item x="2"/>
        <item x="3"/>
        <item x="4"/>
        <item h="1" x="1"/>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Net Dwellings" fld="42" baseField="0" baseItem="0"/>
  </dataFields>
  <formats count="31">
    <format dxfId="2606">
      <pivotArea type="all" dataOnly="0" outline="0" fieldPosition="0"/>
    </format>
    <format dxfId="2605">
      <pivotArea type="all" dataOnly="0" outline="0" fieldPosition="0"/>
    </format>
    <format dxfId="2604">
      <pivotArea type="all" dataOnly="0" outline="0" fieldPosition="0"/>
    </format>
    <format dxfId="2603">
      <pivotArea type="all" dataOnly="0" outline="0" fieldPosition="0"/>
    </format>
    <format dxfId="2602">
      <pivotArea type="all" dataOnly="0" outline="0" fieldPosition="0"/>
    </format>
    <format dxfId="2601">
      <pivotArea type="all" dataOnly="0" outline="0" fieldPosition="0"/>
    </format>
    <format dxfId="2600">
      <pivotArea type="all" dataOnly="0" outline="0" fieldPosition="0"/>
    </format>
    <format dxfId="2599">
      <pivotArea type="all" dataOnly="0" outline="0" fieldPosition="0"/>
    </format>
    <format dxfId="2598">
      <pivotArea type="all" dataOnly="0" outline="0" fieldPosition="0"/>
    </format>
    <format dxfId="2597">
      <pivotArea type="all" dataOnly="0" outline="0" fieldPosition="0"/>
    </format>
    <format dxfId="2596">
      <pivotArea type="all" dataOnly="0" outline="0" fieldPosition="0"/>
    </format>
    <format dxfId="2595">
      <pivotArea outline="0" collapsedLevelsAreSubtotals="1" fieldPosition="0"/>
    </format>
    <format dxfId="2594">
      <pivotArea dataOnly="0" labelOnly="1" outline="0" axis="axisValues" fieldPosition="0"/>
    </format>
    <format dxfId="2593">
      <pivotArea type="all" dataOnly="0" outline="0" fieldPosition="0"/>
    </format>
    <format dxfId="2592">
      <pivotArea outline="0" collapsedLevelsAreSubtotals="1" fieldPosition="0"/>
    </format>
    <format dxfId="2591">
      <pivotArea dataOnly="0" labelOnly="1" outline="0" axis="axisValues" fieldPosition="0"/>
    </format>
    <format dxfId="2590">
      <pivotArea type="all" dataOnly="0" outline="0" fieldPosition="0"/>
    </format>
    <format dxfId="2589">
      <pivotArea outline="0" collapsedLevelsAreSubtotals="1" fieldPosition="0"/>
    </format>
    <format dxfId="2588">
      <pivotArea dataOnly="0" labelOnly="1" outline="0" axis="axisValues" fieldPosition="0"/>
    </format>
    <format dxfId="2587">
      <pivotArea type="all" dataOnly="0" outline="0" fieldPosition="0"/>
    </format>
    <format dxfId="2586">
      <pivotArea outline="0" collapsedLevelsAreSubtotals="1" fieldPosition="0"/>
    </format>
    <format dxfId="2585">
      <pivotArea dataOnly="0" labelOnly="1" outline="0" axis="axisValues" fieldPosition="0"/>
    </format>
    <format dxfId="2584">
      <pivotArea type="all" dataOnly="0" outline="0" fieldPosition="0"/>
    </format>
    <format dxfId="2583">
      <pivotArea outline="0" collapsedLevelsAreSubtotals="1" fieldPosition="0"/>
    </format>
    <format dxfId="2582">
      <pivotArea dataOnly="0" labelOnly="1" outline="0" axis="axisValues" fieldPosition="0"/>
    </format>
    <format dxfId="2581">
      <pivotArea type="all" dataOnly="0" outline="0" fieldPosition="0"/>
    </format>
    <format dxfId="2580">
      <pivotArea outline="0" collapsedLevelsAreSubtotals="1" fieldPosition="0"/>
    </format>
    <format dxfId="2579">
      <pivotArea dataOnly="0" labelOnly="1" outline="0" axis="axisValues" fieldPosition="0"/>
    </format>
    <format dxfId="2578">
      <pivotArea type="all" dataOnly="0" outline="0" fieldPosition="0"/>
    </format>
    <format dxfId="2577">
      <pivotArea outline="0" collapsedLevelsAreSubtotals="1" fieldPosition="0"/>
    </format>
    <format dxfId="257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C47CCDE-5F5E-45FA-9527-E28D6EC30F82}" name="PivotTable61"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B201:B202"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252">
      <pivotArea type="all" dataOnly="0" outline="0" fieldPosition="0"/>
    </format>
    <format dxfId="251">
      <pivotArea type="all" dataOnly="0" outline="0" fieldPosition="0"/>
    </format>
    <format dxfId="250">
      <pivotArea type="all" dataOnly="0" outline="0" fieldPosition="0"/>
    </format>
    <format dxfId="249">
      <pivotArea type="all" dataOnly="0" outline="0" fieldPosition="0"/>
    </format>
    <format dxfId="248">
      <pivotArea type="all" dataOnly="0" outline="0" fieldPosition="0"/>
    </format>
    <format dxfId="247">
      <pivotArea type="all" dataOnly="0" outline="0" fieldPosition="0"/>
    </format>
    <format dxfId="246">
      <pivotArea type="all" dataOnly="0" outline="0" fieldPosition="0"/>
    </format>
    <format dxfId="245">
      <pivotArea type="all" dataOnly="0" outline="0" fieldPosition="0"/>
    </format>
    <format dxfId="244">
      <pivotArea type="all" dataOnly="0" outline="0" fieldPosition="0"/>
    </format>
    <format dxfId="243">
      <pivotArea type="all" dataOnly="0" outline="0" fieldPosition="0"/>
    </format>
    <format dxfId="242">
      <pivotArea type="all" dataOnly="0" outline="0" fieldPosition="0"/>
    </format>
    <format dxfId="241">
      <pivotArea outline="0" collapsedLevelsAreSubtotals="1" fieldPosition="0"/>
    </format>
    <format dxfId="240">
      <pivotArea dataOnly="0" labelOnly="1" outline="0" axis="axisValues" fieldPosition="0"/>
    </format>
    <format dxfId="239">
      <pivotArea type="all" dataOnly="0" outline="0" fieldPosition="0"/>
    </format>
    <format dxfId="238">
      <pivotArea outline="0" collapsedLevelsAreSubtotals="1" fieldPosition="0"/>
    </format>
    <format dxfId="237">
      <pivotArea dataOnly="0" labelOnly="1" outline="0" axis="axisValues" fieldPosition="0"/>
    </format>
    <format dxfId="236">
      <pivotArea type="all" dataOnly="0" outline="0" fieldPosition="0"/>
    </format>
    <format dxfId="235">
      <pivotArea outline="0" collapsedLevelsAreSubtotals="1" fieldPosition="0"/>
    </format>
    <format dxfId="234">
      <pivotArea dataOnly="0" labelOnly="1" outline="0" axis="axisValues" fieldPosition="0"/>
    </format>
    <format dxfId="233">
      <pivotArea type="all" dataOnly="0" outline="0" fieldPosition="0"/>
    </format>
    <format dxfId="232">
      <pivotArea outline="0" collapsedLevelsAreSubtotals="1" fieldPosition="0"/>
    </format>
    <format dxfId="231">
      <pivotArea dataOnly="0" labelOnly="1" outline="0" axis="axisValues" fieldPosition="0"/>
    </format>
    <format dxfId="230">
      <pivotArea type="all" dataOnly="0" outline="0" fieldPosition="0"/>
    </format>
    <format dxfId="229">
      <pivotArea outline="0" collapsedLevelsAreSubtotals="1" fieldPosition="0"/>
    </format>
    <format dxfId="228">
      <pivotArea dataOnly="0" labelOnly="1" outline="0" axis="axisValues" fieldPosition="0"/>
    </format>
    <format dxfId="227">
      <pivotArea type="all" dataOnly="0" outline="0" fieldPosition="0"/>
    </format>
    <format dxfId="226">
      <pivotArea outline="0" collapsedLevelsAreSubtotals="1" fieldPosition="0"/>
    </format>
    <format dxfId="225">
      <pivotArea dataOnly="0" labelOnly="1" outline="0" axis="axisValues" fieldPosition="0"/>
    </format>
    <format dxfId="224">
      <pivotArea type="all" dataOnly="0" outline="0" fieldPosition="0"/>
    </format>
    <format dxfId="223">
      <pivotArea outline="0" collapsedLevelsAreSubtotals="1" fieldPosition="0"/>
    </format>
    <format dxfId="22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C22AE1A6-40B1-4043-9D79-1D94DDE7DBD5}" name="PivotTable76"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73:H174"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h="1" x="0"/>
        <item h="1" x="1"/>
        <item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2637">
      <pivotArea type="all" dataOnly="0" outline="0" fieldPosition="0"/>
    </format>
    <format dxfId="2636">
      <pivotArea type="all" dataOnly="0" outline="0" fieldPosition="0"/>
    </format>
    <format dxfId="2635">
      <pivotArea type="all" dataOnly="0" outline="0" fieldPosition="0"/>
    </format>
    <format dxfId="2634">
      <pivotArea type="all" dataOnly="0" outline="0" fieldPosition="0"/>
    </format>
    <format dxfId="2633">
      <pivotArea type="all" dataOnly="0" outline="0" fieldPosition="0"/>
    </format>
    <format dxfId="2632">
      <pivotArea type="all" dataOnly="0" outline="0" fieldPosition="0"/>
    </format>
    <format dxfId="2631">
      <pivotArea type="all" dataOnly="0" outline="0" fieldPosition="0"/>
    </format>
    <format dxfId="2630">
      <pivotArea type="all" dataOnly="0" outline="0" fieldPosition="0"/>
    </format>
    <format dxfId="2629">
      <pivotArea type="all" dataOnly="0" outline="0" fieldPosition="0"/>
    </format>
    <format dxfId="2628">
      <pivotArea type="all" dataOnly="0" outline="0" fieldPosition="0"/>
    </format>
    <format dxfId="2627">
      <pivotArea type="all" dataOnly="0" outline="0" fieldPosition="0"/>
    </format>
    <format dxfId="2626">
      <pivotArea outline="0" collapsedLevelsAreSubtotals="1" fieldPosition="0"/>
    </format>
    <format dxfId="2625">
      <pivotArea dataOnly="0" labelOnly="1" outline="0" axis="axisValues" fieldPosition="0"/>
    </format>
    <format dxfId="2624">
      <pivotArea type="all" dataOnly="0" outline="0" fieldPosition="0"/>
    </format>
    <format dxfId="2623">
      <pivotArea outline="0" collapsedLevelsAreSubtotals="1" fieldPosition="0"/>
    </format>
    <format dxfId="2622">
      <pivotArea dataOnly="0" labelOnly="1" outline="0" axis="axisValues" fieldPosition="0"/>
    </format>
    <format dxfId="2621">
      <pivotArea type="all" dataOnly="0" outline="0" fieldPosition="0"/>
    </format>
    <format dxfId="2620">
      <pivotArea outline="0" collapsedLevelsAreSubtotals="1" fieldPosition="0"/>
    </format>
    <format dxfId="2619">
      <pivotArea dataOnly="0" labelOnly="1" outline="0" axis="axisValues" fieldPosition="0"/>
    </format>
    <format dxfId="2618">
      <pivotArea type="all" dataOnly="0" outline="0" fieldPosition="0"/>
    </format>
    <format dxfId="2617">
      <pivotArea outline="0" collapsedLevelsAreSubtotals="1" fieldPosition="0"/>
    </format>
    <format dxfId="2616">
      <pivotArea dataOnly="0" labelOnly="1" outline="0" axis="axisValues" fieldPosition="0"/>
    </format>
    <format dxfId="2615">
      <pivotArea type="all" dataOnly="0" outline="0" fieldPosition="0"/>
    </format>
    <format dxfId="2614">
      <pivotArea outline="0" collapsedLevelsAreSubtotals="1" fieldPosition="0"/>
    </format>
    <format dxfId="2613">
      <pivotArea dataOnly="0" labelOnly="1" outline="0" axis="axisValues" fieldPosition="0"/>
    </format>
    <format dxfId="2612">
      <pivotArea type="all" dataOnly="0" outline="0" fieldPosition="0"/>
    </format>
    <format dxfId="2611">
      <pivotArea outline="0" collapsedLevelsAreSubtotals="1" fieldPosition="0"/>
    </format>
    <format dxfId="2610">
      <pivotArea dataOnly="0" labelOnly="1" outline="0" axis="axisValues" fieldPosition="0"/>
    </format>
    <format dxfId="2609">
      <pivotArea type="all" dataOnly="0" outline="0" fieldPosition="0"/>
    </format>
    <format dxfId="2608">
      <pivotArea outline="0" collapsedLevelsAreSubtotals="1" fieldPosition="0"/>
    </format>
    <format dxfId="260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8CAF86ED-9BC1-4A88-A835-E8E684134A46}" name="PivotTable1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62:H63" firstHeaderRow="1" firstDataRow="1" firstDataCol="0"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Net Dwellings" fld="42" baseField="0" baseItem="0"/>
  </dataFields>
  <formats count="32">
    <format dxfId="2669">
      <pivotArea type="all" dataOnly="0" outline="0" fieldPosition="0"/>
    </format>
    <format dxfId="2668">
      <pivotArea type="all" dataOnly="0" outline="0" fieldPosition="0"/>
    </format>
    <format dxfId="2667">
      <pivotArea type="all" dataOnly="0" outline="0" fieldPosition="0"/>
    </format>
    <format dxfId="2666">
      <pivotArea type="all" dataOnly="0" outline="0" fieldPosition="0"/>
    </format>
    <format dxfId="2665">
      <pivotArea type="all" dataOnly="0" outline="0" fieldPosition="0"/>
    </format>
    <format dxfId="2664">
      <pivotArea type="all" dataOnly="0" outline="0" fieldPosition="0"/>
    </format>
    <format dxfId="2663">
      <pivotArea type="all" dataOnly="0" outline="0" fieldPosition="0"/>
    </format>
    <format dxfId="2662">
      <pivotArea type="all" dataOnly="0" outline="0" fieldPosition="0"/>
    </format>
    <format dxfId="2661">
      <pivotArea type="all" dataOnly="0" outline="0" fieldPosition="0"/>
    </format>
    <format dxfId="2660">
      <pivotArea type="all" dataOnly="0" outline="0" fieldPosition="0"/>
    </format>
    <format dxfId="2659">
      <pivotArea type="all" dataOnly="0" outline="0" fieldPosition="0"/>
    </format>
    <format dxfId="2658">
      <pivotArea outline="0" collapsedLevelsAreSubtotals="1" fieldPosition="0"/>
    </format>
    <format dxfId="2657">
      <pivotArea dataOnly="0" labelOnly="1" outline="0" axis="axisValues" fieldPosition="0"/>
    </format>
    <format dxfId="2656">
      <pivotArea type="all" dataOnly="0" outline="0" fieldPosition="0"/>
    </format>
    <format dxfId="2655">
      <pivotArea outline="0" collapsedLevelsAreSubtotals="1" fieldPosition="0"/>
    </format>
    <format dxfId="2654">
      <pivotArea dataOnly="0" labelOnly="1" outline="0" axis="axisValues" fieldPosition="0"/>
    </format>
    <format dxfId="2653">
      <pivotArea type="all" dataOnly="0" outline="0" fieldPosition="0"/>
    </format>
    <format dxfId="2652">
      <pivotArea outline="0" collapsedLevelsAreSubtotals="1" fieldPosition="0"/>
    </format>
    <format dxfId="2651">
      <pivotArea dataOnly="0" labelOnly="1" outline="0" axis="axisValues" fieldPosition="0"/>
    </format>
    <format dxfId="2650">
      <pivotArea type="all" dataOnly="0" outline="0" fieldPosition="0"/>
    </format>
    <format dxfId="2649">
      <pivotArea outline="0" collapsedLevelsAreSubtotals="1" fieldPosition="0"/>
    </format>
    <format dxfId="2648">
      <pivotArea dataOnly="0" labelOnly="1" outline="0" axis="axisValues" fieldPosition="0"/>
    </format>
    <format dxfId="2647">
      <pivotArea outline="0" collapsedLevelsAreSubtotals="1" fieldPosition="0"/>
    </format>
    <format dxfId="2646">
      <pivotArea type="all" dataOnly="0" outline="0" fieldPosition="0"/>
    </format>
    <format dxfId="2645">
      <pivotArea outline="0" collapsedLevelsAreSubtotals="1" fieldPosition="0"/>
    </format>
    <format dxfId="2644">
      <pivotArea dataOnly="0" labelOnly="1" outline="0" axis="axisValues" fieldPosition="0"/>
    </format>
    <format dxfId="2643">
      <pivotArea type="all" dataOnly="0" outline="0" fieldPosition="0"/>
    </format>
    <format dxfId="2642">
      <pivotArea outline="0" collapsedLevelsAreSubtotals="1" fieldPosition="0"/>
    </format>
    <format dxfId="2641">
      <pivotArea dataOnly="0" labelOnly="1" outline="0" axis="axisValues" fieldPosition="0"/>
    </format>
    <format dxfId="2640">
      <pivotArea type="all" dataOnly="0" outline="0" fieldPosition="0"/>
    </format>
    <format dxfId="2639">
      <pivotArea outline="0" collapsedLevelsAreSubtotals="1" fieldPosition="0"/>
    </format>
    <format dxfId="26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65E31CCF-3CD9-4E06-B021-1F1CB93636A6}" name="PivotTable4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15:H116"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Net Dwellings" fld="42" baseField="0" baseItem="0"/>
  </dataFields>
  <formats count="31">
    <format dxfId="2700">
      <pivotArea type="all" dataOnly="0" outline="0" fieldPosition="0"/>
    </format>
    <format dxfId="2699">
      <pivotArea type="all" dataOnly="0" outline="0" fieldPosition="0"/>
    </format>
    <format dxfId="2698">
      <pivotArea type="all" dataOnly="0" outline="0" fieldPosition="0"/>
    </format>
    <format dxfId="2697">
      <pivotArea type="all" dataOnly="0" outline="0" fieldPosition="0"/>
    </format>
    <format dxfId="2696">
      <pivotArea type="all" dataOnly="0" outline="0" fieldPosition="0"/>
    </format>
    <format dxfId="2695">
      <pivotArea type="all" dataOnly="0" outline="0" fieldPosition="0"/>
    </format>
    <format dxfId="2694">
      <pivotArea type="all" dataOnly="0" outline="0" fieldPosition="0"/>
    </format>
    <format dxfId="2693">
      <pivotArea type="all" dataOnly="0" outline="0" fieldPosition="0"/>
    </format>
    <format dxfId="2692">
      <pivotArea type="all" dataOnly="0" outline="0" fieldPosition="0"/>
    </format>
    <format dxfId="2691">
      <pivotArea type="all" dataOnly="0" outline="0" fieldPosition="0"/>
    </format>
    <format dxfId="2690">
      <pivotArea type="all" dataOnly="0" outline="0" fieldPosition="0"/>
    </format>
    <format dxfId="2689">
      <pivotArea outline="0" collapsedLevelsAreSubtotals="1" fieldPosition="0"/>
    </format>
    <format dxfId="2688">
      <pivotArea dataOnly="0" labelOnly="1" outline="0" axis="axisValues" fieldPosition="0"/>
    </format>
    <format dxfId="2687">
      <pivotArea type="all" dataOnly="0" outline="0" fieldPosition="0"/>
    </format>
    <format dxfId="2686">
      <pivotArea outline="0" collapsedLevelsAreSubtotals="1" fieldPosition="0"/>
    </format>
    <format dxfId="2685">
      <pivotArea dataOnly="0" labelOnly="1" outline="0" axis="axisValues" fieldPosition="0"/>
    </format>
    <format dxfId="2684">
      <pivotArea type="all" dataOnly="0" outline="0" fieldPosition="0"/>
    </format>
    <format dxfId="2683">
      <pivotArea outline="0" collapsedLevelsAreSubtotals="1" fieldPosition="0"/>
    </format>
    <format dxfId="2682">
      <pivotArea dataOnly="0" labelOnly="1" outline="0" axis="axisValues" fieldPosition="0"/>
    </format>
    <format dxfId="2681">
      <pivotArea type="all" dataOnly="0" outline="0" fieldPosition="0"/>
    </format>
    <format dxfId="2680">
      <pivotArea outline="0" collapsedLevelsAreSubtotals="1" fieldPosition="0"/>
    </format>
    <format dxfId="2679">
      <pivotArea dataOnly="0" labelOnly="1" outline="0" axis="axisValues" fieldPosition="0"/>
    </format>
    <format dxfId="2678">
      <pivotArea type="all" dataOnly="0" outline="0" fieldPosition="0"/>
    </format>
    <format dxfId="2677">
      <pivotArea outline="0" collapsedLevelsAreSubtotals="1" fieldPosition="0"/>
    </format>
    <format dxfId="2676">
      <pivotArea dataOnly="0" labelOnly="1" outline="0" axis="axisValues" fieldPosition="0"/>
    </format>
    <format dxfId="2675">
      <pivotArea type="all" dataOnly="0" outline="0" fieldPosition="0"/>
    </format>
    <format dxfId="2674">
      <pivotArea outline="0" collapsedLevelsAreSubtotals="1" fieldPosition="0"/>
    </format>
    <format dxfId="2673">
      <pivotArea dataOnly="0" labelOnly="1" outline="0" axis="axisValues" fieldPosition="0"/>
    </format>
    <format dxfId="2672">
      <pivotArea type="all" dataOnly="0" outline="0" fieldPosition="0"/>
    </format>
    <format dxfId="2671">
      <pivotArea outline="0" collapsedLevelsAreSubtotals="1" fieldPosition="0"/>
    </format>
    <format dxfId="267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1109D36F-9198-4750-99C3-67F3FE88161B}" name="PivotTable60"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92:H193"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Net Dwellings" fld="42" baseField="0" baseItem="0"/>
  </dataFields>
  <formats count="31">
    <format dxfId="2731">
      <pivotArea type="all" dataOnly="0" outline="0" fieldPosition="0"/>
    </format>
    <format dxfId="2730">
      <pivotArea type="all" dataOnly="0" outline="0" fieldPosition="0"/>
    </format>
    <format dxfId="2729">
      <pivotArea type="all" dataOnly="0" outline="0" fieldPosition="0"/>
    </format>
    <format dxfId="2728">
      <pivotArea type="all" dataOnly="0" outline="0" fieldPosition="0"/>
    </format>
    <format dxfId="2727">
      <pivotArea type="all" dataOnly="0" outline="0" fieldPosition="0"/>
    </format>
    <format dxfId="2726">
      <pivotArea type="all" dataOnly="0" outline="0" fieldPosition="0"/>
    </format>
    <format dxfId="2725">
      <pivotArea type="all" dataOnly="0" outline="0" fieldPosition="0"/>
    </format>
    <format dxfId="2724">
      <pivotArea type="all" dataOnly="0" outline="0" fieldPosition="0"/>
    </format>
    <format dxfId="2723">
      <pivotArea type="all" dataOnly="0" outline="0" fieldPosition="0"/>
    </format>
    <format dxfId="2722">
      <pivotArea type="all" dataOnly="0" outline="0" fieldPosition="0"/>
    </format>
    <format dxfId="2721">
      <pivotArea type="all" dataOnly="0" outline="0" fieldPosition="0"/>
    </format>
    <format dxfId="2720">
      <pivotArea outline="0" collapsedLevelsAreSubtotals="1" fieldPosition="0"/>
    </format>
    <format dxfId="2719">
      <pivotArea dataOnly="0" labelOnly="1" outline="0" axis="axisValues" fieldPosition="0"/>
    </format>
    <format dxfId="2718">
      <pivotArea type="all" dataOnly="0" outline="0" fieldPosition="0"/>
    </format>
    <format dxfId="2717">
      <pivotArea outline="0" collapsedLevelsAreSubtotals="1" fieldPosition="0"/>
    </format>
    <format dxfId="2716">
      <pivotArea dataOnly="0" labelOnly="1" outline="0" axis="axisValues" fieldPosition="0"/>
    </format>
    <format dxfId="2715">
      <pivotArea type="all" dataOnly="0" outline="0" fieldPosition="0"/>
    </format>
    <format dxfId="2714">
      <pivotArea outline="0" collapsedLevelsAreSubtotals="1" fieldPosition="0"/>
    </format>
    <format dxfId="2713">
      <pivotArea dataOnly="0" labelOnly="1" outline="0" axis="axisValues" fieldPosition="0"/>
    </format>
    <format dxfId="2712">
      <pivotArea type="all" dataOnly="0" outline="0" fieldPosition="0"/>
    </format>
    <format dxfId="2711">
      <pivotArea outline="0" collapsedLevelsAreSubtotals="1" fieldPosition="0"/>
    </format>
    <format dxfId="2710">
      <pivotArea dataOnly="0" labelOnly="1" outline="0" axis="axisValues" fieldPosition="0"/>
    </format>
    <format dxfId="2709">
      <pivotArea type="all" dataOnly="0" outline="0" fieldPosition="0"/>
    </format>
    <format dxfId="2708">
      <pivotArea outline="0" collapsedLevelsAreSubtotals="1" fieldPosition="0"/>
    </format>
    <format dxfId="2707">
      <pivotArea dataOnly="0" labelOnly="1" outline="0" axis="axisValues" fieldPosition="0"/>
    </format>
    <format dxfId="2706">
      <pivotArea type="all" dataOnly="0" outline="0" fieldPosition="0"/>
    </format>
    <format dxfId="2705">
      <pivotArea outline="0" collapsedLevelsAreSubtotals="1" fieldPosition="0"/>
    </format>
    <format dxfId="2704">
      <pivotArea dataOnly="0" labelOnly="1" outline="0" axis="axisValues" fieldPosition="0"/>
    </format>
    <format dxfId="2703">
      <pivotArea type="all" dataOnly="0" outline="0" fieldPosition="0"/>
    </format>
    <format dxfId="2702">
      <pivotArea outline="0" collapsedLevelsAreSubtotals="1" fieldPosition="0"/>
    </format>
    <format dxfId="270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1DB958AC-C6B7-4B6A-9E95-1B509B6D9D48}" name="PivotTable57"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141:H142" firstHeaderRow="1" firstDataRow="1" firstDataCol="0" rowPageCount="2" colPageCount="1"/>
  <pivotFields count="76">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x="0"/>
        <item h="1"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8" hier="-1"/>
  </pageFields>
  <dataFields count="1">
    <dataField name="Sum of Units Proposed" fld="32" baseField="0" baseItem="0"/>
  </dataFields>
  <formats count="31">
    <format dxfId="2762">
      <pivotArea type="all" dataOnly="0" outline="0" fieldPosition="0"/>
    </format>
    <format dxfId="2761">
      <pivotArea type="all" dataOnly="0" outline="0" fieldPosition="0"/>
    </format>
    <format dxfId="2760">
      <pivotArea type="all" dataOnly="0" outline="0" fieldPosition="0"/>
    </format>
    <format dxfId="2759">
      <pivotArea type="all" dataOnly="0" outline="0" fieldPosition="0"/>
    </format>
    <format dxfId="2758">
      <pivotArea type="all" dataOnly="0" outline="0" fieldPosition="0"/>
    </format>
    <format dxfId="2757">
      <pivotArea type="all" dataOnly="0" outline="0" fieldPosition="0"/>
    </format>
    <format dxfId="2756">
      <pivotArea type="all" dataOnly="0" outline="0" fieldPosition="0"/>
    </format>
    <format dxfId="2755">
      <pivotArea type="all" dataOnly="0" outline="0" fieldPosition="0"/>
    </format>
    <format dxfId="2754">
      <pivotArea type="all" dataOnly="0" outline="0" fieldPosition="0"/>
    </format>
    <format dxfId="2753">
      <pivotArea type="all" dataOnly="0" outline="0" fieldPosition="0"/>
    </format>
    <format dxfId="2752">
      <pivotArea type="all" dataOnly="0" outline="0" fieldPosition="0"/>
    </format>
    <format dxfId="2751">
      <pivotArea outline="0" collapsedLevelsAreSubtotals="1" fieldPosition="0"/>
    </format>
    <format dxfId="2750">
      <pivotArea dataOnly="0" labelOnly="1" outline="0" axis="axisValues" fieldPosition="0"/>
    </format>
    <format dxfId="2749">
      <pivotArea type="all" dataOnly="0" outline="0" fieldPosition="0"/>
    </format>
    <format dxfId="2748">
      <pivotArea outline="0" collapsedLevelsAreSubtotals="1" fieldPosition="0"/>
    </format>
    <format dxfId="2747">
      <pivotArea dataOnly="0" labelOnly="1" outline="0" axis="axisValues" fieldPosition="0"/>
    </format>
    <format dxfId="2746">
      <pivotArea type="all" dataOnly="0" outline="0" fieldPosition="0"/>
    </format>
    <format dxfId="2745">
      <pivotArea outline="0" collapsedLevelsAreSubtotals="1" fieldPosition="0"/>
    </format>
    <format dxfId="2744">
      <pivotArea dataOnly="0" labelOnly="1" outline="0" axis="axisValues" fieldPosition="0"/>
    </format>
    <format dxfId="2743">
      <pivotArea type="all" dataOnly="0" outline="0" fieldPosition="0"/>
    </format>
    <format dxfId="2742">
      <pivotArea outline="0" collapsedLevelsAreSubtotals="1" fieldPosition="0"/>
    </format>
    <format dxfId="2741">
      <pivotArea dataOnly="0" labelOnly="1" outline="0" axis="axisValues" fieldPosition="0"/>
    </format>
    <format dxfId="2740">
      <pivotArea type="all" dataOnly="0" outline="0" fieldPosition="0"/>
    </format>
    <format dxfId="2739">
      <pivotArea outline="0" collapsedLevelsAreSubtotals="1" fieldPosition="0"/>
    </format>
    <format dxfId="2738">
      <pivotArea dataOnly="0" labelOnly="1" outline="0" axis="axisValues" fieldPosition="0"/>
    </format>
    <format dxfId="2737">
      <pivotArea type="all" dataOnly="0" outline="0" fieldPosition="0"/>
    </format>
    <format dxfId="2736">
      <pivotArea outline="0" collapsedLevelsAreSubtotals="1" fieldPosition="0"/>
    </format>
    <format dxfId="2735">
      <pivotArea dataOnly="0" labelOnly="1" outline="0" axis="axisValues" fieldPosition="0"/>
    </format>
    <format dxfId="2734">
      <pivotArea type="all" dataOnly="0" outline="0" fieldPosition="0"/>
    </format>
    <format dxfId="2733">
      <pivotArea outline="0" collapsedLevelsAreSubtotals="1" fieldPosition="0"/>
    </format>
    <format dxfId="273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C5981451-2B38-4989-8DFA-028355D88BAD}" name="PivotTable59"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H201:H202" firstHeaderRow="1" firstDataRow="1" firstDataCol="0" rowPageCount="3"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6">
        <item h="1" x="0"/>
        <item x="1"/>
        <item h="1" x="2"/>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3">
    <pageField fld="7" hier="-1"/>
    <pageField fld="1" hier="-1"/>
    <pageField fld="8" hier="-1"/>
  </pageFields>
  <dataFields count="1">
    <dataField name="Sum of Units Proposed" fld="32" baseField="0" baseItem="0"/>
  </dataFields>
  <formats count="31">
    <format dxfId="2793">
      <pivotArea type="all" dataOnly="0" outline="0" fieldPosition="0"/>
    </format>
    <format dxfId="2792">
      <pivotArea type="all" dataOnly="0" outline="0" fieldPosition="0"/>
    </format>
    <format dxfId="2791">
      <pivotArea type="all" dataOnly="0" outline="0" fieldPosition="0"/>
    </format>
    <format dxfId="2790">
      <pivotArea type="all" dataOnly="0" outline="0" fieldPosition="0"/>
    </format>
    <format dxfId="2789">
      <pivotArea type="all" dataOnly="0" outline="0" fieldPosition="0"/>
    </format>
    <format dxfId="2788">
      <pivotArea type="all" dataOnly="0" outline="0" fieldPosition="0"/>
    </format>
    <format dxfId="2787">
      <pivotArea type="all" dataOnly="0" outline="0" fieldPosition="0"/>
    </format>
    <format dxfId="2786">
      <pivotArea type="all" dataOnly="0" outline="0" fieldPosition="0"/>
    </format>
    <format dxfId="2785">
      <pivotArea type="all" dataOnly="0" outline="0" fieldPosition="0"/>
    </format>
    <format dxfId="2784">
      <pivotArea type="all" dataOnly="0" outline="0" fieldPosition="0"/>
    </format>
    <format dxfId="2783">
      <pivotArea type="all" dataOnly="0" outline="0" fieldPosition="0"/>
    </format>
    <format dxfId="2782">
      <pivotArea outline="0" collapsedLevelsAreSubtotals="1" fieldPosition="0"/>
    </format>
    <format dxfId="2781">
      <pivotArea dataOnly="0" labelOnly="1" outline="0" axis="axisValues" fieldPosition="0"/>
    </format>
    <format dxfId="2780">
      <pivotArea type="all" dataOnly="0" outline="0" fieldPosition="0"/>
    </format>
    <format dxfId="2779">
      <pivotArea outline="0" collapsedLevelsAreSubtotals="1" fieldPosition="0"/>
    </format>
    <format dxfId="2778">
      <pivotArea dataOnly="0" labelOnly="1" outline="0" axis="axisValues" fieldPosition="0"/>
    </format>
    <format dxfId="2777">
      <pivotArea type="all" dataOnly="0" outline="0" fieldPosition="0"/>
    </format>
    <format dxfId="2776">
      <pivotArea outline="0" collapsedLevelsAreSubtotals="1" fieldPosition="0"/>
    </format>
    <format dxfId="2775">
      <pivotArea dataOnly="0" labelOnly="1" outline="0" axis="axisValues" fieldPosition="0"/>
    </format>
    <format dxfId="2774">
      <pivotArea type="all" dataOnly="0" outline="0" fieldPosition="0"/>
    </format>
    <format dxfId="2773">
      <pivotArea outline="0" collapsedLevelsAreSubtotals="1" fieldPosition="0"/>
    </format>
    <format dxfId="2772">
      <pivotArea dataOnly="0" labelOnly="1" outline="0" axis="axisValues" fieldPosition="0"/>
    </format>
    <format dxfId="2771">
      <pivotArea type="all" dataOnly="0" outline="0" fieldPosition="0"/>
    </format>
    <format dxfId="2770">
      <pivotArea outline="0" collapsedLevelsAreSubtotals="1" fieldPosition="0"/>
    </format>
    <format dxfId="2769">
      <pivotArea dataOnly="0" labelOnly="1" outline="0" axis="axisValues" fieldPosition="0"/>
    </format>
    <format dxfId="2768">
      <pivotArea type="all" dataOnly="0" outline="0" fieldPosition="0"/>
    </format>
    <format dxfId="2767">
      <pivotArea outline="0" collapsedLevelsAreSubtotals="1" fieldPosition="0"/>
    </format>
    <format dxfId="2766">
      <pivotArea dataOnly="0" labelOnly="1" outline="0" axis="axisValues" fieldPosition="0"/>
    </format>
    <format dxfId="2765">
      <pivotArea type="all" dataOnly="0" outline="0" fieldPosition="0"/>
    </format>
    <format dxfId="2764">
      <pivotArea outline="0" collapsedLevelsAreSubtotals="1" fieldPosition="0"/>
    </format>
    <format dxfId="27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CC6D962-BE48-41E4-8E24-E4E2876D0530}" name="PivotTable13"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E62:E63" firstHeaderRow="1" firstDataRow="1" firstDataCol="0" rowPageCount="2" colPageCount="1"/>
  <pivotFields count="76">
    <pivotField showAll="0" defaultSubtotal="0"/>
    <pivotField axis="axisPage" multipleItemSelectionAllowed="1" showAll="0" defaultSubtotal="0">
      <items count="5">
        <item h="1" x="2"/>
        <item h="1" x="3"/>
        <item h="1" x="4"/>
        <item x="1"/>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Net Dwellings" fld="42" baseField="0" baseItem="0"/>
  </dataFields>
  <formats count="31">
    <format dxfId="283">
      <pivotArea type="all" dataOnly="0" outline="0" fieldPosition="0"/>
    </format>
    <format dxfId="282">
      <pivotArea type="all" dataOnly="0" outline="0" fieldPosition="0"/>
    </format>
    <format dxfId="281">
      <pivotArea type="all" dataOnly="0" outline="0" fieldPosition="0"/>
    </format>
    <format dxfId="280">
      <pivotArea type="all" dataOnly="0" outline="0" fieldPosition="0"/>
    </format>
    <format dxfId="279">
      <pivotArea type="all" dataOnly="0" outline="0" fieldPosition="0"/>
    </format>
    <format dxfId="278">
      <pivotArea type="all" dataOnly="0" outline="0" fieldPosition="0"/>
    </format>
    <format dxfId="277">
      <pivotArea type="all" dataOnly="0" outline="0" fieldPosition="0"/>
    </format>
    <format dxfId="276">
      <pivotArea type="all" dataOnly="0" outline="0" fieldPosition="0"/>
    </format>
    <format dxfId="275">
      <pivotArea type="all" dataOnly="0" outline="0" fieldPosition="0"/>
    </format>
    <format dxfId="274">
      <pivotArea type="all" dataOnly="0" outline="0" fieldPosition="0"/>
    </format>
    <format dxfId="273">
      <pivotArea type="all" dataOnly="0" outline="0" fieldPosition="0"/>
    </format>
    <format dxfId="272">
      <pivotArea outline="0" collapsedLevelsAreSubtotals="1" fieldPosition="0"/>
    </format>
    <format dxfId="271">
      <pivotArea dataOnly="0" labelOnly="1" outline="0" axis="axisValues" fieldPosition="0"/>
    </format>
    <format dxfId="270">
      <pivotArea type="all" dataOnly="0" outline="0" fieldPosition="0"/>
    </format>
    <format dxfId="269">
      <pivotArea outline="0" collapsedLevelsAreSubtotals="1" fieldPosition="0"/>
    </format>
    <format dxfId="268">
      <pivotArea dataOnly="0" labelOnly="1" outline="0" axis="axisValues" fieldPosition="0"/>
    </format>
    <format dxfId="267">
      <pivotArea type="all" dataOnly="0" outline="0" fieldPosition="0"/>
    </format>
    <format dxfId="266">
      <pivotArea outline="0" collapsedLevelsAreSubtotals="1" fieldPosition="0"/>
    </format>
    <format dxfId="265">
      <pivotArea dataOnly="0" labelOnly="1" outline="0" axis="axisValues" fieldPosition="0"/>
    </format>
    <format dxfId="264">
      <pivotArea type="all" dataOnly="0" outline="0" fieldPosition="0"/>
    </format>
    <format dxfId="263">
      <pivotArea outline="0" collapsedLevelsAreSubtotals="1" fieldPosition="0"/>
    </format>
    <format dxfId="262">
      <pivotArea dataOnly="0" labelOnly="1" outline="0" axis="axisValues" fieldPosition="0"/>
    </format>
    <format dxfId="261">
      <pivotArea type="all" dataOnly="0" outline="0" fieldPosition="0"/>
    </format>
    <format dxfId="260">
      <pivotArea outline="0" collapsedLevelsAreSubtotals="1" fieldPosition="0"/>
    </format>
    <format dxfId="259">
      <pivotArea dataOnly="0" labelOnly="1" outline="0" axis="axisValues" fieldPosition="0"/>
    </format>
    <format dxfId="258">
      <pivotArea type="all" dataOnly="0" outline="0" fieldPosition="0"/>
    </format>
    <format dxfId="257">
      <pivotArea outline="0" collapsedLevelsAreSubtotals="1" fieldPosition="0"/>
    </format>
    <format dxfId="256">
      <pivotArea dataOnly="0" labelOnly="1" outline="0" axis="axisValues" fieldPosition="0"/>
    </format>
    <format dxfId="255">
      <pivotArea type="all" dataOnly="0" outline="0" fieldPosition="0"/>
    </format>
    <format dxfId="254">
      <pivotArea outline="0" collapsedLevelsAreSubtotals="1" fieldPosition="0"/>
    </format>
    <format dxfId="2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163" dT="2021-06-09T08:15:04.82" personId="{EDB5A4E2-2911-4400-B3B1-0772CBBF07EA}" id="{2160750A-24EF-4685-AD3C-5B945722D9DD}">
    <text>Care  Home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7" Type="http://schemas.openxmlformats.org/officeDocument/2006/relationships/pivotTable" Target="../pivotTables/pivotTable7.xml"/><Relationship Id="rId71" Type="http://schemas.openxmlformats.org/officeDocument/2006/relationships/pivotTable" Target="../pivotTables/pivotTable71.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D419A-9872-4482-8EF5-7CE4F8F2BB3D}">
  <sheetPr>
    <pageSetUpPr autoPageBreaks="0"/>
  </sheetPr>
  <dimension ref="A1:AB331"/>
  <sheetViews>
    <sheetView tabSelected="1" zoomScaleNormal="100" zoomScaleSheetLayoutView="100" zoomScalePageLayoutView="60" workbookViewId="0">
      <selection activeCell="B2" sqref="B2:S3"/>
    </sheetView>
  </sheetViews>
  <sheetFormatPr defaultColWidth="9.140625" defaultRowHeight="12.75" x14ac:dyDescent="0.2"/>
  <cols>
    <col min="1" max="2" width="9.140625" style="6"/>
    <col min="3" max="5" width="9.7109375" style="6" customWidth="1"/>
    <col min="6" max="6" width="9.140625" style="6"/>
    <col min="7" max="7" width="9.42578125" style="6" customWidth="1"/>
    <col min="8" max="8" width="9.140625" style="6"/>
    <col min="9" max="9" width="9.140625" style="6" customWidth="1"/>
    <col min="10" max="12" width="9.140625" style="6"/>
    <col min="13" max="13" width="9.140625" style="6" customWidth="1"/>
    <col min="14" max="20" width="9.140625" style="6"/>
    <col min="21" max="22" width="9.140625" style="6" customWidth="1"/>
    <col min="23" max="16384" width="9.140625" style="6"/>
  </cols>
  <sheetData>
    <row r="1" spans="2:22" ht="23.25" customHeight="1" x14ac:dyDescent="0.2">
      <c r="B1" s="7"/>
      <c r="C1" s="8"/>
      <c r="D1" s="9"/>
      <c r="E1" s="9"/>
      <c r="F1" s="9"/>
      <c r="G1" s="9"/>
      <c r="H1" s="9"/>
      <c r="I1" s="9"/>
      <c r="J1" s="9"/>
      <c r="K1" s="9"/>
      <c r="L1" s="9"/>
      <c r="M1" s="9"/>
      <c r="N1" s="9"/>
      <c r="O1" s="9"/>
      <c r="P1" s="9"/>
      <c r="Q1" s="9"/>
      <c r="R1" s="9"/>
      <c r="S1" s="10"/>
    </row>
    <row r="2" spans="2:22" ht="50.1" customHeight="1" x14ac:dyDescent="0.2">
      <c r="B2" s="423" t="s">
        <v>0</v>
      </c>
      <c r="C2" s="424"/>
      <c r="D2" s="424"/>
      <c r="E2" s="424"/>
      <c r="F2" s="424"/>
      <c r="G2" s="424"/>
      <c r="H2" s="424"/>
      <c r="I2" s="424"/>
      <c r="J2" s="424"/>
      <c r="K2" s="424"/>
      <c r="L2" s="424"/>
      <c r="M2" s="424"/>
      <c r="N2" s="424"/>
      <c r="O2" s="424"/>
      <c r="P2" s="424"/>
      <c r="Q2" s="424"/>
      <c r="R2" s="424"/>
      <c r="S2" s="425"/>
    </row>
    <row r="3" spans="2:22" x14ac:dyDescent="0.2">
      <c r="B3" s="426"/>
      <c r="C3" s="427"/>
      <c r="D3" s="427"/>
      <c r="E3" s="427"/>
      <c r="F3" s="427"/>
      <c r="G3" s="427"/>
      <c r="H3" s="427"/>
      <c r="I3" s="427"/>
      <c r="J3" s="427"/>
      <c r="K3" s="427"/>
      <c r="L3" s="427"/>
      <c r="M3" s="427"/>
      <c r="N3" s="427"/>
      <c r="O3" s="427"/>
      <c r="P3" s="427"/>
      <c r="Q3" s="427"/>
      <c r="R3" s="427"/>
      <c r="S3" s="428"/>
    </row>
    <row r="4" spans="2:22" x14ac:dyDescent="0.2">
      <c r="B4" s="11"/>
      <c r="C4" s="12"/>
      <c r="D4" s="12"/>
      <c r="E4" s="12"/>
      <c r="F4" s="12"/>
      <c r="G4" s="12"/>
      <c r="H4" s="12"/>
      <c r="I4" s="12"/>
      <c r="J4" s="12"/>
      <c r="K4" s="12"/>
      <c r="L4" s="12"/>
      <c r="M4" s="12"/>
      <c r="N4" s="12"/>
      <c r="O4" s="12"/>
      <c r="P4" s="12"/>
      <c r="Q4" s="12"/>
      <c r="R4" s="12"/>
      <c r="S4" s="13"/>
    </row>
    <row r="5" spans="2:22" x14ac:dyDescent="0.2">
      <c r="B5" s="11"/>
      <c r="C5" s="14" t="s">
        <v>1</v>
      </c>
      <c r="D5" s="14" t="s">
        <v>2</v>
      </c>
      <c r="E5" s="15"/>
      <c r="F5" s="15"/>
      <c r="G5" s="15"/>
      <c r="H5" s="15"/>
      <c r="I5" s="15"/>
      <c r="J5" s="15"/>
      <c r="K5" s="15"/>
      <c r="L5" s="15"/>
      <c r="M5" s="15"/>
      <c r="N5" s="15"/>
      <c r="O5" s="12"/>
      <c r="P5" s="12"/>
      <c r="Q5" s="12"/>
      <c r="R5" s="12"/>
      <c r="S5" s="13"/>
    </row>
    <row r="6" spans="2:22" ht="22.5" customHeight="1" x14ac:dyDescent="0.2">
      <c r="B6" s="16"/>
      <c r="C6" s="388" t="s">
        <v>3</v>
      </c>
      <c r="D6" s="429"/>
      <c r="E6" s="429"/>
      <c r="F6" s="422" t="s">
        <v>4</v>
      </c>
      <c r="G6" s="430" t="s">
        <v>5</v>
      </c>
      <c r="H6" s="431"/>
      <c r="I6" s="431"/>
      <c r="J6" s="431"/>
      <c r="K6" s="431"/>
      <c r="L6" s="431"/>
      <c r="M6" s="431"/>
      <c r="N6" s="431"/>
      <c r="O6" s="431"/>
      <c r="P6" s="388"/>
      <c r="Q6" s="422" t="s">
        <v>6</v>
      </c>
      <c r="R6" s="422" t="s">
        <v>7</v>
      </c>
      <c r="S6" s="13"/>
      <c r="T6" s="12"/>
    </row>
    <row r="7" spans="2:22" x14ac:dyDescent="0.2">
      <c r="B7" s="16"/>
      <c r="C7" s="388"/>
      <c r="D7" s="429"/>
      <c r="E7" s="429"/>
      <c r="F7" s="422"/>
      <c r="G7" s="156" t="s">
        <v>8</v>
      </c>
      <c r="H7" s="156" t="s">
        <v>9</v>
      </c>
      <c r="I7" s="156" t="s">
        <v>10</v>
      </c>
      <c r="J7" s="156" t="s">
        <v>11</v>
      </c>
      <c r="K7" s="156" t="s">
        <v>12</v>
      </c>
      <c r="L7" s="156" t="s">
        <v>13</v>
      </c>
      <c r="M7" s="156" t="s">
        <v>14</v>
      </c>
      <c r="N7" s="156" t="s">
        <v>15</v>
      </c>
      <c r="O7" s="156" t="s">
        <v>16</v>
      </c>
      <c r="P7" s="156" t="s">
        <v>17</v>
      </c>
      <c r="Q7" s="422"/>
      <c r="R7" s="422"/>
      <c r="S7" s="13"/>
      <c r="T7" s="12"/>
    </row>
    <row r="8" spans="2:22" x14ac:dyDescent="0.2">
      <c r="B8" s="16"/>
      <c r="C8" s="434" t="s">
        <v>18</v>
      </c>
      <c r="D8" s="435"/>
      <c r="E8" s="435"/>
      <c r="F8" s="216">
        <v>2450</v>
      </c>
      <c r="G8" s="17">
        <v>208</v>
      </c>
      <c r="H8" s="18">
        <v>695</v>
      </c>
      <c r="I8" s="19">
        <v>235</v>
      </c>
      <c r="J8" s="17">
        <v>304</v>
      </c>
      <c r="K8" s="17">
        <v>491</v>
      </c>
      <c r="L8" s="17">
        <v>460</v>
      </c>
      <c r="M8" s="17">
        <v>382</v>
      </c>
      <c r="N8" s="17">
        <v>419</v>
      </c>
      <c r="O8" s="17">
        <v>331</v>
      </c>
      <c r="P8" s="17">
        <f>GETPIVOTDATA("Net Dwellings",Pivot!$B$6)</f>
        <v>206</v>
      </c>
      <c r="Q8" s="216">
        <f>SUM(G8:P8)</f>
        <v>3731</v>
      </c>
      <c r="R8" s="217">
        <f>Q8/F8</f>
        <v>1.5228571428571429</v>
      </c>
      <c r="S8" s="13"/>
      <c r="T8" s="12"/>
    </row>
    <row r="9" spans="2:22" ht="12.75" customHeight="1" x14ac:dyDescent="0.2">
      <c r="B9" s="11"/>
      <c r="C9" s="20"/>
      <c r="D9" s="20"/>
      <c r="E9" s="20"/>
      <c r="F9" s="21"/>
      <c r="G9" s="21"/>
      <c r="H9" s="22"/>
      <c r="I9" s="23"/>
      <c r="J9" s="21"/>
      <c r="K9" s="21"/>
      <c r="L9" s="21"/>
      <c r="M9" s="21"/>
      <c r="N9" s="21"/>
      <c r="O9" s="24"/>
      <c r="P9" s="12"/>
      <c r="Q9" s="12"/>
      <c r="R9" s="12"/>
      <c r="S9" s="13"/>
      <c r="T9" s="12"/>
    </row>
    <row r="10" spans="2:22" ht="12.75" customHeight="1" x14ac:dyDescent="0.2">
      <c r="B10" s="11"/>
      <c r="C10" s="25"/>
      <c r="D10" s="12"/>
      <c r="E10" s="12"/>
      <c r="F10" s="12"/>
      <c r="G10" s="12"/>
      <c r="H10" s="12"/>
      <c r="I10" s="12"/>
      <c r="J10" s="12"/>
      <c r="K10" s="12"/>
      <c r="L10" s="12"/>
      <c r="M10" s="12"/>
      <c r="N10" s="12"/>
      <c r="O10" s="12"/>
      <c r="P10" s="12"/>
      <c r="Q10" s="12"/>
      <c r="R10" s="12"/>
      <c r="S10" s="13"/>
    </row>
    <row r="11" spans="2:22" x14ac:dyDescent="0.2">
      <c r="B11" s="11"/>
      <c r="C11" s="14" t="s">
        <v>19</v>
      </c>
      <c r="D11" s="14" t="s">
        <v>20</v>
      </c>
      <c r="E11" s="15"/>
      <c r="F11" s="15"/>
      <c r="G11" s="15"/>
      <c r="H11" s="15"/>
      <c r="I11" s="15"/>
      <c r="J11" s="15"/>
      <c r="K11" s="15"/>
      <c r="L11" s="15"/>
      <c r="M11" s="15"/>
      <c r="N11" s="15"/>
      <c r="O11" s="12"/>
      <c r="P11" s="12"/>
      <c r="Q11" s="12"/>
      <c r="R11" s="12"/>
      <c r="S11" s="13"/>
    </row>
    <row r="12" spans="2:22" ht="21.95" customHeight="1" x14ac:dyDescent="0.2">
      <c r="B12" s="16"/>
      <c r="C12" s="388" t="s">
        <v>3</v>
      </c>
      <c r="D12" s="429"/>
      <c r="E12" s="429"/>
      <c r="F12" s="422" t="s">
        <v>4</v>
      </c>
      <c r="G12" s="430" t="s">
        <v>21</v>
      </c>
      <c r="H12" s="431"/>
      <c r="I12" s="431"/>
      <c r="J12" s="431"/>
      <c r="K12" s="431"/>
      <c r="L12" s="388"/>
      <c r="M12" s="422" t="s">
        <v>6</v>
      </c>
      <c r="N12" s="432" t="s">
        <v>7</v>
      </c>
      <c r="O12" s="12"/>
      <c r="P12" s="12"/>
      <c r="Q12" s="12"/>
      <c r="R12" s="12"/>
      <c r="S12" s="13"/>
    </row>
    <row r="13" spans="2:22" x14ac:dyDescent="0.2">
      <c r="B13" s="16"/>
      <c r="C13" s="388"/>
      <c r="D13" s="429"/>
      <c r="E13" s="429"/>
      <c r="F13" s="422"/>
      <c r="G13" s="160" t="s">
        <v>12</v>
      </c>
      <c r="H13" s="160" t="s">
        <v>13</v>
      </c>
      <c r="I13" s="159" t="s">
        <v>14</v>
      </c>
      <c r="J13" s="159" t="s">
        <v>15</v>
      </c>
      <c r="K13" s="159" t="s">
        <v>16</v>
      </c>
      <c r="L13" s="159" t="s">
        <v>17</v>
      </c>
      <c r="M13" s="422"/>
      <c r="N13" s="433"/>
      <c r="O13" s="12"/>
      <c r="P13" s="12"/>
      <c r="Q13" s="12"/>
      <c r="R13" s="12"/>
      <c r="S13" s="13"/>
    </row>
    <row r="14" spans="2:22" x14ac:dyDescent="0.2">
      <c r="B14" s="16"/>
      <c r="C14" s="436" t="s">
        <v>18</v>
      </c>
      <c r="D14" s="437"/>
      <c r="E14" s="437"/>
      <c r="F14" s="216">
        <v>3150</v>
      </c>
      <c r="G14" s="17">
        <v>491</v>
      </c>
      <c r="H14" s="17">
        <v>460</v>
      </c>
      <c r="I14" s="17">
        <v>382</v>
      </c>
      <c r="J14" s="17">
        <v>419</v>
      </c>
      <c r="K14" s="17">
        <v>311</v>
      </c>
      <c r="L14" s="17">
        <f>P8</f>
        <v>206</v>
      </c>
      <c r="M14" s="216">
        <f>SUM(G14:L14)</f>
        <v>2269</v>
      </c>
      <c r="N14" s="217">
        <f>M14/F14</f>
        <v>0.72031746031746036</v>
      </c>
      <c r="O14" s="12"/>
      <c r="P14" s="12"/>
      <c r="Q14" s="12"/>
      <c r="R14" s="12"/>
      <c r="S14" s="13"/>
      <c r="V14" s="12"/>
    </row>
    <row r="15" spans="2:22" x14ac:dyDescent="0.2">
      <c r="B15" s="11"/>
      <c r="C15" s="26"/>
      <c r="D15" s="26"/>
      <c r="E15" s="20"/>
      <c r="F15" s="255"/>
      <c r="G15" s="21"/>
      <c r="H15" s="21"/>
      <c r="I15" s="21"/>
      <c r="J15" s="21"/>
      <c r="K15" s="21"/>
      <c r="L15" s="21"/>
      <c r="M15" s="255"/>
      <c r="N15" s="256"/>
      <c r="O15" s="12"/>
      <c r="P15" s="12"/>
      <c r="Q15" s="12"/>
      <c r="R15" s="12"/>
      <c r="S15" s="13"/>
      <c r="V15" s="12"/>
    </row>
    <row r="16" spans="2:22" ht="12.75" customHeight="1" x14ac:dyDescent="0.2">
      <c r="B16" s="11"/>
      <c r="C16" s="26"/>
      <c r="D16" s="26"/>
      <c r="E16" s="12"/>
      <c r="F16" s="12"/>
      <c r="G16" s="12"/>
      <c r="H16" s="12"/>
      <c r="I16" s="12"/>
      <c r="J16" s="12"/>
      <c r="K16" s="12"/>
      <c r="L16" s="12"/>
      <c r="M16" s="12"/>
      <c r="N16" s="12"/>
      <c r="O16" s="12"/>
      <c r="P16" s="12"/>
      <c r="Q16" s="12"/>
      <c r="R16" s="12"/>
      <c r="S16" s="13"/>
    </row>
    <row r="17" spans="1:28" x14ac:dyDescent="0.2">
      <c r="B17" s="11"/>
      <c r="C17" s="14" t="s">
        <v>22</v>
      </c>
      <c r="D17" s="14" t="s">
        <v>23</v>
      </c>
      <c r="E17" s="15"/>
      <c r="F17" s="15"/>
      <c r="G17" s="15"/>
      <c r="H17" s="15"/>
      <c r="I17" s="15"/>
      <c r="J17" s="15"/>
      <c r="K17" s="15"/>
      <c r="L17" s="15"/>
      <c r="M17" s="15"/>
      <c r="N17" s="27"/>
      <c r="O17" s="27"/>
      <c r="P17" s="12"/>
      <c r="Q17" s="12"/>
      <c r="R17" s="12"/>
      <c r="S17" s="13"/>
    </row>
    <row r="18" spans="1:28" ht="15" x14ac:dyDescent="0.25">
      <c r="B18" s="16"/>
      <c r="C18" s="438"/>
      <c r="D18" s="439"/>
      <c r="E18" s="439"/>
      <c r="F18" s="439"/>
      <c r="G18" s="439"/>
      <c r="H18" s="439"/>
      <c r="I18" s="439"/>
      <c r="J18" s="439"/>
      <c r="K18" s="439"/>
      <c r="L18" s="439"/>
      <c r="M18" s="439"/>
      <c r="N18" s="27"/>
      <c r="O18" s="12"/>
      <c r="P18" s="12"/>
      <c r="Q18" s="12"/>
      <c r="R18" s="12"/>
      <c r="S18" s="13"/>
      <c r="U18" s="28"/>
      <c r="V18" s="29"/>
    </row>
    <row r="19" spans="1:28" x14ac:dyDescent="0.2">
      <c r="B19" s="16"/>
      <c r="C19" s="191" t="s">
        <v>24</v>
      </c>
      <c r="D19" s="405" t="s">
        <v>25</v>
      </c>
      <c r="E19" s="406"/>
      <c r="F19" s="406"/>
      <c r="G19" s="406"/>
      <c r="H19" s="406"/>
      <c r="I19" s="406"/>
      <c r="J19" s="406"/>
      <c r="K19" s="406"/>
      <c r="L19" s="407"/>
      <c r="M19" s="161">
        <v>3150</v>
      </c>
      <c r="N19" s="12"/>
      <c r="O19" s="12"/>
      <c r="P19" s="12"/>
      <c r="Q19" s="12"/>
      <c r="R19" s="12"/>
      <c r="S19" s="13"/>
    </row>
    <row r="20" spans="1:28" ht="15" x14ac:dyDescent="0.25">
      <c r="B20" s="16"/>
      <c r="C20" s="191" t="s">
        <v>26</v>
      </c>
      <c r="D20" s="405" t="s">
        <v>27</v>
      </c>
      <c r="E20" s="406"/>
      <c r="F20" s="406"/>
      <c r="G20" s="406"/>
      <c r="H20" s="406"/>
      <c r="I20" s="406"/>
      <c r="J20" s="406"/>
      <c r="K20" s="406"/>
      <c r="L20" s="407"/>
      <c r="M20" s="162">
        <f>M14</f>
        <v>2269</v>
      </c>
      <c r="N20" s="12"/>
      <c r="O20" s="12"/>
      <c r="P20" s="12"/>
      <c r="Q20" s="12"/>
      <c r="R20" s="12"/>
      <c r="S20" s="13"/>
      <c r="U20" s="30"/>
      <c r="V20" s="30"/>
    </row>
    <row r="21" spans="1:28" x14ac:dyDescent="0.2">
      <c r="B21" s="16"/>
      <c r="C21" s="191" t="s">
        <v>28</v>
      </c>
      <c r="D21" s="405" t="s">
        <v>29</v>
      </c>
      <c r="E21" s="406"/>
      <c r="F21" s="406"/>
      <c r="G21" s="406"/>
      <c r="H21" s="406"/>
      <c r="I21" s="406"/>
      <c r="J21" s="407"/>
      <c r="K21" s="408" t="s">
        <v>30</v>
      </c>
      <c r="L21" s="409"/>
      <c r="M21" s="162">
        <f>M19-M20</f>
        <v>881</v>
      </c>
      <c r="N21" s="12"/>
      <c r="O21" s="12"/>
      <c r="P21" s="12"/>
      <c r="Q21" s="12"/>
      <c r="R21" s="12"/>
      <c r="S21" s="13"/>
    </row>
    <row r="22" spans="1:28" x14ac:dyDescent="0.2">
      <c r="B22" s="16"/>
      <c r="C22" s="191" t="s">
        <v>31</v>
      </c>
      <c r="D22" s="405" t="s">
        <v>32</v>
      </c>
      <c r="E22" s="406"/>
      <c r="F22" s="406"/>
      <c r="G22" s="406"/>
      <c r="H22" s="406"/>
      <c r="I22" s="406"/>
      <c r="J22" s="407"/>
      <c r="K22" s="408" t="s">
        <v>33</v>
      </c>
      <c r="L22" s="409"/>
      <c r="M22" s="162">
        <f>M21/5</f>
        <v>176.2</v>
      </c>
      <c r="N22" s="12"/>
      <c r="O22" s="12"/>
      <c r="P22" s="12"/>
      <c r="Q22" s="12"/>
      <c r="R22" s="12"/>
      <c r="S22" s="13"/>
    </row>
    <row r="23" spans="1:28" x14ac:dyDescent="0.2">
      <c r="B23" s="16"/>
      <c r="C23" s="191" t="s">
        <v>34</v>
      </c>
      <c r="D23" s="405" t="s">
        <v>35</v>
      </c>
      <c r="E23" s="406"/>
      <c r="F23" s="406"/>
      <c r="G23" s="406"/>
      <c r="H23" s="406"/>
      <c r="I23" s="406"/>
      <c r="J23" s="407"/>
      <c r="K23" s="408" t="s">
        <v>36</v>
      </c>
      <c r="L23" s="409"/>
      <c r="M23" s="162">
        <f>M22*5</f>
        <v>881</v>
      </c>
      <c r="N23" s="12"/>
      <c r="O23" s="12"/>
      <c r="P23" s="12"/>
      <c r="Q23" s="12"/>
      <c r="R23" s="12"/>
      <c r="S23" s="13"/>
    </row>
    <row r="24" spans="1:28" x14ac:dyDescent="0.2">
      <c r="B24" s="16"/>
      <c r="C24" s="191" t="s">
        <v>37</v>
      </c>
      <c r="D24" s="405" t="s">
        <v>38</v>
      </c>
      <c r="E24" s="406"/>
      <c r="F24" s="406"/>
      <c r="G24" s="406"/>
      <c r="H24" s="406"/>
      <c r="I24" s="406"/>
      <c r="J24" s="407"/>
      <c r="K24" s="408" t="s">
        <v>39</v>
      </c>
      <c r="L24" s="409"/>
      <c r="M24" s="162">
        <f>M23*0.05</f>
        <v>44.050000000000004</v>
      </c>
      <c r="N24" s="12"/>
      <c r="O24" s="12"/>
      <c r="P24" s="12"/>
      <c r="Q24" s="12"/>
      <c r="R24" s="12"/>
      <c r="S24" s="13"/>
    </row>
    <row r="25" spans="1:28" x14ac:dyDescent="0.2">
      <c r="B25" s="16"/>
      <c r="C25" s="191" t="s">
        <v>40</v>
      </c>
      <c r="D25" s="405" t="s">
        <v>41</v>
      </c>
      <c r="E25" s="406"/>
      <c r="F25" s="406"/>
      <c r="G25" s="406"/>
      <c r="H25" s="406"/>
      <c r="I25" s="406"/>
      <c r="J25" s="407"/>
      <c r="K25" s="408" t="s">
        <v>42</v>
      </c>
      <c r="L25" s="409"/>
      <c r="M25" s="162">
        <f>M23+M24</f>
        <v>925.05</v>
      </c>
      <c r="N25" s="12"/>
      <c r="O25" s="12"/>
      <c r="P25" s="12"/>
      <c r="Q25" s="12"/>
      <c r="R25" s="12"/>
      <c r="S25" s="13"/>
    </row>
    <row r="26" spans="1:28" x14ac:dyDescent="0.2">
      <c r="B26" s="16"/>
      <c r="C26" s="191" t="s">
        <v>43</v>
      </c>
      <c r="D26" s="405" t="s">
        <v>44</v>
      </c>
      <c r="E26" s="406"/>
      <c r="F26" s="406"/>
      <c r="G26" s="406"/>
      <c r="H26" s="406"/>
      <c r="I26" s="406"/>
      <c r="J26" s="407"/>
      <c r="K26" s="408"/>
      <c r="L26" s="409"/>
      <c r="M26" s="161">
        <f>I53</f>
        <v>2087.25</v>
      </c>
      <c r="N26" s="12"/>
      <c r="O26" s="12"/>
      <c r="P26" s="12"/>
      <c r="Q26" s="12"/>
      <c r="R26" s="12"/>
      <c r="S26" s="13"/>
    </row>
    <row r="27" spans="1:28" x14ac:dyDescent="0.2">
      <c r="B27" s="16"/>
      <c r="C27" s="191" t="s">
        <v>45</v>
      </c>
      <c r="D27" s="405" t="s">
        <v>46</v>
      </c>
      <c r="E27" s="406"/>
      <c r="F27" s="406"/>
      <c r="G27" s="406"/>
      <c r="H27" s="406"/>
      <c r="I27" s="406"/>
      <c r="J27" s="407"/>
      <c r="K27" s="408" t="s">
        <v>47</v>
      </c>
      <c r="L27" s="409"/>
      <c r="M27" s="163">
        <f>M26/M25</f>
        <v>2.2563645208367116</v>
      </c>
      <c r="N27" s="12"/>
      <c r="O27" s="12"/>
      <c r="P27" s="12"/>
      <c r="Q27" s="12"/>
      <c r="R27" s="12"/>
      <c r="S27" s="13"/>
    </row>
    <row r="28" spans="1:28" x14ac:dyDescent="0.2">
      <c r="B28" s="16"/>
      <c r="C28" s="191" t="s">
        <v>48</v>
      </c>
      <c r="D28" s="405" t="s">
        <v>49</v>
      </c>
      <c r="E28" s="406"/>
      <c r="F28" s="406"/>
      <c r="G28" s="406"/>
      <c r="H28" s="406"/>
      <c r="I28" s="406"/>
      <c r="J28" s="407"/>
      <c r="K28" s="408" t="s">
        <v>50</v>
      </c>
      <c r="L28" s="409"/>
      <c r="M28" s="235">
        <f>M26/M22</f>
        <v>11.845913734392736</v>
      </c>
      <c r="N28" s="12"/>
      <c r="O28" s="12"/>
      <c r="P28" s="12"/>
      <c r="Q28" s="12"/>
      <c r="R28" s="12"/>
      <c r="S28" s="13"/>
    </row>
    <row r="29" spans="1:28" x14ac:dyDescent="0.2">
      <c r="B29" s="11"/>
      <c r="C29" s="184"/>
      <c r="D29" s="185"/>
      <c r="E29" s="185"/>
      <c r="F29" s="185"/>
      <c r="G29" s="185"/>
      <c r="H29" s="185"/>
      <c r="I29" s="185"/>
      <c r="J29" s="185"/>
      <c r="K29" s="184"/>
      <c r="L29" s="184"/>
      <c r="M29" s="186"/>
      <c r="N29" s="12"/>
      <c r="O29" s="12"/>
      <c r="P29" s="12"/>
      <c r="Q29" s="12"/>
      <c r="R29" s="12"/>
      <c r="S29" s="13"/>
    </row>
    <row r="30" spans="1:28" x14ac:dyDescent="0.2">
      <c r="B30" s="11"/>
      <c r="C30" s="187"/>
      <c r="D30" s="188"/>
      <c r="E30" s="188"/>
      <c r="F30" s="188"/>
      <c r="G30" s="188"/>
      <c r="H30" s="188"/>
      <c r="I30" s="188"/>
      <c r="J30" s="188"/>
      <c r="K30" s="187"/>
      <c r="L30" s="187"/>
      <c r="M30" s="189"/>
      <c r="N30" s="190"/>
      <c r="O30" s="12"/>
      <c r="P30" s="12"/>
      <c r="Q30" s="12"/>
      <c r="R30" s="12"/>
      <c r="S30" s="13"/>
    </row>
    <row r="31" spans="1:28" x14ac:dyDescent="0.2">
      <c r="A31" s="224"/>
      <c r="B31" s="225"/>
      <c r="C31" s="226" t="s">
        <v>51</v>
      </c>
      <c r="D31" s="14" t="s">
        <v>52</v>
      </c>
      <c r="E31" s="227"/>
      <c r="F31" s="227"/>
      <c r="G31" s="227"/>
      <c r="H31" s="227"/>
      <c r="I31" s="227"/>
      <c r="J31" s="227"/>
      <c r="K31" s="227"/>
      <c r="L31" s="227"/>
      <c r="M31" s="227"/>
      <c r="N31" s="228"/>
      <c r="O31" s="228"/>
      <c r="P31" s="228"/>
      <c r="Q31" s="228"/>
      <c r="R31" s="228"/>
      <c r="S31" s="229"/>
      <c r="T31" s="224"/>
      <c r="U31" s="224"/>
      <c r="V31" s="224"/>
      <c r="W31" s="224"/>
      <c r="X31" s="224"/>
      <c r="Y31" s="224"/>
      <c r="Z31" s="224"/>
      <c r="AA31" s="224"/>
      <c r="AB31" s="224"/>
    </row>
    <row r="32" spans="1:28" x14ac:dyDescent="0.2">
      <c r="A32" s="224"/>
      <c r="B32" s="230"/>
      <c r="C32" s="414"/>
      <c r="D32" s="415"/>
      <c r="E32" s="415"/>
      <c r="F32" s="415"/>
      <c r="G32" s="415"/>
      <c r="H32" s="415"/>
      <c r="I32" s="415"/>
      <c r="J32" s="415"/>
      <c r="K32" s="415"/>
      <c r="L32" s="415"/>
      <c r="M32" s="416"/>
      <c r="N32" s="228"/>
      <c r="O32" s="228"/>
      <c r="P32" s="228"/>
      <c r="Q32" s="228"/>
      <c r="R32" s="228"/>
      <c r="S32" s="229"/>
      <c r="T32" s="224"/>
      <c r="U32" s="224"/>
      <c r="V32" s="224"/>
      <c r="W32" s="224"/>
      <c r="X32" s="224"/>
      <c r="Y32" s="224"/>
      <c r="Z32" s="224"/>
      <c r="AA32" s="224"/>
      <c r="AB32" s="224"/>
    </row>
    <row r="33" spans="1:28" x14ac:dyDescent="0.2">
      <c r="A33" s="224"/>
      <c r="B33" s="230"/>
      <c r="C33" s="231" t="s">
        <v>24</v>
      </c>
      <c r="D33" s="316" t="s">
        <v>53</v>
      </c>
      <c r="E33" s="317"/>
      <c r="F33" s="317"/>
      <c r="G33" s="317"/>
      <c r="H33" s="317"/>
      <c r="I33" s="317"/>
      <c r="J33" s="317"/>
      <c r="K33" s="317"/>
      <c r="L33" s="318"/>
      <c r="M33" s="232">
        <v>4110</v>
      </c>
      <c r="N33" s="228"/>
      <c r="O33" s="228"/>
      <c r="P33" s="228"/>
      <c r="Q33" s="228"/>
      <c r="R33" s="228"/>
      <c r="S33" s="229"/>
      <c r="T33" s="224"/>
      <c r="U33" s="224"/>
      <c r="V33" s="224"/>
      <c r="W33" s="224"/>
      <c r="X33" s="224"/>
      <c r="Y33" s="224"/>
      <c r="Z33" s="224"/>
      <c r="AA33" s="224"/>
      <c r="AB33" s="224"/>
    </row>
    <row r="34" spans="1:28" x14ac:dyDescent="0.2">
      <c r="A34" s="224"/>
      <c r="B34" s="230"/>
      <c r="C34" s="231" t="s">
        <v>26</v>
      </c>
      <c r="D34" s="316" t="s">
        <v>32</v>
      </c>
      <c r="E34" s="317"/>
      <c r="F34" s="317"/>
      <c r="G34" s="317"/>
      <c r="H34" s="317"/>
      <c r="I34" s="317"/>
      <c r="J34" s="318"/>
      <c r="K34" s="319" t="s">
        <v>54</v>
      </c>
      <c r="L34" s="320"/>
      <c r="M34" s="234">
        <v>411</v>
      </c>
      <c r="N34" s="228"/>
      <c r="O34" s="228"/>
      <c r="P34" s="228"/>
      <c r="Q34" s="228"/>
      <c r="R34" s="228"/>
      <c r="S34" s="229"/>
      <c r="T34" s="224"/>
      <c r="U34" s="224"/>
      <c r="V34" s="224"/>
      <c r="W34" s="224"/>
      <c r="X34" s="224"/>
      <c r="Y34" s="224"/>
      <c r="Z34" s="224"/>
      <c r="AA34" s="224"/>
      <c r="AB34" s="224"/>
    </row>
    <row r="35" spans="1:28" x14ac:dyDescent="0.2">
      <c r="A35" s="224"/>
      <c r="B35" s="230"/>
      <c r="C35" s="231" t="s">
        <v>28</v>
      </c>
      <c r="D35" s="316" t="s">
        <v>35</v>
      </c>
      <c r="E35" s="317"/>
      <c r="F35" s="317"/>
      <c r="G35" s="317"/>
      <c r="H35" s="317"/>
      <c r="I35" s="317"/>
      <c r="J35" s="318"/>
      <c r="K35" s="319" t="s">
        <v>55</v>
      </c>
      <c r="L35" s="320"/>
      <c r="M35" s="233">
        <f>M34*5</f>
        <v>2055</v>
      </c>
      <c r="N35" s="228"/>
      <c r="O35" s="228"/>
      <c r="P35" s="228"/>
      <c r="Q35" s="228"/>
      <c r="R35" s="228"/>
      <c r="S35" s="229"/>
      <c r="T35" s="224"/>
      <c r="U35" s="224"/>
      <c r="V35" s="224"/>
      <c r="W35" s="224"/>
      <c r="X35" s="224"/>
      <c r="Y35" s="224"/>
      <c r="Z35" s="224"/>
      <c r="AA35" s="224"/>
      <c r="AB35" s="224"/>
    </row>
    <row r="36" spans="1:28" x14ac:dyDescent="0.2">
      <c r="A36" s="224"/>
      <c r="B36" s="230"/>
      <c r="C36" s="231" t="s">
        <v>31</v>
      </c>
      <c r="D36" s="316" t="s">
        <v>38</v>
      </c>
      <c r="E36" s="317"/>
      <c r="F36" s="317"/>
      <c r="G36" s="317"/>
      <c r="H36" s="317"/>
      <c r="I36" s="317"/>
      <c r="J36" s="318"/>
      <c r="K36" s="319" t="s">
        <v>56</v>
      </c>
      <c r="L36" s="320"/>
      <c r="M36" s="234">
        <f>M35*0.05</f>
        <v>102.75</v>
      </c>
      <c r="N36" s="280"/>
      <c r="O36" s="280"/>
      <c r="P36" s="228"/>
      <c r="Q36" s="228"/>
      <c r="R36" s="228"/>
      <c r="S36" s="229"/>
      <c r="T36" s="224"/>
      <c r="U36" s="224"/>
      <c r="V36" s="224"/>
      <c r="W36" s="224"/>
      <c r="X36" s="224"/>
      <c r="Y36" s="224"/>
      <c r="Z36" s="224"/>
      <c r="AA36" s="224"/>
      <c r="AB36" s="224"/>
    </row>
    <row r="37" spans="1:28" x14ac:dyDescent="0.2">
      <c r="A37" s="224"/>
      <c r="B37" s="230"/>
      <c r="C37" s="231" t="s">
        <v>34</v>
      </c>
      <c r="D37" s="316" t="s">
        <v>41</v>
      </c>
      <c r="E37" s="317"/>
      <c r="F37" s="317"/>
      <c r="G37" s="317"/>
      <c r="H37" s="317"/>
      <c r="I37" s="317"/>
      <c r="J37" s="318"/>
      <c r="K37" s="319" t="s">
        <v>57</v>
      </c>
      <c r="L37" s="320"/>
      <c r="M37" s="233">
        <f>M35+M36</f>
        <v>2157.75</v>
      </c>
      <c r="N37" s="228"/>
      <c r="O37" s="228"/>
      <c r="P37" s="228"/>
      <c r="Q37" s="228"/>
      <c r="R37" s="228"/>
      <c r="S37" s="229"/>
      <c r="T37" s="224"/>
      <c r="U37" s="224"/>
      <c r="V37" s="224"/>
      <c r="W37" s="224"/>
      <c r="X37" s="224"/>
      <c r="Y37" s="224"/>
      <c r="Z37" s="224"/>
      <c r="AA37" s="224"/>
      <c r="AB37" s="224"/>
    </row>
    <row r="38" spans="1:28" x14ac:dyDescent="0.2">
      <c r="A38" s="224"/>
      <c r="B38" s="230"/>
      <c r="C38" s="231" t="s">
        <v>37</v>
      </c>
      <c r="D38" s="316" t="s">
        <v>44</v>
      </c>
      <c r="E38" s="317"/>
      <c r="F38" s="317"/>
      <c r="G38" s="317"/>
      <c r="H38" s="317"/>
      <c r="I38" s="317"/>
      <c r="J38" s="318"/>
      <c r="K38" s="319"/>
      <c r="L38" s="320"/>
      <c r="M38" s="236">
        <f>I53</f>
        <v>2087.25</v>
      </c>
      <c r="N38" s="228"/>
      <c r="O38" s="228"/>
      <c r="P38" s="228"/>
      <c r="Q38" s="228"/>
      <c r="R38" s="228"/>
      <c r="S38" s="229"/>
      <c r="T38" s="224"/>
      <c r="U38" s="224"/>
      <c r="V38" s="224"/>
      <c r="W38" s="224"/>
      <c r="X38" s="224"/>
      <c r="Y38" s="224"/>
      <c r="Z38" s="224"/>
      <c r="AA38" s="224"/>
      <c r="AB38" s="224"/>
    </row>
    <row r="39" spans="1:28" x14ac:dyDescent="0.2">
      <c r="A39" s="224"/>
      <c r="B39" s="230"/>
      <c r="C39" s="231" t="s">
        <v>40</v>
      </c>
      <c r="D39" s="316" t="s">
        <v>58</v>
      </c>
      <c r="E39" s="317"/>
      <c r="F39" s="317"/>
      <c r="G39" s="317"/>
      <c r="H39" s="317"/>
      <c r="I39" s="317"/>
      <c r="J39" s="318"/>
      <c r="K39" s="319" t="s">
        <v>59</v>
      </c>
      <c r="L39" s="320"/>
      <c r="M39" s="163">
        <f>M38/M35</f>
        <v>1.0156934306569343</v>
      </c>
      <c r="N39" s="237"/>
      <c r="O39" s="228"/>
      <c r="P39" s="228"/>
      <c r="Q39" s="228"/>
      <c r="R39" s="228"/>
      <c r="S39" s="229"/>
      <c r="T39" s="224"/>
      <c r="U39" s="224"/>
      <c r="V39" s="224"/>
      <c r="W39" s="224"/>
      <c r="X39" s="224"/>
      <c r="Y39" s="224"/>
      <c r="Z39" s="224"/>
      <c r="AA39" s="224"/>
      <c r="AB39" s="224"/>
    </row>
    <row r="40" spans="1:28" x14ac:dyDescent="0.2">
      <c r="A40" s="224"/>
      <c r="B40" s="230"/>
      <c r="C40" s="286" t="s">
        <v>43</v>
      </c>
      <c r="D40" s="417" t="s">
        <v>60</v>
      </c>
      <c r="E40" s="418"/>
      <c r="F40" s="418"/>
      <c r="G40" s="418"/>
      <c r="H40" s="418"/>
      <c r="I40" s="418"/>
      <c r="J40" s="419"/>
      <c r="K40" s="420" t="s">
        <v>61</v>
      </c>
      <c r="L40" s="421"/>
      <c r="M40" s="287">
        <f>M38/M34</f>
        <v>5.0784671532846719</v>
      </c>
      <c r="N40" s="228"/>
      <c r="O40" s="228"/>
      <c r="P40" s="228"/>
      <c r="Q40" s="228"/>
      <c r="R40" s="228"/>
      <c r="S40" s="229"/>
      <c r="T40" s="224"/>
      <c r="U40" s="224"/>
      <c r="V40" s="224"/>
      <c r="W40" s="224"/>
      <c r="X40" s="224"/>
      <c r="Y40" s="224"/>
      <c r="Z40" s="224"/>
      <c r="AA40" s="224"/>
      <c r="AB40" s="224"/>
    </row>
    <row r="41" spans="1:28" ht="12.75" customHeight="1" x14ac:dyDescent="0.2">
      <c r="B41" s="11"/>
      <c r="C41" s="284"/>
      <c r="D41" s="324"/>
      <c r="E41" s="324"/>
      <c r="F41" s="324"/>
      <c r="G41" s="324"/>
      <c r="H41" s="324"/>
      <c r="I41" s="324"/>
      <c r="J41" s="324"/>
      <c r="K41" s="325"/>
      <c r="L41" s="325"/>
      <c r="M41" s="285"/>
      <c r="N41" s="190"/>
      <c r="O41" s="12"/>
      <c r="P41" s="12"/>
      <c r="Q41" s="12"/>
      <c r="R41" s="12"/>
      <c r="S41" s="13"/>
    </row>
    <row r="42" spans="1:28" ht="12.75" customHeight="1" x14ac:dyDescent="0.2">
      <c r="B42" s="34"/>
      <c r="C42" s="35"/>
      <c r="D42" s="36"/>
      <c r="E42" s="36"/>
      <c r="F42" s="36"/>
      <c r="G42" s="36"/>
      <c r="H42" s="36"/>
      <c r="I42" s="36"/>
      <c r="J42" s="36"/>
      <c r="K42" s="35"/>
      <c r="L42" s="35"/>
      <c r="M42" s="37"/>
      <c r="N42" s="38"/>
      <c r="O42" s="38"/>
      <c r="P42" s="38"/>
      <c r="Q42" s="38"/>
      <c r="R42" s="38"/>
      <c r="S42" s="39"/>
    </row>
    <row r="43" spans="1:28" ht="12.75" customHeight="1" x14ac:dyDescent="0.2">
      <c r="B43" s="40"/>
      <c r="C43" s="41"/>
      <c r="D43" s="42"/>
      <c r="E43" s="42"/>
      <c r="F43" s="42"/>
      <c r="G43" s="42"/>
      <c r="H43" s="42"/>
      <c r="I43" s="42"/>
      <c r="J43" s="42"/>
      <c r="K43" s="41"/>
      <c r="L43" s="41"/>
      <c r="M43" s="43"/>
      <c r="N43" s="44"/>
      <c r="O43" s="44"/>
      <c r="P43" s="44"/>
      <c r="Q43" s="44"/>
      <c r="R43" s="44"/>
      <c r="S43" s="45"/>
    </row>
    <row r="44" spans="1:28" ht="12.75" customHeight="1" x14ac:dyDescent="0.2">
      <c r="B44" s="11"/>
      <c r="C44" s="31"/>
      <c r="D44" s="32"/>
      <c r="E44" s="32"/>
      <c r="F44" s="32"/>
      <c r="G44" s="32"/>
      <c r="H44" s="32"/>
      <c r="I44" s="32"/>
      <c r="J44" s="32"/>
      <c r="K44" s="31"/>
      <c r="L44" s="31"/>
      <c r="M44" s="33"/>
      <c r="N44" s="12"/>
      <c r="O44" s="12"/>
      <c r="P44" s="12"/>
      <c r="Q44" s="12"/>
      <c r="R44" s="12"/>
      <c r="S44" s="13"/>
    </row>
    <row r="45" spans="1:28" ht="12.75" customHeight="1" x14ac:dyDescent="0.2">
      <c r="B45" s="11"/>
      <c r="C45" s="14" t="s">
        <v>62</v>
      </c>
      <c r="D45" s="14" t="s">
        <v>44</v>
      </c>
      <c r="E45" s="32"/>
      <c r="F45" s="32"/>
      <c r="G45" s="32"/>
      <c r="H45" s="32"/>
      <c r="I45" s="32"/>
      <c r="J45" s="32"/>
      <c r="K45" s="31"/>
      <c r="L45" s="221"/>
      <c r="M45" s="221"/>
      <c r="N45" s="185"/>
      <c r="O45" s="185"/>
      <c r="P45" s="185"/>
      <c r="Q45" s="185"/>
      <c r="R45" s="12"/>
      <c r="S45" s="13"/>
    </row>
    <row r="46" spans="1:28" ht="24" customHeight="1" x14ac:dyDescent="0.2">
      <c r="B46" s="16"/>
      <c r="C46" s="410" t="s">
        <v>63</v>
      </c>
      <c r="D46" s="411"/>
      <c r="E46" s="411"/>
      <c r="F46" s="411"/>
      <c r="G46" s="411"/>
      <c r="H46" s="412"/>
      <c r="I46" s="413" t="s">
        <v>64</v>
      </c>
      <c r="J46" s="412"/>
      <c r="K46" s="12"/>
      <c r="L46" s="323"/>
      <c r="M46" s="323"/>
      <c r="N46" s="323"/>
      <c r="O46" s="323"/>
      <c r="P46" s="323"/>
      <c r="Q46" s="323"/>
      <c r="R46" s="12"/>
      <c r="S46" s="13"/>
    </row>
    <row r="47" spans="1:28" x14ac:dyDescent="0.2">
      <c r="B47" s="16"/>
      <c r="C47" s="395" t="s">
        <v>65</v>
      </c>
      <c r="D47" s="396"/>
      <c r="E47" s="396"/>
      <c r="F47" s="396"/>
      <c r="G47" s="396"/>
      <c r="H47" s="397"/>
      <c r="I47" s="398">
        <f>GETPIVOTDATA("NET DWELLINGS",Pivot!$B$14)</f>
        <v>350</v>
      </c>
      <c r="J47" s="399"/>
      <c r="K47" s="12"/>
      <c r="L47" s="321"/>
      <c r="M47" s="321"/>
      <c r="N47" s="321"/>
      <c r="O47" s="321"/>
      <c r="P47" s="321"/>
      <c r="Q47" s="321"/>
      <c r="R47" s="12"/>
      <c r="S47" s="13"/>
    </row>
    <row r="48" spans="1:28" x14ac:dyDescent="0.2">
      <c r="B48" s="16"/>
      <c r="C48" s="395" t="s">
        <v>66</v>
      </c>
      <c r="D48" s="396"/>
      <c r="E48" s="396"/>
      <c r="F48" s="396"/>
      <c r="G48" s="396"/>
      <c r="H48" s="397"/>
      <c r="I48" s="398">
        <f>GETPIVOTDATA("NET DWELLINGS",Pivot!$B$23)</f>
        <v>403</v>
      </c>
      <c r="J48" s="399"/>
      <c r="K48" s="12"/>
      <c r="L48" s="321"/>
      <c r="M48" s="321"/>
      <c r="N48" s="321"/>
      <c r="O48" s="321"/>
      <c r="P48" s="321"/>
      <c r="Q48" s="321"/>
      <c r="R48" s="12"/>
      <c r="S48" s="13"/>
    </row>
    <row r="49" spans="1:22" x14ac:dyDescent="0.2">
      <c r="A49" s="46"/>
      <c r="B49" s="47"/>
      <c r="C49" s="395" t="s">
        <v>67</v>
      </c>
      <c r="D49" s="396"/>
      <c r="E49" s="396"/>
      <c r="F49" s="396"/>
      <c r="G49" s="396"/>
      <c r="H49" s="397"/>
      <c r="I49" s="398">
        <f>GETPIVOTDATA("NET DWELLINGS",Pivot!$B$32)</f>
        <v>173</v>
      </c>
      <c r="J49" s="399"/>
      <c r="K49" s="12"/>
      <c r="L49" s="321"/>
      <c r="M49" s="321"/>
      <c r="N49" s="321"/>
      <c r="O49" s="321"/>
      <c r="P49" s="321"/>
      <c r="Q49" s="321"/>
      <c r="R49" s="12"/>
      <c r="S49" s="13"/>
    </row>
    <row r="50" spans="1:22" x14ac:dyDescent="0.2">
      <c r="B50" s="16"/>
      <c r="C50" s="395" t="s">
        <v>68</v>
      </c>
      <c r="D50" s="396"/>
      <c r="E50" s="396"/>
      <c r="F50" s="396"/>
      <c r="G50" s="396"/>
      <c r="H50" s="397"/>
      <c r="I50" s="398">
        <f>GETPIVOTDATA("NET DWELLINGS",Pivot!$B$40)</f>
        <v>60</v>
      </c>
      <c r="J50" s="399"/>
      <c r="K50" s="12"/>
      <c r="L50" s="321"/>
      <c r="M50" s="321"/>
      <c r="N50" s="321"/>
      <c r="O50" s="321"/>
      <c r="P50" s="321"/>
      <c r="Q50" s="321"/>
      <c r="R50" s="12"/>
      <c r="S50" s="13"/>
    </row>
    <row r="51" spans="1:22" x14ac:dyDescent="0.2">
      <c r="B51" s="16"/>
      <c r="C51" s="395" t="s">
        <v>69</v>
      </c>
      <c r="D51" s="396"/>
      <c r="E51" s="396"/>
      <c r="F51" s="396"/>
      <c r="G51" s="396"/>
      <c r="H51" s="397"/>
      <c r="I51" s="398">
        <f>GETPIVOTDATA("NET DWELLINGS",Pivot!$B$49)</f>
        <v>78</v>
      </c>
      <c r="J51" s="399"/>
      <c r="K51" s="12"/>
      <c r="L51" s="321"/>
      <c r="M51" s="321"/>
      <c r="N51" s="321"/>
      <c r="O51" s="321"/>
      <c r="P51" s="321"/>
      <c r="Q51" s="321"/>
      <c r="R51" s="12"/>
      <c r="S51" s="13"/>
    </row>
    <row r="52" spans="1:22" x14ac:dyDescent="0.2">
      <c r="B52" s="16"/>
      <c r="C52" s="395" t="s">
        <v>70</v>
      </c>
      <c r="D52" s="396"/>
      <c r="E52" s="396"/>
      <c r="F52" s="396"/>
      <c r="G52" s="396"/>
      <c r="H52" s="397"/>
      <c r="I52" s="398">
        <f>GETPIVOTDATA("2021/2025 Total",Pivot!$F$3)</f>
        <v>1023.25</v>
      </c>
      <c r="J52" s="399"/>
      <c r="K52" s="48"/>
      <c r="L52" s="321"/>
      <c r="M52" s="321"/>
      <c r="N52" s="321"/>
      <c r="O52" s="321"/>
      <c r="P52" s="321"/>
      <c r="Q52" s="321"/>
      <c r="R52" s="12"/>
      <c r="S52" s="13"/>
    </row>
    <row r="53" spans="1:22" x14ac:dyDescent="0.2">
      <c r="B53" s="16"/>
      <c r="C53" s="400" t="s">
        <v>71</v>
      </c>
      <c r="D53" s="401"/>
      <c r="E53" s="401"/>
      <c r="F53" s="401"/>
      <c r="G53" s="401"/>
      <c r="H53" s="402"/>
      <c r="I53" s="403">
        <f>SUM(I47:J52)</f>
        <v>2087.25</v>
      </c>
      <c r="J53" s="404"/>
      <c r="K53" s="48"/>
      <c r="L53" s="322"/>
      <c r="M53" s="322"/>
      <c r="N53" s="322"/>
      <c r="O53" s="322"/>
      <c r="P53" s="322"/>
      <c r="Q53" s="322"/>
      <c r="R53" s="12"/>
      <c r="S53" s="13"/>
    </row>
    <row r="54" spans="1:22" x14ac:dyDescent="0.2">
      <c r="B54" s="11"/>
      <c r="C54" s="49"/>
      <c r="K54" s="12"/>
      <c r="L54" s="12"/>
      <c r="M54" s="12"/>
      <c r="N54" s="12"/>
      <c r="O54" s="12"/>
      <c r="P54" s="12"/>
      <c r="Q54" s="12"/>
      <c r="R54" s="12"/>
      <c r="S54" s="13"/>
    </row>
    <row r="55" spans="1:22" x14ac:dyDescent="0.2">
      <c r="B55" s="11"/>
      <c r="C55" s="49"/>
      <c r="D55" s="50"/>
      <c r="E55" s="50"/>
      <c r="F55" s="50"/>
      <c r="G55" s="50"/>
      <c r="H55" s="50"/>
      <c r="I55" s="51"/>
      <c r="J55" s="51"/>
      <c r="K55" s="52"/>
      <c r="L55" s="53"/>
      <c r="M55" s="12"/>
      <c r="N55" s="12"/>
      <c r="O55" s="12"/>
      <c r="P55" s="12"/>
      <c r="Q55" s="12"/>
      <c r="R55" s="12"/>
      <c r="S55" s="13"/>
    </row>
    <row r="56" spans="1:22" x14ac:dyDescent="0.2">
      <c r="B56" s="11"/>
      <c r="C56" s="54"/>
      <c r="D56" s="55"/>
      <c r="E56" s="55"/>
      <c r="F56" s="56"/>
      <c r="G56" s="56"/>
      <c r="H56" s="56"/>
      <c r="I56" s="56"/>
      <c r="J56" s="56"/>
      <c r="K56" s="56"/>
      <c r="L56" s="56"/>
      <c r="M56" s="56"/>
      <c r="N56" s="57"/>
      <c r="O56" s="57"/>
      <c r="P56" s="57"/>
      <c r="Q56" s="57"/>
      <c r="R56" s="57"/>
      <c r="S56" s="58"/>
    </row>
    <row r="57" spans="1:22" ht="15" x14ac:dyDescent="0.25">
      <c r="B57" s="11"/>
      <c r="C57" s="31"/>
      <c r="D57" s="32"/>
      <c r="E57" s="32"/>
      <c r="F57" s="32"/>
      <c r="G57" s="32"/>
      <c r="H57" s="32"/>
      <c r="I57" s="32"/>
      <c r="J57" s="32"/>
      <c r="K57" s="31"/>
      <c r="L57" s="31"/>
      <c r="M57" s="33"/>
      <c r="N57" s="12"/>
      <c r="O57" s="12"/>
      <c r="P57" s="12"/>
      <c r="Q57" s="12"/>
      <c r="R57" s="12"/>
      <c r="S57" s="13"/>
      <c r="T57" s="59"/>
      <c r="U57" s="29"/>
      <c r="V57" s="29"/>
    </row>
    <row r="58" spans="1:22" ht="15" x14ac:dyDescent="0.25">
      <c r="B58" s="11"/>
      <c r="C58" s="15"/>
      <c r="D58" s="15"/>
      <c r="E58" s="15"/>
      <c r="F58" s="15"/>
      <c r="G58" s="15"/>
      <c r="H58" s="15"/>
      <c r="I58" s="15"/>
      <c r="J58" s="15"/>
      <c r="K58" s="15"/>
      <c r="L58" s="15"/>
      <c r="M58" s="15"/>
      <c r="N58" s="60"/>
      <c r="O58" s="60"/>
      <c r="P58" s="15"/>
      <c r="Q58" s="15"/>
      <c r="R58" s="15"/>
      <c r="S58" s="61"/>
      <c r="U58" s="29"/>
      <c r="V58" s="29"/>
    </row>
    <row r="59" spans="1:22" x14ac:dyDescent="0.2">
      <c r="B59" s="11"/>
      <c r="C59" s="14" t="s">
        <v>72</v>
      </c>
      <c r="D59" s="14" t="s">
        <v>73</v>
      </c>
      <c r="E59" s="15"/>
      <c r="F59" s="15"/>
      <c r="G59" s="15"/>
      <c r="H59" s="15"/>
      <c r="I59" s="15"/>
      <c r="J59" s="15"/>
      <c r="K59" s="15"/>
      <c r="L59" s="15"/>
      <c r="M59" s="15"/>
      <c r="N59" s="15"/>
      <c r="O59" s="15"/>
      <c r="P59" s="15"/>
      <c r="Q59" s="15"/>
      <c r="R59" s="15"/>
      <c r="S59" s="61"/>
    </row>
    <row r="60" spans="1:22" x14ac:dyDescent="0.2">
      <c r="B60" s="16"/>
      <c r="C60" s="369" t="s">
        <v>74</v>
      </c>
      <c r="D60" s="370"/>
      <c r="E60" s="370"/>
      <c r="F60" s="376" t="s">
        <v>75</v>
      </c>
      <c r="G60" s="376"/>
      <c r="H60" s="376" t="s">
        <v>76</v>
      </c>
      <c r="I60" s="376"/>
      <c r="J60" s="376" t="s">
        <v>6</v>
      </c>
      <c r="K60" s="376"/>
      <c r="L60" s="15"/>
      <c r="M60" s="15"/>
      <c r="N60" s="15"/>
      <c r="O60" s="15"/>
      <c r="P60" s="15"/>
      <c r="Q60" s="15"/>
      <c r="R60" s="15"/>
      <c r="S60" s="61"/>
    </row>
    <row r="61" spans="1:22" ht="12.75" customHeight="1" x14ac:dyDescent="0.2">
      <c r="B61" s="16"/>
      <c r="C61" s="369"/>
      <c r="D61" s="370"/>
      <c r="E61" s="370"/>
      <c r="F61" s="62" t="s">
        <v>77</v>
      </c>
      <c r="G61" s="62" t="s">
        <v>78</v>
      </c>
      <c r="H61" s="62" t="s">
        <v>77</v>
      </c>
      <c r="I61" s="62" t="s">
        <v>78</v>
      </c>
      <c r="J61" s="62" t="s">
        <v>77</v>
      </c>
      <c r="K61" s="62" t="s">
        <v>78</v>
      </c>
      <c r="L61" s="15"/>
      <c r="M61" s="15"/>
      <c r="N61" s="15"/>
      <c r="O61" s="15"/>
      <c r="P61" s="15"/>
      <c r="Q61" s="15"/>
      <c r="R61" s="15"/>
      <c r="S61" s="61"/>
    </row>
    <row r="62" spans="1:22" ht="13.5" thickBot="1" x14ac:dyDescent="0.25">
      <c r="B62" s="16"/>
      <c r="C62" s="391" t="s">
        <v>79</v>
      </c>
      <c r="D62" s="392"/>
      <c r="E62" s="392"/>
      <c r="F62" s="223">
        <f>GETPIVOTDATA("Units Proposed",Pivot!$B$71)</f>
        <v>177</v>
      </c>
      <c r="G62" s="223">
        <f>GETPIVOTDATA("Net Dwellings",Pivot!$B$62)</f>
        <v>163</v>
      </c>
      <c r="H62" s="223">
        <f>GETPIVOTDATA("Units Proposed",Pivot!$B$89)</f>
        <v>78</v>
      </c>
      <c r="I62" s="223">
        <f>GETPIVOTDATA("Net Dwellings",Pivot!$B$80)</f>
        <v>43</v>
      </c>
      <c r="J62" s="223">
        <f>F62+H62</f>
        <v>255</v>
      </c>
      <c r="K62" s="223">
        <f>G62+I62</f>
        <v>206</v>
      </c>
      <c r="L62" s="15"/>
      <c r="M62" s="15"/>
      <c r="N62" s="15"/>
      <c r="O62" s="15"/>
      <c r="P62" s="15"/>
      <c r="Q62" s="15"/>
      <c r="R62" s="15"/>
      <c r="S62" s="61"/>
    </row>
    <row r="63" spans="1:22" x14ac:dyDescent="0.2">
      <c r="B63" s="16"/>
      <c r="C63" s="393" t="s">
        <v>80</v>
      </c>
      <c r="D63" s="394"/>
      <c r="E63" s="394"/>
      <c r="F63" s="222">
        <f>GETPIVOTDATA("Units Proposed",Pivot!$E$71)</f>
        <v>413</v>
      </c>
      <c r="G63" s="222">
        <f>GETPIVOTDATA("Net Dwellings",Pivot!$E$62)</f>
        <v>350</v>
      </c>
      <c r="H63" s="222">
        <f>GETPIVOTDATA("Units Proposed",Pivot!$E$89)</f>
        <v>212</v>
      </c>
      <c r="I63" s="222">
        <f>GETPIVOTDATA("Net Dwellings",Pivot!$E$80)</f>
        <v>173</v>
      </c>
      <c r="J63" s="222">
        <f t="shared" ref="J63:K64" si="0">F63+H63</f>
        <v>625</v>
      </c>
      <c r="K63" s="222">
        <f t="shared" si="0"/>
        <v>523</v>
      </c>
      <c r="L63" s="15"/>
      <c r="M63" s="15"/>
      <c r="N63" s="15"/>
      <c r="O63" s="15"/>
      <c r="P63" s="15"/>
      <c r="Q63" s="15"/>
      <c r="R63" s="15"/>
      <c r="S63" s="61"/>
    </row>
    <row r="64" spans="1:22" ht="12.75" customHeight="1" x14ac:dyDescent="0.2">
      <c r="B64" s="16"/>
      <c r="C64" s="384" t="s">
        <v>81</v>
      </c>
      <c r="D64" s="385"/>
      <c r="E64" s="385"/>
      <c r="F64" s="63">
        <f>GETPIVOTDATA("Units Proposed",Pivot!$H$71)</f>
        <v>441</v>
      </c>
      <c r="G64" s="63">
        <f>GETPIVOTDATA("Net Dwellings",Pivot!$H$62)</f>
        <v>403</v>
      </c>
      <c r="H64" s="63">
        <f>GETPIVOTDATA("Units Proposed",Pivot!$H$89)</f>
        <v>160</v>
      </c>
      <c r="I64" s="63">
        <f>GETPIVOTDATA("Net Dwellings",Pivot!$H$80)</f>
        <v>138</v>
      </c>
      <c r="J64" s="63">
        <f t="shared" si="0"/>
        <v>601</v>
      </c>
      <c r="K64" s="63">
        <f t="shared" si="0"/>
        <v>541</v>
      </c>
      <c r="L64" s="15"/>
      <c r="M64" s="15"/>
      <c r="N64" s="15"/>
      <c r="O64" s="15"/>
      <c r="P64" s="15"/>
      <c r="Q64" s="15"/>
      <c r="R64" s="15"/>
      <c r="S64" s="61"/>
    </row>
    <row r="65" spans="2:19" x14ac:dyDescent="0.2">
      <c r="B65" s="16"/>
      <c r="C65" s="384" t="s">
        <v>70</v>
      </c>
      <c r="D65" s="385"/>
      <c r="E65" s="385"/>
      <c r="F65" s="63">
        <f>I52</f>
        <v>1023.25</v>
      </c>
      <c r="G65" s="63">
        <f>I52</f>
        <v>1023.25</v>
      </c>
      <c r="H65" s="63">
        <v>0</v>
      </c>
      <c r="I65" s="63">
        <v>0</v>
      </c>
      <c r="J65" s="63">
        <f>F65</f>
        <v>1023.25</v>
      </c>
      <c r="K65" s="63">
        <f>G65</f>
        <v>1023.25</v>
      </c>
      <c r="L65" s="64"/>
      <c r="M65" s="15"/>
      <c r="N65" s="15"/>
      <c r="O65" s="15"/>
      <c r="P65" s="15"/>
      <c r="Q65" s="15"/>
      <c r="R65" s="15"/>
      <c r="S65" s="61"/>
    </row>
    <row r="66" spans="2:19" ht="12.75" customHeight="1" x14ac:dyDescent="0.2">
      <c r="B66" s="16"/>
      <c r="C66" s="386" t="s">
        <v>82</v>
      </c>
      <c r="D66" s="387"/>
      <c r="E66" s="387"/>
      <c r="F66" s="65">
        <f t="shared" ref="F66:J66" si="1">SUM(F63:F65)</f>
        <v>1877.25</v>
      </c>
      <c r="G66" s="65">
        <f t="shared" si="1"/>
        <v>1776.25</v>
      </c>
      <c r="H66" s="65">
        <f t="shared" si="1"/>
        <v>372</v>
      </c>
      <c r="I66" s="65">
        <f t="shared" si="1"/>
        <v>311</v>
      </c>
      <c r="J66" s="65">
        <f t="shared" si="1"/>
        <v>2249.25</v>
      </c>
      <c r="K66" s="65">
        <f>SUM(K63:K65)</f>
        <v>2087.25</v>
      </c>
      <c r="L66" s="15"/>
      <c r="M66" s="15"/>
      <c r="N66" s="15"/>
      <c r="O66" s="15"/>
      <c r="P66" s="15"/>
      <c r="Q66" s="15"/>
      <c r="R66" s="15"/>
      <c r="S66" s="61"/>
    </row>
    <row r="67" spans="2:19" ht="12.75" customHeight="1" x14ac:dyDescent="0.2">
      <c r="B67" s="11"/>
      <c r="C67" s="49"/>
      <c r="D67" s="66"/>
      <c r="E67" s="66"/>
      <c r="F67" s="67"/>
      <c r="G67" s="67"/>
      <c r="H67" s="67"/>
      <c r="I67" s="67"/>
      <c r="J67" s="67"/>
      <c r="K67" s="67"/>
      <c r="L67" s="15"/>
      <c r="M67" s="15"/>
      <c r="N67" s="15"/>
      <c r="O67" s="15"/>
      <c r="P67" s="15"/>
      <c r="Q67" s="15"/>
      <c r="R67" s="15"/>
      <c r="S67" s="61"/>
    </row>
    <row r="68" spans="2:19" ht="12.75" customHeight="1" x14ac:dyDescent="0.2">
      <c r="B68" s="11"/>
      <c r="C68" s="49"/>
      <c r="D68" s="66"/>
      <c r="E68" s="66"/>
      <c r="F68" s="67"/>
      <c r="G68" s="67"/>
      <c r="H68" s="67"/>
      <c r="I68" s="67"/>
      <c r="J68" s="67"/>
      <c r="K68" s="67"/>
      <c r="L68" s="15"/>
      <c r="M68" s="15"/>
      <c r="N68" s="15"/>
      <c r="O68" s="15"/>
      <c r="P68" s="15"/>
      <c r="Q68" s="15"/>
      <c r="R68" s="15"/>
      <c r="S68" s="61"/>
    </row>
    <row r="69" spans="2:19" x14ac:dyDescent="0.2">
      <c r="B69" s="11"/>
      <c r="C69" s="49"/>
      <c r="D69" s="66"/>
      <c r="E69" s="66"/>
      <c r="F69" s="67"/>
      <c r="G69" s="67"/>
      <c r="H69" s="67"/>
      <c r="I69" s="67"/>
      <c r="J69" s="67"/>
      <c r="K69" s="67"/>
      <c r="L69" s="15"/>
      <c r="M69" s="15"/>
      <c r="N69" s="15"/>
      <c r="O69" s="15"/>
      <c r="P69" s="15"/>
      <c r="Q69" s="15"/>
      <c r="R69" s="15"/>
      <c r="S69" s="61"/>
    </row>
    <row r="70" spans="2:19" ht="12.75" customHeight="1" x14ac:dyDescent="0.2">
      <c r="B70" s="11"/>
      <c r="C70" s="49"/>
      <c r="D70" s="66"/>
      <c r="E70" s="66"/>
      <c r="F70" s="67"/>
      <c r="G70" s="67"/>
      <c r="H70" s="67"/>
      <c r="I70" s="67"/>
      <c r="J70" s="67"/>
      <c r="K70" s="67"/>
      <c r="L70" s="15"/>
      <c r="M70" s="15"/>
      <c r="N70" s="15"/>
      <c r="O70" s="15"/>
      <c r="P70" s="15"/>
      <c r="Q70" s="15"/>
      <c r="R70" s="15"/>
      <c r="S70" s="61"/>
    </row>
    <row r="71" spans="2:19" x14ac:dyDescent="0.2">
      <c r="B71" s="11"/>
      <c r="C71" s="57"/>
      <c r="D71" s="57"/>
      <c r="E71" s="57"/>
      <c r="F71" s="57"/>
      <c r="G71" s="57"/>
      <c r="H71" s="57"/>
      <c r="I71" s="57"/>
      <c r="J71" s="57"/>
      <c r="K71" s="57"/>
      <c r="L71" s="57"/>
      <c r="M71" s="57"/>
      <c r="N71" s="57"/>
      <c r="O71" s="57"/>
      <c r="P71" s="57"/>
      <c r="Q71" s="57"/>
      <c r="R71" s="57"/>
      <c r="S71" s="58"/>
    </row>
    <row r="72" spans="2:19" x14ac:dyDescent="0.2">
      <c r="B72" s="34"/>
      <c r="C72" s="68"/>
      <c r="D72" s="69"/>
      <c r="E72" s="69"/>
      <c r="F72" s="69"/>
      <c r="G72" s="69"/>
      <c r="H72" s="69"/>
      <c r="I72" s="69"/>
      <c r="J72" s="69"/>
      <c r="K72" s="69"/>
      <c r="L72" s="69"/>
      <c r="M72" s="69"/>
      <c r="N72" s="69"/>
      <c r="O72" s="69"/>
      <c r="P72" s="69"/>
      <c r="Q72" s="69"/>
      <c r="R72" s="69"/>
      <c r="S72" s="70"/>
    </row>
    <row r="73" spans="2:19" x14ac:dyDescent="0.2">
      <c r="B73" s="11"/>
      <c r="C73" s="57"/>
      <c r="D73" s="57"/>
      <c r="E73" s="57"/>
      <c r="F73" s="57"/>
      <c r="G73" s="57"/>
      <c r="H73" s="57"/>
      <c r="I73" s="57"/>
      <c r="J73" s="57"/>
      <c r="K73" s="57"/>
      <c r="L73" s="57"/>
      <c r="M73" s="57"/>
      <c r="N73" s="57"/>
      <c r="O73" s="57"/>
      <c r="P73" s="57"/>
      <c r="Q73" s="57"/>
      <c r="R73" s="57"/>
      <c r="S73" s="58"/>
    </row>
    <row r="74" spans="2:19" x14ac:dyDescent="0.2">
      <c r="B74" s="11"/>
      <c r="C74" s="14" t="s">
        <v>83</v>
      </c>
      <c r="D74" s="164" t="s">
        <v>84</v>
      </c>
      <c r="E74" s="71"/>
      <c r="F74" s="71"/>
      <c r="G74" s="71"/>
      <c r="H74" s="71"/>
      <c r="I74" s="71"/>
      <c r="J74" s="71"/>
      <c r="K74" s="71"/>
      <c r="L74" s="71"/>
      <c r="M74" s="57"/>
      <c r="N74" s="57"/>
      <c r="O74" s="57"/>
      <c r="P74" s="57"/>
      <c r="Q74" s="57"/>
      <c r="R74" s="57"/>
      <c r="S74" s="58"/>
    </row>
    <row r="75" spans="2:19" ht="22.5" x14ac:dyDescent="0.2">
      <c r="B75" s="11"/>
      <c r="C75" s="165" t="s">
        <v>85</v>
      </c>
      <c r="D75" s="165" t="s">
        <v>86</v>
      </c>
      <c r="E75" s="165" t="s">
        <v>87</v>
      </c>
      <c r="F75" s="72"/>
      <c r="G75" s="73"/>
      <c r="H75" s="73"/>
      <c r="I75" s="73"/>
      <c r="J75" s="73"/>
      <c r="K75" s="73"/>
      <c r="L75" s="73"/>
      <c r="M75" s="74"/>
      <c r="N75" s="74"/>
      <c r="O75" s="74"/>
      <c r="P75" s="74"/>
      <c r="Q75" s="74"/>
      <c r="R75" s="74"/>
      <c r="S75" s="75"/>
    </row>
    <row r="76" spans="2:19" x14ac:dyDescent="0.2">
      <c r="B76" s="11"/>
      <c r="C76" s="166" t="s">
        <v>88</v>
      </c>
      <c r="D76" s="77">
        <v>160</v>
      </c>
      <c r="E76" s="77"/>
      <c r="F76" s="76"/>
      <c r="G76" s="71"/>
      <c r="H76" s="71"/>
      <c r="I76" s="71"/>
      <c r="J76" s="71"/>
      <c r="K76" s="71"/>
      <c r="L76" s="71"/>
      <c r="M76" s="57"/>
      <c r="N76" s="57"/>
      <c r="O76" s="57"/>
      <c r="P76" s="57"/>
      <c r="Q76" s="57"/>
      <c r="R76" s="57"/>
      <c r="S76" s="58"/>
    </row>
    <row r="77" spans="2:19" ht="12.75" customHeight="1" x14ac:dyDescent="0.2">
      <c r="B77" s="11"/>
      <c r="C77" s="166" t="s">
        <v>89</v>
      </c>
      <c r="D77" s="77">
        <v>319</v>
      </c>
      <c r="E77" s="77"/>
      <c r="F77" s="76"/>
      <c r="G77" s="71"/>
      <c r="H77" s="71"/>
      <c r="I77" s="71"/>
      <c r="J77" s="71"/>
      <c r="K77" s="71"/>
      <c r="L77" s="71"/>
      <c r="M77" s="57"/>
      <c r="N77" s="57"/>
      <c r="O77" s="57"/>
      <c r="P77" s="57"/>
      <c r="Q77" s="57"/>
      <c r="R77" s="57"/>
      <c r="S77" s="58"/>
    </row>
    <row r="78" spans="2:19" x14ac:dyDescent="0.2">
      <c r="B78" s="11"/>
      <c r="C78" s="166" t="s">
        <v>90</v>
      </c>
      <c r="D78" s="77">
        <v>246</v>
      </c>
      <c r="E78" s="77"/>
      <c r="F78" s="76"/>
      <c r="G78" s="71"/>
      <c r="H78" s="71"/>
      <c r="I78" s="71"/>
      <c r="J78" s="71"/>
      <c r="K78" s="71"/>
      <c r="L78" s="71"/>
      <c r="M78" s="57"/>
      <c r="N78" s="57"/>
      <c r="O78" s="57"/>
      <c r="P78" s="57"/>
      <c r="Q78" s="57"/>
      <c r="R78" s="57"/>
      <c r="S78" s="58"/>
    </row>
    <row r="79" spans="2:19" x14ac:dyDescent="0.2">
      <c r="B79" s="11"/>
      <c r="C79" s="166" t="s">
        <v>91</v>
      </c>
      <c r="D79" s="77">
        <v>582</v>
      </c>
      <c r="E79" s="77"/>
      <c r="F79" s="76"/>
      <c r="G79" s="71"/>
      <c r="H79" s="71"/>
      <c r="I79" s="71"/>
      <c r="J79" s="71"/>
      <c r="K79" s="71"/>
      <c r="L79" s="71"/>
      <c r="M79" s="57"/>
      <c r="N79" s="57"/>
      <c r="O79" s="57"/>
      <c r="P79" s="57"/>
      <c r="Q79" s="57"/>
      <c r="R79" s="57"/>
      <c r="S79" s="58"/>
    </row>
    <row r="80" spans="2:19" x14ac:dyDescent="0.2">
      <c r="B80" s="11"/>
      <c r="C80" s="166" t="s">
        <v>92</v>
      </c>
      <c r="D80" s="77">
        <v>842</v>
      </c>
      <c r="E80" s="77">
        <f>AVERAGE(D76:D80)</f>
        <v>429.8</v>
      </c>
      <c r="F80" s="76"/>
      <c r="G80" s="71"/>
      <c r="H80" s="71"/>
      <c r="I80" s="71"/>
      <c r="J80" s="71"/>
      <c r="K80" s="71"/>
      <c r="L80" s="71"/>
      <c r="M80" s="57"/>
      <c r="N80" s="57"/>
      <c r="O80" s="57"/>
      <c r="P80" s="57"/>
      <c r="Q80" s="57"/>
      <c r="R80" s="57"/>
      <c r="S80" s="58"/>
    </row>
    <row r="81" spans="2:19" x14ac:dyDescent="0.2">
      <c r="B81" s="11"/>
      <c r="C81" s="166" t="s">
        <v>93</v>
      </c>
      <c r="D81" s="77">
        <v>230</v>
      </c>
      <c r="E81" s="77">
        <f t="shared" ref="E81:E93" si="2">AVERAGE(D77:D81)</f>
        <v>443.8</v>
      </c>
      <c r="F81" s="76"/>
      <c r="G81" s="71"/>
      <c r="H81" s="71"/>
      <c r="I81" s="71"/>
      <c r="J81" s="71"/>
      <c r="K81" s="71"/>
      <c r="L81" s="71"/>
      <c r="M81" s="57"/>
      <c r="N81" s="57"/>
      <c r="O81" s="57"/>
      <c r="P81" s="57"/>
      <c r="Q81" s="57"/>
      <c r="R81" s="57"/>
      <c r="S81" s="58"/>
    </row>
    <row r="82" spans="2:19" x14ac:dyDescent="0.2">
      <c r="B82" s="11"/>
      <c r="C82" s="166" t="s">
        <v>94</v>
      </c>
      <c r="D82" s="77">
        <v>260</v>
      </c>
      <c r="E82" s="77">
        <f>AVERAGE(D78:D82)</f>
        <v>432</v>
      </c>
      <c r="F82" s="76"/>
      <c r="G82" s="71"/>
      <c r="H82" s="71"/>
      <c r="I82" s="71"/>
      <c r="J82" s="71"/>
      <c r="K82" s="71"/>
      <c r="L82" s="71"/>
      <c r="M82" s="57"/>
      <c r="N82" s="57"/>
      <c r="O82" s="57"/>
      <c r="P82" s="57"/>
      <c r="Q82" s="57"/>
      <c r="R82" s="57"/>
      <c r="S82" s="58"/>
    </row>
    <row r="83" spans="2:19" x14ac:dyDescent="0.2">
      <c r="B83" s="11"/>
      <c r="C83" s="166" t="s">
        <v>95</v>
      </c>
      <c r="D83" s="77">
        <v>436</v>
      </c>
      <c r="E83" s="77">
        <f>AVERAGE(D79:D83)</f>
        <v>470</v>
      </c>
      <c r="F83" s="76"/>
      <c r="G83" s="71"/>
      <c r="H83" s="71"/>
      <c r="I83" s="71"/>
      <c r="J83" s="71"/>
      <c r="K83" s="71"/>
      <c r="L83" s="71"/>
      <c r="M83" s="57"/>
      <c r="N83" s="57"/>
      <c r="O83" s="57"/>
      <c r="P83" s="57"/>
      <c r="Q83" s="57"/>
      <c r="R83" s="57"/>
      <c r="S83" s="58"/>
    </row>
    <row r="84" spans="2:19" x14ac:dyDescent="0.2">
      <c r="B84" s="11"/>
      <c r="C84" s="166" t="s">
        <v>96</v>
      </c>
      <c r="D84" s="77">
        <v>145</v>
      </c>
      <c r="E84" s="77">
        <f>AVERAGE(D80:D84)</f>
        <v>382.6</v>
      </c>
      <c r="F84" s="76"/>
      <c r="G84" s="71"/>
      <c r="H84" s="71"/>
      <c r="I84" s="71"/>
      <c r="J84" s="71"/>
      <c r="K84" s="71"/>
      <c r="L84" s="71"/>
      <c r="M84" s="57"/>
      <c r="N84" s="57"/>
      <c r="O84" s="57"/>
      <c r="P84" s="57"/>
      <c r="Q84" s="57"/>
      <c r="R84" s="57"/>
      <c r="S84" s="58"/>
    </row>
    <row r="85" spans="2:19" x14ac:dyDescent="0.2">
      <c r="B85" s="11"/>
      <c r="C85" s="166" t="s">
        <v>97</v>
      </c>
      <c r="D85" s="77">
        <v>399</v>
      </c>
      <c r="E85" s="77">
        <f>AVERAGE(D81:D85)</f>
        <v>294</v>
      </c>
      <c r="F85" s="76"/>
      <c r="G85" s="71"/>
      <c r="H85" s="71"/>
      <c r="I85" s="71"/>
      <c r="J85" s="71"/>
      <c r="K85" s="71"/>
      <c r="L85" s="71"/>
      <c r="M85" s="57"/>
      <c r="N85" s="57"/>
      <c r="O85" s="57"/>
      <c r="P85" s="57"/>
      <c r="Q85" s="57"/>
      <c r="R85" s="57"/>
      <c r="S85" s="58"/>
    </row>
    <row r="86" spans="2:19" x14ac:dyDescent="0.2">
      <c r="B86" s="11"/>
      <c r="C86" s="166" t="s">
        <v>8</v>
      </c>
      <c r="D86" s="77">
        <v>208</v>
      </c>
      <c r="E86" s="77">
        <f t="shared" si="2"/>
        <v>289.60000000000002</v>
      </c>
      <c r="F86" s="76"/>
      <c r="G86" s="71"/>
      <c r="H86" s="71"/>
      <c r="I86" s="71"/>
      <c r="J86" s="71"/>
      <c r="K86" s="71"/>
      <c r="L86" s="71"/>
      <c r="M86" s="57"/>
      <c r="N86" s="57"/>
      <c r="O86" s="57"/>
      <c r="P86" s="57"/>
      <c r="Q86" s="57"/>
      <c r="R86" s="57"/>
      <c r="S86" s="58"/>
    </row>
    <row r="87" spans="2:19" x14ac:dyDescent="0.2">
      <c r="B87" s="11"/>
      <c r="C87" s="166" t="s">
        <v>9</v>
      </c>
      <c r="D87" s="77">
        <v>695</v>
      </c>
      <c r="E87" s="77">
        <f t="shared" si="2"/>
        <v>376.6</v>
      </c>
      <c r="F87" s="76"/>
      <c r="G87" s="54"/>
      <c r="H87" s="71"/>
      <c r="I87" s="71"/>
      <c r="J87" s="71"/>
      <c r="K87" s="71"/>
      <c r="L87" s="71"/>
      <c r="M87" s="57"/>
      <c r="N87" s="57"/>
      <c r="O87" s="57"/>
      <c r="P87" s="57"/>
      <c r="Q87" s="57"/>
      <c r="R87" s="57"/>
      <c r="S87" s="58"/>
    </row>
    <row r="88" spans="2:19" x14ac:dyDescent="0.2">
      <c r="B88" s="11"/>
      <c r="C88" s="166" t="s">
        <v>10</v>
      </c>
      <c r="D88" s="77">
        <v>235</v>
      </c>
      <c r="E88" s="77">
        <f t="shared" si="2"/>
        <v>336.4</v>
      </c>
      <c r="F88" s="78"/>
      <c r="S88" s="79"/>
    </row>
    <row r="89" spans="2:19" x14ac:dyDescent="0.2">
      <c r="B89" s="11"/>
      <c r="C89" s="166" t="s">
        <v>11</v>
      </c>
      <c r="D89" s="77">
        <v>304</v>
      </c>
      <c r="E89" s="77">
        <f t="shared" si="2"/>
        <v>368.2</v>
      </c>
      <c r="F89" s="78"/>
      <c r="S89" s="79"/>
    </row>
    <row r="90" spans="2:19" x14ac:dyDescent="0.2">
      <c r="B90" s="11"/>
      <c r="C90" s="166" t="s">
        <v>12</v>
      </c>
      <c r="D90" s="77">
        <v>491</v>
      </c>
      <c r="E90" s="77">
        <f t="shared" si="2"/>
        <v>386.6</v>
      </c>
      <c r="F90" s="78"/>
      <c r="S90" s="79"/>
    </row>
    <row r="91" spans="2:19" x14ac:dyDescent="0.2">
      <c r="B91" s="11"/>
      <c r="C91" s="166" t="s">
        <v>13</v>
      </c>
      <c r="D91" s="77">
        <v>460</v>
      </c>
      <c r="E91" s="77">
        <f t="shared" si="2"/>
        <v>437</v>
      </c>
      <c r="F91" s="78"/>
      <c r="S91" s="79"/>
    </row>
    <row r="92" spans="2:19" x14ac:dyDescent="0.2">
      <c r="B92" s="11"/>
      <c r="C92" s="166" t="s">
        <v>14</v>
      </c>
      <c r="D92" s="77">
        <v>382</v>
      </c>
      <c r="E92" s="77">
        <f t="shared" si="2"/>
        <v>374.4</v>
      </c>
      <c r="F92" s="78"/>
      <c r="S92" s="79"/>
    </row>
    <row r="93" spans="2:19" x14ac:dyDescent="0.2">
      <c r="B93" s="11"/>
      <c r="C93" s="166" t="s">
        <v>15</v>
      </c>
      <c r="D93" s="77">
        <v>419</v>
      </c>
      <c r="E93" s="77">
        <f t="shared" si="2"/>
        <v>411.2</v>
      </c>
      <c r="F93" s="78"/>
      <c r="S93" s="79"/>
    </row>
    <row r="94" spans="2:19" x14ac:dyDescent="0.2">
      <c r="B94" s="11"/>
      <c r="C94" s="166" t="s">
        <v>16</v>
      </c>
      <c r="D94" s="77">
        <v>331</v>
      </c>
      <c r="E94" s="77">
        <f>AVERAGE(D90:D94)</f>
        <v>416.6</v>
      </c>
      <c r="F94" s="78"/>
      <c r="S94" s="79"/>
    </row>
    <row r="95" spans="2:19" x14ac:dyDescent="0.2">
      <c r="B95" s="11"/>
      <c r="C95" s="166" t="s">
        <v>17</v>
      </c>
      <c r="D95" s="77">
        <f>K62</f>
        <v>206</v>
      </c>
      <c r="E95" s="77">
        <f>AVERAGE(D91:D95)</f>
        <v>359.6</v>
      </c>
      <c r="S95" s="79"/>
    </row>
    <row r="96" spans="2:19" x14ac:dyDescent="0.2">
      <c r="B96" s="11"/>
      <c r="C96" s="80"/>
      <c r="D96" s="215"/>
      <c r="E96" s="80"/>
      <c r="F96" s="80"/>
      <c r="G96" s="81"/>
      <c r="J96" s="15"/>
      <c r="K96" s="15"/>
      <c r="L96" s="15"/>
      <c r="M96" s="15"/>
      <c r="N96" s="15"/>
      <c r="O96" s="15"/>
      <c r="P96" s="15"/>
      <c r="Q96" s="15"/>
      <c r="S96" s="79"/>
    </row>
    <row r="97" spans="2:28" x14ac:dyDescent="0.2">
      <c r="B97" s="34"/>
      <c r="C97" s="82"/>
      <c r="D97" s="82"/>
      <c r="E97" s="82"/>
      <c r="F97" s="82"/>
      <c r="G97" s="82"/>
      <c r="H97" s="82"/>
      <c r="I97" s="82"/>
      <c r="J97" s="82"/>
      <c r="K97" s="82"/>
      <c r="L97" s="82"/>
      <c r="M97" s="82"/>
      <c r="N97" s="82"/>
      <c r="O97" s="82"/>
      <c r="P97" s="82"/>
      <c r="Q97" s="82"/>
      <c r="R97" s="83"/>
      <c r="S97" s="84"/>
    </row>
    <row r="98" spans="2:28" x14ac:dyDescent="0.2">
      <c r="B98" s="11"/>
      <c r="C98" s="9"/>
      <c r="D98" s="9"/>
      <c r="E98" s="9"/>
      <c r="F98" s="9"/>
      <c r="G98" s="9"/>
      <c r="H98" s="9"/>
      <c r="I98" s="9"/>
      <c r="J98" s="9"/>
      <c r="K98" s="9"/>
      <c r="L98" s="9"/>
      <c r="M98" s="9"/>
      <c r="N98" s="9"/>
      <c r="O98" s="9"/>
      <c r="P98" s="9"/>
      <c r="Q98" s="9"/>
      <c r="R98" s="7"/>
      <c r="S98" s="85"/>
    </row>
    <row r="99" spans="2:28" ht="20.25" x14ac:dyDescent="0.3">
      <c r="B99" s="11"/>
      <c r="C99" s="86" t="s">
        <v>86</v>
      </c>
      <c r="D99" s="15"/>
      <c r="E99" s="15"/>
      <c r="F99" s="15"/>
      <c r="G99" s="15"/>
      <c r="H99" s="15"/>
      <c r="I99" s="15"/>
      <c r="J99" s="15"/>
      <c r="K99" s="15"/>
      <c r="L99" s="15"/>
      <c r="M99" s="15"/>
      <c r="N99" s="15"/>
      <c r="O99" s="15"/>
      <c r="P99" s="15"/>
      <c r="Q99" s="15"/>
      <c r="S99" s="79"/>
    </row>
    <row r="100" spans="2:28" x14ac:dyDescent="0.2">
      <c r="B100" s="11"/>
      <c r="C100" s="60"/>
      <c r="D100" s="60"/>
      <c r="E100" s="60"/>
      <c r="F100" s="60"/>
      <c r="G100" s="60"/>
      <c r="H100" s="60"/>
      <c r="I100" s="60"/>
      <c r="J100" s="60"/>
      <c r="K100" s="60"/>
      <c r="L100" s="60"/>
      <c r="M100" s="60"/>
      <c r="N100" s="60"/>
      <c r="O100" s="60"/>
      <c r="P100" s="60"/>
      <c r="Q100" s="60"/>
      <c r="S100" s="79"/>
    </row>
    <row r="101" spans="2:28" x14ac:dyDescent="0.2">
      <c r="B101" s="11"/>
      <c r="C101" s="14" t="s">
        <v>98</v>
      </c>
      <c r="D101" s="14" t="s">
        <v>99</v>
      </c>
      <c r="E101" s="15"/>
      <c r="F101" s="15"/>
      <c r="G101" s="15"/>
      <c r="H101" s="15"/>
      <c r="I101" s="15"/>
      <c r="J101" s="15"/>
      <c r="K101" s="15"/>
      <c r="L101" s="15"/>
      <c r="M101" s="15"/>
      <c r="N101" s="15"/>
      <c r="O101" s="15"/>
      <c r="P101" s="15"/>
      <c r="Q101" s="15"/>
      <c r="S101" s="79"/>
    </row>
    <row r="102" spans="2:28" x14ac:dyDescent="0.2">
      <c r="B102" s="16"/>
      <c r="C102" s="388" t="s">
        <v>85</v>
      </c>
      <c r="D102" s="389" t="s">
        <v>100</v>
      </c>
      <c r="E102" s="390"/>
      <c r="F102" s="389" t="s">
        <v>101</v>
      </c>
      <c r="G102" s="390"/>
      <c r="H102" s="380" t="s">
        <v>102</v>
      </c>
      <c r="I102" s="15"/>
      <c r="J102" s="15"/>
      <c r="K102" s="15"/>
      <c r="L102" s="15"/>
      <c r="M102" s="15"/>
      <c r="S102" s="79"/>
    </row>
    <row r="103" spans="2:28" x14ac:dyDescent="0.2">
      <c r="B103" s="16"/>
      <c r="C103" s="388"/>
      <c r="D103" s="87" t="s">
        <v>103</v>
      </c>
      <c r="E103" s="87" t="s">
        <v>104</v>
      </c>
      <c r="F103" s="87" t="s">
        <v>103</v>
      </c>
      <c r="G103" s="87" t="s">
        <v>104</v>
      </c>
      <c r="H103" s="381"/>
      <c r="I103" s="15"/>
      <c r="J103" s="15"/>
      <c r="K103" s="15"/>
      <c r="L103" s="15"/>
      <c r="M103" s="15"/>
      <c r="S103" s="79"/>
    </row>
    <row r="104" spans="2:28" x14ac:dyDescent="0.2">
      <c r="B104" s="16"/>
      <c r="C104" s="88" t="s">
        <v>92</v>
      </c>
      <c r="D104" s="89">
        <v>611</v>
      </c>
      <c r="E104" s="90">
        <f t="shared" ref="E104:E117" si="3">D104/H104</f>
        <v>0.72565320665083133</v>
      </c>
      <c r="F104" s="89">
        <v>231</v>
      </c>
      <c r="G104" s="90">
        <f t="shared" ref="G104:G117" si="4">F104/H104</f>
        <v>0.27434679334916867</v>
      </c>
      <c r="H104" s="89">
        <v>842</v>
      </c>
      <c r="I104" s="15"/>
      <c r="J104" s="15"/>
      <c r="K104" s="15"/>
      <c r="L104" s="15"/>
      <c r="M104" s="15"/>
      <c r="S104" s="79"/>
    </row>
    <row r="105" spans="2:28" x14ac:dyDescent="0.2">
      <c r="B105" s="16"/>
      <c r="C105" s="88" t="s">
        <v>93</v>
      </c>
      <c r="D105" s="89">
        <v>192</v>
      </c>
      <c r="E105" s="90">
        <f t="shared" si="3"/>
        <v>0.83478260869565213</v>
      </c>
      <c r="F105" s="89">
        <v>38</v>
      </c>
      <c r="G105" s="90">
        <f t="shared" si="4"/>
        <v>0.16521739130434782</v>
      </c>
      <c r="H105" s="89">
        <f t="shared" ref="H105:H114" si="5">F105+D105</f>
        <v>230</v>
      </c>
      <c r="I105" s="15"/>
      <c r="J105" s="15"/>
      <c r="K105" s="15"/>
      <c r="L105" s="15"/>
      <c r="M105" s="15"/>
      <c r="S105" s="79"/>
    </row>
    <row r="106" spans="2:28" x14ac:dyDescent="0.2">
      <c r="B106" s="16"/>
      <c r="C106" s="88" t="s">
        <v>94</v>
      </c>
      <c r="D106" s="89">
        <v>257</v>
      </c>
      <c r="E106" s="90">
        <f t="shared" si="3"/>
        <v>0.9884615384615385</v>
      </c>
      <c r="F106" s="89">
        <v>3</v>
      </c>
      <c r="G106" s="90">
        <f t="shared" si="4"/>
        <v>1.1538461538461539E-2</v>
      </c>
      <c r="H106" s="89">
        <f t="shared" si="5"/>
        <v>260</v>
      </c>
      <c r="I106" s="15"/>
      <c r="J106" s="15"/>
      <c r="K106" s="15"/>
      <c r="L106" s="15"/>
      <c r="M106" s="15"/>
      <c r="S106" s="79"/>
    </row>
    <row r="107" spans="2:28" x14ac:dyDescent="0.2">
      <c r="B107" s="16"/>
      <c r="C107" s="88" t="s">
        <v>95</v>
      </c>
      <c r="D107" s="89">
        <v>338</v>
      </c>
      <c r="E107" s="90">
        <f t="shared" si="3"/>
        <v>0.77522935779816515</v>
      </c>
      <c r="F107" s="89">
        <v>98</v>
      </c>
      <c r="G107" s="90">
        <f t="shared" si="4"/>
        <v>0.22477064220183487</v>
      </c>
      <c r="H107" s="89">
        <f t="shared" si="5"/>
        <v>436</v>
      </c>
      <c r="I107" s="15"/>
      <c r="J107" s="15"/>
      <c r="K107" s="15"/>
      <c r="L107" s="15"/>
      <c r="M107" s="15"/>
      <c r="S107" s="79"/>
    </row>
    <row r="108" spans="2:28" x14ac:dyDescent="0.2">
      <c r="B108" s="16"/>
      <c r="C108" s="88" t="s">
        <v>96</v>
      </c>
      <c r="D108" s="89">
        <v>145</v>
      </c>
      <c r="E108" s="90">
        <f t="shared" si="3"/>
        <v>1</v>
      </c>
      <c r="F108" s="89">
        <v>0</v>
      </c>
      <c r="G108" s="90">
        <f t="shared" si="4"/>
        <v>0</v>
      </c>
      <c r="H108" s="89">
        <f t="shared" si="5"/>
        <v>145</v>
      </c>
      <c r="I108" s="15"/>
      <c r="J108" s="15"/>
      <c r="K108" s="15"/>
      <c r="L108" s="15"/>
      <c r="M108" s="15"/>
      <c r="S108" s="79"/>
    </row>
    <row r="109" spans="2:28" x14ac:dyDescent="0.2">
      <c r="B109" s="16"/>
      <c r="C109" s="88" t="s">
        <v>97</v>
      </c>
      <c r="D109" s="89">
        <v>273</v>
      </c>
      <c r="E109" s="90">
        <f t="shared" si="3"/>
        <v>0.68421052631578949</v>
      </c>
      <c r="F109" s="89">
        <v>126</v>
      </c>
      <c r="G109" s="90">
        <f t="shared" si="4"/>
        <v>0.31578947368421051</v>
      </c>
      <c r="H109" s="89">
        <f t="shared" si="5"/>
        <v>399</v>
      </c>
      <c r="I109" s="15"/>
      <c r="J109" s="15"/>
      <c r="K109" s="15"/>
      <c r="L109" s="15"/>
      <c r="M109" s="15"/>
      <c r="S109" s="79"/>
    </row>
    <row r="110" spans="2:28" x14ac:dyDescent="0.2">
      <c r="B110" s="16"/>
      <c r="C110" s="88" t="s">
        <v>8</v>
      </c>
      <c r="D110" s="89">
        <v>133</v>
      </c>
      <c r="E110" s="90">
        <f t="shared" si="3"/>
        <v>0.63942307692307687</v>
      </c>
      <c r="F110" s="89">
        <v>75</v>
      </c>
      <c r="G110" s="90">
        <f t="shared" si="4"/>
        <v>0.36057692307692307</v>
      </c>
      <c r="H110" s="89">
        <f t="shared" si="5"/>
        <v>208</v>
      </c>
      <c r="I110" s="15"/>
      <c r="J110" s="15"/>
      <c r="K110" s="15"/>
      <c r="L110" s="15"/>
      <c r="M110" s="15"/>
      <c r="S110" s="79"/>
    </row>
    <row r="111" spans="2:28" x14ac:dyDescent="0.2">
      <c r="B111" s="16"/>
      <c r="C111" s="88" t="s">
        <v>9</v>
      </c>
      <c r="D111" s="89">
        <v>468</v>
      </c>
      <c r="E111" s="90">
        <f t="shared" si="3"/>
        <v>0.67338129496402876</v>
      </c>
      <c r="F111" s="89">
        <v>227</v>
      </c>
      <c r="G111" s="90">
        <f t="shared" si="4"/>
        <v>0.32661870503597124</v>
      </c>
      <c r="H111" s="89">
        <f t="shared" si="5"/>
        <v>695</v>
      </c>
      <c r="I111" s="15"/>
      <c r="J111" s="15"/>
      <c r="K111" s="15"/>
      <c r="L111" s="15"/>
      <c r="M111" s="15"/>
      <c r="S111" s="79"/>
      <c r="V111" s="91"/>
      <c r="W111" s="91"/>
      <c r="X111" s="92"/>
      <c r="Y111" s="92"/>
      <c r="Z111" s="92"/>
      <c r="AA111" s="92"/>
      <c r="AB111" s="92"/>
    </row>
    <row r="112" spans="2:28" x14ac:dyDescent="0.2">
      <c r="B112" s="16"/>
      <c r="C112" s="93" t="s">
        <v>10</v>
      </c>
      <c r="D112" s="89">
        <v>202</v>
      </c>
      <c r="E112" s="90">
        <f t="shared" si="3"/>
        <v>0.8595744680851064</v>
      </c>
      <c r="F112" s="89">
        <v>33</v>
      </c>
      <c r="G112" s="90">
        <f t="shared" si="4"/>
        <v>0.14042553191489363</v>
      </c>
      <c r="H112" s="89">
        <f t="shared" si="5"/>
        <v>235</v>
      </c>
      <c r="I112" s="60"/>
      <c r="J112" s="60"/>
      <c r="K112" s="60"/>
      <c r="L112" s="60"/>
      <c r="M112" s="60"/>
      <c r="S112" s="79"/>
      <c r="V112" s="382"/>
      <c r="W112" s="383"/>
      <c r="X112" s="383"/>
      <c r="Y112" s="383"/>
      <c r="Z112" s="383"/>
      <c r="AA112" s="383"/>
      <c r="AB112" s="383"/>
    </row>
    <row r="113" spans="2:28" ht="12.75" customHeight="1" x14ac:dyDescent="0.2">
      <c r="B113" s="16"/>
      <c r="C113" s="93" t="s">
        <v>11</v>
      </c>
      <c r="D113" s="89">
        <v>298</v>
      </c>
      <c r="E113" s="90">
        <f t="shared" si="3"/>
        <v>0.98026315789473684</v>
      </c>
      <c r="F113" s="19">
        <v>6</v>
      </c>
      <c r="G113" s="90">
        <f t="shared" si="4"/>
        <v>1.9736842105263157E-2</v>
      </c>
      <c r="H113" s="89">
        <f t="shared" si="5"/>
        <v>304</v>
      </c>
      <c r="I113" s="60"/>
      <c r="J113" s="60"/>
      <c r="K113" s="60"/>
      <c r="L113" s="60"/>
      <c r="M113" s="60"/>
      <c r="S113" s="79"/>
      <c r="V113" s="382"/>
      <c r="W113" s="94"/>
      <c r="X113" s="94"/>
      <c r="Y113" s="94"/>
      <c r="Z113" s="94"/>
      <c r="AA113" s="94"/>
      <c r="AB113" s="94"/>
    </row>
    <row r="114" spans="2:28" ht="12.75" customHeight="1" x14ac:dyDescent="0.2">
      <c r="B114" s="16"/>
      <c r="C114" s="88" t="s">
        <v>12</v>
      </c>
      <c r="D114" s="89">
        <v>392</v>
      </c>
      <c r="E114" s="90">
        <f t="shared" si="3"/>
        <v>0.79837067209775969</v>
      </c>
      <c r="F114" s="89">
        <v>99</v>
      </c>
      <c r="G114" s="90">
        <f t="shared" si="4"/>
        <v>0.20162932790224034</v>
      </c>
      <c r="H114" s="89">
        <f t="shared" si="5"/>
        <v>491</v>
      </c>
      <c r="I114" s="60"/>
      <c r="J114" s="60"/>
      <c r="K114" s="60"/>
      <c r="L114" s="60"/>
      <c r="M114" s="60"/>
      <c r="S114" s="79"/>
      <c r="U114" s="95"/>
      <c r="V114" s="96"/>
      <c r="W114" s="97"/>
      <c r="X114" s="97"/>
      <c r="Y114" s="97"/>
      <c r="Z114" s="97"/>
      <c r="AA114" s="97"/>
      <c r="AB114" s="97"/>
    </row>
    <row r="115" spans="2:28" ht="12.75" customHeight="1" x14ac:dyDescent="0.2">
      <c r="B115" s="16"/>
      <c r="C115" s="93" t="s">
        <v>13</v>
      </c>
      <c r="D115" s="89">
        <v>398</v>
      </c>
      <c r="E115" s="90">
        <f t="shared" si="3"/>
        <v>0.86521739130434783</v>
      </c>
      <c r="F115" s="19">
        <v>62</v>
      </c>
      <c r="G115" s="90">
        <f t="shared" si="4"/>
        <v>0.13478260869565217</v>
      </c>
      <c r="H115" s="89">
        <v>460</v>
      </c>
      <c r="I115" s="60"/>
      <c r="J115" s="60"/>
      <c r="K115" s="60"/>
      <c r="L115" s="60"/>
      <c r="M115" s="60"/>
      <c r="S115" s="79"/>
      <c r="V115" s="96"/>
      <c r="W115" s="97"/>
      <c r="X115" s="97"/>
      <c r="Y115" s="97"/>
      <c r="Z115" s="97"/>
      <c r="AA115" s="97"/>
      <c r="AB115" s="97"/>
    </row>
    <row r="116" spans="2:28" x14ac:dyDescent="0.2">
      <c r="B116" s="16"/>
      <c r="C116" s="93" t="s">
        <v>14</v>
      </c>
      <c r="D116" s="89">
        <v>341</v>
      </c>
      <c r="E116" s="90">
        <f t="shared" si="3"/>
        <v>0.89267015706806285</v>
      </c>
      <c r="F116" s="19">
        <v>41</v>
      </c>
      <c r="G116" s="90">
        <f t="shared" si="4"/>
        <v>0.10732984293193717</v>
      </c>
      <c r="H116" s="89">
        <f>F116+D116</f>
        <v>382</v>
      </c>
      <c r="I116" s="60"/>
      <c r="J116" s="60"/>
      <c r="K116" s="60"/>
      <c r="L116" s="60"/>
      <c r="M116" s="60"/>
      <c r="S116" s="79"/>
      <c r="V116" s="96"/>
      <c r="W116" s="97"/>
      <c r="X116" s="97"/>
      <c r="Y116" s="97"/>
      <c r="Z116" s="97"/>
      <c r="AA116" s="97"/>
      <c r="AB116" s="97"/>
    </row>
    <row r="117" spans="2:28" x14ac:dyDescent="0.2">
      <c r="B117" s="16"/>
      <c r="C117" s="93" t="s">
        <v>15</v>
      </c>
      <c r="D117" s="89">
        <v>349</v>
      </c>
      <c r="E117" s="90">
        <f t="shared" si="3"/>
        <v>0.83293556085918852</v>
      </c>
      <c r="F117" s="19">
        <v>70</v>
      </c>
      <c r="G117" s="90">
        <f t="shared" si="4"/>
        <v>0.16706443914081145</v>
      </c>
      <c r="H117" s="89">
        <f>F117+D117</f>
        <v>419</v>
      </c>
      <c r="I117" s="60"/>
      <c r="J117" s="60"/>
      <c r="K117" s="60"/>
      <c r="L117" s="60"/>
      <c r="M117" s="60"/>
      <c r="S117" s="79"/>
      <c r="V117" s="96"/>
      <c r="W117" s="97"/>
      <c r="X117" s="97"/>
      <c r="Y117" s="97"/>
      <c r="Z117" s="97"/>
      <c r="AA117" s="97"/>
      <c r="AB117" s="97"/>
    </row>
    <row r="118" spans="2:28" x14ac:dyDescent="0.2">
      <c r="B118" s="16"/>
      <c r="C118" s="93" t="s">
        <v>16</v>
      </c>
      <c r="D118" s="89">
        <v>297</v>
      </c>
      <c r="E118" s="90">
        <f>D118/H118</f>
        <v>0.89728096676737157</v>
      </c>
      <c r="F118" s="19">
        <v>34</v>
      </c>
      <c r="G118" s="90">
        <f>F118/H118</f>
        <v>0.1027190332326284</v>
      </c>
      <c r="H118" s="89">
        <f>F118+D118</f>
        <v>331</v>
      </c>
      <c r="I118" s="60"/>
      <c r="J118" s="60"/>
      <c r="K118" s="60"/>
      <c r="L118" s="60"/>
      <c r="M118" s="60"/>
      <c r="S118" s="79"/>
      <c r="V118" s="96"/>
      <c r="W118" s="97"/>
      <c r="X118" s="97"/>
      <c r="Y118" s="97"/>
      <c r="Z118" s="97"/>
      <c r="AA118" s="97"/>
      <c r="AB118" s="97"/>
    </row>
    <row r="119" spans="2:28" x14ac:dyDescent="0.2">
      <c r="B119" s="16"/>
      <c r="C119" s="93" t="s">
        <v>17</v>
      </c>
      <c r="D119" s="89">
        <f>GETPIVOTDATA("Net Dwellings",Pivot!$B$115)</f>
        <v>189</v>
      </c>
      <c r="E119" s="90">
        <f>D119/H119</f>
        <v>0.91747572815533984</v>
      </c>
      <c r="F119" s="19">
        <f>GETPIVOTDATA("Net Dwellings",Pivot!$B$107)</f>
        <v>17</v>
      </c>
      <c r="G119" s="90">
        <f>F119/H119</f>
        <v>8.2524271844660199E-2</v>
      </c>
      <c r="H119" s="89">
        <f>F119+D119</f>
        <v>206</v>
      </c>
      <c r="I119" s="60"/>
      <c r="J119" s="60"/>
      <c r="K119" s="60"/>
      <c r="L119" s="60"/>
      <c r="M119" s="60"/>
      <c r="S119" s="79"/>
      <c r="V119" s="96"/>
      <c r="W119" s="97"/>
      <c r="X119" s="97"/>
      <c r="Y119" s="97"/>
      <c r="Z119" s="97"/>
      <c r="AA119" s="97"/>
      <c r="AB119" s="97"/>
    </row>
    <row r="120" spans="2:28" x14ac:dyDescent="0.2">
      <c r="B120" s="16"/>
      <c r="C120" s="98" t="s">
        <v>6</v>
      </c>
      <c r="D120" s="99">
        <f>SUM(D104:D119)</f>
        <v>4883</v>
      </c>
      <c r="E120" s="100">
        <f>D120/H120</f>
        <v>0.80804236306470301</v>
      </c>
      <c r="F120" s="99">
        <f>SUM(F104:F119)</f>
        <v>1160</v>
      </c>
      <c r="G120" s="100">
        <f>F120/H120</f>
        <v>0.19195763693529705</v>
      </c>
      <c r="H120" s="99">
        <f>SUM(H104:H119)</f>
        <v>6043</v>
      </c>
      <c r="I120" s="60"/>
      <c r="J120" s="60"/>
      <c r="K120" s="60"/>
      <c r="L120" s="60"/>
      <c r="M120" s="60"/>
      <c r="S120" s="79"/>
      <c r="V120" s="96"/>
      <c r="W120" s="97"/>
      <c r="X120" s="97"/>
      <c r="Y120" s="97"/>
      <c r="Z120" s="97"/>
      <c r="AA120" s="97"/>
      <c r="AB120" s="97"/>
    </row>
    <row r="121" spans="2:28" x14ac:dyDescent="0.2">
      <c r="B121" s="11"/>
      <c r="C121" s="60"/>
      <c r="D121" s="60"/>
      <c r="E121" s="60"/>
      <c r="F121" s="60"/>
      <c r="G121" s="60"/>
      <c r="H121" s="60"/>
      <c r="I121" s="60"/>
      <c r="J121" s="60"/>
      <c r="K121" s="60"/>
      <c r="L121" s="60"/>
      <c r="M121" s="60"/>
      <c r="N121" s="60"/>
      <c r="O121" s="60"/>
      <c r="P121" s="60"/>
      <c r="Q121" s="60"/>
      <c r="S121" s="79"/>
      <c r="V121" s="96"/>
      <c r="W121" s="97"/>
      <c r="X121" s="97"/>
      <c r="Y121" s="97"/>
      <c r="Z121" s="97"/>
      <c r="AA121" s="97"/>
      <c r="AB121" s="97"/>
    </row>
    <row r="122" spans="2:28" x14ac:dyDescent="0.2">
      <c r="B122" s="11"/>
      <c r="C122" s="60"/>
      <c r="D122" s="60"/>
      <c r="E122" s="60"/>
      <c r="F122" s="60"/>
      <c r="G122" s="60"/>
      <c r="H122" s="60"/>
      <c r="I122" s="60"/>
      <c r="J122" s="60"/>
      <c r="K122" s="60"/>
      <c r="L122" s="60"/>
      <c r="M122" s="60"/>
      <c r="N122" s="60"/>
      <c r="O122" s="60"/>
      <c r="P122" s="60"/>
      <c r="Q122" s="60"/>
      <c r="S122" s="79"/>
      <c r="V122" s="96"/>
      <c r="W122" s="97"/>
      <c r="X122" s="97"/>
      <c r="Y122" s="97"/>
      <c r="Z122" s="97"/>
      <c r="AA122" s="97"/>
      <c r="AB122" s="97"/>
    </row>
    <row r="123" spans="2:28" x14ac:dyDescent="0.2">
      <c r="B123" s="11"/>
      <c r="C123" s="60"/>
      <c r="D123" s="60"/>
      <c r="E123" s="60"/>
      <c r="F123" s="60"/>
      <c r="G123" s="60"/>
      <c r="H123" s="60"/>
      <c r="I123" s="60"/>
      <c r="J123" s="60"/>
      <c r="K123" s="60"/>
      <c r="L123" s="60"/>
      <c r="M123" s="60"/>
      <c r="N123" s="60"/>
      <c r="O123" s="60"/>
      <c r="P123" s="60"/>
      <c r="Q123" s="60"/>
      <c r="S123" s="79"/>
      <c r="V123" s="96"/>
      <c r="W123" s="97"/>
      <c r="X123" s="97"/>
      <c r="Y123" s="97"/>
      <c r="Z123" s="97"/>
      <c r="AA123" s="97"/>
      <c r="AB123" s="97"/>
    </row>
    <row r="124" spans="2:28" x14ac:dyDescent="0.2">
      <c r="B124" s="11"/>
      <c r="C124" s="60"/>
      <c r="D124" s="60"/>
      <c r="E124" s="60"/>
      <c r="F124" s="60"/>
      <c r="G124" s="60"/>
      <c r="H124" s="60"/>
      <c r="I124" s="60"/>
      <c r="J124" s="60"/>
      <c r="K124" s="60"/>
      <c r="L124" s="60"/>
      <c r="M124" s="60"/>
      <c r="N124" s="60"/>
      <c r="O124" s="60"/>
      <c r="P124" s="60"/>
      <c r="Q124" s="60"/>
      <c r="S124" s="79"/>
      <c r="V124" s="96"/>
      <c r="W124" s="97"/>
      <c r="X124" s="97"/>
      <c r="Y124" s="97"/>
      <c r="Z124" s="97"/>
      <c r="AA124" s="97"/>
      <c r="AB124" s="97"/>
    </row>
    <row r="125" spans="2:28" x14ac:dyDescent="0.2">
      <c r="B125" s="11"/>
      <c r="C125" s="60"/>
      <c r="D125" s="60"/>
      <c r="E125" s="60"/>
      <c r="F125" s="60"/>
      <c r="G125" s="60"/>
      <c r="H125" s="60"/>
      <c r="I125" s="60"/>
      <c r="J125" s="60"/>
      <c r="K125" s="60"/>
      <c r="L125" s="60"/>
      <c r="M125" s="60"/>
      <c r="N125" s="60"/>
      <c r="O125" s="60"/>
      <c r="P125" s="60"/>
      <c r="Q125" s="60"/>
      <c r="S125" s="79"/>
      <c r="V125" s="96"/>
      <c r="W125" s="97"/>
      <c r="X125" s="97"/>
      <c r="Y125" s="97"/>
      <c r="Z125" s="97"/>
      <c r="AA125" s="97"/>
      <c r="AB125" s="97"/>
    </row>
    <row r="126" spans="2:28" x14ac:dyDescent="0.2">
      <c r="B126" s="11"/>
      <c r="C126" s="60"/>
      <c r="D126" s="60"/>
      <c r="E126" s="60"/>
      <c r="F126" s="60"/>
      <c r="G126" s="60"/>
      <c r="H126" s="60"/>
      <c r="I126" s="60"/>
      <c r="J126" s="60"/>
      <c r="K126" s="60"/>
      <c r="L126" s="60"/>
      <c r="M126" s="60"/>
      <c r="N126" s="60"/>
      <c r="O126" s="60"/>
      <c r="P126" s="60"/>
      <c r="Q126" s="60"/>
      <c r="S126" s="79"/>
      <c r="V126" s="96"/>
      <c r="W126" s="97"/>
      <c r="X126" s="97"/>
      <c r="Y126" s="97"/>
      <c r="Z126" s="97"/>
      <c r="AA126" s="97"/>
      <c r="AB126" s="97"/>
    </row>
    <row r="127" spans="2:28" x14ac:dyDescent="0.2">
      <c r="B127" s="11"/>
      <c r="C127" s="60"/>
      <c r="D127" s="60"/>
      <c r="E127" s="60"/>
      <c r="F127" s="60"/>
      <c r="G127" s="60"/>
      <c r="H127" s="60"/>
      <c r="I127" s="60"/>
      <c r="J127" s="60"/>
      <c r="K127" s="60"/>
      <c r="L127" s="60"/>
      <c r="M127" s="60"/>
      <c r="N127" s="60"/>
      <c r="O127" s="60"/>
      <c r="P127" s="60"/>
      <c r="Q127" s="60"/>
      <c r="S127" s="79"/>
      <c r="V127" s="96"/>
      <c r="W127" s="97"/>
      <c r="X127" s="97"/>
      <c r="Y127" s="97"/>
      <c r="Z127" s="97"/>
      <c r="AA127" s="97"/>
      <c r="AB127" s="97"/>
    </row>
    <row r="128" spans="2:28" x14ac:dyDescent="0.2">
      <c r="B128" s="11"/>
      <c r="C128" s="60"/>
      <c r="D128" s="60"/>
      <c r="E128" s="60"/>
      <c r="F128" s="60"/>
      <c r="G128" s="60"/>
      <c r="H128" s="60"/>
      <c r="I128" s="60"/>
      <c r="J128" s="60"/>
      <c r="K128" s="60"/>
      <c r="L128" s="60"/>
      <c r="M128" s="60"/>
      <c r="N128" s="60"/>
      <c r="O128" s="60"/>
      <c r="P128" s="60"/>
      <c r="Q128" s="60"/>
      <c r="S128" s="79"/>
      <c r="V128" s="96"/>
      <c r="W128" s="97"/>
      <c r="X128" s="97"/>
      <c r="Y128" s="97"/>
      <c r="Z128" s="97"/>
      <c r="AA128" s="97"/>
      <c r="AB128" s="97"/>
    </row>
    <row r="129" spans="2:28" x14ac:dyDescent="0.2">
      <c r="B129" s="11"/>
      <c r="C129" s="60"/>
      <c r="D129" s="60"/>
      <c r="E129" s="60"/>
      <c r="F129" s="60"/>
      <c r="G129" s="60"/>
      <c r="H129" s="60"/>
      <c r="I129" s="60"/>
      <c r="J129" s="60"/>
      <c r="K129" s="60"/>
      <c r="L129" s="60"/>
      <c r="M129" s="60"/>
      <c r="N129" s="60"/>
      <c r="O129" s="60"/>
      <c r="P129" s="60"/>
      <c r="Q129" s="60"/>
      <c r="S129" s="79"/>
      <c r="V129" s="96"/>
      <c r="W129" s="97"/>
      <c r="X129" s="97"/>
      <c r="Y129" s="97"/>
      <c r="Z129" s="97"/>
      <c r="AA129" s="97"/>
      <c r="AB129" s="97"/>
    </row>
    <row r="130" spans="2:28" x14ac:dyDescent="0.2">
      <c r="B130" s="11"/>
      <c r="C130" s="60"/>
      <c r="D130" s="60"/>
      <c r="E130" s="60"/>
      <c r="F130" s="60"/>
      <c r="G130" s="60"/>
      <c r="H130" s="60"/>
      <c r="I130" s="60"/>
      <c r="J130" s="60"/>
      <c r="K130" s="60"/>
      <c r="L130" s="60"/>
      <c r="M130" s="60"/>
      <c r="N130" s="60"/>
      <c r="O130" s="60"/>
      <c r="P130" s="60"/>
      <c r="Q130" s="60"/>
      <c r="S130" s="79"/>
      <c r="V130" s="101"/>
      <c r="W130" s="102"/>
      <c r="X130" s="102"/>
      <c r="Y130" s="102"/>
      <c r="Z130" s="102"/>
      <c r="AA130" s="102"/>
      <c r="AB130" s="102"/>
    </row>
    <row r="131" spans="2:28" x14ac:dyDescent="0.2">
      <c r="B131" s="11"/>
      <c r="C131" s="60"/>
      <c r="D131" s="60"/>
      <c r="E131" s="60"/>
      <c r="F131" s="60"/>
      <c r="G131" s="60"/>
      <c r="H131" s="60"/>
      <c r="I131" s="60"/>
      <c r="J131" s="60"/>
      <c r="K131" s="60"/>
      <c r="L131" s="60"/>
      <c r="M131" s="60"/>
      <c r="N131" s="60"/>
      <c r="O131" s="60"/>
      <c r="P131" s="60"/>
      <c r="Q131" s="60"/>
      <c r="S131" s="79"/>
      <c r="V131" s="101"/>
      <c r="W131" s="102"/>
      <c r="X131" s="102"/>
      <c r="Y131" s="102"/>
      <c r="Z131" s="102"/>
      <c r="AA131" s="102"/>
      <c r="AB131" s="102"/>
    </row>
    <row r="132" spans="2:28" x14ac:dyDescent="0.2">
      <c r="B132" s="11"/>
      <c r="C132" s="60"/>
      <c r="D132" s="60"/>
      <c r="E132" s="60"/>
      <c r="F132" s="60"/>
      <c r="G132" s="60"/>
      <c r="H132" s="60"/>
      <c r="I132" s="60"/>
      <c r="J132" s="60"/>
      <c r="K132" s="60"/>
      <c r="L132" s="60"/>
      <c r="M132" s="60"/>
      <c r="N132" s="60"/>
      <c r="O132" s="60"/>
      <c r="P132" s="60"/>
      <c r="Q132" s="60"/>
      <c r="S132" s="79"/>
    </row>
    <row r="133" spans="2:28" x14ac:dyDescent="0.2">
      <c r="B133" s="11"/>
      <c r="C133" s="60"/>
      <c r="D133" s="60"/>
      <c r="E133" s="60"/>
      <c r="F133" s="60"/>
      <c r="G133" s="60"/>
      <c r="H133" s="60"/>
      <c r="I133" s="60"/>
      <c r="J133" s="60"/>
      <c r="K133" s="60"/>
      <c r="L133" s="60"/>
      <c r="M133" s="60"/>
      <c r="N133" s="60"/>
      <c r="O133" s="60"/>
      <c r="P133" s="60"/>
      <c r="Q133" s="60"/>
      <c r="S133" s="79"/>
    </row>
    <row r="134" spans="2:28" x14ac:dyDescent="0.2">
      <c r="B134" s="11"/>
      <c r="C134" s="60"/>
      <c r="D134" s="60"/>
      <c r="E134" s="60"/>
      <c r="F134" s="60"/>
      <c r="G134" s="60"/>
      <c r="H134" s="60"/>
      <c r="I134" s="60"/>
      <c r="J134" s="60"/>
      <c r="K134" s="60"/>
      <c r="L134" s="60"/>
      <c r="M134" s="60"/>
      <c r="N134" s="60"/>
      <c r="O134" s="60"/>
      <c r="P134" s="60"/>
      <c r="Q134" s="60"/>
      <c r="S134" s="79"/>
    </row>
    <row r="135" spans="2:28" x14ac:dyDescent="0.2">
      <c r="B135" s="11"/>
      <c r="C135" s="60"/>
      <c r="D135" s="60"/>
      <c r="E135" s="60"/>
      <c r="F135" s="60"/>
      <c r="G135" s="60"/>
      <c r="H135" s="60"/>
      <c r="I135" s="60"/>
      <c r="J135" s="60"/>
      <c r="K135" s="60"/>
      <c r="L135" s="60"/>
      <c r="M135" s="60"/>
      <c r="N135" s="60"/>
      <c r="O135" s="60"/>
      <c r="P135" s="60"/>
      <c r="Q135" s="60"/>
      <c r="S135" s="79"/>
    </row>
    <row r="136" spans="2:28" x14ac:dyDescent="0.2">
      <c r="B136" s="11"/>
      <c r="C136" s="60"/>
      <c r="D136" s="60"/>
      <c r="E136" s="60"/>
      <c r="F136" s="60"/>
      <c r="G136" s="60"/>
      <c r="H136" s="60"/>
      <c r="I136" s="60"/>
      <c r="J136" s="60"/>
      <c r="K136" s="60"/>
      <c r="L136" s="60"/>
      <c r="M136" s="60"/>
      <c r="N136" s="60"/>
      <c r="O136" s="60"/>
      <c r="P136" s="60"/>
      <c r="Q136" s="60"/>
      <c r="S136" s="79"/>
    </row>
    <row r="137" spans="2:28" x14ac:dyDescent="0.2">
      <c r="B137" s="11"/>
      <c r="C137" s="60"/>
      <c r="D137" s="60"/>
      <c r="E137" s="60"/>
      <c r="F137" s="60"/>
      <c r="G137" s="60"/>
      <c r="H137" s="60"/>
      <c r="I137" s="60"/>
      <c r="J137" s="60"/>
      <c r="K137" s="60"/>
      <c r="L137" s="60"/>
      <c r="M137" s="60"/>
      <c r="N137" s="60"/>
      <c r="O137" s="60"/>
      <c r="P137" s="60"/>
      <c r="Q137" s="60"/>
      <c r="S137" s="79"/>
    </row>
    <row r="138" spans="2:28" x14ac:dyDescent="0.2">
      <c r="B138" s="11"/>
      <c r="C138" s="60"/>
      <c r="D138" s="60"/>
      <c r="E138" s="60"/>
      <c r="F138" s="60"/>
      <c r="G138" s="60"/>
      <c r="H138" s="60"/>
      <c r="I138" s="60"/>
      <c r="J138" s="60"/>
      <c r="K138" s="60"/>
      <c r="L138" s="60"/>
      <c r="M138" s="60"/>
      <c r="N138" s="60"/>
      <c r="O138" s="60"/>
      <c r="P138" s="60"/>
      <c r="Q138" s="60"/>
      <c r="S138" s="79"/>
    </row>
    <row r="139" spans="2:28" ht="12.75" customHeight="1" x14ac:dyDescent="0.2">
      <c r="B139" s="34"/>
      <c r="C139" s="103"/>
      <c r="D139" s="103"/>
      <c r="E139" s="103"/>
      <c r="F139" s="103"/>
      <c r="G139" s="103"/>
      <c r="H139" s="103"/>
      <c r="I139" s="103"/>
      <c r="J139" s="103"/>
      <c r="K139" s="103"/>
      <c r="L139" s="103"/>
      <c r="M139" s="103"/>
      <c r="N139" s="103"/>
      <c r="O139" s="103"/>
      <c r="P139" s="103"/>
      <c r="Q139" s="103"/>
      <c r="R139" s="83"/>
      <c r="S139" s="84"/>
    </row>
    <row r="140" spans="2:28" x14ac:dyDescent="0.2">
      <c r="B140" s="11"/>
      <c r="C140" s="60"/>
      <c r="D140" s="60"/>
      <c r="E140" s="60"/>
      <c r="F140" s="60"/>
      <c r="G140" s="60"/>
      <c r="H140" s="60"/>
      <c r="I140" s="60"/>
      <c r="J140" s="60"/>
      <c r="K140" s="60"/>
      <c r="L140" s="60"/>
      <c r="M140" s="60"/>
      <c r="N140" s="60"/>
      <c r="O140" s="60"/>
      <c r="P140" s="60"/>
      <c r="Q140" s="60"/>
      <c r="S140" s="79"/>
    </row>
    <row r="141" spans="2:28" ht="12.75" customHeight="1" x14ac:dyDescent="0.2">
      <c r="B141" s="11"/>
      <c r="C141" s="14" t="s">
        <v>105</v>
      </c>
      <c r="D141" s="14" t="s">
        <v>106</v>
      </c>
      <c r="J141" s="60"/>
      <c r="K141" s="60"/>
      <c r="L141" s="60"/>
      <c r="M141" s="60"/>
      <c r="N141" s="60"/>
      <c r="O141" s="60"/>
      <c r="P141" s="60"/>
      <c r="Q141" s="60"/>
      <c r="S141" s="79"/>
    </row>
    <row r="142" spans="2:28" x14ac:dyDescent="0.2">
      <c r="B142" s="16"/>
      <c r="C142" s="369" t="s">
        <v>107</v>
      </c>
      <c r="D142" s="370"/>
      <c r="E142" s="371" t="s">
        <v>108</v>
      </c>
      <c r="F142" s="369"/>
      <c r="G142" s="371" t="s">
        <v>109</v>
      </c>
      <c r="H142" s="369"/>
      <c r="I142" s="104" t="s">
        <v>6</v>
      </c>
      <c r="J142" s="104" t="s">
        <v>104</v>
      </c>
      <c r="K142" s="60"/>
      <c r="L142" s="60"/>
      <c r="M142" s="60"/>
      <c r="N142" s="60"/>
      <c r="O142" s="60"/>
      <c r="P142" s="60"/>
      <c r="Q142" s="60"/>
      <c r="R142" s="60"/>
      <c r="S142" s="79"/>
    </row>
    <row r="143" spans="2:28" x14ac:dyDescent="0.2">
      <c r="B143" s="16"/>
      <c r="C143" s="360" t="s">
        <v>110</v>
      </c>
      <c r="D143" s="378"/>
      <c r="E143" s="379">
        <f>GETPIVOTDATA("Sum of 1 bed net",Pivot!$B$235,"Application Type",)</f>
        <v>50</v>
      </c>
      <c r="F143" s="360"/>
      <c r="G143" s="379">
        <f>GETPIVOTDATA("Sum of 1 bed net",Pivot!$B$235,"Application Type","PA")</f>
        <v>19</v>
      </c>
      <c r="H143" s="360"/>
      <c r="I143" s="105">
        <f t="shared" ref="I143:I146" si="6">SUM(E143:H143)</f>
        <v>69</v>
      </c>
      <c r="J143" s="106">
        <f>I143/$I$147</f>
        <v>0.33495145631067963</v>
      </c>
      <c r="K143" s="60"/>
      <c r="L143" s="60"/>
      <c r="M143" s="60"/>
      <c r="N143" s="60"/>
      <c r="O143" s="60"/>
      <c r="P143" s="60"/>
      <c r="Q143" s="60"/>
      <c r="R143" s="60"/>
      <c r="S143" s="79"/>
    </row>
    <row r="144" spans="2:28" x14ac:dyDescent="0.2">
      <c r="B144" s="16"/>
      <c r="C144" s="360" t="s">
        <v>111</v>
      </c>
      <c r="D144" s="378"/>
      <c r="E144" s="379">
        <f>GETPIVOTDATA("Sum of 2 bed net",Pivot!$B$235,"Application Type",)</f>
        <v>89</v>
      </c>
      <c r="F144" s="360"/>
      <c r="G144" s="379">
        <f>GETPIVOTDATA("Sum of 2 bed net",Pivot!$B$235,"Application Type","PA")</f>
        <v>4</v>
      </c>
      <c r="H144" s="360"/>
      <c r="I144" s="105">
        <f>SUM(E144:H144)</f>
        <v>93</v>
      </c>
      <c r="J144" s="106">
        <f>I144/$I$147</f>
        <v>0.45145631067961167</v>
      </c>
      <c r="K144" s="60"/>
      <c r="L144" s="60"/>
      <c r="M144" s="60"/>
      <c r="N144" s="60"/>
      <c r="O144" s="60"/>
      <c r="P144" s="60"/>
      <c r="Q144" s="60"/>
      <c r="R144" s="60"/>
      <c r="S144" s="79"/>
    </row>
    <row r="145" spans="2:19" x14ac:dyDescent="0.2">
      <c r="B145" s="16"/>
      <c r="C145" s="360" t="s">
        <v>112</v>
      </c>
      <c r="D145" s="378"/>
      <c r="E145" s="379">
        <f>GETPIVOTDATA("Sum of 3 bed net",Pivot!$B$235,"Application Type",)</f>
        <v>20</v>
      </c>
      <c r="F145" s="360"/>
      <c r="G145" s="379">
        <f>GETPIVOTDATA("Sum of 3 bed net",Pivot!$B$235,"Application Type","PA")</f>
        <v>2</v>
      </c>
      <c r="H145" s="360"/>
      <c r="I145" s="105">
        <f t="shared" si="6"/>
        <v>22</v>
      </c>
      <c r="J145" s="106">
        <f>I145/$I$147</f>
        <v>0.10679611650485436</v>
      </c>
      <c r="K145" s="60"/>
      <c r="L145" s="60"/>
      <c r="M145" s="60"/>
      <c r="N145" s="60"/>
      <c r="O145" s="60"/>
      <c r="P145" s="60"/>
      <c r="Q145" s="60"/>
      <c r="R145" s="60"/>
      <c r="S145" s="79"/>
    </row>
    <row r="146" spans="2:19" x14ac:dyDescent="0.2">
      <c r="B146" s="16"/>
      <c r="C146" s="360" t="s">
        <v>113</v>
      </c>
      <c r="D146" s="378"/>
      <c r="E146" s="379">
        <f>GETPIVOTDATA("Sum of 4 bed net",Pivot!$B$235,"Application Type",)+GETPIVOTDATA("Sum of 5 bed net",Pivot!$B$235,"Application Type",)+GETPIVOTDATA("Sum of 6 bed net",Pivot!$B$235,"Application Type",)</f>
        <v>21</v>
      </c>
      <c r="F146" s="360"/>
      <c r="G146" s="379">
        <f>GETPIVOTDATA("Sum of 4 bed net",Pivot!$B$235,"Application Type","PA")</f>
        <v>1</v>
      </c>
      <c r="H146" s="360"/>
      <c r="I146" s="105">
        <f t="shared" si="6"/>
        <v>22</v>
      </c>
      <c r="J146" s="106">
        <f>I146/$I$147</f>
        <v>0.10679611650485436</v>
      </c>
      <c r="K146" s="60"/>
      <c r="L146" s="60"/>
      <c r="M146" s="60"/>
      <c r="N146" s="60"/>
      <c r="O146" s="60"/>
      <c r="P146" s="60"/>
      <c r="Q146" s="60"/>
      <c r="R146" s="60"/>
      <c r="S146" s="79"/>
    </row>
    <row r="147" spans="2:19" x14ac:dyDescent="0.2">
      <c r="B147" s="16"/>
      <c r="C147" s="372" t="s">
        <v>6</v>
      </c>
      <c r="D147" s="354"/>
      <c r="E147" s="373">
        <f>SUM(E143:F146)</f>
        <v>180</v>
      </c>
      <c r="F147" s="373"/>
      <c r="G147" s="374">
        <f>SUM(G143:H146)</f>
        <v>26</v>
      </c>
      <c r="H147" s="375"/>
      <c r="I147" s="107">
        <f>SUM(E147:H147)</f>
        <v>206</v>
      </c>
      <c r="J147" s="108">
        <f>SUM(J143:J146)</f>
        <v>1</v>
      </c>
      <c r="K147" s="60"/>
      <c r="L147" s="60"/>
      <c r="M147" s="60"/>
      <c r="N147" s="60"/>
      <c r="O147" s="60"/>
      <c r="P147" s="60"/>
      <c r="Q147" s="60"/>
      <c r="S147" s="79"/>
    </row>
    <row r="148" spans="2:19" x14ac:dyDescent="0.2">
      <c r="B148" s="16"/>
      <c r="C148" s="354" t="s">
        <v>114</v>
      </c>
      <c r="D148" s="376"/>
      <c r="E148" s="377">
        <f>E147/H119</f>
        <v>0.87378640776699024</v>
      </c>
      <c r="F148" s="377"/>
      <c r="G148" s="377">
        <f>G147/H119</f>
        <v>0.12621359223300971</v>
      </c>
      <c r="H148" s="377"/>
      <c r="I148" s="355"/>
      <c r="J148" s="356"/>
      <c r="K148" s="60"/>
      <c r="L148" s="60"/>
      <c r="M148" s="60"/>
      <c r="N148" s="60"/>
      <c r="O148" s="60"/>
      <c r="P148" s="60"/>
      <c r="Q148" s="60"/>
      <c r="S148" s="79"/>
    </row>
    <row r="149" spans="2:19" x14ac:dyDescent="0.2">
      <c r="B149" s="11"/>
      <c r="J149" s="60"/>
      <c r="K149" s="60"/>
      <c r="L149" s="60"/>
      <c r="M149" s="60"/>
      <c r="N149" s="60"/>
      <c r="O149" s="60"/>
      <c r="P149" s="60"/>
      <c r="Q149" s="60"/>
      <c r="S149" s="79"/>
    </row>
    <row r="150" spans="2:19" x14ac:dyDescent="0.2">
      <c r="B150" s="11"/>
      <c r="J150" s="60"/>
      <c r="K150" s="60"/>
      <c r="L150" s="60"/>
      <c r="M150" s="60"/>
      <c r="N150" s="60"/>
      <c r="O150" s="60"/>
      <c r="P150" s="60"/>
      <c r="Q150" s="60"/>
      <c r="S150" s="79"/>
    </row>
    <row r="151" spans="2:19" x14ac:dyDescent="0.2">
      <c r="B151" s="11"/>
      <c r="J151" s="60"/>
      <c r="K151" s="60"/>
      <c r="L151" s="60"/>
      <c r="M151" s="60"/>
      <c r="N151" s="60"/>
      <c r="O151" s="60"/>
      <c r="P151" s="60"/>
      <c r="Q151" s="60"/>
      <c r="S151" s="79"/>
    </row>
    <row r="152" spans="2:19" x14ac:dyDescent="0.2">
      <c r="B152" s="11"/>
      <c r="J152" s="60"/>
      <c r="K152" s="60"/>
      <c r="L152" s="60"/>
      <c r="M152" s="60"/>
      <c r="N152" s="60"/>
      <c r="O152" s="60"/>
      <c r="P152" s="60"/>
      <c r="Q152" s="60"/>
      <c r="S152" s="79"/>
    </row>
    <row r="153" spans="2:19" x14ac:dyDescent="0.2">
      <c r="B153" s="11"/>
      <c r="J153" s="60"/>
      <c r="K153" s="60"/>
      <c r="L153" s="60"/>
      <c r="M153" s="60"/>
      <c r="N153" s="60"/>
      <c r="O153" s="60"/>
      <c r="P153" s="60"/>
      <c r="Q153" s="60"/>
      <c r="S153" s="79"/>
    </row>
    <row r="154" spans="2:19" x14ac:dyDescent="0.2">
      <c r="B154" s="11"/>
      <c r="J154" s="60"/>
      <c r="K154" s="60"/>
      <c r="L154" s="60"/>
      <c r="M154" s="60"/>
      <c r="N154" s="60"/>
      <c r="O154" s="60"/>
      <c r="P154" s="60"/>
      <c r="Q154" s="60"/>
      <c r="S154" s="79"/>
    </row>
    <row r="155" spans="2:19" x14ac:dyDescent="0.2">
      <c r="B155" s="11"/>
      <c r="J155" s="60"/>
      <c r="K155" s="60"/>
      <c r="L155" s="60"/>
      <c r="M155" s="60"/>
      <c r="N155" s="60"/>
      <c r="O155" s="60"/>
      <c r="P155" s="60"/>
      <c r="Q155" s="60"/>
      <c r="S155" s="79"/>
    </row>
    <row r="156" spans="2:19" x14ac:dyDescent="0.2">
      <c r="B156" s="11"/>
      <c r="C156" s="14" t="s">
        <v>115</v>
      </c>
      <c r="D156" s="14" t="s">
        <v>116</v>
      </c>
      <c r="J156" s="60"/>
      <c r="K156" s="60"/>
      <c r="L156" s="60"/>
      <c r="M156" s="60"/>
      <c r="N156" s="60"/>
      <c r="O156" s="60"/>
      <c r="P156" s="60"/>
      <c r="Q156" s="60"/>
      <c r="S156" s="79"/>
    </row>
    <row r="157" spans="2:19" x14ac:dyDescent="0.2">
      <c r="B157" s="16"/>
      <c r="C157" s="369" t="s">
        <v>107</v>
      </c>
      <c r="D157" s="370"/>
      <c r="E157" s="371" t="s">
        <v>108</v>
      </c>
      <c r="F157" s="369"/>
      <c r="G157" s="371" t="s">
        <v>109</v>
      </c>
      <c r="H157" s="369"/>
      <c r="I157" s="371" t="s">
        <v>6</v>
      </c>
      <c r="J157" s="369"/>
      <c r="K157" s="371" t="s">
        <v>117</v>
      </c>
      <c r="L157" s="369"/>
      <c r="M157" s="371" t="s">
        <v>118</v>
      </c>
      <c r="N157" s="369"/>
      <c r="O157" s="60"/>
      <c r="P157" s="60"/>
      <c r="Q157" s="60"/>
      <c r="S157" s="79"/>
    </row>
    <row r="158" spans="2:19" x14ac:dyDescent="0.2">
      <c r="B158" s="16"/>
      <c r="C158" s="359" t="s">
        <v>13</v>
      </c>
      <c r="D158" s="360"/>
      <c r="E158" s="361">
        <v>304</v>
      </c>
      <c r="F158" s="362"/>
      <c r="G158" s="361">
        <v>156</v>
      </c>
      <c r="H158" s="362"/>
      <c r="I158" s="361">
        <f>SUM(E158:H158)</f>
        <v>460</v>
      </c>
      <c r="J158" s="362"/>
      <c r="K158" s="363">
        <f>E158/I158</f>
        <v>0.66086956521739126</v>
      </c>
      <c r="L158" s="364"/>
      <c r="M158" s="363">
        <f>G158/I158</f>
        <v>0.33913043478260868</v>
      </c>
      <c r="N158" s="364"/>
      <c r="O158" s="60"/>
      <c r="P158" s="60"/>
      <c r="Q158" s="60"/>
      <c r="S158" s="79"/>
    </row>
    <row r="159" spans="2:19" x14ac:dyDescent="0.2">
      <c r="B159" s="16"/>
      <c r="C159" s="359" t="s">
        <v>14</v>
      </c>
      <c r="D159" s="360"/>
      <c r="E159" s="361">
        <v>294</v>
      </c>
      <c r="F159" s="362"/>
      <c r="G159" s="361">
        <v>88</v>
      </c>
      <c r="H159" s="362"/>
      <c r="I159" s="361">
        <f>SUM(E159:H159)</f>
        <v>382</v>
      </c>
      <c r="J159" s="362"/>
      <c r="K159" s="363">
        <f>E159/I159</f>
        <v>0.76963350785340312</v>
      </c>
      <c r="L159" s="364"/>
      <c r="M159" s="363">
        <f>G159/I159</f>
        <v>0.23036649214659685</v>
      </c>
      <c r="N159" s="364"/>
      <c r="O159" s="60"/>
      <c r="P159" s="60"/>
      <c r="Q159" s="60"/>
      <c r="S159" s="79"/>
    </row>
    <row r="160" spans="2:19" x14ac:dyDescent="0.2">
      <c r="B160" s="16"/>
      <c r="C160" s="359" t="s">
        <v>15</v>
      </c>
      <c r="D160" s="360"/>
      <c r="E160" s="361">
        <v>360</v>
      </c>
      <c r="F160" s="362"/>
      <c r="G160" s="361">
        <v>59</v>
      </c>
      <c r="H160" s="362"/>
      <c r="I160" s="361">
        <f>SUM(E160:H160)</f>
        <v>419</v>
      </c>
      <c r="J160" s="362"/>
      <c r="K160" s="363">
        <f>E160/I160</f>
        <v>0.85918854415274459</v>
      </c>
      <c r="L160" s="364"/>
      <c r="M160" s="363">
        <f>G160/I160</f>
        <v>0.14081145584725538</v>
      </c>
      <c r="N160" s="364"/>
      <c r="O160" s="60"/>
      <c r="P160" s="60"/>
      <c r="Q160" s="60"/>
      <c r="S160" s="79"/>
    </row>
    <row r="161" spans="2:19" x14ac:dyDescent="0.2">
      <c r="B161" s="16"/>
      <c r="C161" s="359" t="s">
        <v>16</v>
      </c>
      <c r="D161" s="360"/>
      <c r="E161" s="361">
        <v>285</v>
      </c>
      <c r="F161" s="362"/>
      <c r="G161" s="361">
        <v>46</v>
      </c>
      <c r="H161" s="362"/>
      <c r="I161" s="361">
        <f>SUM(E161:H161)</f>
        <v>331</v>
      </c>
      <c r="J161" s="362"/>
      <c r="K161" s="363">
        <f>E161/I161</f>
        <v>0.86102719033232633</v>
      </c>
      <c r="L161" s="364"/>
      <c r="M161" s="363">
        <f>G161/I161</f>
        <v>0.13897280966767372</v>
      </c>
      <c r="N161" s="364"/>
      <c r="O161" s="60"/>
      <c r="P161" s="60"/>
      <c r="Q161" s="60"/>
      <c r="S161" s="79"/>
    </row>
    <row r="162" spans="2:19" x14ac:dyDescent="0.2">
      <c r="B162" s="16"/>
      <c r="C162" s="365" t="s">
        <v>17</v>
      </c>
      <c r="D162" s="366"/>
      <c r="E162" s="367">
        <f>E147</f>
        <v>180</v>
      </c>
      <c r="F162" s="368"/>
      <c r="G162" s="367">
        <f>G147</f>
        <v>26</v>
      </c>
      <c r="H162" s="368"/>
      <c r="I162" s="367">
        <f>SUM(E162:H162)</f>
        <v>206</v>
      </c>
      <c r="J162" s="368"/>
      <c r="K162" s="363">
        <f>E162/I162</f>
        <v>0.87378640776699024</v>
      </c>
      <c r="L162" s="364"/>
      <c r="M162" s="363">
        <f>G162/I162</f>
        <v>0.12621359223300971</v>
      </c>
      <c r="N162" s="364"/>
      <c r="O162" s="60"/>
      <c r="P162" s="60"/>
      <c r="Q162" s="60"/>
      <c r="S162" s="79"/>
    </row>
    <row r="163" spans="2:19" x14ac:dyDescent="0.2">
      <c r="B163" s="16"/>
      <c r="C163" s="353" t="s">
        <v>6</v>
      </c>
      <c r="D163" s="354"/>
      <c r="E163" s="357">
        <f>SUM(E158:F162)</f>
        <v>1423</v>
      </c>
      <c r="F163" s="358"/>
      <c r="G163" s="357">
        <f>SUM(G158:H162)</f>
        <v>375</v>
      </c>
      <c r="H163" s="358"/>
      <c r="I163" s="357">
        <f>SUM(I158:J162)</f>
        <v>1798</v>
      </c>
      <c r="J163" s="358"/>
      <c r="K163" s="355"/>
      <c r="L163" s="356"/>
      <c r="M163" s="355"/>
      <c r="N163" s="356"/>
      <c r="O163" s="60"/>
      <c r="P163" s="60"/>
      <c r="Q163" s="60"/>
      <c r="S163" s="79"/>
    </row>
    <row r="164" spans="2:19" x14ac:dyDescent="0.2">
      <c r="B164" s="16"/>
      <c r="C164" s="353" t="s">
        <v>114</v>
      </c>
      <c r="D164" s="354"/>
      <c r="E164" s="355">
        <f>E163/I163</f>
        <v>0.79143492769744161</v>
      </c>
      <c r="F164" s="356"/>
      <c r="G164" s="355">
        <f>G163/I163</f>
        <v>0.20856507230255839</v>
      </c>
      <c r="H164" s="356"/>
      <c r="I164" s="355"/>
      <c r="J164" s="356"/>
      <c r="K164" s="355"/>
      <c r="L164" s="356"/>
      <c r="M164" s="355"/>
      <c r="N164" s="356"/>
      <c r="O164" s="60"/>
      <c r="P164" s="60"/>
      <c r="Q164" s="60"/>
      <c r="S164" s="79"/>
    </row>
    <row r="165" spans="2:19" x14ac:dyDescent="0.2">
      <c r="B165" s="11"/>
      <c r="J165" s="60"/>
      <c r="K165" s="60"/>
      <c r="L165" s="60"/>
      <c r="M165" s="60"/>
      <c r="N165" s="60"/>
      <c r="O165" s="60"/>
      <c r="P165" s="60"/>
      <c r="Q165" s="60"/>
      <c r="S165" s="79"/>
    </row>
    <row r="166" spans="2:19" x14ac:dyDescent="0.2">
      <c r="B166" s="11"/>
      <c r="J166" s="60"/>
      <c r="K166" s="60"/>
      <c r="L166" s="60"/>
      <c r="M166" s="60"/>
      <c r="N166" s="60"/>
      <c r="O166" s="60"/>
      <c r="P166" s="60"/>
      <c r="Q166" s="60"/>
      <c r="S166" s="79"/>
    </row>
    <row r="167" spans="2:19" x14ac:dyDescent="0.2">
      <c r="B167" s="11"/>
      <c r="J167" s="60"/>
      <c r="K167" s="60"/>
      <c r="L167" s="60"/>
      <c r="M167" s="60"/>
      <c r="N167" s="60"/>
      <c r="O167" s="60"/>
      <c r="P167" s="60"/>
      <c r="Q167" s="60"/>
      <c r="S167" s="79"/>
    </row>
    <row r="168" spans="2:19" x14ac:dyDescent="0.2">
      <c r="B168" s="11"/>
      <c r="E168" s="109"/>
      <c r="J168" s="60"/>
      <c r="K168" s="60"/>
      <c r="L168" s="60"/>
      <c r="M168" s="60"/>
      <c r="N168" s="60"/>
      <c r="O168" s="60"/>
      <c r="P168" s="60"/>
      <c r="Q168" s="60"/>
      <c r="S168" s="79"/>
    </row>
    <row r="169" spans="2:19" x14ac:dyDescent="0.2">
      <c r="B169" s="11"/>
      <c r="C169" s="14" t="s">
        <v>119</v>
      </c>
      <c r="D169" s="14" t="s">
        <v>120</v>
      </c>
      <c r="E169" s="109"/>
      <c r="J169" s="60"/>
      <c r="K169" s="60"/>
      <c r="L169" s="60"/>
      <c r="M169" s="60"/>
      <c r="N169" s="60"/>
      <c r="O169" s="60"/>
      <c r="P169" s="60"/>
      <c r="Q169" s="60"/>
      <c r="S169" s="79"/>
    </row>
    <row r="170" spans="2:19" x14ac:dyDescent="0.2">
      <c r="B170" s="16"/>
      <c r="C170" s="110" t="s">
        <v>85</v>
      </c>
      <c r="D170" s="104" t="s">
        <v>104</v>
      </c>
      <c r="E170" s="109"/>
      <c r="L170" s="60"/>
      <c r="M170" s="60"/>
      <c r="N170" s="60"/>
      <c r="O170" s="60"/>
      <c r="P170" s="60"/>
      <c r="Q170" s="60"/>
      <c r="S170" s="79"/>
    </row>
    <row r="171" spans="2:19" x14ac:dyDescent="0.2">
      <c r="B171" s="16"/>
      <c r="C171" s="113" t="s">
        <v>90</v>
      </c>
      <c r="D171" s="115">
        <v>0.5</v>
      </c>
      <c r="E171" s="109"/>
      <c r="L171" s="60"/>
      <c r="M171" s="60"/>
      <c r="N171" s="60"/>
      <c r="O171" s="60"/>
      <c r="P171" s="60"/>
      <c r="Q171" s="60"/>
      <c r="S171" s="79"/>
    </row>
    <row r="172" spans="2:19" x14ac:dyDescent="0.2">
      <c r="B172" s="16"/>
      <c r="C172" s="113" t="s">
        <v>91</v>
      </c>
      <c r="D172" s="115">
        <v>0.72</v>
      </c>
      <c r="E172" s="109"/>
      <c r="Q172" s="60"/>
      <c r="S172" s="79"/>
    </row>
    <row r="173" spans="2:19" x14ac:dyDescent="0.2">
      <c r="B173" s="16"/>
      <c r="C173" s="113" t="s">
        <v>92</v>
      </c>
      <c r="D173" s="115">
        <v>0.83</v>
      </c>
      <c r="E173" s="109"/>
      <c r="F173" s="14" t="s">
        <v>121</v>
      </c>
      <c r="G173" s="14" t="s">
        <v>122</v>
      </c>
      <c r="H173" s="111"/>
      <c r="I173" s="111"/>
      <c r="J173" s="111"/>
      <c r="K173" s="111"/>
      <c r="Q173" s="60"/>
      <c r="S173" s="79"/>
    </row>
    <row r="174" spans="2:19" x14ac:dyDescent="0.2">
      <c r="B174" s="16"/>
      <c r="C174" s="113" t="s">
        <v>93</v>
      </c>
      <c r="D174" s="115">
        <v>0.41</v>
      </c>
      <c r="E174" s="109"/>
      <c r="F174" s="112" t="s">
        <v>85</v>
      </c>
      <c r="G174" s="112" t="s">
        <v>123</v>
      </c>
      <c r="H174" s="112" t="s">
        <v>124</v>
      </c>
      <c r="I174" s="112" t="s">
        <v>6</v>
      </c>
      <c r="J174" s="112" t="s">
        <v>125</v>
      </c>
      <c r="K174" s="112" t="s">
        <v>126</v>
      </c>
      <c r="L174" s="60"/>
      <c r="M174" s="60"/>
      <c r="N174" s="60"/>
      <c r="O174" s="60"/>
      <c r="P174" s="60"/>
      <c r="Q174" s="60"/>
      <c r="S174" s="79"/>
    </row>
    <row r="175" spans="2:19" x14ac:dyDescent="0.2">
      <c r="B175" s="16"/>
      <c r="C175" s="113" t="s">
        <v>94</v>
      </c>
      <c r="D175" s="115">
        <v>0.27</v>
      </c>
      <c r="E175" s="109"/>
      <c r="F175" s="113" t="s">
        <v>10</v>
      </c>
      <c r="G175" s="114">
        <v>63</v>
      </c>
      <c r="H175" s="114">
        <v>172</v>
      </c>
      <c r="I175" s="114">
        <f t="shared" ref="I175:I180" si="7">SUM(G175:H175)</f>
        <v>235</v>
      </c>
      <c r="J175" s="115">
        <f>G175/I175</f>
        <v>0.26808510638297872</v>
      </c>
      <c r="K175" s="115">
        <f>H175/I175</f>
        <v>0.73191489361702122</v>
      </c>
      <c r="L175" s="60"/>
      <c r="M175" s="60"/>
      <c r="N175" s="60"/>
      <c r="O175" s="60"/>
      <c r="P175" s="60"/>
      <c r="Q175" s="60"/>
      <c r="S175" s="79"/>
    </row>
    <row r="176" spans="2:19" x14ac:dyDescent="0.2">
      <c r="B176" s="16"/>
      <c r="C176" s="113" t="s">
        <v>95</v>
      </c>
      <c r="D176" s="115">
        <v>0.61</v>
      </c>
      <c r="E176" s="109"/>
      <c r="F176" s="113" t="s">
        <v>11</v>
      </c>
      <c r="G176" s="114">
        <v>238</v>
      </c>
      <c r="H176" s="114">
        <v>66</v>
      </c>
      <c r="I176" s="114">
        <f t="shared" si="7"/>
        <v>304</v>
      </c>
      <c r="J176" s="115">
        <f>G176/I176</f>
        <v>0.78289473684210531</v>
      </c>
      <c r="K176" s="115">
        <f>H176/I176</f>
        <v>0.21710526315789475</v>
      </c>
      <c r="L176" s="60"/>
      <c r="M176" s="60"/>
      <c r="N176" s="60"/>
      <c r="O176" s="60"/>
      <c r="P176" s="60"/>
      <c r="Q176" s="60"/>
      <c r="S176" s="79"/>
    </row>
    <row r="177" spans="2:19" x14ac:dyDescent="0.2">
      <c r="B177" s="16"/>
      <c r="C177" s="113" t="s">
        <v>96</v>
      </c>
      <c r="D177" s="115">
        <v>7.0000000000000007E-2</v>
      </c>
      <c r="E177" s="109"/>
      <c r="F177" s="113" t="s">
        <v>12</v>
      </c>
      <c r="G177" s="114">
        <v>304</v>
      </c>
      <c r="H177" s="114">
        <v>187</v>
      </c>
      <c r="I177" s="114">
        <f t="shared" si="7"/>
        <v>491</v>
      </c>
      <c r="J177" s="115">
        <f>G177/I177</f>
        <v>0.61914460285132378</v>
      </c>
      <c r="K177" s="115">
        <f>H177/I177</f>
        <v>0.38085539714867617</v>
      </c>
      <c r="L177" s="60"/>
      <c r="M177" s="60"/>
      <c r="N177" s="60"/>
      <c r="O177" s="60"/>
      <c r="P177" s="60"/>
      <c r="Q177" s="60"/>
      <c r="S177" s="79"/>
    </row>
    <row r="178" spans="2:19" x14ac:dyDescent="0.2">
      <c r="B178" s="16"/>
      <c r="C178" s="113" t="s">
        <v>97</v>
      </c>
      <c r="D178" s="115">
        <v>0.67</v>
      </c>
      <c r="E178" s="109"/>
      <c r="F178" s="113" t="s">
        <v>13</v>
      </c>
      <c r="G178" s="114">
        <v>242</v>
      </c>
      <c r="H178" s="114">
        <v>218</v>
      </c>
      <c r="I178" s="114">
        <f t="shared" si="7"/>
        <v>460</v>
      </c>
      <c r="J178" s="115">
        <f>G178/I178</f>
        <v>0.52608695652173909</v>
      </c>
      <c r="K178" s="115">
        <f>H178/I178</f>
        <v>0.47391304347826085</v>
      </c>
      <c r="L178" s="60"/>
      <c r="M178" s="60"/>
      <c r="N178" s="60"/>
      <c r="O178" s="60"/>
      <c r="P178" s="60"/>
      <c r="Q178" s="60"/>
      <c r="S178" s="79"/>
    </row>
    <row r="179" spans="2:19" x14ac:dyDescent="0.2">
      <c r="B179" s="16"/>
      <c r="C179" s="113" t="s">
        <v>8</v>
      </c>
      <c r="D179" s="115">
        <v>0.3</v>
      </c>
      <c r="E179" s="109"/>
      <c r="F179" s="113" t="s">
        <v>14</v>
      </c>
      <c r="G179" s="114">
        <v>165</v>
      </c>
      <c r="H179" s="114">
        <v>217</v>
      </c>
      <c r="I179" s="114">
        <f t="shared" si="7"/>
        <v>382</v>
      </c>
      <c r="J179" s="115">
        <f t="shared" ref="J179:J180" si="8">G179/I179</f>
        <v>0.43193717277486909</v>
      </c>
      <c r="K179" s="115">
        <f t="shared" ref="K179:K180" si="9">H179/I179</f>
        <v>0.56806282722513091</v>
      </c>
      <c r="L179" s="60"/>
      <c r="M179" s="60"/>
      <c r="N179" s="60"/>
      <c r="O179" s="60"/>
      <c r="P179" s="60"/>
      <c r="Q179" s="60"/>
      <c r="S179" s="79"/>
    </row>
    <row r="180" spans="2:19" x14ac:dyDescent="0.2">
      <c r="B180" s="16"/>
      <c r="C180" s="113" t="s">
        <v>9</v>
      </c>
      <c r="D180" s="115">
        <v>0.79</v>
      </c>
      <c r="E180" s="116"/>
      <c r="F180" s="113" t="s">
        <v>15</v>
      </c>
      <c r="G180" s="114">
        <v>125</v>
      </c>
      <c r="H180" s="114">
        <v>294</v>
      </c>
      <c r="I180" s="114">
        <f t="shared" si="7"/>
        <v>419</v>
      </c>
      <c r="J180" s="115">
        <f t="shared" si="8"/>
        <v>0.29832935560859186</v>
      </c>
      <c r="K180" s="115">
        <f t="shared" si="9"/>
        <v>0.70167064439140814</v>
      </c>
      <c r="L180" s="60"/>
      <c r="M180" s="60"/>
      <c r="N180" s="60"/>
      <c r="O180" s="60"/>
      <c r="P180" s="60"/>
      <c r="Q180" s="60"/>
      <c r="S180" s="79"/>
    </row>
    <row r="181" spans="2:19" x14ac:dyDescent="0.2">
      <c r="B181" s="16"/>
      <c r="C181" s="113" t="s">
        <v>10</v>
      </c>
      <c r="D181" s="115">
        <v>0.73</v>
      </c>
      <c r="E181" s="109"/>
      <c r="F181" s="113" t="s">
        <v>16</v>
      </c>
      <c r="G181" s="114">
        <v>98</v>
      </c>
      <c r="H181" s="114">
        <v>233</v>
      </c>
      <c r="I181" s="114">
        <v>331</v>
      </c>
      <c r="J181" s="115">
        <v>0.29607250755287007</v>
      </c>
      <c r="K181" s="115">
        <v>0.70392749244712993</v>
      </c>
      <c r="L181" s="60"/>
      <c r="M181" s="60"/>
      <c r="N181" s="60"/>
      <c r="O181" s="60"/>
      <c r="P181" s="60"/>
      <c r="Q181" s="60"/>
      <c r="S181" s="79"/>
    </row>
    <row r="182" spans="2:19" x14ac:dyDescent="0.2">
      <c r="B182" s="16"/>
      <c r="C182" s="113" t="s">
        <v>11</v>
      </c>
      <c r="D182" s="115">
        <v>0.22</v>
      </c>
      <c r="F182" s="117" t="s">
        <v>17</v>
      </c>
      <c r="G182" s="114">
        <f>GETPIVOTDATA("Net Dwellings",Pivot!$B$261,"Large Site",)</f>
        <v>107</v>
      </c>
      <c r="H182" s="114">
        <f>GETPIVOTDATA("Net Dwellings",Pivot!$B$261,"Large Site","Y")</f>
        <v>99</v>
      </c>
      <c r="I182" s="114">
        <f>SUM(G182:H182)</f>
        <v>206</v>
      </c>
      <c r="J182" s="115">
        <f>G182/I182</f>
        <v>0.51941747572815533</v>
      </c>
      <c r="K182" s="115">
        <f>H182/I182</f>
        <v>0.48058252427184467</v>
      </c>
      <c r="L182" s="60"/>
      <c r="M182" s="60"/>
      <c r="N182" s="60"/>
      <c r="O182" s="60"/>
      <c r="P182" s="60"/>
      <c r="Q182" s="60"/>
      <c r="S182" s="79"/>
    </row>
    <row r="183" spans="2:19" x14ac:dyDescent="0.2">
      <c r="B183" s="16"/>
      <c r="C183" s="113" t="s">
        <v>12</v>
      </c>
      <c r="D183" s="115">
        <v>0.38</v>
      </c>
      <c r="F183" s="112" t="s">
        <v>127</v>
      </c>
      <c r="G183" s="118">
        <f>SUM(G175:G182)</f>
        <v>1342</v>
      </c>
      <c r="H183" s="118">
        <f>SUM(H175:H182)</f>
        <v>1486</v>
      </c>
      <c r="I183" s="118">
        <f>SUM(I175:I182)</f>
        <v>2828</v>
      </c>
      <c r="J183" s="119"/>
      <c r="K183" s="119"/>
      <c r="L183" s="60"/>
      <c r="M183" s="60"/>
      <c r="N183" s="60"/>
      <c r="O183" s="60"/>
      <c r="P183" s="60"/>
      <c r="Q183" s="60"/>
      <c r="S183" s="79"/>
    </row>
    <row r="184" spans="2:19" x14ac:dyDescent="0.2">
      <c r="B184" s="16"/>
      <c r="C184" s="113" t="s">
        <v>13</v>
      </c>
      <c r="D184" s="115">
        <v>0.47</v>
      </c>
      <c r="F184" s="112" t="s">
        <v>128</v>
      </c>
      <c r="G184" s="118">
        <f>AVERAGE(G175:G182)</f>
        <v>167.75</v>
      </c>
      <c r="H184" s="118">
        <f>AVERAGE(H175:H182)</f>
        <v>185.75</v>
      </c>
      <c r="I184" s="118">
        <f>AVERAGE(I175:I182)</f>
        <v>353.5</v>
      </c>
      <c r="J184" s="119">
        <f>AVERAGE(J175:J182)</f>
        <v>0.46774598928282912</v>
      </c>
      <c r="K184" s="119">
        <f>AVERAGE(K175:K182)</f>
        <v>0.53225401071717082</v>
      </c>
      <c r="L184" s="60"/>
      <c r="M184" s="60"/>
      <c r="N184" s="60"/>
      <c r="O184" s="60"/>
      <c r="P184" s="60"/>
      <c r="Q184" s="60"/>
      <c r="S184" s="79"/>
    </row>
    <row r="185" spans="2:19" x14ac:dyDescent="0.2">
      <c r="B185" s="16"/>
      <c r="C185" s="113" t="s">
        <v>14</v>
      </c>
      <c r="D185" s="115">
        <v>0.56999999999999995</v>
      </c>
      <c r="J185" s="60"/>
      <c r="K185" s="60"/>
      <c r="L185" s="60"/>
      <c r="M185" s="60"/>
      <c r="N185" s="60"/>
      <c r="O185" s="60"/>
      <c r="P185" s="60"/>
      <c r="Q185" s="60"/>
      <c r="S185" s="79"/>
    </row>
    <row r="186" spans="2:19" x14ac:dyDescent="0.2">
      <c r="B186" s="16"/>
      <c r="C186" s="113" t="s">
        <v>15</v>
      </c>
      <c r="D186" s="115">
        <f>K180</f>
        <v>0.70167064439140814</v>
      </c>
      <c r="J186" s="60"/>
      <c r="K186" s="60"/>
      <c r="L186" s="60"/>
      <c r="M186" s="60"/>
      <c r="N186" s="60"/>
      <c r="O186" s="60"/>
      <c r="P186" s="60"/>
      <c r="Q186" s="60"/>
      <c r="S186" s="79"/>
    </row>
    <row r="187" spans="2:19" x14ac:dyDescent="0.2">
      <c r="B187" s="16"/>
      <c r="C187" s="113" t="s">
        <v>16</v>
      </c>
      <c r="D187" s="115">
        <f>K181</f>
        <v>0.70392749244712993</v>
      </c>
      <c r="J187" s="60"/>
      <c r="K187" s="60"/>
      <c r="L187" s="60"/>
      <c r="M187" s="60"/>
      <c r="N187" s="60"/>
      <c r="O187" s="60"/>
      <c r="P187" s="60"/>
      <c r="Q187" s="60"/>
      <c r="S187" s="79"/>
    </row>
    <row r="188" spans="2:19" x14ac:dyDescent="0.2">
      <c r="B188" s="16"/>
      <c r="C188" s="117" t="s">
        <v>17</v>
      </c>
      <c r="D188" s="183">
        <f>K182</f>
        <v>0.48058252427184467</v>
      </c>
      <c r="J188" s="60"/>
      <c r="K188" s="60"/>
      <c r="L188" s="60"/>
      <c r="M188" s="60"/>
      <c r="N188" s="60"/>
      <c r="O188" s="60"/>
      <c r="P188" s="60"/>
      <c r="Q188" s="60"/>
      <c r="S188" s="79"/>
    </row>
    <row r="189" spans="2:19" x14ac:dyDescent="0.2">
      <c r="B189" s="11"/>
      <c r="J189" s="60"/>
      <c r="K189" s="60"/>
      <c r="S189" s="79"/>
    </row>
    <row r="190" spans="2:19" x14ac:dyDescent="0.2">
      <c r="B190" s="34"/>
      <c r="C190" s="83"/>
      <c r="D190" s="83"/>
      <c r="E190" s="83"/>
      <c r="F190" s="83"/>
      <c r="G190" s="83"/>
      <c r="H190" s="83"/>
      <c r="I190" s="83"/>
      <c r="J190" s="83"/>
      <c r="K190" s="83"/>
      <c r="L190" s="83"/>
      <c r="M190" s="83"/>
      <c r="N190" s="83"/>
      <c r="O190" s="83"/>
      <c r="P190" s="83"/>
      <c r="Q190" s="83"/>
      <c r="R190" s="83"/>
      <c r="S190" s="84"/>
    </row>
    <row r="191" spans="2:19" x14ac:dyDescent="0.2">
      <c r="B191" s="11"/>
      <c r="S191" s="79"/>
    </row>
    <row r="192" spans="2:19" x14ac:dyDescent="0.2">
      <c r="B192" s="11"/>
      <c r="S192" s="79"/>
    </row>
    <row r="193" spans="2:19" x14ac:dyDescent="0.2">
      <c r="B193" s="11"/>
      <c r="S193" s="79"/>
    </row>
    <row r="194" spans="2:19" ht="20.25" x14ac:dyDescent="0.3">
      <c r="B194" s="11"/>
      <c r="C194" s="86" t="s">
        <v>129</v>
      </c>
      <c r="D194" s="15"/>
      <c r="E194" s="15"/>
      <c r="F194" s="15"/>
      <c r="G194" s="15"/>
      <c r="H194" s="15"/>
      <c r="I194" s="15"/>
      <c r="J194" s="15"/>
      <c r="K194" s="15"/>
      <c r="L194" s="15"/>
      <c r="M194" s="15"/>
      <c r="N194" s="15"/>
      <c r="O194" s="15"/>
      <c r="P194" s="15"/>
      <c r="Q194" s="15"/>
      <c r="S194" s="79"/>
    </row>
    <row r="195" spans="2:19" ht="20.25" x14ac:dyDescent="0.3">
      <c r="B195" s="11"/>
      <c r="C195" s="86"/>
      <c r="D195" s="15"/>
      <c r="E195" s="15"/>
      <c r="F195" s="15"/>
      <c r="G195" s="15"/>
      <c r="H195" s="15"/>
      <c r="I195" s="15"/>
      <c r="J195" s="15"/>
      <c r="K195" s="15"/>
      <c r="L195" s="15"/>
      <c r="M195" s="15"/>
      <c r="N195" s="15"/>
      <c r="O195" s="15"/>
      <c r="P195" s="15"/>
      <c r="Q195" s="15"/>
      <c r="S195" s="79"/>
    </row>
    <row r="196" spans="2:19" ht="15" x14ac:dyDescent="0.25">
      <c r="B196" s="11"/>
      <c r="C196" s="120" t="s">
        <v>130</v>
      </c>
      <c r="D196" s="15"/>
      <c r="E196" s="15"/>
      <c r="F196" s="15"/>
      <c r="G196" s="15"/>
      <c r="H196" s="15"/>
      <c r="I196" s="15"/>
      <c r="J196" s="15"/>
      <c r="K196" s="15"/>
      <c r="L196" s="120" t="s">
        <v>131</v>
      </c>
      <c r="M196" s="60"/>
      <c r="N196" s="60"/>
      <c r="O196" s="60"/>
      <c r="P196" s="15"/>
      <c r="Q196" s="15"/>
      <c r="S196" s="79"/>
    </row>
    <row r="197" spans="2:19" x14ac:dyDescent="0.2">
      <c r="B197" s="11"/>
      <c r="C197" s="14" t="s">
        <v>121</v>
      </c>
      <c r="D197" s="14" t="s">
        <v>132</v>
      </c>
      <c r="E197" s="15"/>
      <c r="F197" s="15"/>
      <c r="G197" s="15"/>
      <c r="H197" s="15"/>
      <c r="I197" s="15"/>
      <c r="J197" s="15"/>
      <c r="K197" s="15"/>
      <c r="L197" s="14" t="s">
        <v>133</v>
      </c>
      <c r="M197" s="14" t="s">
        <v>134</v>
      </c>
      <c r="N197" s="15"/>
      <c r="O197" s="15"/>
      <c r="P197" s="15"/>
      <c r="Q197" s="15"/>
      <c r="S197" s="79"/>
    </row>
    <row r="198" spans="2:19" x14ac:dyDescent="0.2">
      <c r="B198" s="16"/>
      <c r="C198" s="347" t="s">
        <v>135</v>
      </c>
      <c r="D198" s="348"/>
      <c r="E198" s="62" t="s">
        <v>17</v>
      </c>
      <c r="F198" s="15"/>
      <c r="G198" s="15"/>
      <c r="H198" s="15"/>
      <c r="I198" s="15"/>
      <c r="J198" s="15"/>
      <c r="K198" s="15"/>
      <c r="L198" s="348" t="s">
        <v>136</v>
      </c>
      <c r="M198" s="348"/>
      <c r="N198" s="62" t="s">
        <v>17</v>
      </c>
      <c r="O198" s="15"/>
      <c r="P198" s="15"/>
      <c r="Q198" s="15"/>
      <c r="R198" s="15"/>
      <c r="S198" s="79"/>
    </row>
    <row r="199" spans="2:19" x14ac:dyDescent="0.2">
      <c r="B199" s="16"/>
      <c r="C199" s="351" t="s">
        <v>137</v>
      </c>
      <c r="D199" s="350"/>
      <c r="E199" s="121">
        <f>GETPIVOTDATA("Net Dwellings",Pivot!$B$246,"Town_Centre","East Sheen")</f>
        <v>6</v>
      </c>
      <c r="F199" s="15"/>
      <c r="G199" s="15"/>
      <c r="H199" s="15"/>
      <c r="I199" s="15"/>
      <c r="J199" s="15"/>
      <c r="K199" s="15"/>
      <c r="L199" s="350" t="s">
        <v>130</v>
      </c>
      <c r="M199" s="350"/>
      <c r="N199" s="121">
        <f>E204</f>
        <v>112</v>
      </c>
      <c r="O199" s="15"/>
      <c r="P199" s="15"/>
      <c r="Q199" s="15"/>
      <c r="R199" s="15"/>
      <c r="S199" s="79"/>
    </row>
    <row r="200" spans="2:19" x14ac:dyDescent="0.2">
      <c r="B200" s="16"/>
      <c r="C200" s="351" t="s">
        <v>138</v>
      </c>
      <c r="D200" s="350"/>
      <c r="E200" s="121">
        <f>GETPIVOTDATA("Net Dwellings",Pivot!$B$246,"Town_Centre","Richmond")</f>
        <v>10</v>
      </c>
      <c r="F200" s="15"/>
      <c r="G200" s="15"/>
      <c r="H200" s="15"/>
      <c r="I200" s="15"/>
      <c r="J200" s="15"/>
      <c r="K200" s="15"/>
      <c r="L200" s="350" t="s">
        <v>139</v>
      </c>
      <c r="M200" s="350"/>
      <c r="N200" s="121">
        <f>GETPIVOTDATA("Net Dwellings",Pivot!$H$247,"Thames_Policy_Area","Thames Policy Area")</f>
        <v>8</v>
      </c>
      <c r="O200" s="15"/>
      <c r="P200" s="15"/>
      <c r="Q200" s="15"/>
      <c r="R200" s="15"/>
      <c r="S200" s="79"/>
    </row>
    <row r="201" spans="2:19" x14ac:dyDescent="0.2">
      <c r="B201" s="16"/>
      <c r="C201" s="351" t="s">
        <v>140</v>
      </c>
      <c r="D201" s="350"/>
      <c r="E201" s="121">
        <f>GETPIVOTDATA("Net Dwellings",Pivot!$B$246,"Town_Centre","Teddington")</f>
        <v>-1</v>
      </c>
      <c r="F201" s="15"/>
      <c r="G201" s="15"/>
      <c r="H201" s="15"/>
      <c r="I201" s="15"/>
      <c r="J201" s="15"/>
      <c r="K201" s="15"/>
      <c r="L201" s="350" t="s">
        <v>141</v>
      </c>
      <c r="M201" s="350"/>
      <c r="N201" s="121">
        <f>GETPIVOTDATA("Net Dwellings",Pivot!$E$261,"Mixed Use Area","Mixed Use Area")</f>
        <v>16</v>
      </c>
      <c r="O201" s="15"/>
      <c r="P201" s="15"/>
      <c r="Q201" s="15"/>
      <c r="R201" s="15"/>
      <c r="S201" s="79"/>
    </row>
    <row r="202" spans="2:19" x14ac:dyDescent="0.2">
      <c r="B202" s="16"/>
      <c r="C202" s="351" t="s">
        <v>142</v>
      </c>
      <c r="D202" s="350"/>
      <c r="E202" s="121">
        <f>GETPIVOTDATA("Net Dwellings",Pivot!$B$246,"Town_Centre","Twickenham")</f>
        <v>97</v>
      </c>
      <c r="F202" s="15"/>
      <c r="G202" s="15"/>
      <c r="H202" s="15"/>
      <c r="I202" s="15"/>
      <c r="J202" s="15"/>
      <c r="K202" s="15"/>
      <c r="L202" s="352" t="s">
        <v>143</v>
      </c>
      <c r="M202" s="351"/>
      <c r="N202" s="121">
        <v>0</v>
      </c>
      <c r="O202" s="15"/>
      <c r="P202" s="15"/>
      <c r="Q202" s="15"/>
      <c r="R202" s="15"/>
      <c r="S202" s="79"/>
    </row>
    <row r="203" spans="2:19" x14ac:dyDescent="0.2">
      <c r="B203" s="16"/>
      <c r="C203" s="351" t="s">
        <v>144</v>
      </c>
      <c r="D203" s="350"/>
      <c r="E203" s="121">
        <v>0</v>
      </c>
      <c r="F203" s="15"/>
      <c r="G203" s="15"/>
      <c r="H203" s="15"/>
      <c r="I203" s="15"/>
      <c r="J203" s="15"/>
      <c r="K203" s="15"/>
      <c r="L203" s="350" t="s">
        <v>145</v>
      </c>
      <c r="M203" s="350"/>
      <c r="N203" s="121">
        <v>0</v>
      </c>
      <c r="O203" s="15"/>
      <c r="P203" s="15"/>
      <c r="Q203" s="15"/>
      <c r="R203" s="15"/>
      <c r="S203" s="79"/>
    </row>
    <row r="204" spans="2:19" x14ac:dyDescent="0.2">
      <c r="B204" s="16"/>
      <c r="C204" s="347" t="s">
        <v>146</v>
      </c>
      <c r="D204" s="348"/>
      <c r="E204" s="65">
        <f>SUM(E199:E203)</f>
        <v>112</v>
      </c>
      <c r="F204" s="15"/>
      <c r="G204" s="15"/>
      <c r="H204" s="15"/>
      <c r="I204" s="15"/>
      <c r="J204" s="15"/>
      <c r="K204" s="15"/>
      <c r="L204" s="350" t="s">
        <v>147</v>
      </c>
      <c r="M204" s="350"/>
      <c r="N204" s="121">
        <f>GETPIVOTDATA("Net Dwellings",Pivot!$H$261,"Garden Land","Garden Land")</f>
        <v>4</v>
      </c>
      <c r="O204" s="15"/>
      <c r="P204" s="15"/>
      <c r="Q204" s="15"/>
      <c r="R204" s="15"/>
      <c r="S204" s="79"/>
    </row>
    <row r="205" spans="2:19" x14ac:dyDescent="0.2">
      <c r="B205" s="11"/>
      <c r="C205" s="15"/>
      <c r="D205" s="15"/>
      <c r="E205" s="15"/>
      <c r="F205" s="15"/>
      <c r="G205" s="15"/>
      <c r="H205" s="15"/>
      <c r="I205" s="15"/>
      <c r="J205" s="15"/>
      <c r="K205" s="122"/>
      <c r="L205" s="350" t="s">
        <v>148</v>
      </c>
      <c r="M205" s="350"/>
      <c r="N205" s="121">
        <f>GETPIVOTDATA("Net Dwellings",Pivot!$E$247,"Conservation Area","Conservation Area")</f>
        <v>49</v>
      </c>
      <c r="O205" s="15"/>
      <c r="P205" s="15"/>
      <c r="S205" s="79"/>
    </row>
    <row r="206" spans="2:19" x14ac:dyDescent="0.2">
      <c r="B206" s="11"/>
      <c r="C206" s="15"/>
      <c r="D206" s="15"/>
      <c r="E206" s="15"/>
      <c r="F206" s="15"/>
      <c r="G206" s="15"/>
      <c r="H206" s="15"/>
      <c r="I206" s="15"/>
      <c r="J206" s="15"/>
      <c r="K206" s="122"/>
      <c r="L206" s="81"/>
      <c r="M206" s="81"/>
      <c r="N206" s="123"/>
      <c r="O206" s="15"/>
      <c r="P206" s="15"/>
      <c r="S206" s="79"/>
    </row>
    <row r="207" spans="2:19" ht="15" x14ac:dyDescent="0.25">
      <c r="B207" s="11"/>
      <c r="C207" s="120" t="s">
        <v>149</v>
      </c>
      <c r="D207" s="15"/>
      <c r="E207" s="60"/>
      <c r="F207" s="124"/>
      <c r="G207" s="124"/>
      <c r="H207" s="124"/>
      <c r="I207" s="124"/>
      <c r="J207" s="124"/>
      <c r="K207" s="124"/>
      <c r="L207" s="15"/>
      <c r="M207" s="15"/>
      <c r="N207" s="15"/>
      <c r="O207" s="15"/>
      <c r="P207" s="15"/>
      <c r="Q207" s="15"/>
      <c r="S207" s="79"/>
    </row>
    <row r="208" spans="2:19" x14ac:dyDescent="0.2">
      <c r="B208" s="11"/>
      <c r="C208" s="14" t="s">
        <v>150</v>
      </c>
      <c r="D208" s="14" t="s">
        <v>151</v>
      </c>
      <c r="E208" s="60"/>
      <c r="F208" s="124"/>
      <c r="G208" s="124"/>
      <c r="H208" s="124"/>
      <c r="I208" s="124"/>
      <c r="J208" s="124"/>
      <c r="K208" s="124"/>
      <c r="L208" s="15"/>
      <c r="M208" s="15"/>
      <c r="N208" s="15"/>
      <c r="O208" s="15"/>
      <c r="P208" s="15"/>
      <c r="Q208" s="15"/>
      <c r="S208" s="79"/>
    </row>
    <row r="209" spans="2:19" ht="33.75" x14ac:dyDescent="0.2">
      <c r="B209" s="16"/>
      <c r="C209" s="347" t="s">
        <v>152</v>
      </c>
      <c r="D209" s="348"/>
      <c r="E209" s="348"/>
      <c r="F209" s="125" t="s">
        <v>153</v>
      </c>
      <c r="G209" s="126" t="s">
        <v>80</v>
      </c>
      <c r="H209" s="125" t="s">
        <v>86</v>
      </c>
      <c r="I209" s="124"/>
      <c r="J209" s="124"/>
      <c r="K209" s="124"/>
      <c r="L209" s="124"/>
      <c r="M209" s="15"/>
      <c r="N209" s="15"/>
      <c r="O209" s="15"/>
      <c r="P209" s="15"/>
      <c r="Q209" s="15"/>
      <c r="R209" s="15"/>
      <c r="S209" s="79"/>
    </row>
    <row r="210" spans="2:19" x14ac:dyDescent="0.2">
      <c r="B210" s="16"/>
      <c r="C210" s="345" t="s">
        <v>154</v>
      </c>
      <c r="D210" s="346"/>
      <c r="E210" s="346"/>
      <c r="F210" s="127">
        <f>GETPIVOTDATA("Net Dwellings",Pivot!$B$273,"Ward_Name","Barnes")</f>
        <v>2</v>
      </c>
      <c r="G210" s="63">
        <f>GETPIVOTDATA("Net Dwellings",Pivot!$E$273,"Ward_Name","Barnes")</f>
        <v>1</v>
      </c>
      <c r="H210" s="127">
        <f>GETPIVOTDATA("Net Dwellings",Pivot!$H$273,"Ward_Name","Barnes")</f>
        <v>3</v>
      </c>
      <c r="I210" s="124"/>
      <c r="J210" s="124"/>
      <c r="K210" s="124"/>
      <c r="L210" s="124"/>
      <c r="M210" s="15"/>
      <c r="N210" s="15"/>
      <c r="O210" s="15"/>
      <c r="P210" s="15"/>
      <c r="Q210" s="15"/>
      <c r="R210" s="15"/>
      <c r="S210" s="79"/>
    </row>
    <row r="211" spans="2:19" x14ac:dyDescent="0.2">
      <c r="B211" s="16"/>
      <c r="C211" s="345" t="s">
        <v>137</v>
      </c>
      <c r="D211" s="346"/>
      <c r="E211" s="346"/>
      <c r="F211" s="127">
        <f>GETPIVOTDATA("Net Dwellings",Pivot!$B$273,"Ward_Name","East Sheen")</f>
        <v>30</v>
      </c>
      <c r="G211" s="63">
        <f>GETPIVOTDATA("Net Dwellings",Pivot!$E$273,"Ward_Name","East Sheen")</f>
        <v>4</v>
      </c>
      <c r="H211" s="127">
        <f>GETPIVOTDATA("Net Dwellings",Pivot!$H$273,"Ward_Name","East Sheen")</f>
        <v>8</v>
      </c>
      <c r="I211" s="124"/>
      <c r="J211" s="124"/>
      <c r="K211" s="124"/>
      <c r="L211" s="124"/>
      <c r="M211" s="15"/>
      <c r="N211" s="15"/>
      <c r="O211" s="15"/>
      <c r="P211" s="15"/>
      <c r="Q211" s="15"/>
      <c r="R211" s="15"/>
      <c r="S211" s="79"/>
    </row>
    <row r="212" spans="2:19" x14ac:dyDescent="0.2">
      <c r="B212" s="16"/>
      <c r="C212" s="345" t="s">
        <v>155</v>
      </c>
      <c r="D212" s="346"/>
      <c r="E212" s="346"/>
      <c r="F212" s="127">
        <f>GETPIVOTDATA("Net Dwellings",Pivot!$B$273,"Ward_Name","Fulwell and Hampton Hill")</f>
        <v>61</v>
      </c>
      <c r="G212" s="63">
        <f>GETPIVOTDATA("Net Dwellings",Pivot!$E$273,"Ward_Name","Fulwell and Hampton Hill")</f>
        <v>12</v>
      </c>
      <c r="H212" s="127">
        <f>GETPIVOTDATA("Net Dwellings",Pivot!$H$273,"Ward_Name","Fulwell and Hampton Hill")</f>
        <v>8</v>
      </c>
      <c r="I212" s="124"/>
      <c r="J212" s="124"/>
      <c r="K212" s="124"/>
      <c r="L212" s="124"/>
      <c r="M212" s="15"/>
      <c r="N212" s="15"/>
      <c r="O212" s="15"/>
      <c r="P212" s="15"/>
      <c r="Q212" s="15"/>
      <c r="R212" s="15"/>
      <c r="S212" s="79"/>
    </row>
    <row r="213" spans="2:19" x14ac:dyDescent="0.2">
      <c r="B213" s="16"/>
      <c r="C213" s="349" t="s">
        <v>156</v>
      </c>
      <c r="D213" s="349"/>
      <c r="E213" s="326"/>
      <c r="F213" s="127">
        <f>GETPIVOTDATA("Net Dwellings",Pivot!$B$273,"Ward_Name","Ham, Petersham and Richmond Riverside")</f>
        <v>1</v>
      </c>
      <c r="G213" s="63">
        <f>GETPIVOTDATA("Net Dwellings",Pivot!$E$273,"Ward_Name","Ham, Petersham and Richmond Riverside")</f>
        <v>-1</v>
      </c>
      <c r="H213" s="127">
        <f>GETPIVOTDATA("Net Dwellings",Pivot!$H$273,"Ward_Name","Ham, Petersham and Richmond Riverside")</f>
        <v>20</v>
      </c>
      <c r="I213" s="124"/>
      <c r="J213" s="124"/>
      <c r="K213" s="124"/>
      <c r="L213" s="124"/>
      <c r="M213" s="15"/>
      <c r="N213" s="15"/>
      <c r="O213" s="15"/>
      <c r="P213" s="15"/>
      <c r="Q213" s="15"/>
      <c r="R213" s="15"/>
      <c r="S213" s="79"/>
    </row>
    <row r="214" spans="2:19" x14ac:dyDescent="0.2">
      <c r="B214" s="16"/>
      <c r="C214" s="345" t="s">
        <v>157</v>
      </c>
      <c r="D214" s="346"/>
      <c r="E214" s="346"/>
      <c r="F214" s="127">
        <f>GETPIVOTDATA("Net Dwellings",Pivot!$B$273,"Ward_Name","Hampton")</f>
        <v>53</v>
      </c>
      <c r="G214" s="63">
        <f>GETPIVOTDATA("Net Dwellings",Pivot!$E$273,"Ward_Name","Hampton")</f>
        <v>19</v>
      </c>
      <c r="H214" s="127">
        <f>GETPIVOTDATA("Net Dwellings",Pivot!$H$273,"Ward_Name","Hampton")</f>
        <v>13</v>
      </c>
      <c r="I214" s="124"/>
      <c r="J214" s="124"/>
      <c r="K214" s="124"/>
      <c r="L214" s="124"/>
      <c r="M214" s="15"/>
      <c r="N214" s="15"/>
      <c r="O214" s="15"/>
      <c r="P214" s="15"/>
      <c r="Q214" s="15"/>
      <c r="R214" s="15"/>
      <c r="S214" s="79"/>
    </row>
    <row r="215" spans="2:19" x14ac:dyDescent="0.2">
      <c r="B215" s="16"/>
      <c r="C215" s="345" t="s">
        <v>158</v>
      </c>
      <c r="D215" s="346"/>
      <c r="E215" s="346"/>
      <c r="F215" s="127">
        <f>GETPIVOTDATA("Net Dwellings",Pivot!$B$273,"Ward_Name","Hampton North")</f>
        <v>16</v>
      </c>
      <c r="G215" s="63">
        <f>GETPIVOTDATA("Net Dwellings",Pivot!$E$273,"Ward_Name","Hampton North")</f>
        <v>1</v>
      </c>
      <c r="H215" s="127">
        <f>GETPIVOTDATA("Net Dwellings",Pivot!$H$273,"Ward_Name","Hampton North")</f>
        <v>2</v>
      </c>
      <c r="I215" s="124"/>
      <c r="J215" s="124"/>
      <c r="K215" s="124"/>
      <c r="L215" s="124"/>
      <c r="M215" s="15"/>
      <c r="N215" s="15"/>
      <c r="O215" s="15"/>
      <c r="P215" s="15"/>
      <c r="Q215" s="15"/>
      <c r="R215" s="15"/>
      <c r="S215" s="79"/>
    </row>
    <row r="216" spans="2:19" x14ac:dyDescent="0.2">
      <c r="B216" s="16"/>
      <c r="C216" s="345" t="s">
        <v>159</v>
      </c>
      <c r="D216" s="346"/>
      <c r="E216" s="346"/>
      <c r="F216" s="127">
        <f>GETPIVOTDATA("Net Dwellings",Pivot!$B$273,"Ward_Name","Hampton Wick")</f>
        <v>9</v>
      </c>
      <c r="G216" s="63">
        <f>GETPIVOTDATA("Net Dwellings",Pivot!$E$273,"Ward_Name","Hampton Wick")</f>
        <v>74</v>
      </c>
      <c r="H216" s="127">
        <f>GETPIVOTDATA("Net Dwellings",Pivot!$H$273,"Ward_Name","Hampton Wick")</f>
        <v>12</v>
      </c>
      <c r="I216" s="124"/>
      <c r="J216" s="124"/>
      <c r="K216" s="124"/>
      <c r="L216" s="124"/>
      <c r="M216" s="15"/>
      <c r="N216" s="15"/>
      <c r="O216" s="15"/>
      <c r="P216" s="15"/>
      <c r="Q216" s="15"/>
      <c r="R216" s="15"/>
      <c r="S216" s="79"/>
    </row>
    <row r="217" spans="2:19" x14ac:dyDescent="0.2">
      <c r="B217" s="16"/>
      <c r="C217" s="345" t="s">
        <v>160</v>
      </c>
      <c r="D217" s="346"/>
      <c r="E217" s="346"/>
      <c r="F217" s="127">
        <f>GETPIVOTDATA("Net Dwellings",Pivot!$B$273,"Ward_Name","Heathfield")</f>
        <v>17</v>
      </c>
      <c r="G217" s="63">
        <f>GETPIVOTDATA("Net Dwellings",Pivot!$E$273,"Ward_Name","Heathfield")</f>
        <v>1</v>
      </c>
      <c r="H217" s="127">
        <f>GETPIVOTDATA("Net Dwellings",Pivot!$H$273,"Ward_Name","Heathfield")</f>
        <v>3</v>
      </c>
      <c r="I217" s="124"/>
      <c r="J217" s="124"/>
      <c r="K217" s="124"/>
      <c r="L217" s="124"/>
      <c r="M217" s="15"/>
      <c r="N217" s="15"/>
      <c r="O217" s="15"/>
      <c r="P217" s="15"/>
      <c r="Q217" s="15"/>
      <c r="R217" s="15"/>
      <c r="S217" s="79"/>
    </row>
    <row r="218" spans="2:19" x14ac:dyDescent="0.2">
      <c r="B218" s="16"/>
      <c r="C218" s="345" t="s">
        <v>161</v>
      </c>
      <c r="D218" s="346"/>
      <c r="E218" s="346"/>
      <c r="F218" s="127">
        <f>GETPIVOTDATA("Net Dwellings",Pivot!$B$273,"Ward_Name","Kew")</f>
        <v>129</v>
      </c>
      <c r="G218" s="63">
        <f>GETPIVOTDATA("Net Dwellings",Pivot!$E$273,"Ward_Name","Kew")</f>
        <v>35</v>
      </c>
      <c r="H218" s="127">
        <f>GETPIVOTDATA("Net Dwellings",Pivot!$H$273,"Ward_Name","Kew")</f>
        <v>9</v>
      </c>
      <c r="I218" s="124"/>
      <c r="J218" s="124"/>
      <c r="K218" s="124"/>
      <c r="L218" s="124"/>
      <c r="M218" s="15"/>
      <c r="N218" s="15"/>
      <c r="O218" s="15"/>
      <c r="P218" s="15"/>
      <c r="Q218" s="15"/>
      <c r="R218" s="15"/>
      <c r="S218" s="79"/>
    </row>
    <row r="219" spans="2:19" x14ac:dyDescent="0.2">
      <c r="B219" s="16"/>
      <c r="C219" s="345" t="s">
        <v>162</v>
      </c>
      <c r="D219" s="346"/>
      <c r="E219" s="346"/>
      <c r="F219" s="127">
        <f>GETPIVOTDATA("Net Dwellings",Pivot!$B$273,"Ward_Name","Mortlake and Barnes Common")</f>
        <v>97</v>
      </c>
      <c r="G219" s="63">
        <f>GETPIVOTDATA("Net Dwellings",Pivot!$E$273,"Ward_Name","Mortlake and Barnes Common")</f>
        <v>8</v>
      </c>
      <c r="H219" s="127">
        <f>GETPIVOTDATA("Net Dwellings",Pivot!$H$273,"Ward_Name","Mortlake and Barnes Common")</f>
        <v>3</v>
      </c>
      <c r="I219" s="124"/>
      <c r="J219" s="124"/>
      <c r="K219" s="124"/>
      <c r="L219" s="124"/>
      <c r="M219" s="15"/>
      <c r="N219" s="15"/>
      <c r="O219" s="15"/>
      <c r="P219" s="15"/>
      <c r="Q219" s="15"/>
      <c r="R219" s="15"/>
      <c r="S219" s="79"/>
    </row>
    <row r="220" spans="2:19" x14ac:dyDescent="0.2">
      <c r="B220" s="16"/>
      <c r="C220" s="345" t="s">
        <v>163</v>
      </c>
      <c r="D220" s="346"/>
      <c r="E220" s="346"/>
      <c r="F220" s="127">
        <f>GETPIVOTDATA("Net Dwellings",Pivot!$B$273,"Ward_Name","North Richmond")</f>
        <v>15</v>
      </c>
      <c r="G220" s="63">
        <f>GETPIVOTDATA("Net Dwellings",Pivot!$E$273,"Ward_Name","North Richmond")</f>
        <v>75</v>
      </c>
      <c r="H220" s="127">
        <f>GETPIVOTDATA("Net Dwellings",Pivot!$H$273,"Ward_Name","North Richmond")</f>
        <v>4</v>
      </c>
      <c r="I220" s="124"/>
      <c r="J220" s="124"/>
      <c r="K220" s="124"/>
      <c r="L220" s="124"/>
      <c r="M220" s="15"/>
      <c r="N220" s="15"/>
      <c r="O220" s="15"/>
      <c r="P220" s="15"/>
      <c r="Q220" s="15"/>
      <c r="R220" s="15"/>
      <c r="S220" s="79"/>
    </row>
    <row r="221" spans="2:19" x14ac:dyDescent="0.2">
      <c r="B221" s="16"/>
      <c r="C221" s="345" t="s">
        <v>164</v>
      </c>
      <c r="D221" s="346"/>
      <c r="E221" s="346"/>
      <c r="F221" s="127">
        <f>GETPIVOTDATA("Net Dwellings",Pivot!$B$273,"Ward_Name","South Richmond")</f>
        <v>6</v>
      </c>
      <c r="G221" s="63">
        <f>GETPIVOTDATA("Net Dwellings",Pivot!$E$273,"Ward_Name","South Richmond")</f>
        <v>18</v>
      </c>
      <c r="H221" s="127">
        <f>GETPIVOTDATA("Net Dwellings",Pivot!$H$273,"Ward_Name","South Richmond")</f>
        <v>7</v>
      </c>
      <c r="I221" s="124"/>
      <c r="J221" s="124"/>
      <c r="K221" s="124"/>
      <c r="L221" s="124"/>
      <c r="M221" s="15"/>
      <c r="N221" s="15"/>
      <c r="O221" s="15"/>
      <c r="P221" s="15"/>
      <c r="Q221" s="15"/>
      <c r="R221" s="15"/>
      <c r="S221" s="79"/>
    </row>
    <row r="222" spans="2:19" x14ac:dyDescent="0.2">
      <c r="B222" s="16"/>
      <c r="C222" s="345" t="s">
        <v>165</v>
      </c>
      <c r="D222" s="346"/>
      <c r="E222" s="346"/>
      <c r="F222" s="127">
        <f>GETPIVOTDATA("Net Dwellings",Pivot!$B$273,"Ward_Name","South Twickenham")</f>
        <v>21</v>
      </c>
      <c r="G222" s="63">
        <f>GETPIVOTDATA("Net Dwellings",Pivot!$E$273,"Ward_Name","South Twickenham")</f>
        <v>12</v>
      </c>
      <c r="H222" s="127">
        <f>GETPIVOTDATA("Net Dwellings",Pivot!$H$273,"Ward_Name","South Twickenham")</f>
        <v>12</v>
      </c>
      <c r="I222" s="124"/>
      <c r="J222" s="124"/>
      <c r="K222" s="124"/>
      <c r="L222" s="124"/>
      <c r="M222" s="15"/>
      <c r="N222" s="15"/>
      <c r="O222" s="15"/>
      <c r="P222" s="15"/>
      <c r="Q222" s="15"/>
      <c r="R222" s="15"/>
      <c r="S222" s="79"/>
    </row>
    <row r="223" spans="2:19" x14ac:dyDescent="0.2">
      <c r="B223" s="16"/>
      <c r="C223" s="345" t="s">
        <v>166</v>
      </c>
      <c r="D223" s="346"/>
      <c r="E223" s="346"/>
      <c r="F223" s="127">
        <f>GETPIVOTDATA("Net Dwellings",Pivot!$B$273,"Ward_Name","St. Margarets and North Twickenham")</f>
        <v>4</v>
      </c>
      <c r="G223" s="63">
        <f>GETPIVOTDATA("Net Dwellings",Pivot!$E$273,"Ward_Name","St. Margarets and North Twickenham")</f>
        <v>214</v>
      </c>
      <c r="H223" s="127">
        <f>GETPIVOTDATA("Net Dwellings",Pivot!$H$273,"Ward_Name","St. Margarets and North Twickenham")</f>
        <v>78</v>
      </c>
      <c r="I223" s="124"/>
      <c r="J223" s="124"/>
      <c r="K223" s="124"/>
      <c r="L223" s="124"/>
      <c r="M223" s="15"/>
      <c r="N223" s="15"/>
      <c r="O223" s="15"/>
      <c r="P223" s="15"/>
      <c r="Q223" s="15"/>
      <c r="R223" s="15"/>
      <c r="S223" s="79"/>
    </row>
    <row r="224" spans="2:19" x14ac:dyDescent="0.2">
      <c r="B224" s="16"/>
      <c r="C224" s="345" t="s">
        <v>140</v>
      </c>
      <c r="D224" s="346"/>
      <c r="E224" s="346"/>
      <c r="F224" s="127">
        <f>GETPIVOTDATA("Net Dwellings",Pivot!$B$273,"Ward_Name","Teddington")</f>
        <v>11</v>
      </c>
      <c r="G224" s="63">
        <f>GETPIVOTDATA("Net Dwellings",Pivot!$E$273,"Ward_Name","Teddington")</f>
        <v>43</v>
      </c>
      <c r="H224" s="127">
        <f>GETPIVOTDATA("Net Dwellings",Pivot!$H$273,"Ward_Name","Teddington")</f>
        <v>6</v>
      </c>
      <c r="I224" s="124"/>
      <c r="J224" s="124"/>
      <c r="K224" s="124"/>
      <c r="L224" s="124"/>
      <c r="M224" s="15"/>
      <c r="N224" s="15"/>
      <c r="O224" s="15"/>
      <c r="P224" s="15"/>
      <c r="Q224" s="15"/>
      <c r="R224" s="15"/>
      <c r="S224" s="79"/>
    </row>
    <row r="225" spans="2:19" x14ac:dyDescent="0.2">
      <c r="B225" s="16"/>
      <c r="C225" s="345" t="s">
        <v>167</v>
      </c>
      <c r="D225" s="346"/>
      <c r="E225" s="346"/>
      <c r="F225" s="127">
        <f>GETPIVOTDATA("Net Dwellings",Pivot!$B$273,"Ward_Name","Twickenham Riverside")</f>
        <v>62</v>
      </c>
      <c r="G225" s="63">
        <f>GETPIVOTDATA("Net Dwellings",Pivot!$E$273,"Ward_Name","Twickenham Riverside")</f>
        <v>6</v>
      </c>
      <c r="H225" s="127">
        <f>GETPIVOTDATA("Net Dwellings",Pivot!$H$273,"Ward_Name","Twickenham Riverside")</f>
        <v>10</v>
      </c>
      <c r="I225" s="124"/>
      <c r="J225" s="124"/>
      <c r="K225" s="124"/>
      <c r="L225" s="124"/>
      <c r="M225" s="15"/>
      <c r="N225" s="15"/>
      <c r="O225" s="15"/>
      <c r="P225" s="15"/>
      <c r="Q225" s="15"/>
      <c r="R225" s="15"/>
      <c r="S225" s="79"/>
    </row>
    <row r="226" spans="2:19" x14ac:dyDescent="0.2">
      <c r="B226" s="16"/>
      <c r="C226" s="345" t="s">
        <v>168</v>
      </c>
      <c r="D226" s="346"/>
      <c r="E226" s="346"/>
      <c r="F226" s="127">
        <f>GETPIVOTDATA("Net Dwellings",Pivot!$B$273,"Ward_Name","West Twickenham")</f>
        <v>3</v>
      </c>
      <c r="G226" s="63">
        <f>GETPIVOTDATA("Net Dwellings",Pivot!$E$273,"Ward_Name","West Twickenham")</f>
        <v>5</v>
      </c>
      <c r="H226" s="127">
        <f>GETPIVOTDATA("Net Dwellings",Pivot!$H$273,"Ward_Name","West Twickenham")</f>
        <v>7</v>
      </c>
      <c r="I226" s="124"/>
      <c r="J226" s="124"/>
      <c r="K226" s="124"/>
      <c r="L226" s="124"/>
      <c r="M226" s="15"/>
      <c r="N226" s="15"/>
      <c r="O226" s="15"/>
      <c r="P226" s="15"/>
      <c r="Q226" s="15"/>
      <c r="R226" s="15"/>
      <c r="S226" s="79"/>
    </row>
    <row r="227" spans="2:19" x14ac:dyDescent="0.2">
      <c r="B227" s="16"/>
      <c r="C227" s="345" t="s">
        <v>144</v>
      </c>
      <c r="D227" s="346"/>
      <c r="E227" s="346"/>
      <c r="F227" s="127">
        <f>GETPIVOTDATA("Net Dwellings",Pivot!$B$273,"Ward_Name","Whitton")</f>
        <v>4</v>
      </c>
      <c r="G227" s="63">
        <f>GETPIVOTDATA("Net Dwellings",Pivot!$E$273,"Ward_Name","Whitton")</f>
        <v>-4</v>
      </c>
      <c r="H227" s="127">
        <f>GETPIVOTDATA("Net Dwellings",Pivot!$H$273,"Ward_Name","Whitton")</f>
        <v>1</v>
      </c>
      <c r="I227" s="124"/>
      <c r="J227" s="124"/>
      <c r="K227" s="124"/>
      <c r="L227" s="124"/>
      <c r="M227" s="15"/>
      <c r="N227" s="15"/>
      <c r="O227" s="15"/>
      <c r="P227" s="15"/>
      <c r="Q227" s="15"/>
      <c r="R227" s="15"/>
      <c r="S227" s="79"/>
    </row>
    <row r="228" spans="2:19" x14ac:dyDescent="0.2">
      <c r="B228" s="16"/>
      <c r="C228" s="334" t="s">
        <v>6</v>
      </c>
      <c r="D228" s="335"/>
      <c r="E228" s="335"/>
      <c r="F228" s="65">
        <f>SUM(F210:F227)</f>
        <v>541</v>
      </c>
      <c r="G228" s="65">
        <f>SUM(G210:G227)</f>
        <v>523</v>
      </c>
      <c r="H228" s="128">
        <f>SUM(H210:H227)</f>
        <v>206</v>
      </c>
      <c r="I228" s="124"/>
      <c r="J228" s="124"/>
      <c r="K228" s="124"/>
      <c r="L228" s="124"/>
      <c r="M228" s="15"/>
      <c r="N228" s="15"/>
      <c r="O228" s="15"/>
      <c r="P228" s="15"/>
      <c r="Q228" s="15"/>
      <c r="R228" s="15"/>
      <c r="S228" s="79"/>
    </row>
    <row r="229" spans="2:19" x14ac:dyDescent="0.2">
      <c r="B229" s="11"/>
      <c r="C229" s="129"/>
      <c r="D229" s="129"/>
      <c r="E229" s="129"/>
      <c r="F229" s="81"/>
      <c r="G229" s="81"/>
      <c r="H229" s="123"/>
      <c r="I229" s="124"/>
      <c r="J229" s="124"/>
      <c r="K229" s="124"/>
      <c r="L229" s="124"/>
      <c r="M229" s="15"/>
      <c r="N229" s="15"/>
      <c r="O229" s="15"/>
      <c r="P229" s="15"/>
      <c r="Q229" s="15"/>
      <c r="R229" s="15"/>
      <c r="S229" s="79"/>
    </row>
    <row r="230" spans="2:19" x14ac:dyDescent="0.2">
      <c r="B230" s="11"/>
      <c r="C230" s="129"/>
      <c r="D230" s="129"/>
      <c r="E230" s="129"/>
      <c r="F230" s="81"/>
      <c r="G230" s="81"/>
      <c r="H230" s="123"/>
      <c r="I230" s="124"/>
      <c r="J230" s="124"/>
      <c r="K230" s="124"/>
      <c r="L230" s="124"/>
      <c r="M230" s="15"/>
      <c r="N230" s="15"/>
      <c r="O230" s="15"/>
      <c r="P230" s="15"/>
      <c r="Q230" s="15"/>
      <c r="R230" s="15"/>
      <c r="S230" s="79"/>
    </row>
    <row r="231" spans="2:19" x14ac:dyDescent="0.2">
      <c r="B231" s="34"/>
      <c r="C231" s="130"/>
      <c r="D231" s="130"/>
      <c r="E231" s="130"/>
      <c r="F231" s="131"/>
      <c r="G231" s="131"/>
      <c r="H231" s="132"/>
      <c r="I231" s="133"/>
      <c r="J231" s="133"/>
      <c r="K231" s="133"/>
      <c r="L231" s="133"/>
      <c r="M231" s="82"/>
      <c r="N231" s="82"/>
      <c r="O231" s="82"/>
      <c r="P231" s="82"/>
      <c r="Q231" s="82"/>
      <c r="R231" s="82"/>
      <c r="S231" s="84"/>
    </row>
    <row r="232" spans="2:19" x14ac:dyDescent="0.2">
      <c r="B232" s="11"/>
      <c r="C232" s="129"/>
      <c r="D232" s="80"/>
      <c r="E232" s="134"/>
      <c r="F232" s="134"/>
      <c r="G232" s="134"/>
      <c r="H232" s="134"/>
      <c r="I232" s="134"/>
      <c r="J232" s="134"/>
      <c r="K232" s="134"/>
      <c r="L232" s="134"/>
      <c r="M232" s="134"/>
      <c r="N232" s="15"/>
      <c r="O232" s="15"/>
      <c r="P232" s="15"/>
      <c r="Q232" s="15"/>
      <c r="S232" s="79"/>
    </row>
    <row r="233" spans="2:19" x14ac:dyDescent="0.2">
      <c r="B233" s="11"/>
      <c r="C233" s="129"/>
      <c r="D233" s="15"/>
      <c r="E233" s="60"/>
      <c r="F233" s="124"/>
      <c r="G233" s="124"/>
      <c r="H233" s="124"/>
      <c r="I233" s="124"/>
      <c r="J233" s="124"/>
      <c r="K233" s="124"/>
      <c r="L233" s="15"/>
      <c r="M233" s="15"/>
      <c r="N233" s="15"/>
      <c r="O233" s="15"/>
      <c r="P233" s="15"/>
      <c r="Q233" s="15"/>
      <c r="S233" s="79"/>
    </row>
    <row r="234" spans="2:19" x14ac:dyDescent="0.2">
      <c r="B234" s="11"/>
      <c r="C234" s="14" t="s">
        <v>169</v>
      </c>
      <c r="D234" s="14" t="s">
        <v>170</v>
      </c>
      <c r="E234" s="60"/>
      <c r="F234" s="124"/>
      <c r="G234" s="124"/>
      <c r="H234" s="124"/>
      <c r="I234" s="124"/>
      <c r="J234" s="124"/>
      <c r="K234" s="124"/>
      <c r="L234" s="15"/>
      <c r="M234" s="15"/>
      <c r="N234" s="15"/>
      <c r="O234" s="15"/>
      <c r="P234" s="15"/>
      <c r="Q234" s="15"/>
      <c r="S234" s="79"/>
    </row>
    <row r="235" spans="2:19" x14ac:dyDescent="0.2">
      <c r="B235" s="16"/>
      <c r="C235" s="347" t="s">
        <v>152</v>
      </c>
      <c r="D235" s="348"/>
      <c r="E235" s="348"/>
      <c r="F235" s="135" t="s">
        <v>171</v>
      </c>
      <c r="G235" s="135" t="s">
        <v>172</v>
      </c>
      <c r="H235" s="135" t="s">
        <v>173</v>
      </c>
      <c r="I235" s="124"/>
      <c r="J235" s="124"/>
      <c r="K235" s="124"/>
      <c r="L235" s="15"/>
      <c r="M235" s="15"/>
      <c r="N235" s="15"/>
      <c r="O235" s="15"/>
      <c r="P235" s="15"/>
      <c r="Q235" s="15"/>
      <c r="S235" s="79"/>
    </row>
    <row r="236" spans="2:19" x14ac:dyDescent="0.2">
      <c r="B236" s="16"/>
      <c r="C236" s="326" t="s">
        <v>154</v>
      </c>
      <c r="D236" s="327"/>
      <c r="E236" s="327"/>
      <c r="F236" s="63">
        <f>GETPIVOTDATA("Sum of Units Proposed",Pivot!$B$301,"Ward_Name",C236)</f>
        <v>4</v>
      </c>
      <c r="G236" s="127">
        <f>GETPIVOTDATA("Sum of Units Existing",Pivot!$B$301,"Ward_Name",C236)</f>
        <v>1</v>
      </c>
      <c r="H236" s="127">
        <f>GETPIVOTDATA("Sum of Net Dwellings",Pivot!$B$301,"Ward_Name",C236)</f>
        <v>3</v>
      </c>
      <c r="I236" s="124"/>
      <c r="J236" s="124"/>
      <c r="K236" s="124"/>
      <c r="L236" s="15"/>
      <c r="M236" s="15"/>
      <c r="N236" s="15"/>
      <c r="O236" s="15"/>
      <c r="P236" s="15"/>
      <c r="Q236" s="15"/>
      <c r="S236" s="79"/>
    </row>
    <row r="237" spans="2:19" x14ac:dyDescent="0.2">
      <c r="B237" s="16"/>
      <c r="C237" s="326" t="s">
        <v>137</v>
      </c>
      <c r="D237" s="327"/>
      <c r="E237" s="327"/>
      <c r="F237" s="63">
        <f>GETPIVOTDATA("Sum of Units Proposed",Pivot!$B$301,"Ward_Name",C237)</f>
        <v>21</v>
      </c>
      <c r="G237" s="127">
        <f>GETPIVOTDATA("Sum of Units Existing",Pivot!$B$301,"Ward_Name",C237)</f>
        <v>13</v>
      </c>
      <c r="H237" s="127">
        <f>GETPIVOTDATA("Sum of Net Dwellings",Pivot!$B$301,"Ward_Name",C237)</f>
        <v>8</v>
      </c>
      <c r="I237" s="124"/>
      <c r="J237" s="124"/>
      <c r="K237" s="124"/>
      <c r="L237" s="15"/>
      <c r="M237" s="15"/>
      <c r="N237" s="15"/>
      <c r="O237" s="15"/>
      <c r="P237" s="15"/>
      <c r="Q237" s="15"/>
      <c r="S237" s="79"/>
    </row>
    <row r="238" spans="2:19" x14ac:dyDescent="0.2">
      <c r="B238" s="16"/>
      <c r="C238" s="326" t="s">
        <v>174</v>
      </c>
      <c r="D238" s="327"/>
      <c r="E238" s="327"/>
      <c r="F238" s="63">
        <f>GETPIVOTDATA("Sum of Units Proposed",Pivot!$B$301,"Ward_Name",C238)</f>
        <v>12</v>
      </c>
      <c r="G238" s="127">
        <f>GETPIVOTDATA("Sum of Units Existing",Pivot!$B$301,"Ward_Name",C238)</f>
        <v>4</v>
      </c>
      <c r="H238" s="127">
        <f>GETPIVOTDATA("Sum of Net Dwellings",Pivot!$B$301,"Ward_Name",C238)</f>
        <v>8</v>
      </c>
      <c r="I238" s="124"/>
      <c r="J238" s="124"/>
      <c r="K238" s="124"/>
      <c r="L238" s="15"/>
      <c r="M238" s="15"/>
      <c r="N238" s="15"/>
      <c r="O238" s="15"/>
      <c r="P238" s="15"/>
      <c r="Q238" s="15"/>
      <c r="S238" s="79"/>
    </row>
    <row r="239" spans="2:19" x14ac:dyDescent="0.2">
      <c r="B239" s="16"/>
      <c r="C239" s="326" t="s">
        <v>156</v>
      </c>
      <c r="D239" s="327"/>
      <c r="E239" s="327"/>
      <c r="F239" s="63">
        <f>GETPIVOTDATA("Sum of Units Proposed",Pivot!$B$301,"Ward_Name",C239)</f>
        <v>21</v>
      </c>
      <c r="G239" s="127">
        <f>GETPIVOTDATA("Sum of Units Existing",Pivot!$B$301,"Ward_Name",C239)</f>
        <v>1</v>
      </c>
      <c r="H239" s="127">
        <f>GETPIVOTDATA("Sum of Net Dwellings",Pivot!$B$301,"Ward_Name",C239)</f>
        <v>20</v>
      </c>
      <c r="I239" s="124"/>
      <c r="J239" s="124"/>
      <c r="K239" s="124"/>
      <c r="L239" s="15"/>
      <c r="M239" s="15"/>
      <c r="N239" s="15"/>
      <c r="O239" s="15"/>
      <c r="P239" s="15"/>
      <c r="Q239" s="15"/>
      <c r="S239" s="79"/>
    </row>
    <row r="240" spans="2:19" x14ac:dyDescent="0.2">
      <c r="B240" s="16"/>
      <c r="C240" s="345" t="s">
        <v>157</v>
      </c>
      <c r="D240" s="346"/>
      <c r="E240" s="346"/>
      <c r="F240" s="63">
        <f>GETPIVOTDATA("Sum of Units Proposed",Pivot!$B$301,"Ward_Name",C240)</f>
        <v>15</v>
      </c>
      <c r="G240" s="127">
        <f>GETPIVOTDATA("Sum of Units Existing",Pivot!$B$301,"Ward_Name",C240)</f>
        <v>2</v>
      </c>
      <c r="H240" s="127">
        <f>GETPIVOTDATA("Sum of Net Dwellings",Pivot!$B$301,"Ward_Name",C240)</f>
        <v>13</v>
      </c>
      <c r="I240" s="124"/>
      <c r="J240" s="124"/>
      <c r="K240" s="124"/>
      <c r="L240" s="15"/>
      <c r="M240" s="15"/>
      <c r="N240" s="15"/>
      <c r="O240" s="15"/>
      <c r="P240" s="15"/>
      <c r="Q240" s="15"/>
      <c r="S240" s="79"/>
    </row>
    <row r="241" spans="2:19" x14ac:dyDescent="0.2">
      <c r="B241" s="16"/>
      <c r="C241" s="345" t="s">
        <v>158</v>
      </c>
      <c r="D241" s="346"/>
      <c r="E241" s="346"/>
      <c r="F241" s="63">
        <f>GETPIVOTDATA("Sum of Units Proposed",Pivot!$B$301,"Ward_Name",C241)</f>
        <v>3</v>
      </c>
      <c r="G241" s="127">
        <f>GETPIVOTDATA("Sum of Units Existing",Pivot!$B$301,"Ward_Name",C241)</f>
        <v>1</v>
      </c>
      <c r="H241" s="127">
        <f>GETPIVOTDATA("Sum of Net Dwellings",Pivot!$B$301,"Ward_Name",C241)</f>
        <v>2</v>
      </c>
      <c r="I241" s="124"/>
      <c r="J241" s="124"/>
      <c r="K241" s="124"/>
      <c r="L241" s="15"/>
      <c r="M241" s="15"/>
      <c r="N241" s="15"/>
      <c r="O241" s="15"/>
      <c r="P241" s="15"/>
      <c r="Q241" s="15"/>
      <c r="S241" s="79"/>
    </row>
    <row r="242" spans="2:19" x14ac:dyDescent="0.2">
      <c r="B242" s="16"/>
      <c r="C242" s="326" t="s">
        <v>159</v>
      </c>
      <c r="D242" s="327"/>
      <c r="E242" s="327"/>
      <c r="F242" s="63">
        <f>GETPIVOTDATA("Sum of Units Proposed",Pivot!$B$301,"Ward_Name",C242)</f>
        <v>13</v>
      </c>
      <c r="G242" s="127">
        <f>GETPIVOTDATA("Sum of Units Existing",Pivot!$B$301,"Ward_Name",C242)</f>
        <v>1</v>
      </c>
      <c r="H242" s="127">
        <f>GETPIVOTDATA("Sum of Net Dwellings",Pivot!$B$301,"Ward_Name",C242)</f>
        <v>12</v>
      </c>
      <c r="I242" s="124"/>
      <c r="J242" s="124"/>
      <c r="K242" s="124"/>
      <c r="L242" s="15"/>
      <c r="M242" s="15"/>
      <c r="N242" s="15"/>
      <c r="O242" s="15"/>
      <c r="P242" s="15"/>
      <c r="Q242" s="15"/>
      <c r="S242" s="79"/>
    </row>
    <row r="243" spans="2:19" x14ac:dyDescent="0.2">
      <c r="B243" s="16"/>
      <c r="C243" s="326" t="s">
        <v>160</v>
      </c>
      <c r="D243" s="327"/>
      <c r="E243" s="327"/>
      <c r="F243" s="63">
        <f>GETPIVOTDATA("Sum of Units Proposed",Pivot!$B$301,"Ward_Name",C243)</f>
        <v>4</v>
      </c>
      <c r="G243" s="127">
        <f>GETPIVOTDATA("Sum of Units Existing",Pivot!$B$301,"Ward_Name",C243)</f>
        <v>1</v>
      </c>
      <c r="H243" s="127">
        <f>GETPIVOTDATA("Sum of Net Dwellings",Pivot!$B$301,"Ward_Name",C243)</f>
        <v>3</v>
      </c>
      <c r="I243" s="124"/>
      <c r="J243" s="124"/>
      <c r="K243" s="124"/>
      <c r="L243" s="15"/>
      <c r="M243" s="15"/>
      <c r="N243" s="15"/>
      <c r="O243" s="15"/>
      <c r="P243" s="15"/>
      <c r="Q243" s="15"/>
      <c r="S243" s="79"/>
    </row>
    <row r="244" spans="2:19" x14ac:dyDescent="0.2">
      <c r="B244" s="16"/>
      <c r="C244" s="326" t="s">
        <v>161</v>
      </c>
      <c r="D244" s="327"/>
      <c r="E244" s="327"/>
      <c r="F244" s="63">
        <f>GETPIVOTDATA("Sum of Units Proposed",Pivot!$B$301,"Ward_Name",C244)</f>
        <v>10</v>
      </c>
      <c r="G244" s="127">
        <f>GETPIVOTDATA("Sum of Units Existing",Pivot!$B$301,"Ward_Name",C244)</f>
        <v>1</v>
      </c>
      <c r="H244" s="127">
        <f>GETPIVOTDATA("Sum of Net Dwellings",Pivot!$B$301,"Ward_Name",C244)</f>
        <v>9</v>
      </c>
      <c r="I244" s="124"/>
      <c r="J244" s="124"/>
      <c r="K244" s="124"/>
      <c r="L244" s="15"/>
      <c r="M244" s="15"/>
      <c r="N244" s="15"/>
      <c r="O244" s="15"/>
      <c r="P244" s="15"/>
      <c r="Q244" s="15"/>
      <c r="S244" s="79"/>
    </row>
    <row r="245" spans="2:19" x14ac:dyDescent="0.2">
      <c r="B245" s="16"/>
      <c r="C245" s="326" t="s">
        <v>175</v>
      </c>
      <c r="D245" s="327"/>
      <c r="E245" s="327"/>
      <c r="F245" s="63">
        <f>GETPIVOTDATA("Sum of Units Proposed",Pivot!$B$301,"Ward_Name",C245)</f>
        <v>6</v>
      </c>
      <c r="G245" s="127">
        <f>GETPIVOTDATA("Sum of Units Existing",Pivot!$B$301,"Ward_Name",C245)</f>
        <v>3</v>
      </c>
      <c r="H245" s="127">
        <f>GETPIVOTDATA("Sum of Net Dwellings",Pivot!$B$301,"Ward_Name",C245)</f>
        <v>3</v>
      </c>
      <c r="I245" s="124"/>
      <c r="J245" s="124"/>
      <c r="K245" s="124"/>
      <c r="L245" s="15"/>
      <c r="M245" s="15"/>
      <c r="N245" s="15"/>
      <c r="O245" s="15"/>
      <c r="P245" s="15"/>
      <c r="Q245" s="15"/>
      <c r="S245" s="79"/>
    </row>
    <row r="246" spans="2:19" x14ac:dyDescent="0.2">
      <c r="B246" s="16"/>
      <c r="C246" s="326" t="s">
        <v>163</v>
      </c>
      <c r="D246" s="327"/>
      <c r="E246" s="327"/>
      <c r="F246" s="63">
        <f>GETPIVOTDATA("Sum of Units Proposed",Pivot!$B$301,"Ward_Name",C246)</f>
        <v>5</v>
      </c>
      <c r="G246" s="127">
        <f>GETPIVOTDATA("Sum of Units Existing",Pivot!$B$301,"Ward_Name",C246)</f>
        <v>1</v>
      </c>
      <c r="H246" s="127">
        <f>GETPIVOTDATA("Sum of Net Dwellings",Pivot!$B$301,"Ward_Name",C246)</f>
        <v>4</v>
      </c>
      <c r="I246" s="124"/>
      <c r="J246" s="124"/>
      <c r="K246" s="124"/>
      <c r="L246" s="15"/>
      <c r="M246" s="15"/>
      <c r="N246" s="15"/>
      <c r="O246" s="15"/>
      <c r="P246" s="15"/>
      <c r="Q246" s="15"/>
      <c r="S246" s="79"/>
    </row>
    <row r="247" spans="2:19" x14ac:dyDescent="0.2">
      <c r="B247" s="16"/>
      <c r="C247" s="326" t="s">
        <v>164</v>
      </c>
      <c r="D247" s="327"/>
      <c r="E247" s="327"/>
      <c r="F247" s="63">
        <f>GETPIVOTDATA("Sum of Units Proposed",Pivot!$B$301,"Ward_Name",C247)</f>
        <v>14</v>
      </c>
      <c r="G247" s="127">
        <f>GETPIVOTDATA("Sum of Units Existing",Pivot!$B$301,"Ward_Name",C247)</f>
        <v>7</v>
      </c>
      <c r="H247" s="127">
        <f>GETPIVOTDATA("Sum of Net Dwellings",Pivot!$B$301,"Ward_Name",C247)</f>
        <v>7</v>
      </c>
      <c r="I247" s="124"/>
      <c r="J247" s="124"/>
      <c r="K247" s="124"/>
      <c r="L247" s="15"/>
      <c r="M247" s="15"/>
      <c r="N247" s="15"/>
      <c r="O247" s="15"/>
      <c r="P247" s="15"/>
      <c r="Q247" s="15"/>
      <c r="S247" s="79"/>
    </row>
    <row r="248" spans="2:19" x14ac:dyDescent="0.2">
      <c r="B248" s="16"/>
      <c r="C248" s="326" t="s">
        <v>165</v>
      </c>
      <c r="D248" s="327"/>
      <c r="E248" s="327"/>
      <c r="F248" s="63">
        <f>GETPIVOTDATA("Sum of Units Proposed",Pivot!$B$301,"Ward_Name",C248)</f>
        <v>12</v>
      </c>
      <c r="G248" s="127">
        <f>GETPIVOTDATA("Sum of Units Existing",Pivot!$B$301,"Ward_Name",C248)</f>
        <v>0</v>
      </c>
      <c r="H248" s="127">
        <f>GETPIVOTDATA("Sum of Net Dwellings",Pivot!$B$301,"Ward_Name",C248)</f>
        <v>12</v>
      </c>
      <c r="I248" s="124"/>
      <c r="J248" s="124"/>
      <c r="K248" s="124"/>
      <c r="L248" s="15"/>
      <c r="M248" s="15"/>
      <c r="N248" s="15"/>
      <c r="O248" s="15"/>
      <c r="P248" s="15"/>
      <c r="Q248" s="15"/>
      <c r="S248" s="79"/>
    </row>
    <row r="249" spans="2:19" x14ac:dyDescent="0.2">
      <c r="B249" s="16"/>
      <c r="C249" s="326" t="s">
        <v>176</v>
      </c>
      <c r="D249" s="327"/>
      <c r="E249" s="327"/>
      <c r="F249" s="63">
        <f>GETPIVOTDATA("Sum of Units Proposed",Pivot!$B$301,"Ward_Name",C249)</f>
        <v>81</v>
      </c>
      <c r="G249" s="127">
        <f>GETPIVOTDATA("Sum of Units Existing",Pivot!$B$301,"Ward_Name",C249)</f>
        <v>3</v>
      </c>
      <c r="H249" s="127">
        <f>GETPIVOTDATA("Sum of Net Dwellings",Pivot!$B$301,"Ward_Name",C249)</f>
        <v>78</v>
      </c>
      <c r="I249" s="124"/>
      <c r="J249" s="124"/>
      <c r="K249" s="124"/>
      <c r="L249" s="15"/>
      <c r="M249" s="15"/>
      <c r="N249" s="15"/>
      <c r="O249" s="15"/>
      <c r="P249" s="15"/>
      <c r="Q249" s="15"/>
      <c r="S249" s="79"/>
    </row>
    <row r="250" spans="2:19" x14ac:dyDescent="0.2">
      <c r="B250" s="16"/>
      <c r="C250" s="326" t="s">
        <v>140</v>
      </c>
      <c r="D250" s="327"/>
      <c r="E250" s="327"/>
      <c r="F250" s="63">
        <f>GETPIVOTDATA("Sum of Units Proposed",Pivot!$B$301,"Ward_Name",C250)</f>
        <v>9</v>
      </c>
      <c r="G250" s="127">
        <f>GETPIVOTDATA("Sum of Units Existing",Pivot!$B$301,"Ward_Name",C250)</f>
        <v>3</v>
      </c>
      <c r="H250" s="127">
        <f>GETPIVOTDATA("Sum of Net Dwellings",Pivot!$B$301,"Ward_Name",C250)</f>
        <v>6</v>
      </c>
      <c r="I250" s="124"/>
      <c r="J250" s="124"/>
      <c r="K250" s="124"/>
      <c r="L250" s="15"/>
      <c r="M250" s="15"/>
      <c r="N250" s="15"/>
      <c r="O250" s="15"/>
      <c r="P250" s="15"/>
      <c r="Q250" s="15"/>
      <c r="S250" s="79"/>
    </row>
    <row r="251" spans="2:19" x14ac:dyDescent="0.2">
      <c r="B251" s="16"/>
      <c r="C251" s="326" t="s">
        <v>167</v>
      </c>
      <c r="D251" s="327"/>
      <c r="E251" s="327"/>
      <c r="F251" s="63">
        <f>GETPIVOTDATA("Sum of Units Proposed",Pivot!$B$301,"Ward_Name",C251)</f>
        <v>12</v>
      </c>
      <c r="G251" s="127">
        <f>GETPIVOTDATA("Sum of Units Existing",Pivot!$B$301,"Ward_Name",C251)</f>
        <v>2</v>
      </c>
      <c r="H251" s="127">
        <f>GETPIVOTDATA("Sum of Net Dwellings",Pivot!$B$301,"Ward_Name",C251)</f>
        <v>10</v>
      </c>
      <c r="I251" s="124"/>
      <c r="J251" s="124"/>
      <c r="K251" s="124"/>
      <c r="L251" s="15"/>
      <c r="M251" s="15"/>
      <c r="N251" s="15"/>
      <c r="O251" s="15"/>
      <c r="P251" s="15"/>
      <c r="Q251" s="15"/>
      <c r="S251" s="79"/>
    </row>
    <row r="252" spans="2:19" x14ac:dyDescent="0.2">
      <c r="B252" s="16"/>
      <c r="C252" s="326" t="s">
        <v>168</v>
      </c>
      <c r="D252" s="327"/>
      <c r="E252" s="327"/>
      <c r="F252" s="63">
        <f>GETPIVOTDATA("Sum of Units Proposed",Pivot!$B$301,"Ward_Name",C252)</f>
        <v>10</v>
      </c>
      <c r="G252" s="127">
        <f>GETPIVOTDATA("Sum of Units Existing",Pivot!$B$301,"Ward_Name",C252)</f>
        <v>3</v>
      </c>
      <c r="H252" s="127">
        <f>GETPIVOTDATA("Sum of Net Dwellings",Pivot!$B$301,"Ward_Name",C252)</f>
        <v>7</v>
      </c>
      <c r="I252" s="124"/>
      <c r="J252" s="124"/>
      <c r="K252" s="124"/>
      <c r="L252" s="15"/>
      <c r="M252" s="15"/>
      <c r="N252" s="15"/>
      <c r="O252" s="15"/>
      <c r="P252" s="15"/>
      <c r="Q252" s="15"/>
      <c r="S252" s="79"/>
    </row>
    <row r="253" spans="2:19" x14ac:dyDescent="0.2">
      <c r="B253" s="16"/>
      <c r="C253" s="326" t="s">
        <v>144</v>
      </c>
      <c r="D253" s="327"/>
      <c r="E253" s="327"/>
      <c r="F253" s="63">
        <f>GETPIVOTDATA("Sum of Units Proposed",Pivot!$B$301,"Ward_Name",C253)</f>
        <v>3</v>
      </c>
      <c r="G253" s="127">
        <f>GETPIVOTDATA("Sum of Units Existing",Pivot!$B$301,"Ward_Name",C253)</f>
        <v>2</v>
      </c>
      <c r="H253" s="127">
        <f>GETPIVOTDATA("Sum of Net Dwellings",Pivot!$B$301,"Ward_Name",C253)</f>
        <v>1</v>
      </c>
      <c r="I253" s="124"/>
      <c r="J253" s="124"/>
      <c r="K253" s="124"/>
      <c r="L253" s="15"/>
      <c r="M253" s="15"/>
      <c r="N253" s="15"/>
      <c r="O253" s="15"/>
      <c r="P253" s="15"/>
      <c r="Q253" s="15"/>
      <c r="S253" s="79"/>
    </row>
    <row r="254" spans="2:19" x14ac:dyDescent="0.2">
      <c r="B254" s="16"/>
      <c r="C254" s="334" t="s">
        <v>6</v>
      </c>
      <c r="D254" s="335"/>
      <c r="E254" s="335"/>
      <c r="F254" s="65">
        <f>SUM(F236:F253)</f>
        <v>255</v>
      </c>
      <c r="G254" s="65">
        <f>SUM(G236:G253)</f>
        <v>49</v>
      </c>
      <c r="H254" s="65">
        <f>SUM(H236:H253)</f>
        <v>206</v>
      </c>
      <c r="I254" s="124"/>
      <c r="J254" s="124"/>
      <c r="K254" s="124"/>
      <c r="L254" s="15"/>
      <c r="M254" s="15"/>
      <c r="N254" s="15"/>
      <c r="O254" s="15"/>
      <c r="P254" s="15"/>
      <c r="Q254" s="15"/>
      <c r="S254" s="79"/>
    </row>
    <row r="255" spans="2:19" x14ac:dyDescent="0.2">
      <c r="B255" s="11"/>
      <c r="C255" s="129"/>
      <c r="D255" s="129"/>
      <c r="E255" s="129"/>
      <c r="F255" s="81"/>
      <c r="G255" s="81"/>
      <c r="H255" s="81"/>
      <c r="I255" s="124"/>
      <c r="J255" s="124"/>
      <c r="K255" s="124"/>
      <c r="L255" s="15"/>
      <c r="M255" s="15"/>
      <c r="N255" s="15"/>
      <c r="O255" s="15"/>
      <c r="P255" s="15"/>
      <c r="Q255" s="15"/>
      <c r="S255" s="79"/>
    </row>
    <row r="256" spans="2:19" x14ac:dyDescent="0.2">
      <c r="B256" s="11"/>
      <c r="C256" s="129"/>
      <c r="D256" s="129"/>
      <c r="E256" s="129"/>
      <c r="F256" s="81"/>
      <c r="G256" s="81"/>
      <c r="H256" s="81"/>
      <c r="I256" s="124"/>
      <c r="J256" s="124"/>
      <c r="K256" s="124"/>
      <c r="L256" s="15"/>
      <c r="M256" s="15"/>
      <c r="N256" s="15"/>
      <c r="O256" s="15"/>
      <c r="P256" s="15"/>
      <c r="Q256" s="15"/>
      <c r="S256" s="79"/>
    </row>
    <row r="257" spans="2:19" x14ac:dyDescent="0.2">
      <c r="B257" s="11"/>
      <c r="C257" s="129"/>
      <c r="D257" s="129"/>
      <c r="E257" s="129"/>
      <c r="F257" s="81"/>
      <c r="G257" s="81"/>
      <c r="H257" s="81"/>
      <c r="I257" s="124"/>
      <c r="J257" s="124"/>
      <c r="K257" s="124"/>
      <c r="L257" s="15"/>
      <c r="M257" s="15"/>
      <c r="N257" s="15"/>
      <c r="O257" s="15"/>
      <c r="P257" s="15"/>
      <c r="Q257" s="15"/>
      <c r="S257" s="79"/>
    </row>
    <row r="258" spans="2:19" x14ac:dyDescent="0.2">
      <c r="B258" s="34"/>
      <c r="C258" s="130"/>
      <c r="D258" s="130"/>
      <c r="E258" s="130"/>
      <c r="F258" s="131"/>
      <c r="G258" s="131"/>
      <c r="H258" s="131"/>
      <c r="I258" s="133"/>
      <c r="J258" s="133"/>
      <c r="K258" s="133"/>
      <c r="L258" s="82"/>
      <c r="M258" s="82"/>
      <c r="N258" s="82"/>
      <c r="O258" s="82"/>
      <c r="P258" s="82"/>
      <c r="Q258" s="82"/>
      <c r="R258" s="83"/>
      <c r="S258" s="84"/>
    </row>
    <row r="259" spans="2:19" x14ac:dyDescent="0.2">
      <c r="B259" s="11"/>
      <c r="C259" s="80"/>
      <c r="D259" s="80"/>
      <c r="E259" s="134"/>
      <c r="F259" s="134"/>
      <c r="G259" s="134"/>
      <c r="H259" s="134"/>
      <c r="I259" s="134"/>
      <c r="J259" s="134"/>
      <c r="K259" s="134"/>
      <c r="L259" s="134"/>
      <c r="M259" s="134"/>
      <c r="N259" s="15"/>
      <c r="O259" s="15"/>
      <c r="P259" s="15"/>
      <c r="Q259" s="15"/>
      <c r="S259" s="79"/>
    </row>
    <row r="260" spans="2:19" ht="20.25" x14ac:dyDescent="0.3">
      <c r="B260" s="11"/>
      <c r="C260" s="86" t="s">
        <v>177</v>
      </c>
      <c r="D260" s="15"/>
      <c r="E260" s="15"/>
      <c r="F260" s="15"/>
      <c r="G260" s="15"/>
      <c r="H260" s="15"/>
      <c r="I260" s="15"/>
      <c r="J260" s="15"/>
      <c r="K260" s="15"/>
      <c r="L260" s="15"/>
      <c r="M260" s="15"/>
      <c r="N260" s="15"/>
      <c r="O260" s="15"/>
      <c r="P260" s="15"/>
      <c r="Q260" s="15"/>
      <c r="S260" s="79"/>
    </row>
    <row r="261" spans="2:19" x14ac:dyDescent="0.2">
      <c r="B261" s="11"/>
      <c r="C261" s="15"/>
      <c r="D261" s="15"/>
      <c r="E261" s="15"/>
      <c r="F261" s="15"/>
      <c r="G261" s="15"/>
      <c r="H261" s="15"/>
      <c r="I261" s="15"/>
      <c r="J261" s="15"/>
      <c r="K261" s="15"/>
      <c r="L261" s="15"/>
      <c r="M261" s="15"/>
      <c r="N261" s="15"/>
      <c r="O261" s="15"/>
      <c r="P261" s="15"/>
      <c r="Q261" s="15"/>
      <c r="S261" s="79"/>
    </row>
    <row r="262" spans="2:19" x14ac:dyDescent="0.2">
      <c r="B262" s="11"/>
      <c r="C262" s="14" t="s">
        <v>178</v>
      </c>
      <c r="D262" s="14" t="s">
        <v>179</v>
      </c>
      <c r="E262" s="15"/>
      <c r="F262" s="15"/>
      <c r="G262" s="15"/>
      <c r="H262" s="15"/>
      <c r="I262" s="15"/>
      <c r="J262" s="15"/>
      <c r="K262" s="15"/>
      <c r="M262" s="136" t="s">
        <v>180</v>
      </c>
      <c r="O262" s="15"/>
      <c r="P262" s="15"/>
      <c r="Q262" s="15"/>
      <c r="S262" s="79"/>
    </row>
    <row r="263" spans="2:19" x14ac:dyDescent="0.2">
      <c r="B263" s="16"/>
      <c r="C263" s="328"/>
      <c r="D263" s="329"/>
      <c r="E263" s="62" t="s">
        <v>181</v>
      </c>
      <c r="F263" s="62" t="s">
        <v>182</v>
      </c>
      <c r="G263" s="62" t="s">
        <v>183</v>
      </c>
      <c r="H263" s="62" t="s">
        <v>184</v>
      </c>
      <c r="I263" s="62" t="s">
        <v>185</v>
      </c>
      <c r="J263" s="62" t="s">
        <v>6</v>
      </c>
      <c r="K263" s="15"/>
      <c r="L263" s="15"/>
      <c r="M263" s="15"/>
      <c r="N263" s="15"/>
      <c r="O263" s="15"/>
      <c r="P263" s="15"/>
      <c r="S263" s="79"/>
    </row>
    <row r="264" spans="2:19" x14ac:dyDescent="0.2">
      <c r="B264" s="16"/>
      <c r="C264" s="330" t="s">
        <v>186</v>
      </c>
      <c r="D264" s="331"/>
      <c r="E264" s="157">
        <f>GETPIVOTDATA("Sum of 1 bed net",Pivot!$B$328,"Tenure","Open Market")</f>
        <v>34</v>
      </c>
      <c r="F264" s="157">
        <f>GETPIVOTDATA("Sum of 2 bed net",Pivot!$B$328,"Tenure","Open Market")</f>
        <v>80</v>
      </c>
      <c r="G264" s="157">
        <f>GETPIVOTDATA("Sum of 3 bed net",Pivot!$B$328,"Tenure","Open Market")</f>
        <v>16</v>
      </c>
      <c r="H264" s="157">
        <f>GETPIVOTDATA("Sum of 4 bed net",Pivot!$B$328,"Tenure","Open Market")+GETPIVOTDATA("Sum of 5 bed net",Pivot!$B$328,"Tenure","Open Market")+GETPIVOTDATA("Sum of 6 bed net",Pivot!$B$328,"Tenure","Open Market")</f>
        <v>16</v>
      </c>
      <c r="I264" s="157">
        <v>0</v>
      </c>
      <c r="J264" s="63">
        <f t="shared" ref="J264:J270" si="10">SUM(D264:I264)</f>
        <v>146</v>
      </c>
      <c r="K264" s="15"/>
      <c r="L264" s="15"/>
      <c r="M264" s="15"/>
      <c r="N264" s="15"/>
      <c r="O264" s="15"/>
      <c r="P264" s="15"/>
      <c r="S264" s="79"/>
    </row>
    <row r="265" spans="2:19" x14ac:dyDescent="0.2">
      <c r="B265" s="16"/>
      <c r="C265" s="330"/>
      <c r="D265" s="331"/>
      <c r="E265" s="158">
        <f>E264/$J$270</f>
        <v>0.20858895705521471</v>
      </c>
      <c r="F265" s="158">
        <f>F264/$J$270</f>
        <v>0.49079754601226994</v>
      </c>
      <c r="G265" s="158">
        <f>G264/$J$270</f>
        <v>9.815950920245399E-2</v>
      </c>
      <c r="H265" s="158">
        <f>H264/$J$270</f>
        <v>9.815950920245399E-2</v>
      </c>
      <c r="I265" s="158">
        <f>I264/$J$270</f>
        <v>0</v>
      </c>
      <c r="J265" s="137">
        <f t="shared" si="10"/>
        <v>0.89570552147239257</v>
      </c>
      <c r="K265" s="15"/>
      <c r="L265" s="15"/>
      <c r="M265" s="15"/>
      <c r="N265" s="15"/>
      <c r="O265" s="15"/>
      <c r="P265" s="15"/>
      <c r="S265" s="79"/>
    </row>
    <row r="266" spans="2:19" x14ac:dyDescent="0.2">
      <c r="B266" s="16"/>
      <c r="C266" s="330" t="s">
        <v>187</v>
      </c>
      <c r="D266" s="331"/>
      <c r="E266" s="157">
        <v>0</v>
      </c>
      <c r="F266" s="157">
        <v>0</v>
      </c>
      <c r="G266" s="157">
        <v>0</v>
      </c>
      <c r="H266" s="157">
        <v>0</v>
      </c>
      <c r="I266" s="157">
        <v>0</v>
      </c>
      <c r="J266" s="63">
        <f t="shared" si="10"/>
        <v>0</v>
      </c>
      <c r="K266" s="15"/>
      <c r="L266" s="15"/>
      <c r="M266" s="60"/>
      <c r="N266" s="60"/>
      <c r="O266" s="60"/>
      <c r="P266" s="60"/>
      <c r="S266" s="79"/>
    </row>
    <row r="267" spans="2:19" x14ac:dyDescent="0.2">
      <c r="B267" s="16"/>
      <c r="C267" s="330"/>
      <c r="D267" s="331"/>
      <c r="E267" s="158">
        <f>E266/$J$270</f>
        <v>0</v>
      </c>
      <c r="F267" s="158">
        <f>F266/$J$270</f>
        <v>0</v>
      </c>
      <c r="G267" s="158">
        <f>G266/$J$270</f>
        <v>0</v>
      </c>
      <c r="H267" s="158">
        <f>H266/$J$270</f>
        <v>0</v>
      </c>
      <c r="I267" s="158">
        <f>I266/$J$270</f>
        <v>0</v>
      </c>
      <c r="J267" s="137">
        <f t="shared" si="10"/>
        <v>0</v>
      </c>
      <c r="K267" s="15"/>
      <c r="L267" s="15"/>
      <c r="M267" s="15"/>
      <c r="N267" s="15"/>
      <c r="O267" s="15"/>
      <c r="P267" s="15"/>
      <c r="S267" s="79"/>
    </row>
    <row r="268" spans="2:19" x14ac:dyDescent="0.2">
      <c r="B268" s="16"/>
      <c r="C268" s="330" t="s">
        <v>188</v>
      </c>
      <c r="D268" s="331"/>
      <c r="E268" s="157">
        <f>GETPIVOTDATA("Sum of 1 bed net",Pivot!$B$328,"Tenure","Affordable Rent")</f>
        <v>10</v>
      </c>
      <c r="F268" s="157">
        <f>GETPIVOTDATA("Sum of 2 bed net",Pivot!$B$328,"Tenure","Affordable Rent")</f>
        <v>2</v>
      </c>
      <c r="G268" s="157">
        <f>GETPIVOTDATA("Sum of 3 bed net",Pivot!$B$328,"Tenure","Affordable Rent")</f>
        <v>5</v>
      </c>
      <c r="H268" s="157">
        <v>0</v>
      </c>
      <c r="I268" s="157">
        <v>0</v>
      </c>
      <c r="J268" s="63">
        <f t="shared" si="10"/>
        <v>17</v>
      </c>
      <c r="K268" s="15"/>
      <c r="L268" s="15"/>
      <c r="M268" s="15"/>
      <c r="N268" s="15"/>
      <c r="O268" s="15"/>
      <c r="P268" s="15"/>
      <c r="S268" s="79"/>
    </row>
    <row r="269" spans="2:19" x14ac:dyDescent="0.2">
      <c r="B269" s="16"/>
      <c r="C269" s="330"/>
      <c r="D269" s="331"/>
      <c r="E269" s="158">
        <f>E268/$J$270</f>
        <v>6.1349693251533742E-2</v>
      </c>
      <c r="F269" s="158">
        <f>F268/$J$270</f>
        <v>1.2269938650306749E-2</v>
      </c>
      <c r="G269" s="158">
        <f>G268/$J$270</f>
        <v>3.0674846625766871E-2</v>
      </c>
      <c r="H269" s="158">
        <f>H268/$J$270</f>
        <v>0</v>
      </c>
      <c r="I269" s="158">
        <f>I268/$J$270</f>
        <v>0</v>
      </c>
      <c r="J269" s="137">
        <f t="shared" si="10"/>
        <v>0.10429447852760737</v>
      </c>
      <c r="K269" s="15"/>
      <c r="L269" s="15"/>
      <c r="M269" s="15"/>
      <c r="N269" s="15"/>
      <c r="O269" s="15"/>
      <c r="P269" s="15"/>
      <c r="S269" s="79"/>
    </row>
    <row r="270" spans="2:19" x14ac:dyDescent="0.2">
      <c r="B270" s="16"/>
      <c r="C270" s="332" t="s">
        <v>6</v>
      </c>
      <c r="D270" s="333"/>
      <c r="E270" s="65">
        <f>E264+E266+E268</f>
        <v>44</v>
      </c>
      <c r="F270" s="65">
        <f t="shared" ref="F270:I270" si="11">F264+F266+F268</f>
        <v>82</v>
      </c>
      <c r="G270" s="65">
        <f t="shared" si="11"/>
        <v>21</v>
      </c>
      <c r="H270" s="65">
        <f t="shared" si="11"/>
        <v>16</v>
      </c>
      <c r="I270" s="65">
        <f t="shared" si="11"/>
        <v>0</v>
      </c>
      <c r="J270" s="65">
        <f t="shared" si="10"/>
        <v>163</v>
      </c>
      <c r="K270" s="15"/>
      <c r="L270" s="15"/>
      <c r="M270" s="15"/>
      <c r="N270" s="15"/>
      <c r="O270" s="15"/>
      <c r="P270" s="15"/>
      <c r="S270" s="79"/>
    </row>
    <row r="271" spans="2:19" x14ac:dyDescent="0.2">
      <c r="B271" s="16"/>
      <c r="C271" s="332"/>
      <c r="D271" s="333"/>
      <c r="E271" s="138">
        <f>E270/$J$270</f>
        <v>0.26993865030674846</v>
      </c>
      <c r="F271" s="138">
        <f>F270/$J$270</f>
        <v>0.50306748466257667</v>
      </c>
      <c r="G271" s="138">
        <f>G270/$J$270</f>
        <v>0.12883435582822086</v>
      </c>
      <c r="H271" s="138">
        <f>H270/$J$270</f>
        <v>9.815950920245399E-2</v>
      </c>
      <c r="I271" s="138">
        <f>I270/$J$270</f>
        <v>0</v>
      </c>
      <c r="J271" s="138">
        <f>SUM(E271:I271)</f>
        <v>1</v>
      </c>
      <c r="K271" s="15"/>
      <c r="L271" s="15"/>
      <c r="M271" s="15"/>
      <c r="N271" s="15"/>
      <c r="O271" s="15"/>
      <c r="P271" s="15"/>
      <c r="S271" s="79"/>
    </row>
    <row r="272" spans="2:19" x14ac:dyDescent="0.2">
      <c r="B272" s="11"/>
      <c r="C272" s="15"/>
      <c r="D272" s="139"/>
      <c r="E272" s="139"/>
      <c r="F272" s="139"/>
      <c r="G272" s="139"/>
      <c r="H272" s="139"/>
      <c r="I272" s="139"/>
      <c r="J272" s="139"/>
      <c r="K272" s="15"/>
      <c r="L272" s="15"/>
      <c r="M272" s="15"/>
      <c r="N272" s="15"/>
      <c r="O272" s="15"/>
      <c r="P272" s="15"/>
      <c r="Q272" s="15"/>
      <c r="S272" s="79"/>
    </row>
    <row r="273" spans="2:19" x14ac:dyDescent="0.2">
      <c r="B273" s="11"/>
      <c r="C273" s="14"/>
      <c r="D273" s="60"/>
      <c r="E273" s="60"/>
      <c r="F273" s="60"/>
      <c r="G273" s="60"/>
      <c r="H273" s="60"/>
      <c r="I273" s="60"/>
      <c r="J273" s="60"/>
      <c r="K273" s="60"/>
      <c r="L273" s="60"/>
      <c r="M273" s="60"/>
      <c r="N273" s="15"/>
      <c r="O273" s="15"/>
      <c r="P273" s="15"/>
      <c r="Q273" s="15"/>
      <c r="S273" s="79"/>
    </row>
    <row r="274" spans="2:19" x14ac:dyDescent="0.2">
      <c r="B274" s="11"/>
      <c r="C274" s="14" t="s">
        <v>189</v>
      </c>
      <c r="D274" s="14" t="s">
        <v>190</v>
      </c>
      <c r="E274" s="15"/>
      <c r="F274" s="15"/>
      <c r="G274" s="15"/>
      <c r="H274" s="15"/>
      <c r="I274" s="15"/>
      <c r="J274" s="15"/>
      <c r="K274" s="15"/>
      <c r="M274" s="14" t="s">
        <v>191</v>
      </c>
      <c r="O274" s="15"/>
      <c r="P274" s="15"/>
      <c r="Q274" s="15"/>
      <c r="S274" s="79"/>
    </row>
    <row r="275" spans="2:19" x14ac:dyDescent="0.2">
      <c r="B275" s="16"/>
      <c r="C275" s="328"/>
      <c r="D275" s="329"/>
      <c r="E275" s="62" t="s">
        <v>181</v>
      </c>
      <c r="F275" s="62" t="s">
        <v>182</v>
      </c>
      <c r="G275" s="62" t="s">
        <v>183</v>
      </c>
      <c r="H275" s="62" t="s">
        <v>184</v>
      </c>
      <c r="I275" s="62" t="s">
        <v>185</v>
      </c>
      <c r="J275" s="62" t="s">
        <v>6</v>
      </c>
      <c r="K275" s="15"/>
      <c r="L275" s="15"/>
      <c r="M275" s="15"/>
      <c r="N275" s="15"/>
      <c r="O275" s="15"/>
      <c r="P275" s="15"/>
      <c r="S275" s="79"/>
    </row>
    <row r="276" spans="2:19" x14ac:dyDescent="0.2">
      <c r="B276" s="16"/>
      <c r="C276" s="330" t="s">
        <v>186</v>
      </c>
      <c r="D276" s="331"/>
      <c r="E276" s="157">
        <f>GETPIVOTDATA("Sum of 1 bed net",Pivot!$B$339,"Tenure","Open Market")</f>
        <v>87</v>
      </c>
      <c r="F276" s="157">
        <f>GETPIVOTDATA("Sum of 2 bed net",Pivot!$B$339,"Tenure","Open Market")</f>
        <v>132</v>
      </c>
      <c r="G276" s="157">
        <f>GETPIVOTDATA("Sum of 3 bed net",Pivot!$B$339,"Tenure","Open Market")</f>
        <v>39</v>
      </c>
      <c r="H276" s="157">
        <f>GETPIVOTDATA("Sum of 4 bed net",Pivot!$B$339,"Tenure","Open Market")+GETPIVOTDATA("Sum of 5 bed net",Pivot!$B$339,"Tenure","Open Market")+GETPIVOTDATA("Sum of 6 bed net",Pivot!$B$339,"Tenure","Open Market")</f>
        <v>36</v>
      </c>
      <c r="I276" s="157">
        <v>0</v>
      </c>
      <c r="J276" s="63">
        <f t="shared" ref="J276:J285" si="12">SUM(E276:I276)</f>
        <v>294</v>
      </c>
      <c r="K276" s="15"/>
      <c r="L276" s="15"/>
      <c r="M276" s="15"/>
      <c r="N276" s="15"/>
      <c r="O276" s="15"/>
      <c r="P276" s="15"/>
      <c r="S276" s="79"/>
    </row>
    <row r="277" spans="2:19" x14ac:dyDescent="0.2">
      <c r="B277" s="16"/>
      <c r="C277" s="330"/>
      <c r="D277" s="331"/>
      <c r="E277" s="158">
        <f>E276/$J$284</f>
        <v>0.24857142857142858</v>
      </c>
      <c r="F277" s="158">
        <f>F276/$J$284</f>
        <v>0.37714285714285717</v>
      </c>
      <c r="G277" s="158">
        <f>G276/$J$284</f>
        <v>0.11142857142857143</v>
      </c>
      <c r="H277" s="158">
        <f>H276/$J$284</f>
        <v>0.10285714285714286</v>
      </c>
      <c r="I277" s="158">
        <f>I276/$J$284</f>
        <v>0</v>
      </c>
      <c r="J277" s="137">
        <f>SUM(E277:I277)</f>
        <v>0.84000000000000008</v>
      </c>
      <c r="K277" s="15"/>
      <c r="L277" s="15"/>
      <c r="M277" s="15"/>
      <c r="N277" s="15"/>
      <c r="O277" s="15"/>
      <c r="P277" s="15"/>
      <c r="S277" s="79"/>
    </row>
    <row r="278" spans="2:19" x14ac:dyDescent="0.2">
      <c r="B278" s="16"/>
      <c r="C278" s="330" t="s">
        <v>187</v>
      </c>
      <c r="D278" s="331"/>
      <c r="E278" s="157">
        <f>GETPIVOTDATA("Sum of 1 bed net",Pivot!$B$339,"Tenure","Intermediate")</f>
        <v>15</v>
      </c>
      <c r="F278" s="157">
        <f>GETPIVOTDATA("Sum of 2 bed net",Pivot!$B$339,"Tenure","Intermediate")</f>
        <v>12</v>
      </c>
      <c r="G278" s="157">
        <f>GETPIVOTDATA("Sum of 3 bed net",Pivot!$B$339,"Tenure","Intermediate")</f>
        <v>0</v>
      </c>
      <c r="H278" s="157">
        <f>GETPIVOTDATA("Sum of 5 bed net",Pivot!$B$339,"Tenure","Intermediate")</f>
        <v>0</v>
      </c>
      <c r="I278" s="157">
        <v>0</v>
      </c>
      <c r="J278" s="63">
        <f t="shared" si="12"/>
        <v>27</v>
      </c>
      <c r="K278" s="15"/>
      <c r="L278" s="15"/>
      <c r="M278" s="15"/>
      <c r="N278" s="15"/>
      <c r="O278" s="15"/>
      <c r="P278" s="15"/>
      <c r="S278" s="79"/>
    </row>
    <row r="279" spans="2:19" x14ac:dyDescent="0.2">
      <c r="B279" s="16"/>
      <c r="C279" s="330"/>
      <c r="D279" s="331"/>
      <c r="E279" s="158">
        <f>E278/$J$284</f>
        <v>4.2857142857142858E-2</v>
      </c>
      <c r="F279" s="158">
        <f>F278/$J$284</f>
        <v>3.4285714285714287E-2</v>
      </c>
      <c r="G279" s="158">
        <f>G278/$J$284</f>
        <v>0</v>
      </c>
      <c r="H279" s="158">
        <f>H278/$J$284</f>
        <v>0</v>
      </c>
      <c r="I279" s="158">
        <f>I278/$J$284</f>
        <v>0</v>
      </c>
      <c r="J279" s="137">
        <f t="shared" si="12"/>
        <v>7.7142857142857152E-2</v>
      </c>
      <c r="K279" s="15"/>
      <c r="L279" s="15"/>
      <c r="M279" s="15"/>
      <c r="N279" s="15"/>
      <c r="O279" s="15"/>
      <c r="P279" s="15"/>
      <c r="S279" s="79"/>
    </row>
    <row r="280" spans="2:19" x14ac:dyDescent="0.2">
      <c r="B280" s="16"/>
      <c r="C280" s="330" t="s">
        <v>188</v>
      </c>
      <c r="D280" s="331"/>
      <c r="E280" s="157">
        <f>GETPIVOTDATA("Sum of 1 bed net",Pivot!$B$339,"Tenure","Affordable Rent")</f>
        <v>6</v>
      </c>
      <c r="F280" s="157">
        <f>GETPIVOTDATA("Sum of 2 bed net",Pivot!$B$339,"Tenure","Affordable Rent")</f>
        <v>14</v>
      </c>
      <c r="G280" s="157">
        <f>GETPIVOTDATA("Sum of 3 bed net",Pivot!$B$339,"Tenure","Affordable Rent")</f>
        <v>8</v>
      </c>
      <c r="H280" s="157">
        <f>GETPIVOTDATA("Sum of 4 bed net",Pivot!$B$339,"Tenure","Affordable Rent")</f>
        <v>7</v>
      </c>
      <c r="I280" s="157">
        <v>0</v>
      </c>
      <c r="J280" s="63">
        <f t="shared" si="12"/>
        <v>35</v>
      </c>
      <c r="K280" s="15"/>
      <c r="L280" s="15"/>
      <c r="M280" s="15"/>
      <c r="N280" s="15"/>
      <c r="O280" s="15"/>
      <c r="P280" s="15"/>
      <c r="S280" s="79"/>
    </row>
    <row r="281" spans="2:19" x14ac:dyDescent="0.2">
      <c r="B281" s="16"/>
      <c r="C281" s="330"/>
      <c r="D281" s="331"/>
      <c r="E281" s="158">
        <f>E280/$J$284</f>
        <v>1.7142857142857144E-2</v>
      </c>
      <c r="F281" s="158">
        <f>F280/$J$284</f>
        <v>0.04</v>
      </c>
      <c r="G281" s="158">
        <f>G280/$J$284</f>
        <v>2.2857142857142857E-2</v>
      </c>
      <c r="H281" s="158">
        <f>H280/$J$284</f>
        <v>0.02</v>
      </c>
      <c r="I281" s="158">
        <f>I280/$J$284</f>
        <v>0</v>
      </c>
      <c r="J281" s="137">
        <f t="shared" si="12"/>
        <v>0.1</v>
      </c>
      <c r="K281" s="15"/>
      <c r="L281" s="15"/>
      <c r="M281" s="15"/>
      <c r="N281" s="15"/>
      <c r="O281" s="15"/>
      <c r="P281" s="15"/>
      <c r="S281" s="79"/>
    </row>
    <row r="282" spans="2:19" x14ac:dyDescent="0.2">
      <c r="B282" s="16"/>
      <c r="C282" s="330" t="s">
        <v>192</v>
      </c>
      <c r="D282" s="331"/>
      <c r="E282" s="157">
        <f>GETPIVOTDATA("Sum of 1 bed net",Pivot!$B$339,"Tenure","Social Rent")</f>
        <v>-5</v>
      </c>
      <c r="F282" s="157">
        <f>GETPIVOTDATA("Sum of 2 bed net",Pivot!$B$339,"Tenure","Social Rent")</f>
        <v>-1</v>
      </c>
      <c r="G282" s="157">
        <v>0</v>
      </c>
      <c r="H282" s="157">
        <v>0</v>
      </c>
      <c r="I282" s="157">
        <v>0</v>
      </c>
      <c r="J282" s="63">
        <f t="shared" si="12"/>
        <v>-6</v>
      </c>
      <c r="K282" s="15"/>
      <c r="L282" s="15"/>
      <c r="M282" s="15"/>
      <c r="N282" s="15"/>
      <c r="O282" s="15"/>
      <c r="P282" s="15"/>
      <c r="S282" s="79"/>
    </row>
    <row r="283" spans="2:19" x14ac:dyDescent="0.2">
      <c r="B283" s="16"/>
      <c r="C283" s="330"/>
      <c r="D283" s="331"/>
      <c r="E283" s="158">
        <f>E282/$J$284</f>
        <v>-1.4285714285714285E-2</v>
      </c>
      <c r="F283" s="158">
        <f>F282/$J$284</f>
        <v>-2.8571428571428571E-3</v>
      </c>
      <c r="G283" s="158">
        <f>G282/$J$284</f>
        <v>0</v>
      </c>
      <c r="H283" s="158">
        <f>H282/$J$284</f>
        <v>0</v>
      </c>
      <c r="I283" s="158">
        <f>I282/$J$284</f>
        <v>0</v>
      </c>
      <c r="J283" s="137">
        <f t="shared" si="12"/>
        <v>-1.7142857142857144E-2</v>
      </c>
      <c r="K283" s="15"/>
      <c r="L283" s="15"/>
      <c r="M283" s="15"/>
      <c r="N283" s="15"/>
      <c r="O283" s="15"/>
      <c r="P283" s="15"/>
      <c r="S283" s="79"/>
    </row>
    <row r="284" spans="2:19" x14ac:dyDescent="0.2">
      <c r="B284" s="16"/>
      <c r="C284" s="332" t="s">
        <v>6</v>
      </c>
      <c r="D284" s="333"/>
      <c r="E284" s="65">
        <f>E276+E278+E280+E282</f>
        <v>103</v>
      </c>
      <c r="F284" s="65">
        <f>F276+F278+F280+F282</f>
        <v>157</v>
      </c>
      <c r="G284" s="65">
        <f>G276+G278+G280+G282</f>
        <v>47</v>
      </c>
      <c r="H284" s="65">
        <f>H276+H278+H280+H282</f>
        <v>43</v>
      </c>
      <c r="I284" s="65">
        <f>I276+I278+I280+I282</f>
        <v>0</v>
      </c>
      <c r="J284" s="65">
        <f>SUM(E284:I284)</f>
        <v>350</v>
      </c>
      <c r="K284" s="140"/>
      <c r="L284" s="15"/>
      <c r="M284" s="15"/>
      <c r="N284" s="15"/>
      <c r="O284" s="15"/>
      <c r="P284" s="15"/>
      <c r="S284" s="79"/>
    </row>
    <row r="285" spans="2:19" x14ac:dyDescent="0.2">
      <c r="B285" s="16"/>
      <c r="C285" s="332"/>
      <c r="D285" s="333"/>
      <c r="E285" s="138">
        <f>E284/$J$284</f>
        <v>0.29428571428571426</v>
      </c>
      <c r="F285" s="138">
        <f>F284/$J$284</f>
        <v>0.44857142857142857</v>
      </c>
      <c r="G285" s="138">
        <f>G284/$J$284</f>
        <v>0.13428571428571429</v>
      </c>
      <c r="H285" s="138">
        <f>H284/$J$284</f>
        <v>0.12285714285714286</v>
      </c>
      <c r="I285" s="138">
        <f>I284/$J$284</f>
        <v>0</v>
      </c>
      <c r="J285" s="138">
        <f t="shared" si="12"/>
        <v>1</v>
      </c>
      <c r="K285" s="15"/>
      <c r="L285" s="15"/>
      <c r="M285" s="15"/>
      <c r="N285" s="15"/>
      <c r="O285" s="15"/>
      <c r="P285" s="15"/>
      <c r="S285" s="79"/>
    </row>
    <row r="286" spans="2:19" x14ac:dyDescent="0.2">
      <c r="B286" s="11"/>
      <c r="C286" s="15"/>
      <c r="D286" s="139"/>
      <c r="E286" s="139"/>
      <c r="F286" s="139"/>
      <c r="G286" s="139"/>
      <c r="H286" s="139"/>
      <c r="I286" s="139"/>
      <c r="J286" s="139"/>
      <c r="K286" s="15"/>
      <c r="L286" s="15"/>
      <c r="M286" s="15"/>
      <c r="N286" s="15"/>
      <c r="O286" s="15"/>
      <c r="P286" s="15"/>
      <c r="Q286" s="15"/>
      <c r="S286" s="79"/>
    </row>
    <row r="287" spans="2:19" x14ac:dyDescent="0.2">
      <c r="B287" s="11"/>
      <c r="C287" s="15"/>
      <c r="D287" s="139"/>
      <c r="E287" s="139"/>
      <c r="F287" s="139"/>
      <c r="G287" s="139"/>
      <c r="H287" s="139"/>
      <c r="I287" s="139"/>
      <c r="J287" s="139"/>
      <c r="K287" s="15"/>
      <c r="L287" s="15"/>
      <c r="M287" s="15"/>
      <c r="N287" s="15"/>
      <c r="O287" s="15"/>
      <c r="P287" s="15"/>
      <c r="Q287" s="15"/>
      <c r="S287" s="79"/>
    </row>
    <row r="288" spans="2:19" x14ac:dyDescent="0.2">
      <c r="B288" s="11"/>
      <c r="D288" s="139"/>
      <c r="E288" s="139"/>
      <c r="F288" s="139"/>
      <c r="G288" s="139"/>
      <c r="H288" s="139"/>
      <c r="I288" s="139"/>
      <c r="J288" s="139"/>
      <c r="K288" s="15"/>
      <c r="L288" s="15"/>
      <c r="M288" s="15"/>
      <c r="N288" s="15"/>
      <c r="O288" s="15"/>
      <c r="P288" s="15"/>
      <c r="Q288" s="15"/>
      <c r="S288" s="79"/>
    </row>
    <row r="289" spans="2:19" x14ac:dyDescent="0.2">
      <c r="B289" s="11"/>
      <c r="C289" s="14" t="s">
        <v>193</v>
      </c>
      <c r="D289" s="14" t="s">
        <v>194</v>
      </c>
      <c r="E289" s="15"/>
      <c r="F289" s="15"/>
      <c r="G289" s="15"/>
      <c r="H289" s="15"/>
      <c r="I289" s="15"/>
      <c r="J289" s="15"/>
      <c r="K289" s="15"/>
      <c r="M289" s="136" t="s">
        <v>195</v>
      </c>
      <c r="O289" s="15"/>
      <c r="P289" s="15"/>
      <c r="Q289" s="15"/>
      <c r="S289" s="79"/>
    </row>
    <row r="290" spans="2:19" x14ac:dyDescent="0.2">
      <c r="B290" s="16"/>
      <c r="C290" s="328"/>
      <c r="D290" s="329"/>
      <c r="E290" s="62" t="s">
        <v>181</v>
      </c>
      <c r="F290" s="62" t="s">
        <v>182</v>
      </c>
      <c r="G290" s="62" t="s">
        <v>183</v>
      </c>
      <c r="H290" s="62" t="s">
        <v>184</v>
      </c>
      <c r="I290" s="62" t="s">
        <v>185</v>
      </c>
      <c r="J290" s="62" t="s">
        <v>6</v>
      </c>
      <c r="K290" s="15"/>
      <c r="L290" s="15"/>
      <c r="M290" s="15"/>
      <c r="N290" s="15"/>
      <c r="O290" s="15"/>
      <c r="P290" s="15"/>
      <c r="S290" s="79"/>
    </row>
    <row r="291" spans="2:19" x14ac:dyDescent="0.2">
      <c r="B291" s="16"/>
      <c r="C291" s="330" t="s">
        <v>186</v>
      </c>
      <c r="D291" s="331"/>
      <c r="E291" s="63">
        <f>GETPIVOTDATA("Sum of 1 bed net",Pivot!$B$352,"Tenure","Open Market")</f>
        <v>115</v>
      </c>
      <c r="F291" s="63">
        <f>GETPIVOTDATA("Sum of 2 bed net",Pivot!$B$352,"Tenure","Open Market")</f>
        <v>168</v>
      </c>
      <c r="G291" s="63">
        <f>GETPIVOTDATA("Sum of 3 bed net",Pivot!$B$352,"Tenure","Open Market")</f>
        <v>42</v>
      </c>
      <c r="H291" s="63">
        <f>GETPIVOTDATA("Sum of 4 bed net",Pivot!$B$352,"Tenure","Open Market")+GETPIVOTDATA("Sum of 5 bed net",Pivot!$B$352,"Tenure","Open Market")+GETPIVOTDATA("Sum of 6 bed net",Pivot!$B$352,"Tenure","Open Market")+GETPIVOTDATA("Sum of 7 bed net",Pivot!$B$352,"Tenure","Open Market")</f>
        <v>26</v>
      </c>
      <c r="I291" s="63">
        <v>0</v>
      </c>
      <c r="J291" s="63">
        <f t="shared" ref="J291:J298" si="13">SUM(E291:I291)</f>
        <v>351</v>
      </c>
      <c r="K291" s="15"/>
      <c r="L291" s="15"/>
      <c r="M291" s="15"/>
      <c r="N291" s="15"/>
      <c r="O291" s="15"/>
      <c r="P291" s="15"/>
      <c r="S291" s="79"/>
    </row>
    <row r="292" spans="2:19" x14ac:dyDescent="0.2">
      <c r="B292" s="16"/>
      <c r="C292" s="330"/>
      <c r="D292" s="331"/>
      <c r="E292" s="137">
        <f>E291/$J$284</f>
        <v>0.32857142857142857</v>
      </c>
      <c r="F292" s="137">
        <f>F291/$J$284</f>
        <v>0.48</v>
      </c>
      <c r="G292" s="137">
        <f>G291/$J$284</f>
        <v>0.12</v>
      </c>
      <c r="H292" s="137">
        <f>H291/$J$284</f>
        <v>7.4285714285714288E-2</v>
      </c>
      <c r="I292" s="137">
        <f>I291/$J$284</f>
        <v>0</v>
      </c>
      <c r="J292" s="137">
        <f t="shared" si="13"/>
        <v>1.0028571428571427</v>
      </c>
      <c r="K292" s="15"/>
      <c r="L292" s="15"/>
      <c r="M292" s="15"/>
      <c r="N292" s="15"/>
      <c r="O292" s="15"/>
      <c r="P292" s="15"/>
      <c r="S292" s="79"/>
    </row>
    <row r="293" spans="2:19" x14ac:dyDescent="0.2">
      <c r="B293" s="16"/>
      <c r="C293" s="330" t="s">
        <v>187</v>
      </c>
      <c r="D293" s="331"/>
      <c r="E293" s="63">
        <f>GETPIVOTDATA("Sum of 1 bed net",Pivot!$B$352,"Tenure","Intermediate")</f>
        <v>9</v>
      </c>
      <c r="F293" s="63">
        <f>GETPIVOTDATA("Sum of 2 bed net",Pivot!$B$352,"Tenure","Intermediate")</f>
        <v>7</v>
      </c>
      <c r="G293" s="63">
        <f>GETPIVOTDATA("Sum of 3 bed net",Pivot!$B$352,"Tenure","Intermediate")</f>
        <v>3</v>
      </c>
      <c r="H293" s="63">
        <f>GETPIVOTDATA("Sum of 4 bed net",Pivot!$B$352,"Tenure","Intermediate")</f>
        <v>0</v>
      </c>
      <c r="I293" s="63">
        <v>0</v>
      </c>
      <c r="J293" s="63">
        <f t="shared" si="13"/>
        <v>19</v>
      </c>
      <c r="K293" s="15"/>
      <c r="L293" s="15"/>
      <c r="M293" s="15"/>
      <c r="N293" s="15"/>
      <c r="O293" s="15"/>
      <c r="P293" s="15"/>
      <c r="S293" s="79"/>
    </row>
    <row r="294" spans="2:19" x14ac:dyDescent="0.2">
      <c r="B294" s="16"/>
      <c r="C294" s="330"/>
      <c r="D294" s="331"/>
      <c r="E294" s="137">
        <f>E293/$J$284</f>
        <v>2.5714285714285714E-2</v>
      </c>
      <c r="F294" s="137">
        <f>F293/$J$284</f>
        <v>0.02</v>
      </c>
      <c r="G294" s="137">
        <f>G293/$J$284</f>
        <v>8.5714285714285719E-3</v>
      </c>
      <c r="H294" s="137">
        <f>H293/$J$284</f>
        <v>0</v>
      </c>
      <c r="I294" s="137">
        <f>I293/$J$284</f>
        <v>0</v>
      </c>
      <c r="J294" s="137">
        <f t="shared" si="13"/>
        <v>5.4285714285714284E-2</v>
      </c>
      <c r="K294" s="15"/>
      <c r="L294" s="15"/>
      <c r="M294" s="15"/>
      <c r="N294" s="15"/>
      <c r="O294" s="15"/>
      <c r="P294" s="15"/>
      <c r="S294" s="79"/>
    </row>
    <row r="295" spans="2:19" x14ac:dyDescent="0.2">
      <c r="B295" s="16"/>
      <c r="C295" s="330" t="s">
        <v>188</v>
      </c>
      <c r="D295" s="331"/>
      <c r="E295" s="63">
        <f>GETPIVOTDATA("Sum of 1 bed net",Pivot!$B$352,"Tenure","Affordable Rent")</f>
        <v>15</v>
      </c>
      <c r="F295" s="63">
        <f>GETPIVOTDATA("Sum of 2 bed net",Pivot!$B$352,"Tenure","Affordable Rent")</f>
        <v>12</v>
      </c>
      <c r="G295" s="63">
        <f>GETPIVOTDATA("Sum of 3 bed net",Pivot!$B$352,"Tenure","Affordable Rent")</f>
        <v>6</v>
      </c>
      <c r="H295" s="63">
        <f>GETPIVOTDATA("Sum of 4 bed net",Pivot!$B$352,"Tenure","Affordable Rent")</f>
        <v>0</v>
      </c>
      <c r="I295" s="63">
        <v>0</v>
      </c>
      <c r="J295" s="63">
        <f t="shared" si="13"/>
        <v>33</v>
      </c>
      <c r="K295" s="15"/>
      <c r="L295" s="15"/>
      <c r="M295" s="15"/>
      <c r="N295" s="15"/>
      <c r="O295" s="15"/>
      <c r="P295" s="15"/>
      <c r="S295" s="79"/>
    </row>
    <row r="296" spans="2:19" x14ac:dyDescent="0.2">
      <c r="B296" s="16"/>
      <c r="C296" s="330"/>
      <c r="D296" s="331"/>
      <c r="E296" s="137">
        <f>E295/$J$284</f>
        <v>4.2857142857142858E-2</v>
      </c>
      <c r="F296" s="137">
        <f>F295/$J$284</f>
        <v>3.4285714285714287E-2</v>
      </c>
      <c r="G296" s="137">
        <f>G295/$J$284</f>
        <v>1.7142857142857144E-2</v>
      </c>
      <c r="H296" s="137">
        <f>H295/$J$284</f>
        <v>0</v>
      </c>
      <c r="I296" s="137">
        <f>I295/$J$284</f>
        <v>0</v>
      </c>
      <c r="J296" s="137">
        <f t="shared" si="13"/>
        <v>9.4285714285714292E-2</v>
      </c>
      <c r="K296" s="15"/>
      <c r="L296" s="15"/>
      <c r="M296" s="15"/>
      <c r="N296" s="15"/>
      <c r="O296" s="15"/>
      <c r="P296" s="15"/>
      <c r="S296" s="79"/>
    </row>
    <row r="297" spans="2:19" x14ac:dyDescent="0.2">
      <c r="B297" s="16"/>
      <c r="C297" s="332" t="s">
        <v>6</v>
      </c>
      <c r="D297" s="333"/>
      <c r="E297" s="65">
        <f>E291+E293+E295</f>
        <v>139</v>
      </c>
      <c r="F297" s="65">
        <f>F291+F293+F295</f>
        <v>187</v>
      </c>
      <c r="G297" s="65">
        <f>G291+G293+G295</f>
        <v>51</v>
      </c>
      <c r="H297" s="65">
        <f>H291+H293+H295</f>
        <v>26</v>
      </c>
      <c r="I297" s="65">
        <f t="shared" ref="I297" si="14">I291+I293+I295</f>
        <v>0</v>
      </c>
      <c r="J297" s="65">
        <f t="shared" si="13"/>
        <v>403</v>
      </c>
      <c r="K297" s="15"/>
      <c r="L297" s="15"/>
      <c r="M297" s="15"/>
      <c r="N297" s="15"/>
      <c r="O297" s="15"/>
      <c r="P297" s="15"/>
      <c r="S297" s="79"/>
    </row>
    <row r="298" spans="2:19" x14ac:dyDescent="0.2">
      <c r="B298" s="16"/>
      <c r="C298" s="332"/>
      <c r="D298" s="333"/>
      <c r="E298" s="138">
        <f>E297/$J$297</f>
        <v>0.34491315136476425</v>
      </c>
      <c r="F298" s="138">
        <f>F297/$J$297</f>
        <v>0.4640198511166253</v>
      </c>
      <c r="G298" s="138">
        <f>G297/$J$297</f>
        <v>0.12655086848635236</v>
      </c>
      <c r="H298" s="138">
        <f>H297/$J$297</f>
        <v>6.4516129032258063E-2</v>
      </c>
      <c r="I298" s="138">
        <f>I297/$J$297</f>
        <v>0</v>
      </c>
      <c r="J298" s="138">
        <f t="shared" si="13"/>
        <v>1</v>
      </c>
      <c r="K298" s="15"/>
      <c r="L298" s="15"/>
      <c r="M298" s="15"/>
      <c r="N298" s="15"/>
      <c r="O298" s="15"/>
      <c r="P298" s="15"/>
      <c r="S298" s="79"/>
    </row>
    <row r="299" spans="2:19" x14ac:dyDescent="0.2">
      <c r="B299" s="11"/>
      <c r="C299" s="15"/>
      <c r="D299" s="139"/>
      <c r="E299" s="139"/>
      <c r="F299" s="139"/>
      <c r="G299" s="139"/>
      <c r="H299" s="139"/>
      <c r="I299" s="139"/>
      <c r="J299" s="139"/>
      <c r="K299" s="15"/>
      <c r="L299" s="15"/>
      <c r="M299" s="15"/>
      <c r="N299" s="15"/>
      <c r="O299" s="15"/>
      <c r="P299" s="15"/>
      <c r="Q299" s="15"/>
      <c r="S299" s="79"/>
    </row>
    <row r="300" spans="2:19" x14ac:dyDescent="0.2">
      <c r="B300" s="11"/>
      <c r="C300" s="15"/>
      <c r="D300" s="139"/>
      <c r="E300" s="139"/>
      <c r="F300" s="139"/>
      <c r="G300" s="139"/>
      <c r="H300" s="139"/>
      <c r="I300" s="139"/>
      <c r="J300" s="139"/>
      <c r="K300" s="15"/>
      <c r="L300" s="15"/>
      <c r="M300" s="15"/>
      <c r="N300" s="15"/>
      <c r="O300" s="15"/>
      <c r="P300" s="15"/>
      <c r="Q300" s="15"/>
      <c r="S300" s="79"/>
    </row>
    <row r="301" spans="2:19" x14ac:dyDescent="0.2">
      <c r="B301" s="34"/>
      <c r="C301" s="82"/>
      <c r="D301" s="141"/>
      <c r="E301" s="141"/>
      <c r="F301" s="141"/>
      <c r="G301" s="141"/>
      <c r="H301" s="141"/>
      <c r="I301" s="141"/>
      <c r="J301" s="141"/>
      <c r="K301" s="82"/>
      <c r="L301" s="82"/>
      <c r="M301" s="82"/>
      <c r="N301" s="82"/>
      <c r="O301" s="82"/>
      <c r="P301" s="82"/>
      <c r="Q301" s="82"/>
      <c r="R301" s="83"/>
      <c r="S301" s="84"/>
    </row>
    <row r="302" spans="2:19" x14ac:dyDescent="0.2">
      <c r="B302" s="11"/>
      <c r="C302" s="15"/>
      <c r="D302" s="139"/>
      <c r="E302" s="139"/>
      <c r="F302" s="139"/>
      <c r="G302" s="139"/>
      <c r="H302" s="139"/>
      <c r="I302" s="139"/>
      <c r="J302" s="139"/>
      <c r="K302" s="15"/>
      <c r="L302" s="15"/>
      <c r="M302" s="15"/>
      <c r="N302" s="15"/>
      <c r="O302" s="15"/>
      <c r="P302" s="15"/>
      <c r="Q302" s="15"/>
      <c r="S302" s="79"/>
    </row>
    <row r="303" spans="2:19" ht="20.25" x14ac:dyDescent="0.3">
      <c r="B303" s="11"/>
      <c r="C303" s="86" t="s">
        <v>196</v>
      </c>
      <c r="D303" s="139"/>
      <c r="E303" s="139"/>
      <c r="F303" s="139"/>
      <c r="G303" s="139"/>
      <c r="H303" s="139"/>
      <c r="I303" s="139"/>
      <c r="J303" s="139"/>
      <c r="K303" s="15"/>
      <c r="L303" s="15"/>
      <c r="M303" s="15"/>
      <c r="N303" s="15"/>
      <c r="O303" s="15"/>
      <c r="P303" s="15"/>
      <c r="Q303" s="15"/>
      <c r="S303" s="79"/>
    </row>
    <row r="304" spans="2:19" x14ac:dyDescent="0.2">
      <c r="B304" s="11"/>
      <c r="C304" s="15"/>
      <c r="D304" s="139"/>
      <c r="E304" s="139"/>
      <c r="F304" s="139"/>
      <c r="G304" s="139"/>
      <c r="H304" s="139"/>
      <c r="I304" s="139"/>
      <c r="J304" s="139"/>
      <c r="K304" s="15"/>
      <c r="L304" s="15"/>
      <c r="M304" s="15"/>
      <c r="N304" s="15"/>
      <c r="O304" s="15"/>
      <c r="P304" s="15"/>
      <c r="Q304" s="15"/>
      <c r="S304" s="79"/>
    </row>
    <row r="305" spans="2:19" x14ac:dyDescent="0.2">
      <c r="B305" s="11"/>
      <c r="C305" s="14" t="s">
        <v>197</v>
      </c>
      <c r="D305" s="14" t="s">
        <v>198</v>
      </c>
      <c r="E305" s="142"/>
      <c r="F305" s="142"/>
      <c r="G305" s="142"/>
      <c r="H305" s="142"/>
      <c r="I305" s="142"/>
      <c r="J305" s="142"/>
      <c r="K305" s="15"/>
      <c r="L305" s="15"/>
      <c r="M305" s="15"/>
      <c r="N305" s="15"/>
      <c r="O305" s="15"/>
      <c r="P305" s="15"/>
      <c r="Q305" s="15"/>
      <c r="S305" s="79"/>
    </row>
    <row r="306" spans="2:19" ht="12.75" customHeight="1" x14ac:dyDescent="0.2">
      <c r="B306" s="16"/>
      <c r="C306" s="342" t="s">
        <v>199</v>
      </c>
      <c r="D306" s="342"/>
      <c r="E306" s="342"/>
      <c r="F306" s="342"/>
      <c r="G306" s="342"/>
      <c r="H306" s="342"/>
      <c r="I306" s="342"/>
      <c r="J306" s="342"/>
      <c r="K306" s="342"/>
      <c r="L306" s="342"/>
      <c r="M306" s="15"/>
      <c r="N306" s="15"/>
      <c r="O306" s="15"/>
      <c r="P306" s="15"/>
      <c r="S306" s="79"/>
    </row>
    <row r="307" spans="2:19" ht="39" x14ac:dyDescent="0.2">
      <c r="B307" s="16"/>
      <c r="C307" s="336"/>
      <c r="D307" s="337"/>
      <c r="E307" s="337"/>
      <c r="F307" s="143" t="s">
        <v>200</v>
      </c>
      <c r="G307" s="143" t="s">
        <v>66</v>
      </c>
      <c r="H307" s="143" t="s">
        <v>201</v>
      </c>
      <c r="I307" s="143" t="s">
        <v>202</v>
      </c>
      <c r="J307" s="144" t="s">
        <v>203</v>
      </c>
      <c r="K307" s="144" t="s">
        <v>204</v>
      </c>
      <c r="L307" s="145" t="s">
        <v>6</v>
      </c>
      <c r="M307" s="15"/>
      <c r="N307" s="15"/>
      <c r="O307" s="15"/>
      <c r="P307" s="15"/>
      <c r="S307" s="79"/>
    </row>
    <row r="308" spans="2:19" ht="12.75" customHeight="1" x14ac:dyDescent="0.2">
      <c r="B308" s="16"/>
      <c r="C308" s="338" t="s">
        <v>154</v>
      </c>
      <c r="D308" s="339"/>
      <c r="E308" s="339"/>
      <c r="F308" s="146">
        <f>GETPIVOTDATA("Net Dwellings",Pivot!$B$368,"Ward_Name",C308)</f>
        <v>0</v>
      </c>
      <c r="G308" s="146">
        <f>GETPIVOTDATA("Net Dwellings",Pivot!$E$368,"Ward_Name",C308)</f>
        <v>0</v>
      </c>
      <c r="H308" s="146">
        <f>GETPIVOTDATA("Net Dwellings",Pivot!$H$368,"Ward_Name",C308)</f>
        <v>1</v>
      </c>
      <c r="I308" s="146">
        <f>GETPIVOTDATA("Net Dwellings",Pivot!$B$400,"Ward_Name",C308)</f>
        <v>2</v>
      </c>
      <c r="J308" s="146">
        <v>0</v>
      </c>
      <c r="K308" s="146">
        <v>0</v>
      </c>
      <c r="L308" s="147">
        <f t="shared" ref="L308:L326" si="15">SUM(F308:K308)</f>
        <v>3</v>
      </c>
      <c r="M308" s="15"/>
      <c r="N308" s="15"/>
      <c r="O308" s="15"/>
      <c r="P308" s="15"/>
      <c r="S308" s="79"/>
    </row>
    <row r="309" spans="2:19" x14ac:dyDescent="0.2">
      <c r="B309" s="16"/>
      <c r="C309" s="338" t="s">
        <v>137</v>
      </c>
      <c r="D309" s="339"/>
      <c r="E309" s="339"/>
      <c r="F309" s="146">
        <f>GETPIVOTDATA("Net Dwellings",Pivot!$B$368,"Ward_Name",C309)</f>
        <v>0</v>
      </c>
      <c r="G309" s="146">
        <f>GETPIVOTDATA("Net Dwellings",Pivot!$E$368,"Ward_Name",C309)</f>
        <v>10</v>
      </c>
      <c r="H309" s="146">
        <f>GETPIVOTDATA("Net Dwellings",Pivot!$H$368,"Ward_Name",C309)</f>
        <v>4</v>
      </c>
      <c r="I309" s="146">
        <f>GETPIVOTDATA("Net Dwellings",Pivot!$B$400,"Ward_Name",C309)</f>
        <v>2</v>
      </c>
      <c r="J309" s="146">
        <f>GETPIVOTDATA("Net Dwellings",Pivot!$H$400,"Ward_Name",C309)</f>
        <v>18</v>
      </c>
      <c r="K309" s="146">
        <v>0</v>
      </c>
      <c r="L309" s="147">
        <f t="shared" si="15"/>
        <v>34</v>
      </c>
      <c r="M309" s="15"/>
      <c r="N309" s="15"/>
      <c r="O309" s="15"/>
      <c r="P309" s="15"/>
      <c r="S309" s="79"/>
    </row>
    <row r="310" spans="2:19" x14ac:dyDescent="0.2">
      <c r="B310" s="16"/>
      <c r="C310" s="338" t="s">
        <v>174</v>
      </c>
      <c r="D310" s="339"/>
      <c r="E310" s="339"/>
      <c r="F310" s="146">
        <f>GETPIVOTDATA("Net Dwellings",Pivot!$B$368,"Ward_Name",C310)</f>
        <v>4</v>
      </c>
      <c r="G310" s="146">
        <f>GETPIVOTDATA("Net Dwellings",Pivot!$E$368,"Ward_Name",C310)</f>
        <v>44</v>
      </c>
      <c r="H310" s="146">
        <f>GETPIVOTDATA("Net Dwellings",Pivot!$H$368,"Ward_Name",C310)</f>
        <v>8</v>
      </c>
      <c r="I310" s="146">
        <f>GETPIVOTDATA("Net Dwellings",Pivot!$B$400,"Ward_Name",C310)</f>
        <v>10</v>
      </c>
      <c r="J310" s="146">
        <f>GETPIVOTDATA("Net Dwellings",Pivot!$H$400,"Ward_Name",C310)</f>
        <v>7</v>
      </c>
      <c r="K310" s="146">
        <f>GETPIVOTDATA("Sum of 5 year total",Pivot!$B$434,"Ward_Name","Fulwell and Hampton Hill")</f>
        <v>30</v>
      </c>
      <c r="L310" s="147">
        <f t="shared" si="15"/>
        <v>103</v>
      </c>
      <c r="M310" s="15"/>
      <c r="N310" s="15"/>
      <c r="O310" s="15"/>
      <c r="P310" s="15"/>
      <c r="S310" s="79"/>
    </row>
    <row r="311" spans="2:19" x14ac:dyDescent="0.2">
      <c r="B311" s="16"/>
      <c r="C311" s="340" t="s">
        <v>156</v>
      </c>
      <c r="D311" s="341"/>
      <c r="E311" s="341"/>
      <c r="F311" s="146">
        <f>GETPIVOTDATA("Net Dwellings",Pivot!$B$368,"Ward_Name",C311)</f>
        <v>3</v>
      </c>
      <c r="G311" s="146">
        <f>GETPIVOTDATA("Net Dwellings",Pivot!$E$368,"Ward_Name",C311)</f>
        <v>0</v>
      </c>
      <c r="H311" s="146">
        <f>GETPIVOTDATA("Net Dwellings",Pivot!$H$368,"Ward_Name",C311)</f>
        <v>-4</v>
      </c>
      <c r="I311" s="146">
        <f>GETPIVOTDATA("Net Dwellings",Pivot!$B$400,"Ward_Name",C311)</f>
        <v>1</v>
      </c>
      <c r="J311" s="146">
        <v>0</v>
      </c>
      <c r="K311" s="146">
        <f>GETPIVOTDATA("Sum of 5 Year total",Pivot!$B$434,"Ward_Name","Ham, Petersham and Richmond Riverside")</f>
        <v>50</v>
      </c>
      <c r="L311" s="147">
        <f t="shared" si="15"/>
        <v>50</v>
      </c>
      <c r="M311" s="15"/>
      <c r="N311" s="15"/>
      <c r="O311" s="15"/>
      <c r="P311" s="15"/>
      <c r="S311" s="79"/>
    </row>
    <row r="312" spans="2:19" x14ac:dyDescent="0.2">
      <c r="B312" s="16"/>
      <c r="C312" s="338" t="s">
        <v>157</v>
      </c>
      <c r="D312" s="339"/>
      <c r="E312" s="339"/>
      <c r="F312" s="146">
        <f>GETPIVOTDATA("Net Dwellings",Pivot!$B$368,"Ward_Name",C312)</f>
        <v>2</v>
      </c>
      <c r="G312" s="146">
        <f>GETPIVOTDATA("Net Dwellings",Pivot!$E$368,"Ward_Name",C312)</f>
        <v>43</v>
      </c>
      <c r="H312" s="146">
        <f>GETPIVOTDATA("Net Dwellings",Pivot!$H$368,"Ward_Name",C312)</f>
        <v>17</v>
      </c>
      <c r="I312" s="146">
        <f>GETPIVOTDATA("Net Dwellings",Pivot!$B$400,"Ward_Name",C312)</f>
        <v>8</v>
      </c>
      <c r="J312" s="146">
        <f>GETPIVOTDATA("Net Dwellings",Pivot!$H$400,"Ward_Name",C312)</f>
        <v>2</v>
      </c>
      <c r="K312" s="146">
        <v>0</v>
      </c>
      <c r="L312" s="147">
        <f t="shared" si="15"/>
        <v>72</v>
      </c>
      <c r="M312" s="15"/>
      <c r="N312" s="15"/>
      <c r="O312" s="15"/>
      <c r="P312" s="15"/>
      <c r="S312" s="79"/>
    </row>
    <row r="313" spans="2:19" x14ac:dyDescent="0.2">
      <c r="B313" s="16"/>
      <c r="C313" s="338" t="s">
        <v>158</v>
      </c>
      <c r="D313" s="339"/>
      <c r="E313" s="339"/>
      <c r="F313" s="146">
        <v>0</v>
      </c>
      <c r="G313" s="146">
        <f>GETPIVOTDATA("Net Dwellings",Pivot!$E$368,"Ward_Name",C313)</f>
        <v>15</v>
      </c>
      <c r="H313" s="146">
        <f>GETPIVOTDATA("Net Dwellings",Pivot!$H$368,"Ward_Name",C313)</f>
        <v>1</v>
      </c>
      <c r="I313" s="146">
        <f>GETPIVOTDATA("Net Dwellings",Pivot!$B$400,"Ward_Name",C313)</f>
        <v>1</v>
      </c>
      <c r="J313" s="146">
        <v>0</v>
      </c>
      <c r="K313" s="146">
        <v>0</v>
      </c>
      <c r="L313" s="147">
        <f t="shared" si="15"/>
        <v>17</v>
      </c>
      <c r="M313" s="15"/>
      <c r="N313" s="15"/>
      <c r="O313" s="15"/>
      <c r="P313" s="15"/>
      <c r="S313" s="79"/>
    </row>
    <row r="314" spans="2:19" x14ac:dyDescent="0.2">
      <c r="B314" s="16"/>
      <c r="C314" s="338" t="s">
        <v>159</v>
      </c>
      <c r="D314" s="339"/>
      <c r="E314" s="339"/>
      <c r="F314" s="146">
        <f>GETPIVOTDATA("Net Dwellings",Pivot!$B$368,"Ward_Name",C314)</f>
        <v>60</v>
      </c>
      <c r="G314" s="146">
        <f>GETPIVOTDATA("Net Dwellings",Pivot!$E$368,"Ward_Name",C314)</f>
        <v>3</v>
      </c>
      <c r="H314" s="146">
        <f>GETPIVOTDATA("Net Dwellings",Pivot!$H$368,"Ward_Name",C314)</f>
        <v>14</v>
      </c>
      <c r="I314" s="146">
        <f>GETPIVOTDATA("Net Dwellings",Pivot!$B$400,"Ward_Name",C314)</f>
        <v>5</v>
      </c>
      <c r="J314" s="146">
        <f>GETPIVOTDATA("Net Dwellings",Pivot!$H$400,"Ward_Name",C314)</f>
        <v>1</v>
      </c>
      <c r="K314" s="146">
        <v>0</v>
      </c>
      <c r="L314" s="147">
        <f t="shared" si="15"/>
        <v>83</v>
      </c>
      <c r="M314" s="15"/>
      <c r="N314" s="15"/>
      <c r="O314" s="15"/>
      <c r="P314" s="15"/>
      <c r="S314" s="79"/>
    </row>
    <row r="315" spans="2:19" x14ac:dyDescent="0.2">
      <c r="B315" s="16"/>
      <c r="C315" s="338" t="s">
        <v>160</v>
      </c>
      <c r="D315" s="339"/>
      <c r="E315" s="339"/>
      <c r="F315" s="146">
        <f>GETPIVOTDATA("Net Dwellings",Pivot!$B$368,"Ward_Name",C315)</f>
        <v>1</v>
      </c>
      <c r="G315" s="146">
        <f>GETPIVOTDATA("Net Dwellings",Pivot!$E$368,"Ward_Name",C315)</f>
        <v>15</v>
      </c>
      <c r="H315" s="146">
        <v>0</v>
      </c>
      <c r="I315" s="146">
        <f>GETPIVOTDATA("Net Dwellings",Pivot!$B$400,"Ward_Name",C315)</f>
        <v>2</v>
      </c>
      <c r="J315" s="146">
        <v>0</v>
      </c>
      <c r="K315" s="146">
        <v>0</v>
      </c>
      <c r="L315" s="147">
        <f t="shared" si="15"/>
        <v>18</v>
      </c>
      <c r="M315" s="15"/>
      <c r="N315" s="15"/>
      <c r="O315" s="15"/>
      <c r="P315" s="15"/>
      <c r="S315" s="79"/>
    </row>
    <row r="316" spans="2:19" x14ac:dyDescent="0.2">
      <c r="B316" s="16"/>
      <c r="C316" s="338" t="s">
        <v>161</v>
      </c>
      <c r="D316" s="339"/>
      <c r="E316" s="339"/>
      <c r="F316" s="146">
        <f>GETPIVOTDATA("Net Dwellings",Pivot!$B$368,"Ward_Name",C316)</f>
        <v>34</v>
      </c>
      <c r="G316" s="146">
        <f>GETPIVOTDATA("Net Dwellings",Pivot!$E$368,"Ward_Name",C316)</f>
        <v>89</v>
      </c>
      <c r="H316" s="146">
        <f>GETPIVOTDATA("Net Dwellings",Pivot!$H$368,"Ward_Name",C316)</f>
        <v>1</v>
      </c>
      <c r="I316" s="146">
        <f>GETPIVOTDATA("Net Dwellings",Pivot!$B$400,"Ward_Name",C316)</f>
        <v>6</v>
      </c>
      <c r="J316" s="146">
        <f>GETPIVOTDATA("Net Dwellings",Pivot!$H$400,"Ward_Name",C316)</f>
        <v>34</v>
      </c>
      <c r="K316" s="146">
        <v>0</v>
      </c>
      <c r="L316" s="147">
        <f t="shared" si="15"/>
        <v>164</v>
      </c>
      <c r="M316" s="15"/>
      <c r="N316" s="15"/>
      <c r="O316" s="15"/>
      <c r="P316" s="15"/>
      <c r="S316" s="79"/>
    </row>
    <row r="317" spans="2:19" x14ac:dyDescent="0.2">
      <c r="B317" s="16"/>
      <c r="C317" s="338" t="s">
        <v>175</v>
      </c>
      <c r="D317" s="339"/>
      <c r="E317" s="339"/>
      <c r="F317" s="146">
        <f>GETPIVOTDATA("Net Dwellings",Pivot!$B$368,"Ward_Name",C317)</f>
        <v>3</v>
      </c>
      <c r="G317" s="146">
        <f>GETPIVOTDATA("Net Dwellings",Pivot!$E$368,"Ward_Name",C317)</f>
        <v>96</v>
      </c>
      <c r="H317" s="146">
        <f>GETPIVOTDATA("Net Dwellings",Pivot!$H$368,"Ward_Name",C317)</f>
        <v>5</v>
      </c>
      <c r="I317" s="146">
        <f>GETPIVOTDATA("Net Dwellings",Pivot!$B$400,"Ward_Name",C317)</f>
        <v>1</v>
      </c>
      <c r="J317" s="146">
        <v>0</v>
      </c>
      <c r="K317" s="279">
        <f>GETPIVOTDATA("Sum of 5 year total",Pivot!$B$434,"Ward_Name","Mortlake and Barnes Common")</f>
        <v>100</v>
      </c>
      <c r="L317" s="147">
        <f t="shared" si="15"/>
        <v>205</v>
      </c>
      <c r="M317" s="15"/>
      <c r="N317" s="15"/>
      <c r="O317" s="15"/>
      <c r="P317" s="15"/>
      <c r="S317" s="79"/>
    </row>
    <row r="318" spans="2:19" ht="12.75" customHeight="1" x14ac:dyDescent="0.2">
      <c r="B318" s="16"/>
      <c r="C318" s="338" t="s">
        <v>163</v>
      </c>
      <c r="D318" s="339"/>
      <c r="E318" s="339"/>
      <c r="F318" s="146">
        <v>0</v>
      </c>
      <c r="G318" s="146">
        <f>GETPIVOTDATA("Net Dwellings",Pivot!$E$368,"Ward_Name",C318)</f>
        <v>6</v>
      </c>
      <c r="H318" s="146">
        <f>GETPIVOTDATA("Net Dwellings",Pivot!$H$368,"Ward_Name",C318)</f>
        <v>75</v>
      </c>
      <c r="I318" s="146">
        <f>GETPIVOTDATA("Net Dwellings",Pivot!$B$400,"Ward_Name",C318)</f>
        <v>7</v>
      </c>
      <c r="J318" s="146">
        <f>GETPIVOTDATA("Net Dwellings",Pivot!$H$400,"Ward_Name",C318)</f>
        <v>2</v>
      </c>
      <c r="K318" s="146">
        <f>GETPIVOTDATA("Sum of 5 year total",Pivot!$B$434,"Ward_Name","North Richmond")</f>
        <v>96.25</v>
      </c>
      <c r="L318" s="147">
        <f t="shared" si="15"/>
        <v>186.25</v>
      </c>
      <c r="M318" s="15"/>
      <c r="N318" s="15"/>
      <c r="O318" s="15"/>
      <c r="P318" s="15"/>
      <c r="S318" s="79"/>
    </row>
    <row r="319" spans="2:19" x14ac:dyDescent="0.2">
      <c r="B319" s="16"/>
      <c r="C319" s="338" t="s">
        <v>164</v>
      </c>
      <c r="D319" s="339"/>
      <c r="E319" s="339"/>
      <c r="F319" s="146">
        <f>GETPIVOTDATA("Net Dwellings",Pivot!$B$368,"Ward_Name",C319)</f>
        <v>11</v>
      </c>
      <c r="G319" s="146">
        <f>GETPIVOTDATA("Net Dwellings",Pivot!$E$368,"Ward_Name",C319)</f>
        <v>3</v>
      </c>
      <c r="H319" s="146">
        <f>GETPIVOTDATA("Net Dwellings",Pivot!$H$368,"Ward_Name",C319)</f>
        <v>7</v>
      </c>
      <c r="I319" s="146">
        <f>GETPIVOTDATA("Net Dwellings",Pivot!$B$400,"Ward_Name",C319)</f>
        <v>3</v>
      </c>
      <c r="J319" s="146">
        <v>0</v>
      </c>
      <c r="K319" s="146">
        <v>0</v>
      </c>
      <c r="L319" s="147">
        <f t="shared" si="15"/>
        <v>24</v>
      </c>
      <c r="M319" s="15"/>
      <c r="N319" s="15"/>
      <c r="O319" s="15"/>
      <c r="P319" s="15"/>
      <c r="S319" s="79"/>
    </row>
    <row r="320" spans="2:19" x14ac:dyDescent="0.2">
      <c r="B320" s="16"/>
      <c r="C320" s="338" t="s">
        <v>165</v>
      </c>
      <c r="D320" s="339"/>
      <c r="E320" s="339"/>
      <c r="F320" s="146">
        <f>GETPIVOTDATA("Net Dwellings",Pivot!$B$368,"Ward_Name",C320)</f>
        <v>1</v>
      </c>
      <c r="G320" s="146">
        <f>GETPIVOTDATA("Net Dwellings",Pivot!$E$368,"Ward_Name",C320)</f>
        <v>16</v>
      </c>
      <c r="H320" s="146">
        <f>GETPIVOTDATA("Net Dwellings",Pivot!$H$368,"Ward_Name",C320)</f>
        <v>11</v>
      </c>
      <c r="I320" s="146">
        <f>GETPIVOTDATA("Net Dwellings",Pivot!$B$400,"Ward_Name",C320)</f>
        <v>4</v>
      </c>
      <c r="J320" s="146">
        <f>GETPIVOTDATA("Net Dwellings",Pivot!$H$400,"Ward_Name",C320)</f>
        <v>1</v>
      </c>
      <c r="K320" s="146">
        <f>GETPIVOTDATA("Sum of 5 Year total",Pivot!$B$434,"Ward_Name","South Twickenham")</f>
        <v>40</v>
      </c>
      <c r="L320" s="147">
        <f t="shared" si="15"/>
        <v>73</v>
      </c>
      <c r="M320" s="15"/>
      <c r="N320" s="15"/>
      <c r="O320" s="15"/>
      <c r="P320" s="15"/>
      <c r="S320" s="79"/>
    </row>
    <row r="321" spans="2:19" x14ac:dyDescent="0.2">
      <c r="B321" s="16"/>
      <c r="C321" s="340" t="s">
        <v>176</v>
      </c>
      <c r="D321" s="341"/>
      <c r="E321" s="341"/>
      <c r="F321" s="146">
        <f>GETPIVOTDATA("Net Dwellings",Pivot!$B$368,"Ward_Name",C321)</f>
        <v>210</v>
      </c>
      <c r="G321" s="146">
        <f>GETPIVOTDATA("Net Dwellings",Pivot!$E$368,"Ward_Name",C321)</f>
        <v>4</v>
      </c>
      <c r="H321" s="146">
        <f>GETPIVOTDATA("Net Dwellings",Pivot!$H$368,"Ward_Name",C321)</f>
        <v>4</v>
      </c>
      <c r="I321" s="146">
        <v>0</v>
      </c>
      <c r="J321" s="146">
        <v>0</v>
      </c>
      <c r="K321" s="146">
        <v>0</v>
      </c>
      <c r="L321" s="147">
        <f t="shared" si="15"/>
        <v>218</v>
      </c>
      <c r="M321" s="15"/>
      <c r="N321" s="15"/>
      <c r="O321" s="15"/>
      <c r="P321" s="15"/>
      <c r="S321" s="79"/>
    </row>
    <row r="322" spans="2:19" x14ac:dyDescent="0.2">
      <c r="B322" s="16"/>
      <c r="C322" s="338" t="s">
        <v>140</v>
      </c>
      <c r="D322" s="339"/>
      <c r="E322" s="339"/>
      <c r="F322" s="146">
        <f>GETPIVOTDATA("Net Dwellings",Pivot!$B$368,"Ward_Name",C322)</f>
        <v>23</v>
      </c>
      <c r="G322" s="146">
        <f>GETPIVOTDATA("Net Dwellings",Pivot!$E$368,"Ward_Name",C322)</f>
        <v>0</v>
      </c>
      <c r="H322" s="146">
        <f>GETPIVOTDATA("Net Dwellings",Pivot!$H$368,"Ward_Name",C322)</f>
        <v>20</v>
      </c>
      <c r="I322" s="146">
        <f>GETPIVOTDATA("Net Dwellings",Pivot!$B$400,"Ward_Name",C322)</f>
        <v>2</v>
      </c>
      <c r="J322" s="146">
        <f>GETPIVOTDATA("Net Dwellings",Pivot!$H$400,"Ward_Name",C322)</f>
        <v>9</v>
      </c>
      <c r="K322" s="146">
        <v>0</v>
      </c>
      <c r="L322" s="147">
        <f t="shared" si="15"/>
        <v>54</v>
      </c>
      <c r="M322" s="15"/>
      <c r="N322" s="15"/>
      <c r="O322" s="15"/>
      <c r="P322" s="15"/>
      <c r="S322" s="79"/>
    </row>
    <row r="323" spans="2:19" x14ac:dyDescent="0.2">
      <c r="B323" s="16"/>
      <c r="C323" s="338" t="s">
        <v>167</v>
      </c>
      <c r="D323" s="339"/>
      <c r="E323" s="339"/>
      <c r="F323" s="146">
        <f>GETPIVOTDATA("Net Dwellings",Pivot!$B$368,"Ward_Name",C323)</f>
        <v>2</v>
      </c>
      <c r="G323" s="146">
        <f>GETPIVOTDATA("Net Dwellings",Pivot!$E$368,"Ward_Name",C323)</f>
        <v>55</v>
      </c>
      <c r="H323" s="146">
        <f>GETPIVOTDATA("Net Dwellings",Pivot!$H$368,"Ward_Name",C323)</f>
        <v>4</v>
      </c>
      <c r="I323" s="146">
        <f>GETPIVOTDATA("Net Dwellings",Pivot!$B$400,"Ward_Name",C323)</f>
        <v>3</v>
      </c>
      <c r="J323" s="146">
        <f>GETPIVOTDATA("Net Dwellings",Pivot!$H$400,"Ward_Name",C323)</f>
        <v>4</v>
      </c>
      <c r="K323" s="146">
        <f>GETPIVOTDATA("Sum of 5 Year total",Pivot!$B$434,"Ward_Name","Twickenham Riverside")</f>
        <v>20</v>
      </c>
      <c r="L323" s="147">
        <f t="shared" si="15"/>
        <v>88</v>
      </c>
      <c r="M323" s="15"/>
      <c r="N323" s="15"/>
      <c r="O323" s="15"/>
      <c r="P323" s="15"/>
      <c r="S323" s="79"/>
    </row>
    <row r="324" spans="2:19" x14ac:dyDescent="0.2">
      <c r="B324" s="16"/>
      <c r="C324" s="338" t="s">
        <v>168</v>
      </c>
      <c r="D324" s="339"/>
      <c r="E324" s="339"/>
      <c r="F324" s="146">
        <f>GETPIVOTDATA("Net Dwellings",Pivot!$B$368,"Ward_Name",C324)</f>
        <v>0</v>
      </c>
      <c r="G324" s="146">
        <f>GETPIVOTDATA("Net Dwellings",Pivot!$E$368,"Ward_Name",C324)</f>
        <v>2</v>
      </c>
      <c r="H324" s="146">
        <f>GETPIVOTDATA("Net Dwellings",Pivot!$H$368,"Ward_Name",C324)</f>
        <v>5</v>
      </c>
      <c r="I324" s="146">
        <f>GETPIVOTDATA("Net Dwellings",Pivot!$B$400,"Ward_Name",C324)</f>
        <v>1</v>
      </c>
      <c r="J324" s="146">
        <v>0</v>
      </c>
      <c r="K324" s="146">
        <v>0</v>
      </c>
      <c r="L324" s="147">
        <f t="shared" si="15"/>
        <v>8</v>
      </c>
      <c r="M324" s="15"/>
      <c r="N324" s="15"/>
      <c r="O324" s="15"/>
      <c r="P324" s="15"/>
      <c r="S324" s="79"/>
    </row>
    <row r="325" spans="2:19" x14ac:dyDescent="0.2">
      <c r="B325" s="16"/>
      <c r="C325" s="338" t="s">
        <v>144</v>
      </c>
      <c r="D325" s="339"/>
      <c r="E325" s="339"/>
      <c r="F325" s="146">
        <f>GETPIVOTDATA("Net Dwellings",Pivot!$B$368,"Ward_Name",C325)</f>
        <v>-4</v>
      </c>
      <c r="G325" s="146">
        <f>GETPIVOTDATA("Net Dwellings",Pivot!$E$368,"Ward_Name",C325)</f>
        <v>2</v>
      </c>
      <c r="H325" s="146">
        <v>0</v>
      </c>
      <c r="I325" s="146">
        <f>GETPIVOTDATA("Net Dwellings",Pivot!$B$400,"Ward_Name",C325)</f>
        <v>2</v>
      </c>
      <c r="J325" s="146">
        <v>0</v>
      </c>
      <c r="K325" s="146">
        <f>GETPIVOTDATA("Sum of 5 year total",Pivot!$B$434,"Ward_Name","Whitton")</f>
        <v>85</v>
      </c>
      <c r="L325" s="147">
        <f t="shared" si="15"/>
        <v>85</v>
      </c>
      <c r="M325" s="15"/>
      <c r="N325" s="15"/>
      <c r="O325" s="15"/>
      <c r="P325" s="15"/>
      <c r="S325" s="79"/>
    </row>
    <row r="326" spans="2:19" x14ac:dyDescent="0.2">
      <c r="B326" s="16"/>
      <c r="C326" s="338" t="s">
        <v>205</v>
      </c>
      <c r="D326" s="339"/>
      <c r="E326" s="339"/>
      <c r="F326" s="146">
        <v>0</v>
      </c>
      <c r="G326" s="146">
        <v>0</v>
      </c>
      <c r="H326" s="146">
        <v>0</v>
      </c>
      <c r="I326" s="146">
        <v>0</v>
      </c>
      <c r="J326" s="146">
        <v>0</v>
      </c>
      <c r="K326" s="146">
        <f>GETPIVOTDATA("Sum of 5 year total",Pivot!$B$434,"Ward_Name","N/A")</f>
        <v>742</v>
      </c>
      <c r="L326" s="147">
        <f t="shared" si="15"/>
        <v>742</v>
      </c>
      <c r="M326" s="15"/>
      <c r="N326" s="15"/>
      <c r="O326" s="15"/>
      <c r="P326" s="15"/>
      <c r="S326" s="79"/>
    </row>
    <row r="327" spans="2:19" x14ac:dyDescent="0.2">
      <c r="B327" s="16"/>
      <c r="C327" s="343" t="s">
        <v>6</v>
      </c>
      <c r="D327" s="344"/>
      <c r="E327" s="344"/>
      <c r="F327" s="148">
        <f t="shared" ref="F327" si="16">SUM(F308:F326)</f>
        <v>350</v>
      </c>
      <c r="G327" s="148">
        <f t="shared" ref="G327:I327" si="17">SUM(G308:G326)</f>
        <v>403</v>
      </c>
      <c r="H327" s="148">
        <f t="shared" si="17"/>
        <v>173</v>
      </c>
      <c r="I327" s="148">
        <f t="shared" si="17"/>
        <v>60</v>
      </c>
      <c r="J327" s="148">
        <f>SUM(J308:J326)</f>
        <v>78</v>
      </c>
      <c r="K327" s="148">
        <f>SUM(K308:K326)</f>
        <v>1163.25</v>
      </c>
      <c r="L327" s="148">
        <f>SUM(L308:L326)</f>
        <v>2227.25</v>
      </c>
      <c r="M327" s="15"/>
      <c r="N327" s="15"/>
      <c r="O327" s="15"/>
      <c r="P327" s="15"/>
      <c r="S327" s="79"/>
    </row>
    <row r="328" spans="2:19" x14ac:dyDescent="0.2">
      <c r="B328" s="11"/>
      <c r="M328" s="15"/>
      <c r="N328" s="15"/>
      <c r="O328" s="15"/>
      <c r="P328" s="15"/>
      <c r="Q328" s="15"/>
      <c r="S328" s="79"/>
    </row>
    <row r="329" spans="2:19" x14ac:dyDescent="0.2">
      <c r="B329" s="34"/>
      <c r="C329" s="103"/>
      <c r="D329" s="103"/>
      <c r="E329" s="103"/>
      <c r="F329" s="103"/>
      <c r="G329" s="103"/>
      <c r="H329" s="103"/>
      <c r="I329" s="103"/>
      <c r="J329" s="103"/>
      <c r="K329" s="103"/>
      <c r="L329" s="103"/>
      <c r="M329" s="103"/>
      <c r="N329" s="103"/>
      <c r="O329" s="103"/>
      <c r="P329" s="103"/>
      <c r="Q329" s="103"/>
      <c r="R329" s="103"/>
      <c r="S329" s="149"/>
    </row>
    <row r="331" spans="2:19" ht="12.75" customHeight="1" x14ac:dyDescent="0.2"/>
  </sheetData>
  <mergeCells count="254">
    <mergeCell ref="D24:J24"/>
    <mergeCell ref="K24:L24"/>
    <mergeCell ref="D25:J25"/>
    <mergeCell ref="K25:L25"/>
    <mergeCell ref="D26:J26"/>
    <mergeCell ref="K26:L26"/>
    <mergeCell ref="C14:E14"/>
    <mergeCell ref="C18:M18"/>
    <mergeCell ref="D19:L19"/>
    <mergeCell ref="D20:L20"/>
    <mergeCell ref="D21:J21"/>
    <mergeCell ref="K21:L21"/>
    <mergeCell ref="D22:J22"/>
    <mergeCell ref="K22:L22"/>
    <mergeCell ref="D23:J23"/>
    <mergeCell ref="K23:L23"/>
    <mergeCell ref="M12:M13"/>
    <mergeCell ref="B2:S3"/>
    <mergeCell ref="C6:E7"/>
    <mergeCell ref="F6:F7"/>
    <mergeCell ref="Q6:Q7"/>
    <mergeCell ref="R6:R7"/>
    <mergeCell ref="G6:P6"/>
    <mergeCell ref="G12:L12"/>
    <mergeCell ref="N12:N13"/>
    <mergeCell ref="C8:E8"/>
    <mergeCell ref="C12:E13"/>
    <mergeCell ref="F12:F13"/>
    <mergeCell ref="D27:J27"/>
    <mergeCell ref="K27:L27"/>
    <mergeCell ref="D28:J28"/>
    <mergeCell ref="K28:L28"/>
    <mergeCell ref="C49:H49"/>
    <mergeCell ref="I49:J49"/>
    <mergeCell ref="C50:H50"/>
    <mergeCell ref="I50:J50"/>
    <mergeCell ref="C46:H46"/>
    <mergeCell ref="I46:J46"/>
    <mergeCell ref="C47:H47"/>
    <mergeCell ref="I47:J47"/>
    <mergeCell ref="K36:L36"/>
    <mergeCell ref="C48:H48"/>
    <mergeCell ref="I48:J48"/>
    <mergeCell ref="C32:M32"/>
    <mergeCell ref="D33:L33"/>
    <mergeCell ref="D40:J40"/>
    <mergeCell ref="K40:L40"/>
    <mergeCell ref="D34:J34"/>
    <mergeCell ref="K34:L34"/>
    <mergeCell ref="D35:J35"/>
    <mergeCell ref="D37:J37"/>
    <mergeCell ref="K37:L37"/>
    <mergeCell ref="C60:E61"/>
    <mergeCell ref="F60:G60"/>
    <mergeCell ref="H60:I60"/>
    <mergeCell ref="J60:K60"/>
    <mergeCell ref="C62:E62"/>
    <mergeCell ref="C63:E63"/>
    <mergeCell ref="C51:H51"/>
    <mergeCell ref="I51:J51"/>
    <mergeCell ref="C52:H52"/>
    <mergeCell ref="I52:J52"/>
    <mergeCell ref="C53:H53"/>
    <mergeCell ref="I53:J53"/>
    <mergeCell ref="Y112:Z112"/>
    <mergeCell ref="AA112:AB112"/>
    <mergeCell ref="C142:D142"/>
    <mergeCell ref="E142:F142"/>
    <mergeCell ref="G142:H142"/>
    <mergeCell ref="C64:E64"/>
    <mergeCell ref="C65:E65"/>
    <mergeCell ref="C66:E66"/>
    <mergeCell ref="C102:C103"/>
    <mergeCell ref="D102:E102"/>
    <mergeCell ref="F102:G102"/>
    <mergeCell ref="C143:D143"/>
    <mergeCell ref="E143:F143"/>
    <mergeCell ref="G143:H143"/>
    <mergeCell ref="C144:D144"/>
    <mergeCell ref="E144:F144"/>
    <mergeCell ref="G144:H144"/>
    <mergeCell ref="H102:H103"/>
    <mergeCell ref="V112:V113"/>
    <mergeCell ref="W112:X112"/>
    <mergeCell ref="C147:D147"/>
    <mergeCell ref="E147:F147"/>
    <mergeCell ref="G147:H147"/>
    <mergeCell ref="C148:D148"/>
    <mergeCell ref="E148:F148"/>
    <mergeCell ref="G148:H148"/>
    <mergeCell ref="C145:D145"/>
    <mergeCell ref="E145:F145"/>
    <mergeCell ref="G145:H145"/>
    <mergeCell ref="C146:D146"/>
    <mergeCell ref="E146:F146"/>
    <mergeCell ref="G146:H146"/>
    <mergeCell ref="C158:D158"/>
    <mergeCell ref="E158:F158"/>
    <mergeCell ref="G158:H158"/>
    <mergeCell ref="I158:J158"/>
    <mergeCell ref="K158:L158"/>
    <mergeCell ref="M158:N158"/>
    <mergeCell ref="I148:J148"/>
    <mergeCell ref="C157:D157"/>
    <mergeCell ref="E157:F157"/>
    <mergeCell ref="G157:H157"/>
    <mergeCell ref="I157:J157"/>
    <mergeCell ref="K157:L157"/>
    <mergeCell ref="M157:N157"/>
    <mergeCell ref="C160:D160"/>
    <mergeCell ref="E160:F160"/>
    <mergeCell ref="G160:H160"/>
    <mergeCell ref="I160:J160"/>
    <mergeCell ref="K160:L160"/>
    <mergeCell ref="M160:N160"/>
    <mergeCell ref="C159:D159"/>
    <mergeCell ref="E159:F159"/>
    <mergeCell ref="G159:H159"/>
    <mergeCell ref="I159:J159"/>
    <mergeCell ref="K159:L159"/>
    <mergeCell ref="M159:N159"/>
    <mergeCell ref="C163:D163"/>
    <mergeCell ref="E163:F163"/>
    <mergeCell ref="G163:H163"/>
    <mergeCell ref="I163:J163"/>
    <mergeCell ref="K163:L163"/>
    <mergeCell ref="M163:N163"/>
    <mergeCell ref="C161:D161"/>
    <mergeCell ref="E161:F161"/>
    <mergeCell ref="G161:H161"/>
    <mergeCell ref="I161:J161"/>
    <mergeCell ref="K161:L161"/>
    <mergeCell ref="M161:N161"/>
    <mergeCell ref="C162:D162"/>
    <mergeCell ref="E162:F162"/>
    <mergeCell ref="G162:H162"/>
    <mergeCell ref="I162:J162"/>
    <mergeCell ref="K162:L162"/>
    <mergeCell ref="M162:N162"/>
    <mergeCell ref="C198:D198"/>
    <mergeCell ref="L198:M198"/>
    <mergeCell ref="C199:D199"/>
    <mergeCell ref="L199:M199"/>
    <mergeCell ref="C200:D200"/>
    <mergeCell ref="L200:M200"/>
    <mergeCell ref="C164:D164"/>
    <mergeCell ref="E164:F164"/>
    <mergeCell ref="G164:H164"/>
    <mergeCell ref="I164:J164"/>
    <mergeCell ref="K164:L164"/>
    <mergeCell ref="M164:N164"/>
    <mergeCell ref="C204:D204"/>
    <mergeCell ref="L204:M204"/>
    <mergeCell ref="L205:M205"/>
    <mergeCell ref="C209:E209"/>
    <mergeCell ref="C210:E210"/>
    <mergeCell ref="C211:E211"/>
    <mergeCell ref="C201:D201"/>
    <mergeCell ref="L201:M201"/>
    <mergeCell ref="C202:D202"/>
    <mergeCell ref="L202:M202"/>
    <mergeCell ref="C203:D203"/>
    <mergeCell ref="L203:M203"/>
    <mergeCell ref="C218:E218"/>
    <mergeCell ref="C219:E219"/>
    <mergeCell ref="C220:E220"/>
    <mergeCell ref="C221:E221"/>
    <mergeCell ref="C222:E222"/>
    <mergeCell ref="C223:E223"/>
    <mergeCell ref="C212:E212"/>
    <mergeCell ref="C213:E213"/>
    <mergeCell ref="C214:E214"/>
    <mergeCell ref="C215:E215"/>
    <mergeCell ref="C216:E216"/>
    <mergeCell ref="C217:E217"/>
    <mergeCell ref="C236:E236"/>
    <mergeCell ref="C237:E237"/>
    <mergeCell ref="C238:E238"/>
    <mergeCell ref="C239:E239"/>
    <mergeCell ref="C240:E240"/>
    <mergeCell ref="C241:E241"/>
    <mergeCell ref="C224:E224"/>
    <mergeCell ref="C225:E225"/>
    <mergeCell ref="C226:E226"/>
    <mergeCell ref="C227:E227"/>
    <mergeCell ref="C228:E228"/>
    <mergeCell ref="C235:E235"/>
    <mergeCell ref="C326:E326"/>
    <mergeCell ref="C327:E327"/>
    <mergeCell ref="C318:E318"/>
    <mergeCell ref="C319:E319"/>
    <mergeCell ref="C320:E320"/>
    <mergeCell ref="C321:E321"/>
    <mergeCell ref="C322:E322"/>
    <mergeCell ref="C323:E323"/>
    <mergeCell ref="C312:E312"/>
    <mergeCell ref="C313:E313"/>
    <mergeCell ref="C314:E314"/>
    <mergeCell ref="C315:E315"/>
    <mergeCell ref="C316:E316"/>
    <mergeCell ref="C317:E317"/>
    <mergeCell ref="C324:E324"/>
    <mergeCell ref="C325:E325"/>
    <mergeCell ref="C307:E307"/>
    <mergeCell ref="C308:E308"/>
    <mergeCell ref="C309:E309"/>
    <mergeCell ref="C310:E310"/>
    <mergeCell ref="C311:E311"/>
    <mergeCell ref="C290:D290"/>
    <mergeCell ref="C291:D292"/>
    <mergeCell ref="C293:D294"/>
    <mergeCell ref="C295:D296"/>
    <mergeCell ref="C297:D298"/>
    <mergeCell ref="C306:L306"/>
    <mergeCell ref="C275:D275"/>
    <mergeCell ref="C276:D277"/>
    <mergeCell ref="C278:D279"/>
    <mergeCell ref="C280:D281"/>
    <mergeCell ref="C282:D283"/>
    <mergeCell ref="C284:D285"/>
    <mergeCell ref="C254:E254"/>
    <mergeCell ref="C263:D263"/>
    <mergeCell ref="C264:D265"/>
    <mergeCell ref="C266:D267"/>
    <mergeCell ref="C268:D269"/>
    <mergeCell ref="C270:D271"/>
    <mergeCell ref="C251:E251"/>
    <mergeCell ref="C252:E252"/>
    <mergeCell ref="C253:E253"/>
    <mergeCell ref="C242:E242"/>
    <mergeCell ref="C243:E243"/>
    <mergeCell ref="C244:E244"/>
    <mergeCell ref="C245:E245"/>
    <mergeCell ref="C246:E246"/>
    <mergeCell ref="C247:E247"/>
    <mergeCell ref="C248:E248"/>
    <mergeCell ref="C249:E249"/>
    <mergeCell ref="C250:E250"/>
    <mergeCell ref="D38:J38"/>
    <mergeCell ref="K38:L38"/>
    <mergeCell ref="D39:J39"/>
    <mergeCell ref="K39:L39"/>
    <mergeCell ref="K35:L35"/>
    <mergeCell ref="D36:J36"/>
    <mergeCell ref="L51:Q51"/>
    <mergeCell ref="L52:Q52"/>
    <mergeCell ref="L53:Q53"/>
    <mergeCell ref="L46:Q46"/>
    <mergeCell ref="L47:Q47"/>
    <mergeCell ref="L48:Q48"/>
    <mergeCell ref="L49:Q49"/>
    <mergeCell ref="L50:Q50"/>
    <mergeCell ref="D41:J41"/>
    <mergeCell ref="K41:L41"/>
  </mergeCells>
  <printOptions horizontalCentered="1"/>
  <pageMargins left="0.23622047244094491" right="0.23622047244094491" top="0.39370078740157483" bottom="0.55118110236220474" header="0" footer="0"/>
  <pageSetup paperSize="9" scale="75" fitToHeight="8" orientation="landscape" verticalDpi="300" r:id="rId1"/>
  <headerFooter alignWithMargins="0">
    <oddHeader>&amp;L&amp;"Calibri"&amp;10&amp;K000000 Official&amp;1#_x000D_</oddHeader>
  </headerFooter>
  <rowBreaks count="8" manualBreakCount="8">
    <brk id="42" min="1" max="18" man="1"/>
    <brk id="72" min="1" max="18" man="1"/>
    <brk id="97" min="1" max="18" man="1"/>
    <brk id="139" min="1" max="18" man="1"/>
    <brk id="190" min="1" max="18" man="1"/>
    <brk id="231" min="1" max="18" man="1"/>
    <brk id="258" min="1" max="18" man="1"/>
    <brk id="301" min="1" max="18" man="1"/>
  </rowBreaks>
  <ignoredErrors>
    <ignoredError sqref="E80:E94" formulaRange="1"/>
    <ignoredError sqref="E120 E268:I270 E280:I280 E278:I279 E281:I284 E293:H293 E295:I295 G12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E6142-B5E4-4F50-A1F7-34DF94AC742E}">
  <dimension ref="B1:L461"/>
  <sheetViews>
    <sheetView zoomScale="55" zoomScaleNormal="55" workbookViewId="0"/>
  </sheetViews>
  <sheetFormatPr defaultColWidth="9.140625" defaultRowHeight="12.75" x14ac:dyDescent="0.2"/>
  <cols>
    <col min="1" max="1" width="15.7109375" style="151" customWidth="1"/>
    <col min="2" max="18" width="30.7109375" style="151" customWidth="1"/>
    <col min="19" max="19" width="21.7109375" style="151" bestFit="1" customWidth="1"/>
    <col min="20" max="20" width="15.85546875" style="151" bestFit="1" customWidth="1"/>
    <col min="21" max="21" width="16" style="151" bestFit="1" customWidth="1"/>
    <col min="22" max="22" width="8.140625" style="151" bestFit="1" customWidth="1"/>
    <col min="23" max="23" width="14.85546875" style="151" bestFit="1" customWidth="1"/>
    <col min="24" max="24" width="9.5703125" style="151" bestFit="1" customWidth="1"/>
    <col min="25" max="25" width="15" style="151" bestFit="1" customWidth="1"/>
    <col min="26" max="27" width="16" style="151" bestFit="1" customWidth="1"/>
    <col min="28" max="28" width="4.140625" style="151" bestFit="1" customWidth="1"/>
    <col min="29" max="31" width="3.140625" style="151" bestFit="1" customWidth="1"/>
    <col min="32" max="32" width="11.28515625" style="151" bestFit="1" customWidth="1"/>
    <col min="33" max="16384" width="9.140625" style="151"/>
  </cols>
  <sheetData>
    <row r="1" spans="2:12" ht="13.5" thickBot="1" x14ac:dyDescent="0.25">
      <c r="F1" s="257" t="s">
        <v>206</v>
      </c>
      <c r="G1" s="257" t="s">
        <v>207</v>
      </c>
    </row>
    <row r="2" spans="2:12" ht="13.5" thickBot="1" x14ac:dyDescent="0.25"/>
    <row r="3" spans="2:12" ht="13.5" thickBot="1" x14ac:dyDescent="0.25">
      <c r="B3" s="150" t="s">
        <v>1</v>
      </c>
      <c r="F3" s="271" t="s">
        <v>208</v>
      </c>
      <c r="G3" s="271" t="s">
        <v>209</v>
      </c>
    </row>
    <row r="4" spans="2:12" ht="15.75" thickBot="1" x14ac:dyDescent="0.3">
      <c r="B4" s="257" t="s">
        <v>206</v>
      </c>
      <c r="C4" s="258" t="s">
        <v>210</v>
      </c>
      <c r="F4" s="283" t="s">
        <v>211</v>
      </c>
      <c r="G4" s="259">
        <v>50</v>
      </c>
      <c r="I4" s="220"/>
    </row>
    <row r="5" spans="2:12" ht="15.75" thickBot="1" x14ac:dyDescent="0.3">
      <c r="F5" s="283" t="s">
        <v>212</v>
      </c>
      <c r="G5" s="281">
        <v>96.25</v>
      </c>
      <c r="I5"/>
      <c r="J5"/>
    </row>
    <row r="6" spans="2:12" ht="15" x14ac:dyDescent="0.25">
      <c r="B6" s="259" t="s">
        <v>213</v>
      </c>
      <c r="F6" s="283" t="s">
        <v>205</v>
      </c>
      <c r="G6" s="281">
        <v>742</v>
      </c>
      <c r="H6"/>
    </row>
    <row r="7" spans="2:12" ht="15.75" thickBot="1" x14ac:dyDescent="0.3">
      <c r="B7" s="260">
        <v>206</v>
      </c>
      <c r="F7" s="283" t="s">
        <v>214</v>
      </c>
      <c r="G7" s="281">
        <v>20</v>
      </c>
      <c r="H7"/>
      <c r="I7"/>
      <c r="J7"/>
      <c r="K7"/>
      <c r="L7"/>
    </row>
    <row r="8" spans="2:12" ht="15" x14ac:dyDescent="0.25">
      <c r="F8" s="283" t="s">
        <v>215</v>
      </c>
      <c r="G8" s="281">
        <v>30</v>
      </c>
      <c r="H8"/>
      <c r="I8"/>
      <c r="J8"/>
      <c r="K8"/>
      <c r="L8"/>
    </row>
    <row r="9" spans="2:12" ht="15" x14ac:dyDescent="0.25">
      <c r="F9" s="283" t="s">
        <v>167</v>
      </c>
      <c r="G9" s="281">
        <v>45</v>
      </c>
      <c r="H9"/>
      <c r="I9"/>
      <c r="J9"/>
      <c r="K9"/>
      <c r="L9"/>
    </row>
    <row r="10" spans="2:12" ht="15.75" customHeight="1" thickBot="1" x14ac:dyDescent="0.3">
      <c r="B10" s="150" t="s">
        <v>216</v>
      </c>
      <c r="F10" s="283" t="s">
        <v>217</v>
      </c>
      <c r="G10" s="281">
        <v>20</v>
      </c>
      <c r="H10"/>
      <c r="I10"/>
      <c r="J10"/>
      <c r="K10"/>
      <c r="L10"/>
    </row>
    <row r="11" spans="2:12" ht="15.75" thickBot="1" x14ac:dyDescent="0.3">
      <c r="B11" s="257" t="s">
        <v>206</v>
      </c>
      <c r="C11" s="258" t="s">
        <v>218</v>
      </c>
      <c r="F11" s="283" t="s">
        <v>219</v>
      </c>
      <c r="G11" s="281">
        <v>20</v>
      </c>
      <c r="H11"/>
      <c r="I11"/>
      <c r="J11"/>
      <c r="K11"/>
      <c r="L11"/>
    </row>
    <row r="12" spans="2:12" ht="15.75" thickBot="1" x14ac:dyDescent="0.3">
      <c r="B12" s="257" t="s">
        <v>220</v>
      </c>
      <c r="C12" s="258" t="s">
        <v>221</v>
      </c>
      <c r="F12" s="282" t="s">
        <v>222</v>
      </c>
      <c r="G12" s="260">
        <v>1023.25</v>
      </c>
      <c r="I12"/>
      <c r="J12"/>
      <c r="K12"/>
      <c r="L12"/>
    </row>
    <row r="13" spans="2:12" ht="15.75" thickBot="1" x14ac:dyDescent="0.3">
      <c r="F13"/>
      <c r="G13"/>
      <c r="I13"/>
      <c r="J13"/>
      <c r="K13" s="1"/>
      <c r="L13" s="1"/>
    </row>
    <row r="14" spans="2:12" ht="15" x14ac:dyDescent="0.25">
      <c r="B14" s="259" t="s">
        <v>213</v>
      </c>
      <c r="F14"/>
      <c r="G14"/>
      <c r="I14" s="1"/>
      <c r="J14" s="1"/>
      <c r="K14" s="1"/>
      <c r="L14" s="1"/>
    </row>
    <row r="15" spans="2:12" ht="15.75" thickBot="1" x14ac:dyDescent="0.3">
      <c r="B15" s="260">
        <v>350</v>
      </c>
      <c r="I15"/>
      <c r="J15"/>
      <c r="K15" s="1"/>
      <c r="L15" s="1"/>
    </row>
    <row r="16" spans="2:12" ht="15" x14ac:dyDescent="0.25">
      <c r="I16"/>
      <c r="J16"/>
      <c r="K16" s="1"/>
      <c r="L16" s="1"/>
    </row>
    <row r="17" spans="2:12" ht="15.75" thickBot="1" x14ac:dyDescent="0.3">
      <c r="F17"/>
      <c r="G17"/>
      <c r="I17"/>
      <c r="J17"/>
      <c r="K17" s="1"/>
      <c r="L17" s="1"/>
    </row>
    <row r="18" spans="2:12" ht="15.75" customHeight="1" thickBot="1" x14ac:dyDescent="0.3">
      <c r="B18" s="150" t="s">
        <v>66</v>
      </c>
      <c r="F18" s="257" t="s">
        <v>206</v>
      </c>
      <c r="G18" s="258" t="s">
        <v>207</v>
      </c>
      <c r="I18"/>
      <c r="J18"/>
      <c r="K18"/>
    </row>
    <row r="19" spans="2:12" ht="15.75" customHeight="1" thickBot="1" x14ac:dyDescent="0.3">
      <c r="B19"/>
      <c r="C19"/>
    </row>
    <row r="20" spans="2:12" ht="13.5" thickBot="1" x14ac:dyDescent="0.25">
      <c r="B20" s="257" t="s">
        <v>220</v>
      </c>
      <c r="C20" s="258" t="s">
        <v>221</v>
      </c>
      <c r="F20" s="271" t="s">
        <v>208</v>
      </c>
      <c r="G20" s="271" t="s">
        <v>223</v>
      </c>
    </row>
    <row r="21" spans="2:12" ht="13.5" thickBot="1" x14ac:dyDescent="0.25">
      <c r="B21" s="257" t="s">
        <v>206</v>
      </c>
      <c r="C21" s="258" t="s">
        <v>224</v>
      </c>
      <c r="F21" s="283" t="s">
        <v>211</v>
      </c>
      <c r="G21" s="259">
        <v>300</v>
      </c>
    </row>
    <row r="22" spans="2:12" ht="13.5" thickBot="1" x14ac:dyDescent="0.25">
      <c r="F22" s="283" t="s">
        <v>212</v>
      </c>
      <c r="G22" s="281">
        <v>385</v>
      </c>
    </row>
    <row r="23" spans="2:12" x14ac:dyDescent="0.2">
      <c r="B23" s="259" t="s">
        <v>213</v>
      </c>
      <c r="F23" s="283" t="s">
        <v>205</v>
      </c>
      <c r="G23" s="281">
        <v>1912</v>
      </c>
    </row>
    <row r="24" spans="2:12" ht="13.5" thickBot="1" x14ac:dyDescent="0.25">
      <c r="B24" s="260">
        <v>403</v>
      </c>
      <c r="F24" s="283" t="s">
        <v>214</v>
      </c>
      <c r="G24" s="281">
        <v>20</v>
      </c>
    </row>
    <row r="25" spans="2:12" x14ac:dyDescent="0.2">
      <c r="F25" s="283" t="s">
        <v>215</v>
      </c>
      <c r="G25" s="281">
        <v>30</v>
      </c>
    </row>
    <row r="26" spans="2:12" x14ac:dyDescent="0.2">
      <c r="F26" s="283" t="s">
        <v>167</v>
      </c>
      <c r="G26" s="281">
        <v>45</v>
      </c>
    </row>
    <row r="27" spans="2:12" x14ac:dyDescent="0.2">
      <c r="F27" s="283" t="s">
        <v>217</v>
      </c>
      <c r="G27" s="281">
        <v>20</v>
      </c>
    </row>
    <row r="28" spans="2:12" ht="13.5" thickBot="1" x14ac:dyDescent="0.25">
      <c r="B28" s="150" t="s">
        <v>67</v>
      </c>
      <c r="F28" s="283" t="s">
        <v>219</v>
      </c>
      <c r="G28" s="281">
        <v>20</v>
      </c>
    </row>
    <row r="29" spans="2:12" ht="13.5" thickBot="1" x14ac:dyDescent="0.25">
      <c r="B29" s="257" t="s">
        <v>220</v>
      </c>
      <c r="C29" s="258" t="s">
        <v>221</v>
      </c>
      <c r="F29" s="282" t="s">
        <v>222</v>
      </c>
      <c r="G29" s="260">
        <v>2732</v>
      </c>
    </row>
    <row r="30" spans="2:12" ht="15.75" thickBot="1" x14ac:dyDescent="0.3">
      <c r="B30" s="257" t="s">
        <v>206</v>
      </c>
      <c r="C30" s="258" t="s">
        <v>218</v>
      </c>
      <c r="F30"/>
      <c r="G30"/>
    </row>
    <row r="31" spans="2:12" ht="15.75" thickBot="1" x14ac:dyDescent="0.3">
      <c r="F31"/>
      <c r="G31"/>
    </row>
    <row r="32" spans="2:12" x14ac:dyDescent="0.2">
      <c r="B32" s="259" t="s">
        <v>213</v>
      </c>
    </row>
    <row r="33" spans="2:3" ht="13.5" thickBot="1" x14ac:dyDescent="0.25">
      <c r="B33" s="260">
        <v>173</v>
      </c>
    </row>
    <row r="35" spans="2:3" ht="13.5" thickBot="1" x14ac:dyDescent="0.25">
      <c r="B35" s="150" t="s">
        <v>68</v>
      </c>
    </row>
    <row r="36" spans="2:3" ht="13.5" thickBot="1" x14ac:dyDescent="0.25">
      <c r="B36" s="257" t="s">
        <v>220</v>
      </c>
      <c r="C36" s="258" t="s">
        <v>221</v>
      </c>
    </row>
    <row r="37" spans="2:3" ht="13.5" thickBot="1" x14ac:dyDescent="0.25">
      <c r="B37" s="257" t="s">
        <v>225</v>
      </c>
      <c r="C37" s="258" t="s">
        <v>226</v>
      </c>
    </row>
    <row r="38" spans="2:3" ht="13.5" thickBot="1" x14ac:dyDescent="0.25">
      <c r="B38" s="257" t="s">
        <v>206</v>
      </c>
      <c r="C38" s="258" t="s">
        <v>224</v>
      </c>
    </row>
    <row r="39" spans="2:3" ht="13.5" thickBot="1" x14ac:dyDescent="0.25"/>
    <row r="40" spans="2:3" x14ac:dyDescent="0.2">
      <c r="B40" s="259" t="s">
        <v>213</v>
      </c>
    </row>
    <row r="41" spans="2:3" ht="13.5" thickBot="1" x14ac:dyDescent="0.25">
      <c r="B41" s="260">
        <v>60</v>
      </c>
    </row>
    <row r="44" spans="2:3" ht="13.5" thickBot="1" x14ac:dyDescent="0.25">
      <c r="B44" s="150" t="s">
        <v>69</v>
      </c>
    </row>
    <row r="45" spans="2:3" ht="13.5" thickBot="1" x14ac:dyDescent="0.25">
      <c r="B45" s="257" t="s">
        <v>220</v>
      </c>
      <c r="C45" s="258" t="s">
        <v>227</v>
      </c>
    </row>
    <row r="46" spans="2:3" ht="13.5" thickBot="1" x14ac:dyDescent="0.25">
      <c r="B46" s="257" t="s">
        <v>225</v>
      </c>
      <c r="C46" s="258" t="s">
        <v>228</v>
      </c>
    </row>
    <row r="47" spans="2:3" ht="13.5" thickBot="1" x14ac:dyDescent="0.25">
      <c r="B47" s="257" t="s">
        <v>206</v>
      </c>
      <c r="C47" s="258" t="s">
        <v>224</v>
      </c>
    </row>
    <row r="48" spans="2:3" ht="13.5" thickBot="1" x14ac:dyDescent="0.25"/>
    <row r="49" spans="2:9" x14ac:dyDescent="0.2">
      <c r="B49" s="259" t="s">
        <v>213</v>
      </c>
    </row>
    <row r="50" spans="2:9" ht="13.5" thickBot="1" x14ac:dyDescent="0.25">
      <c r="B50" s="260">
        <v>78</v>
      </c>
    </row>
    <row r="56" spans="2:9" x14ac:dyDescent="0.2">
      <c r="B56" s="150" t="s">
        <v>229</v>
      </c>
    </row>
    <row r="58" spans="2:9" ht="13.5" thickBot="1" x14ac:dyDescent="0.25">
      <c r="B58" s="150" t="s">
        <v>230</v>
      </c>
      <c r="E58" s="150" t="s">
        <v>231</v>
      </c>
      <c r="H58" s="150" t="s">
        <v>232</v>
      </c>
    </row>
    <row r="59" spans="2:9" ht="13.5" thickBot="1" x14ac:dyDescent="0.25">
      <c r="B59" s="257" t="s">
        <v>206</v>
      </c>
      <c r="C59" s="258" t="s">
        <v>210</v>
      </c>
      <c r="E59" s="257" t="s">
        <v>206</v>
      </c>
      <c r="F59" s="258" t="s">
        <v>218</v>
      </c>
      <c r="H59" s="257" t="s">
        <v>206</v>
      </c>
      <c r="I59" s="258" t="s">
        <v>224</v>
      </c>
    </row>
    <row r="60" spans="2:9" ht="13.5" thickBot="1" x14ac:dyDescent="0.25">
      <c r="B60" s="257" t="s">
        <v>220</v>
      </c>
      <c r="C60" s="258" t="s">
        <v>221</v>
      </c>
      <c r="E60" s="257" t="s">
        <v>220</v>
      </c>
      <c r="F60" s="258" t="s">
        <v>221</v>
      </c>
      <c r="H60" s="257" t="s">
        <v>220</v>
      </c>
      <c r="I60" s="258" t="s">
        <v>221</v>
      </c>
    </row>
    <row r="61" spans="2:9" ht="13.5" thickBot="1" x14ac:dyDescent="0.25"/>
    <row r="62" spans="2:9" x14ac:dyDescent="0.2">
      <c r="B62" s="259" t="s">
        <v>213</v>
      </c>
      <c r="E62" s="259" t="s">
        <v>213</v>
      </c>
      <c r="H62" s="259" t="s">
        <v>213</v>
      </c>
    </row>
    <row r="63" spans="2:9" ht="13.5" thickBot="1" x14ac:dyDescent="0.25">
      <c r="B63" s="260">
        <v>163</v>
      </c>
      <c r="E63" s="260">
        <v>350</v>
      </c>
      <c r="H63" s="260">
        <v>403</v>
      </c>
    </row>
    <row r="67" spans="2:9" ht="13.5" thickBot="1" x14ac:dyDescent="0.25">
      <c r="B67" s="150" t="s">
        <v>233</v>
      </c>
      <c r="E67" s="150" t="s">
        <v>234</v>
      </c>
      <c r="H67" s="150" t="s">
        <v>235</v>
      </c>
    </row>
    <row r="68" spans="2:9" ht="13.5" thickBot="1" x14ac:dyDescent="0.25">
      <c r="B68" s="257" t="s">
        <v>206</v>
      </c>
      <c r="C68" s="258" t="s">
        <v>210</v>
      </c>
      <c r="E68" s="257" t="s">
        <v>206</v>
      </c>
      <c r="F68" s="258" t="s">
        <v>218</v>
      </c>
      <c r="H68" s="257" t="s">
        <v>206</v>
      </c>
      <c r="I68" s="258" t="s">
        <v>224</v>
      </c>
    </row>
    <row r="69" spans="2:9" ht="13.5" thickBot="1" x14ac:dyDescent="0.25">
      <c r="B69" s="257" t="s">
        <v>220</v>
      </c>
      <c r="C69" s="258" t="s">
        <v>221</v>
      </c>
      <c r="E69" s="257" t="s">
        <v>220</v>
      </c>
      <c r="F69" s="258" t="s">
        <v>221</v>
      </c>
      <c r="H69" s="257" t="s">
        <v>220</v>
      </c>
      <c r="I69" s="258" t="s">
        <v>221</v>
      </c>
    </row>
    <row r="70" spans="2:9" ht="13.5" thickBot="1" x14ac:dyDescent="0.25"/>
    <row r="71" spans="2:9" x14ac:dyDescent="0.2">
      <c r="B71" s="259" t="s">
        <v>236</v>
      </c>
      <c r="E71" s="259" t="s">
        <v>236</v>
      </c>
      <c r="H71" s="259" t="s">
        <v>236</v>
      </c>
    </row>
    <row r="72" spans="2:9" ht="13.5" thickBot="1" x14ac:dyDescent="0.25">
      <c r="B72" s="260">
        <v>177</v>
      </c>
      <c r="E72" s="260">
        <v>413</v>
      </c>
      <c r="H72" s="260">
        <v>441</v>
      </c>
    </row>
    <row r="76" spans="2:9" ht="13.5" thickBot="1" x14ac:dyDescent="0.25">
      <c r="B76" s="150" t="s">
        <v>237</v>
      </c>
      <c r="E76" s="150" t="s">
        <v>238</v>
      </c>
      <c r="H76" s="150" t="s">
        <v>239</v>
      </c>
    </row>
    <row r="77" spans="2:9" ht="13.5" thickBot="1" x14ac:dyDescent="0.25">
      <c r="B77" s="257" t="s">
        <v>206</v>
      </c>
      <c r="C77" s="258" t="s">
        <v>210</v>
      </c>
      <c r="E77" s="257" t="s">
        <v>206</v>
      </c>
      <c r="F77" s="258" t="s">
        <v>218</v>
      </c>
      <c r="H77" s="257" t="s">
        <v>206</v>
      </c>
      <c r="I77" s="258" t="s">
        <v>224</v>
      </c>
    </row>
    <row r="78" spans="2:9" ht="13.5" thickBot="1" x14ac:dyDescent="0.25">
      <c r="B78" s="257" t="s">
        <v>220</v>
      </c>
      <c r="C78" s="258" t="s">
        <v>221</v>
      </c>
      <c r="E78" s="257" t="s">
        <v>220</v>
      </c>
      <c r="F78" s="258" t="s">
        <v>221</v>
      </c>
      <c r="H78" s="257" t="s">
        <v>220</v>
      </c>
      <c r="I78" s="258" t="s">
        <v>221</v>
      </c>
    </row>
    <row r="79" spans="2:9" ht="13.5" thickBot="1" x14ac:dyDescent="0.25"/>
    <row r="80" spans="2:9" x14ac:dyDescent="0.2">
      <c r="B80" s="259" t="s">
        <v>213</v>
      </c>
      <c r="E80" s="259" t="s">
        <v>213</v>
      </c>
      <c r="H80" s="259" t="s">
        <v>213</v>
      </c>
    </row>
    <row r="81" spans="2:9" ht="13.5" thickBot="1" x14ac:dyDescent="0.25">
      <c r="B81" s="260">
        <v>43</v>
      </c>
      <c r="E81" s="260">
        <v>173</v>
      </c>
      <c r="H81" s="260">
        <v>138</v>
      </c>
    </row>
    <row r="84" spans="2:9" x14ac:dyDescent="0.2">
      <c r="B84" s="150"/>
      <c r="E84" s="150"/>
      <c r="H84" s="150"/>
    </row>
    <row r="85" spans="2:9" ht="13.5" thickBot="1" x14ac:dyDescent="0.25">
      <c r="B85" s="150" t="s">
        <v>240</v>
      </c>
      <c r="E85" s="150" t="s">
        <v>241</v>
      </c>
      <c r="H85" s="150" t="s">
        <v>242</v>
      </c>
    </row>
    <row r="86" spans="2:9" ht="13.5" thickBot="1" x14ac:dyDescent="0.25">
      <c r="B86" s="257" t="s">
        <v>206</v>
      </c>
      <c r="C86" s="258" t="s">
        <v>210</v>
      </c>
      <c r="E86" s="257" t="s">
        <v>206</v>
      </c>
      <c r="F86" s="258" t="s">
        <v>218</v>
      </c>
      <c r="H86" s="257" t="s">
        <v>206</v>
      </c>
      <c r="I86" s="258" t="s">
        <v>224</v>
      </c>
    </row>
    <row r="87" spans="2:9" ht="13.5" thickBot="1" x14ac:dyDescent="0.25">
      <c r="B87" s="257" t="s">
        <v>220</v>
      </c>
      <c r="C87" s="258" t="s">
        <v>221</v>
      </c>
      <c r="E87" s="257" t="s">
        <v>220</v>
      </c>
      <c r="F87" s="258" t="s">
        <v>221</v>
      </c>
      <c r="H87" s="257" t="s">
        <v>220</v>
      </c>
      <c r="I87" s="258" t="s">
        <v>221</v>
      </c>
    </row>
    <row r="88" spans="2:9" ht="13.5" thickBot="1" x14ac:dyDescent="0.25"/>
    <row r="89" spans="2:9" x14ac:dyDescent="0.2">
      <c r="B89" s="259" t="s">
        <v>236</v>
      </c>
      <c r="E89" s="259" t="s">
        <v>236</v>
      </c>
      <c r="H89" s="259" t="s">
        <v>236</v>
      </c>
    </row>
    <row r="90" spans="2:9" ht="13.5" thickBot="1" x14ac:dyDescent="0.25">
      <c r="B90" s="260">
        <v>78</v>
      </c>
      <c r="E90" s="260">
        <v>212</v>
      </c>
      <c r="H90" s="260">
        <v>160</v>
      </c>
    </row>
    <row r="93" spans="2:9" x14ac:dyDescent="0.2">
      <c r="B93" s="150"/>
    </row>
    <row r="94" spans="2:9" x14ac:dyDescent="0.2">
      <c r="B94" s="150"/>
      <c r="G94" s="150"/>
    </row>
    <row r="95" spans="2:9" ht="13.5" thickBot="1" x14ac:dyDescent="0.25">
      <c r="B95" s="153" t="s">
        <v>243</v>
      </c>
      <c r="C95" s="152"/>
      <c r="E95" s="152" t="s">
        <v>244</v>
      </c>
      <c r="F95" s="152"/>
      <c r="H95" s="152" t="s">
        <v>245</v>
      </c>
      <c r="I95" s="152"/>
    </row>
    <row r="96" spans="2:9" ht="13.5" thickBot="1" x14ac:dyDescent="0.25">
      <c r="B96" s="257" t="s">
        <v>206</v>
      </c>
      <c r="C96" s="258" t="s">
        <v>210</v>
      </c>
      <c r="E96" s="257" t="s">
        <v>206</v>
      </c>
      <c r="F96" s="258" t="s">
        <v>218</v>
      </c>
      <c r="H96" s="257" t="s">
        <v>206</v>
      </c>
      <c r="I96" s="258" t="s">
        <v>224</v>
      </c>
    </row>
    <row r="97" spans="2:9" ht="13.5" thickBot="1" x14ac:dyDescent="0.25">
      <c r="B97" s="257" t="s">
        <v>246</v>
      </c>
      <c r="C97" s="258" t="s">
        <v>187</v>
      </c>
      <c r="E97" s="257" t="s">
        <v>246</v>
      </c>
      <c r="F97" s="258" t="s">
        <v>187</v>
      </c>
      <c r="H97" s="257" t="s">
        <v>246</v>
      </c>
      <c r="I97" s="258" t="s">
        <v>187</v>
      </c>
    </row>
    <row r="98" spans="2:9" ht="13.5" thickBot="1" x14ac:dyDescent="0.25"/>
    <row r="99" spans="2:9" x14ac:dyDescent="0.2">
      <c r="B99" s="259" t="s">
        <v>213</v>
      </c>
      <c r="E99" s="259" t="s">
        <v>213</v>
      </c>
      <c r="H99" s="259" t="s">
        <v>213</v>
      </c>
    </row>
    <row r="100" spans="2:9" ht="13.5" thickBot="1" x14ac:dyDescent="0.25">
      <c r="B100" s="260"/>
      <c r="E100" s="260">
        <v>31</v>
      </c>
      <c r="H100" s="260">
        <v>19</v>
      </c>
    </row>
    <row r="103" spans="2:9" ht="13.5" thickBot="1" x14ac:dyDescent="0.25">
      <c r="B103" s="152" t="s">
        <v>247</v>
      </c>
      <c r="C103" s="152"/>
      <c r="E103" s="152" t="s">
        <v>248</v>
      </c>
      <c r="F103" s="152"/>
      <c r="H103" s="152" t="s">
        <v>249</v>
      </c>
      <c r="I103" s="152"/>
    </row>
    <row r="104" spans="2:9" ht="13.5" thickBot="1" x14ac:dyDescent="0.25">
      <c r="B104" s="257" t="s">
        <v>206</v>
      </c>
      <c r="C104" s="258" t="s">
        <v>210</v>
      </c>
      <c r="E104" s="257" t="s">
        <v>206</v>
      </c>
      <c r="F104" s="258" t="s">
        <v>218</v>
      </c>
      <c r="H104" s="257" t="s">
        <v>206</v>
      </c>
      <c r="I104" s="258" t="s">
        <v>224</v>
      </c>
    </row>
    <row r="105" spans="2:9" ht="13.5" thickBot="1" x14ac:dyDescent="0.25">
      <c r="B105" s="257" t="s">
        <v>246</v>
      </c>
      <c r="C105" s="258" t="s">
        <v>250</v>
      </c>
      <c r="E105" s="257" t="s">
        <v>246</v>
      </c>
      <c r="F105" s="258" t="s">
        <v>250</v>
      </c>
      <c r="H105" s="257" t="s">
        <v>246</v>
      </c>
      <c r="I105" s="258" t="s">
        <v>250</v>
      </c>
    </row>
    <row r="106" spans="2:9" ht="13.5" thickBot="1" x14ac:dyDescent="0.25"/>
    <row r="107" spans="2:9" x14ac:dyDescent="0.2">
      <c r="B107" s="259" t="s">
        <v>213</v>
      </c>
      <c r="E107" s="259" t="s">
        <v>213</v>
      </c>
      <c r="H107" s="259" t="s">
        <v>213</v>
      </c>
    </row>
    <row r="108" spans="2:9" ht="13.5" thickBot="1" x14ac:dyDescent="0.25">
      <c r="B108" s="260">
        <v>17</v>
      </c>
      <c r="E108" s="260">
        <v>46</v>
      </c>
      <c r="H108" s="260">
        <v>33</v>
      </c>
    </row>
    <row r="111" spans="2:9" ht="13.5" thickBot="1" x14ac:dyDescent="0.25">
      <c r="B111" s="152" t="s">
        <v>251</v>
      </c>
      <c r="C111" s="152"/>
      <c r="E111" s="152" t="s">
        <v>252</v>
      </c>
      <c r="F111" s="152"/>
      <c r="H111" s="152" t="s">
        <v>253</v>
      </c>
      <c r="I111" s="152"/>
    </row>
    <row r="112" spans="2:9" ht="13.5" thickBot="1" x14ac:dyDescent="0.25">
      <c r="B112" s="257" t="s">
        <v>206</v>
      </c>
      <c r="C112" s="258" t="s">
        <v>210</v>
      </c>
      <c r="E112" s="257" t="s">
        <v>206</v>
      </c>
      <c r="F112" s="258" t="s">
        <v>218</v>
      </c>
      <c r="H112" s="257" t="s">
        <v>206</v>
      </c>
      <c r="I112" s="258" t="s">
        <v>224</v>
      </c>
    </row>
    <row r="113" spans="2:9" ht="13.5" thickBot="1" x14ac:dyDescent="0.25">
      <c r="B113" s="257" t="s">
        <v>246</v>
      </c>
      <c r="C113" s="258" t="s">
        <v>254</v>
      </c>
      <c r="E113" s="257" t="s">
        <v>246</v>
      </c>
      <c r="F113" s="258" t="s">
        <v>254</v>
      </c>
      <c r="H113" s="257" t="s">
        <v>246</v>
      </c>
      <c r="I113" s="258" t="s">
        <v>254</v>
      </c>
    </row>
    <row r="114" spans="2:9" ht="13.5" thickBot="1" x14ac:dyDescent="0.25"/>
    <row r="115" spans="2:9" x14ac:dyDescent="0.2">
      <c r="B115" s="259" t="s">
        <v>213</v>
      </c>
      <c r="E115" s="259" t="s">
        <v>213</v>
      </c>
      <c r="H115" s="259" t="s">
        <v>213</v>
      </c>
    </row>
    <row r="116" spans="2:9" ht="13.5" thickBot="1" x14ac:dyDescent="0.25">
      <c r="B116" s="260">
        <v>189</v>
      </c>
      <c r="E116" s="260">
        <v>452</v>
      </c>
      <c r="H116" s="260">
        <v>489</v>
      </c>
    </row>
    <row r="120" spans="2:9" x14ac:dyDescent="0.2">
      <c r="B120" s="150"/>
      <c r="E120" s="150"/>
      <c r="H120" s="150"/>
    </row>
    <row r="121" spans="2:9" ht="13.5" thickBot="1" x14ac:dyDescent="0.25">
      <c r="B121" s="153" t="s">
        <v>255</v>
      </c>
      <c r="C121" s="152"/>
      <c r="E121" s="152" t="s">
        <v>256</v>
      </c>
      <c r="F121" s="152"/>
      <c r="H121" s="152" t="s">
        <v>257</v>
      </c>
      <c r="I121" s="152"/>
    </row>
    <row r="122" spans="2:9" ht="13.5" thickBot="1" x14ac:dyDescent="0.25">
      <c r="B122" s="257" t="s">
        <v>206</v>
      </c>
      <c r="C122" s="258" t="s">
        <v>210</v>
      </c>
      <c r="E122" s="257" t="s">
        <v>206</v>
      </c>
      <c r="F122" s="258" t="s">
        <v>218</v>
      </c>
      <c r="H122" s="257" t="s">
        <v>206</v>
      </c>
      <c r="I122" s="258" t="s">
        <v>224</v>
      </c>
    </row>
    <row r="123" spans="2:9" ht="13.5" thickBot="1" x14ac:dyDescent="0.25">
      <c r="B123" s="257" t="s">
        <v>246</v>
      </c>
      <c r="C123" s="258" t="s">
        <v>187</v>
      </c>
      <c r="E123" s="257" t="s">
        <v>246</v>
      </c>
      <c r="F123" s="258" t="s">
        <v>187</v>
      </c>
      <c r="H123" s="257" t="s">
        <v>246</v>
      </c>
      <c r="I123" s="258" t="s">
        <v>187</v>
      </c>
    </row>
    <row r="124" spans="2:9" ht="13.5" thickBot="1" x14ac:dyDescent="0.25"/>
    <row r="125" spans="2:9" x14ac:dyDescent="0.2">
      <c r="B125" s="259" t="s">
        <v>236</v>
      </c>
      <c r="E125" s="259" t="s">
        <v>236</v>
      </c>
      <c r="H125" s="259" t="s">
        <v>236</v>
      </c>
    </row>
    <row r="126" spans="2:9" ht="13.5" thickBot="1" x14ac:dyDescent="0.25">
      <c r="B126" s="260"/>
      <c r="E126" s="260">
        <v>31</v>
      </c>
      <c r="H126" s="260">
        <v>19</v>
      </c>
    </row>
    <row r="129" spans="2:9" ht="13.5" thickBot="1" x14ac:dyDescent="0.25">
      <c r="B129" s="152" t="s">
        <v>258</v>
      </c>
      <c r="C129" s="152"/>
      <c r="E129" s="152" t="s">
        <v>259</v>
      </c>
      <c r="F129" s="152"/>
      <c r="H129" s="152" t="s">
        <v>260</v>
      </c>
      <c r="I129" s="152"/>
    </row>
    <row r="130" spans="2:9" ht="13.5" thickBot="1" x14ac:dyDescent="0.25">
      <c r="B130" s="257" t="s">
        <v>206</v>
      </c>
      <c r="C130" s="258" t="s">
        <v>210</v>
      </c>
      <c r="E130" s="257" t="s">
        <v>206</v>
      </c>
      <c r="F130" s="258" t="s">
        <v>218</v>
      </c>
      <c r="H130" s="257" t="s">
        <v>206</v>
      </c>
      <c r="I130" s="258" t="s">
        <v>224</v>
      </c>
    </row>
    <row r="131" spans="2:9" ht="13.5" thickBot="1" x14ac:dyDescent="0.25">
      <c r="B131" s="257" t="s">
        <v>246</v>
      </c>
      <c r="C131" s="258" t="s">
        <v>250</v>
      </c>
      <c r="E131" s="257" t="s">
        <v>246</v>
      </c>
      <c r="F131" s="258" t="s">
        <v>250</v>
      </c>
      <c r="H131" s="257" t="s">
        <v>246</v>
      </c>
      <c r="I131" s="258" t="s">
        <v>250</v>
      </c>
    </row>
    <row r="132" spans="2:9" ht="13.5" thickBot="1" x14ac:dyDescent="0.25"/>
    <row r="133" spans="2:9" x14ac:dyDescent="0.2">
      <c r="B133" s="259" t="s">
        <v>236</v>
      </c>
      <c r="E133" s="259" t="s">
        <v>236</v>
      </c>
      <c r="H133" s="259" t="s">
        <v>236</v>
      </c>
    </row>
    <row r="134" spans="2:9" ht="13.5" thickBot="1" x14ac:dyDescent="0.25">
      <c r="B134" s="260">
        <v>17</v>
      </c>
      <c r="E134" s="260">
        <v>46</v>
      </c>
      <c r="H134" s="260">
        <v>33</v>
      </c>
    </row>
    <row r="137" spans="2:9" ht="13.5" thickBot="1" x14ac:dyDescent="0.25">
      <c r="B137" s="152" t="s">
        <v>261</v>
      </c>
      <c r="C137" s="152"/>
      <c r="E137" s="152" t="s">
        <v>262</v>
      </c>
      <c r="F137" s="152"/>
      <c r="H137" s="152" t="s">
        <v>263</v>
      </c>
      <c r="I137" s="152"/>
    </row>
    <row r="138" spans="2:9" ht="13.5" thickBot="1" x14ac:dyDescent="0.25">
      <c r="B138" s="257" t="s">
        <v>206</v>
      </c>
      <c r="C138" s="258" t="s">
        <v>210</v>
      </c>
      <c r="E138" s="257" t="s">
        <v>206</v>
      </c>
      <c r="F138" s="258" t="s">
        <v>218</v>
      </c>
      <c r="H138" s="257" t="s">
        <v>206</v>
      </c>
      <c r="I138" s="258" t="s">
        <v>224</v>
      </c>
    </row>
    <row r="139" spans="2:9" ht="13.5" thickBot="1" x14ac:dyDescent="0.25">
      <c r="B139" s="257" t="s">
        <v>246</v>
      </c>
      <c r="C139" s="258" t="s">
        <v>254</v>
      </c>
      <c r="E139" s="257" t="s">
        <v>246</v>
      </c>
      <c r="F139" s="258" t="s">
        <v>254</v>
      </c>
      <c r="H139" s="257" t="s">
        <v>246</v>
      </c>
      <c r="I139" s="258" t="s">
        <v>254</v>
      </c>
    </row>
    <row r="140" spans="2:9" ht="13.5" thickBot="1" x14ac:dyDescent="0.25"/>
    <row r="141" spans="2:9" x14ac:dyDescent="0.2">
      <c r="B141" s="259" t="s">
        <v>236</v>
      </c>
      <c r="E141" s="259" t="s">
        <v>236</v>
      </c>
      <c r="H141" s="259" t="s">
        <v>236</v>
      </c>
    </row>
    <row r="142" spans="2:9" ht="13.5" thickBot="1" x14ac:dyDescent="0.25">
      <c r="B142" s="260">
        <v>238</v>
      </c>
      <c r="E142" s="260">
        <v>524</v>
      </c>
      <c r="H142" s="260">
        <v>549</v>
      </c>
    </row>
    <row r="149" spans="2:11" x14ac:dyDescent="0.2">
      <c r="B149" s="150"/>
      <c r="C149" s="150"/>
      <c r="E149" s="150"/>
    </row>
    <row r="150" spans="2:11" ht="13.5" thickBot="1" x14ac:dyDescent="0.25">
      <c r="B150" s="150" t="s">
        <v>264</v>
      </c>
      <c r="E150" s="150" t="s">
        <v>265</v>
      </c>
      <c r="H150" s="150" t="s">
        <v>266</v>
      </c>
      <c r="K150" s="150"/>
    </row>
    <row r="151" spans="2:11" ht="13.5" thickBot="1" x14ac:dyDescent="0.25">
      <c r="B151" s="257" t="s">
        <v>206</v>
      </c>
      <c r="C151" s="258" t="s">
        <v>210</v>
      </c>
      <c r="E151" s="257" t="s">
        <v>206</v>
      </c>
      <c r="F151" s="258" t="s">
        <v>218</v>
      </c>
      <c r="H151" s="257" t="s">
        <v>206</v>
      </c>
      <c r="I151" s="258" t="s">
        <v>224</v>
      </c>
    </row>
    <row r="152" spans="2:11" ht="13.5" thickBot="1" x14ac:dyDescent="0.25">
      <c r="B152" s="257" t="s">
        <v>220</v>
      </c>
      <c r="C152" s="258" t="s">
        <v>221</v>
      </c>
      <c r="E152" s="257" t="s">
        <v>220</v>
      </c>
      <c r="F152" s="258" t="s">
        <v>221</v>
      </c>
      <c r="H152" s="257" t="s">
        <v>220</v>
      </c>
      <c r="I152" s="258" t="s">
        <v>221</v>
      </c>
    </row>
    <row r="153" spans="2:11" ht="13.5" thickBot="1" x14ac:dyDescent="0.25">
      <c r="B153" s="257" t="s">
        <v>246</v>
      </c>
      <c r="C153" s="258" t="s">
        <v>254</v>
      </c>
      <c r="E153" s="257" t="s">
        <v>246</v>
      </c>
      <c r="F153" s="258" t="s">
        <v>254</v>
      </c>
      <c r="H153" s="257" t="s">
        <v>246</v>
      </c>
      <c r="I153" s="258" t="s">
        <v>254</v>
      </c>
    </row>
    <row r="154" spans="2:11" ht="13.5" thickBot="1" x14ac:dyDescent="0.25"/>
    <row r="155" spans="2:11" x14ac:dyDescent="0.2">
      <c r="B155" s="259" t="s">
        <v>213</v>
      </c>
      <c r="E155" s="259" t="s">
        <v>213</v>
      </c>
      <c r="H155" s="259" t="s">
        <v>213</v>
      </c>
    </row>
    <row r="156" spans="2:11" ht="13.5" thickBot="1" x14ac:dyDescent="0.25">
      <c r="B156" s="260">
        <v>146</v>
      </c>
      <c r="E156" s="260">
        <v>294</v>
      </c>
      <c r="H156" s="260">
        <v>351</v>
      </c>
    </row>
    <row r="159" spans="2:11" ht="13.5" thickBot="1" x14ac:dyDescent="0.25">
      <c r="B159" s="150" t="s">
        <v>267</v>
      </c>
      <c r="E159" s="150" t="s">
        <v>268</v>
      </c>
      <c r="H159" s="150" t="s">
        <v>269</v>
      </c>
      <c r="K159" s="150"/>
    </row>
    <row r="160" spans="2:11" ht="13.5" thickBot="1" x14ac:dyDescent="0.25">
      <c r="B160" s="257" t="s">
        <v>206</v>
      </c>
      <c r="C160" s="258" t="s">
        <v>210</v>
      </c>
      <c r="E160" s="257" t="s">
        <v>206</v>
      </c>
      <c r="F160" s="258" t="s">
        <v>218</v>
      </c>
      <c r="H160" s="257" t="s">
        <v>206</v>
      </c>
      <c r="I160" s="258" t="s">
        <v>224</v>
      </c>
    </row>
    <row r="161" spans="2:11" ht="13.5" thickBot="1" x14ac:dyDescent="0.25">
      <c r="B161" s="257" t="s">
        <v>220</v>
      </c>
      <c r="C161" s="258" t="s">
        <v>221</v>
      </c>
      <c r="E161" s="257" t="s">
        <v>220</v>
      </c>
      <c r="F161" s="258" t="s">
        <v>221</v>
      </c>
      <c r="H161" s="257" t="s">
        <v>220</v>
      </c>
      <c r="I161" s="258" t="s">
        <v>221</v>
      </c>
    </row>
    <row r="162" spans="2:11" ht="13.5" thickBot="1" x14ac:dyDescent="0.25">
      <c r="B162" s="257" t="s">
        <v>246</v>
      </c>
      <c r="C162" s="258" t="s">
        <v>254</v>
      </c>
      <c r="E162" s="257" t="s">
        <v>246</v>
      </c>
      <c r="F162" s="258" t="s">
        <v>254</v>
      </c>
      <c r="H162" s="257" t="s">
        <v>246</v>
      </c>
      <c r="I162" s="258" t="s">
        <v>254</v>
      </c>
    </row>
    <row r="163" spans="2:11" ht="13.5" thickBot="1" x14ac:dyDescent="0.25"/>
    <row r="164" spans="2:11" x14ac:dyDescent="0.2">
      <c r="B164" s="259" t="s">
        <v>236</v>
      </c>
      <c r="E164" s="259" t="s">
        <v>236</v>
      </c>
      <c r="H164" s="259" t="s">
        <v>236</v>
      </c>
    </row>
    <row r="165" spans="2:11" ht="13.5" thickBot="1" x14ac:dyDescent="0.25">
      <c r="B165" s="260">
        <v>160</v>
      </c>
      <c r="E165" s="260">
        <v>327</v>
      </c>
      <c r="H165" s="260">
        <v>389</v>
      </c>
    </row>
    <row r="168" spans="2:11" ht="13.5" thickBot="1" x14ac:dyDescent="0.25">
      <c r="B168" s="150" t="s">
        <v>270</v>
      </c>
      <c r="E168" s="150" t="s">
        <v>271</v>
      </c>
      <c r="H168" s="150" t="s">
        <v>272</v>
      </c>
      <c r="K168" s="150"/>
    </row>
    <row r="169" spans="2:11" ht="13.5" thickBot="1" x14ac:dyDescent="0.25">
      <c r="B169" s="257" t="s">
        <v>206</v>
      </c>
      <c r="C169" s="258" t="s">
        <v>210</v>
      </c>
      <c r="E169" s="257" t="s">
        <v>206</v>
      </c>
      <c r="F169" s="258" t="s">
        <v>218</v>
      </c>
      <c r="H169" s="257" t="s">
        <v>206</v>
      </c>
      <c r="I169" s="258" t="s">
        <v>224</v>
      </c>
    </row>
    <row r="170" spans="2:11" ht="13.5" thickBot="1" x14ac:dyDescent="0.25">
      <c r="B170" s="257" t="s">
        <v>220</v>
      </c>
      <c r="C170" s="258" t="s">
        <v>221</v>
      </c>
      <c r="E170" s="257" t="s">
        <v>220</v>
      </c>
      <c r="F170" s="258" t="s">
        <v>221</v>
      </c>
      <c r="H170" s="257" t="s">
        <v>220</v>
      </c>
      <c r="I170" s="258" t="s">
        <v>221</v>
      </c>
    </row>
    <row r="171" spans="2:11" ht="13.5" thickBot="1" x14ac:dyDescent="0.25">
      <c r="B171" s="257" t="s">
        <v>246</v>
      </c>
      <c r="C171" s="258" t="s">
        <v>187</v>
      </c>
      <c r="E171" s="257" t="s">
        <v>246</v>
      </c>
      <c r="F171" s="258" t="s">
        <v>187</v>
      </c>
      <c r="H171" s="257" t="s">
        <v>246</v>
      </c>
      <c r="I171" s="258" t="s">
        <v>187</v>
      </c>
    </row>
    <row r="172" spans="2:11" ht="13.5" thickBot="1" x14ac:dyDescent="0.25"/>
    <row r="173" spans="2:11" ht="15" x14ac:dyDescent="0.25">
      <c r="B173" s="259" t="s">
        <v>213</v>
      </c>
      <c r="E173" s="259" t="s">
        <v>213</v>
      </c>
      <c r="H173" s="259" t="s">
        <v>213</v>
      </c>
      <c r="K173"/>
    </row>
    <row r="174" spans="2:11" ht="15.75" thickBot="1" x14ac:dyDescent="0.3">
      <c r="B174" s="260"/>
      <c r="E174" s="260">
        <v>27</v>
      </c>
      <c r="H174" s="260">
        <v>19</v>
      </c>
      <c r="K174"/>
    </row>
    <row r="177" spans="2:11" ht="13.5" thickBot="1" x14ac:dyDescent="0.25">
      <c r="B177" s="150" t="s">
        <v>273</v>
      </c>
      <c r="E177" s="150" t="s">
        <v>274</v>
      </c>
      <c r="H177" s="150" t="s">
        <v>275</v>
      </c>
      <c r="K177" s="150"/>
    </row>
    <row r="178" spans="2:11" ht="13.5" thickBot="1" x14ac:dyDescent="0.25">
      <c r="B178" s="257" t="s">
        <v>206</v>
      </c>
      <c r="C178" s="258" t="s">
        <v>210</v>
      </c>
      <c r="E178" s="257" t="s">
        <v>206</v>
      </c>
      <c r="F178" s="258" t="s">
        <v>218</v>
      </c>
      <c r="H178" s="257" t="s">
        <v>206</v>
      </c>
      <c r="I178" s="258" t="s">
        <v>224</v>
      </c>
    </row>
    <row r="179" spans="2:11" ht="13.5" thickBot="1" x14ac:dyDescent="0.25">
      <c r="B179" s="257" t="s">
        <v>220</v>
      </c>
      <c r="C179" s="258" t="s">
        <v>221</v>
      </c>
      <c r="E179" s="257" t="s">
        <v>220</v>
      </c>
      <c r="F179" s="258" t="s">
        <v>221</v>
      </c>
      <c r="H179" s="257" t="s">
        <v>220</v>
      </c>
      <c r="I179" s="258" t="s">
        <v>221</v>
      </c>
    </row>
    <row r="180" spans="2:11" ht="13.5" thickBot="1" x14ac:dyDescent="0.25">
      <c r="B180" s="257" t="s">
        <v>246</v>
      </c>
      <c r="C180" s="258" t="s">
        <v>187</v>
      </c>
      <c r="E180" s="257" t="s">
        <v>246</v>
      </c>
      <c r="F180" s="258" t="s">
        <v>187</v>
      </c>
      <c r="H180" s="257" t="s">
        <v>246</v>
      </c>
      <c r="I180" s="258" t="s">
        <v>187</v>
      </c>
    </row>
    <row r="181" spans="2:11" ht="13.5" thickBot="1" x14ac:dyDescent="0.25"/>
    <row r="182" spans="2:11" x14ac:dyDescent="0.2">
      <c r="B182" s="259" t="s">
        <v>236</v>
      </c>
      <c r="E182" s="259" t="s">
        <v>236</v>
      </c>
      <c r="H182" s="259" t="s">
        <v>236</v>
      </c>
    </row>
    <row r="183" spans="2:11" ht="13.5" thickBot="1" x14ac:dyDescent="0.25">
      <c r="B183" s="260"/>
      <c r="E183" s="260">
        <v>27</v>
      </c>
      <c r="H183" s="260">
        <v>19</v>
      </c>
    </row>
    <row r="187" spans="2:11" ht="13.5" thickBot="1" x14ac:dyDescent="0.25">
      <c r="B187" s="150" t="s">
        <v>276</v>
      </c>
      <c r="E187" s="150" t="s">
        <v>277</v>
      </c>
      <c r="H187" s="150" t="s">
        <v>278</v>
      </c>
      <c r="K187" s="150"/>
    </row>
    <row r="188" spans="2:11" ht="13.5" thickBot="1" x14ac:dyDescent="0.25">
      <c r="B188" s="257" t="s">
        <v>206</v>
      </c>
      <c r="C188" s="258" t="s">
        <v>210</v>
      </c>
      <c r="E188" s="257" t="s">
        <v>206</v>
      </c>
      <c r="F188" s="258" t="s">
        <v>218</v>
      </c>
      <c r="H188" s="257" t="s">
        <v>206</v>
      </c>
      <c r="I188" s="258" t="s">
        <v>224</v>
      </c>
    </row>
    <row r="189" spans="2:11" ht="13.5" thickBot="1" x14ac:dyDescent="0.25">
      <c r="B189" s="257" t="s">
        <v>220</v>
      </c>
      <c r="C189" s="258" t="s">
        <v>221</v>
      </c>
      <c r="E189" s="257" t="s">
        <v>220</v>
      </c>
      <c r="F189" s="258" t="s">
        <v>221</v>
      </c>
      <c r="H189" s="257" t="s">
        <v>220</v>
      </c>
      <c r="I189" s="258" t="s">
        <v>221</v>
      </c>
    </row>
    <row r="190" spans="2:11" ht="13.5" thickBot="1" x14ac:dyDescent="0.25">
      <c r="B190" s="257" t="s">
        <v>246</v>
      </c>
      <c r="C190" s="258" t="s">
        <v>250</v>
      </c>
      <c r="E190" s="257" t="s">
        <v>246</v>
      </c>
      <c r="F190" s="258" t="s">
        <v>250</v>
      </c>
      <c r="H190" s="257" t="s">
        <v>246</v>
      </c>
      <c r="I190" s="258" t="s">
        <v>250</v>
      </c>
    </row>
    <row r="191" spans="2:11" ht="13.5" thickBot="1" x14ac:dyDescent="0.25"/>
    <row r="192" spans="2:11" x14ac:dyDescent="0.2">
      <c r="B192" s="259" t="s">
        <v>213</v>
      </c>
      <c r="E192" s="259" t="s">
        <v>213</v>
      </c>
      <c r="H192" s="259" t="s">
        <v>213</v>
      </c>
    </row>
    <row r="193" spans="2:11" ht="13.5" thickBot="1" x14ac:dyDescent="0.25">
      <c r="B193" s="260">
        <v>17</v>
      </c>
      <c r="E193" s="260">
        <v>35</v>
      </c>
      <c r="H193" s="260">
        <v>33</v>
      </c>
    </row>
    <row r="196" spans="2:11" ht="13.5" thickBot="1" x14ac:dyDescent="0.25">
      <c r="B196" s="150" t="s">
        <v>279</v>
      </c>
      <c r="E196" s="150" t="s">
        <v>280</v>
      </c>
      <c r="H196" s="150" t="s">
        <v>281</v>
      </c>
      <c r="K196" s="150"/>
    </row>
    <row r="197" spans="2:11" ht="13.5" thickBot="1" x14ac:dyDescent="0.25">
      <c r="B197" s="257" t="s">
        <v>206</v>
      </c>
      <c r="C197" s="258" t="s">
        <v>210</v>
      </c>
      <c r="E197" s="257" t="s">
        <v>206</v>
      </c>
      <c r="F197" s="258" t="s">
        <v>218</v>
      </c>
      <c r="H197" s="257" t="s">
        <v>206</v>
      </c>
      <c r="I197" s="258" t="s">
        <v>224</v>
      </c>
    </row>
    <row r="198" spans="2:11" ht="13.5" thickBot="1" x14ac:dyDescent="0.25">
      <c r="B198" s="257" t="s">
        <v>220</v>
      </c>
      <c r="C198" s="258" t="s">
        <v>221</v>
      </c>
      <c r="E198" s="257" t="s">
        <v>220</v>
      </c>
      <c r="F198" s="258" t="s">
        <v>221</v>
      </c>
      <c r="H198" s="257" t="s">
        <v>220</v>
      </c>
      <c r="I198" s="258" t="s">
        <v>221</v>
      </c>
    </row>
    <row r="199" spans="2:11" ht="13.5" thickBot="1" x14ac:dyDescent="0.25">
      <c r="B199" s="257" t="s">
        <v>246</v>
      </c>
      <c r="C199" s="258" t="s">
        <v>250</v>
      </c>
      <c r="E199" s="257" t="s">
        <v>246</v>
      </c>
      <c r="F199" s="258" t="s">
        <v>250</v>
      </c>
      <c r="H199" s="257" t="s">
        <v>246</v>
      </c>
      <c r="I199" s="258" t="s">
        <v>250</v>
      </c>
    </row>
    <row r="200" spans="2:11" ht="13.5" thickBot="1" x14ac:dyDescent="0.25"/>
    <row r="201" spans="2:11" x14ac:dyDescent="0.2">
      <c r="B201" s="259" t="s">
        <v>236</v>
      </c>
      <c r="E201" s="259" t="s">
        <v>236</v>
      </c>
      <c r="H201" s="259" t="s">
        <v>236</v>
      </c>
    </row>
    <row r="202" spans="2:11" ht="13.5" thickBot="1" x14ac:dyDescent="0.25">
      <c r="B202" s="260">
        <v>17</v>
      </c>
      <c r="E202" s="260">
        <v>35</v>
      </c>
      <c r="H202" s="260">
        <v>33</v>
      </c>
    </row>
    <row r="207" spans="2:11" x14ac:dyDescent="0.2">
      <c r="B207" s="150" t="s">
        <v>72</v>
      </c>
      <c r="E207" s="150"/>
    </row>
    <row r="208" spans="2:11" ht="13.5" thickBot="1" x14ac:dyDescent="0.25">
      <c r="B208" s="150" t="s">
        <v>282</v>
      </c>
      <c r="E208" s="150" t="s">
        <v>283</v>
      </c>
      <c r="H208" s="150" t="s">
        <v>284</v>
      </c>
    </row>
    <row r="209" spans="2:9" ht="13.5" thickBot="1" x14ac:dyDescent="0.25">
      <c r="B209" s="257" t="s">
        <v>206</v>
      </c>
      <c r="C209" s="258" t="s">
        <v>210</v>
      </c>
      <c r="E209" s="257" t="s">
        <v>206</v>
      </c>
      <c r="F209" s="258" t="s">
        <v>218</v>
      </c>
      <c r="H209" s="257" t="s">
        <v>206</v>
      </c>
      <c r="I209" s="258" t="s">
        <v>224</v>
      </c>
    </row>
    <row r="210" spans="2:9" ht="13.5" thickBot="1" x14ac:dyDescent="0.25">
      <c r="B210" s="257" t="s">
        <v>220</v>
      </c>
      <c r="C210" s="258" t="s">
        <v>221</v>
      </c>
      <c r="E210" s="257" t="s">
        <v>220</v>
      </c>
      <c r="F210" s="258" t="s">
        <v>221</v>
      </c>
      <c r="H210" s="257" t="s">
        <v>220</v>
      </c>
      <c r="I210" s="258" t="s">
        <v>221</v>
      </c>
    </row>
    <row r="211" spans="2:9" ht="13.5" thickBot="1" x14ac:dyDescent="0.25">
      <c r="B211" s="257" t="s">
        <v>246</v>
      </c>
      <c r="C211" s="258" t="s">
        <v>227</v>
      </c>
      <c r="E211" s="257" t="s">
        <v>246</v>
      </c>
      <c r="F211" s="258" t="s">
        <v>227</v>
      </c>
      <c r="H211" s="257" t="s">
        <v>246</v>
      </c>
      <c r="I211" s="258" t="s">
        <v>227</v>
      </c>
    </row>
    <row r="212" spans="2:9" ht="13.5" thickBot="1" x14ac:dyDescent="0.25"/>
    <row r="213" spans="2:9" x14ac:dyDescent="0.2">
      <c r="B213" s="259" t="s">
        <v>213</v>
      </c>
      <c r="E213" s="259" t="s">
        <v>213</v>
      </c>
      <c r="H213" s="259" t="s">
        <v>213</v>
      </c>
    </row>
    <row r="214" spans="2:9" ht="13.5" thickBot="1" x14ac:dyDescent="0.25">
      <c r="B214" s="260">
        <v>163</v>
      </c>
      <c r="E214" s="260">
        <v>350</v>
      </c>
      <c r="H214" s="260">
        <v>403</v>
      </c>
    </row>
    <row r="217" spans="2:9" ht="13.5" thickBot="1" x14ac:dyDescent="0.25">
      <c r="B217" s="150" t="s">
        <v>285</v>
      </c>
      <c r="E217" s="150" t="s">
        <v>286</v>
      </c>
      <c r="H217" s="150" t="s">
        <v>287</v>
      </c>
    </row>
    <row r="218" spans="2:9" ht="13.5" thickBot="1" x14ac:dyDescent="0.25">
      <c r="B218" s="257" t="s">
        <v>206</v>
      </c>
      <c r="C218" s="258" t="s">
        <v>210</v>
      </c>
      <c r="E218" s="257" t="s">
        <v>206</v>
      </c>
      <c r="F218" s="258" t="s">
        <v>218</v>
      </c>
      <c r="H218" s="257" t="s">
        <v>206</v>
      </c>
      <c r="I218" s="258" t="s">
        <v>224</v>
      </c>
    </row>
    <row r="219" spans="2:9" ht="13.5" thickBot="1" x14ac:dyDescent="0.25">
      <c r="B219" s="257" t="s">
        <v>220</v>
      </c>
      <c r="C219" s="258" t="s">
        <v>221</v>
      </c>
      <c r="E219" s="257" t="s">
        <v>220</v>
      </c>
      <c r="F219" s="258" t="s">
        <v>221</v>
      </c>
      <c r="H219" s="257" t="s">
        <v>220</v>
      </c>
      <c r="I219" s="258" t="s">
        <v>221</v>
      </c>
    </row>
    <row r="220" spans="2:9" ht="13.5" thickBot="1" x14ac:dyDescent="0.25">
      <c r="B220" s="257" t="s">
        <v>246</v>
      </c>
      <c r="C220" s="258" t="s">
        <v>227</v>
      </c>
      <c r="E220" s="257" t="s">
        <v>246</v>
      </c>
      <c r="F220" s="258" t="s">
        <v>227</v>
      </c>
      <c r="H220" s="257" t="s">
        <v>246</v>
      </c>
      <c r="I220" s="258" t="s">
        <v>227</v>
      </c>
    </row>
    <row r="221" spans="2:9" ht="13.5" thickBot="1" x14ac:dyDescent="0.25"/>
    <row r="222" spans="2:9" x14ac:dyDescent="0.2">
      <c r="B222" s="259" t="s">
        <v>213</v>
      </c>
      <c r="E222" s="259" t="s">
        <v>213</v>
      </c>
      <c r="H222" s="259" t="s">
        <v>213</v>
      </c>
    </row>
    <row r="223" spans="2:9" ht="13.5" thickBot="1" x14ac:dyDescent="0.25">
      <c r="B223" s="260">
        <v>43</v>
      </c>
      <c r="E223" s="260">
        <v>173</v>
      </c>
      <c r="H223" s="260">
        <v>138</v>
      </c>
    </row>
    <row r="229" spans="2:12" x14ac:dyDescent="0.2">
      <c r="B229" s="154" t="s">
        <v>105</v>
      </c>
      <c r="E229" s="150"/>
    </row>
    <row r="230" spans="2:12" x14ac:dyDescent="0.2">
      <c r="B230" s="150" t="s">
        <v>288</v>
      </c>
      <c r="E230" s="150"/>
      <c r="H230" s="150"/>
    </row>
    <row r="232" spans="2:12" ht="13.5" thickBot="1" x14ac:dyDescent="0.25"/>
    <row r="233" spans="2:12" ht="13.5" thickBot="1" x14ac:dyDescent="0.25">
      <c r="B233" s="257" t="s">
        <v>206</v>
      </c>
      <c r="C233" s="258" t="s">
        <v>210</v>
      </c>
    </row>
    <row r="234" spans="2:12" ht="13.5" thickBot="1" x14ac:dyDescent="0.25"/>
    <row r="235" spans="2:12" x14ac:dyDescent="0.2">
      <c r="B235" s="261" t="s">
        <v>289</v>
      </c>
      <c r="C235" s="268" t="s">
        <v>290</v>
      </c>
      <c r="D235" s="268" t="s">
        <v>291</v>
      </c>
      <c r="E235" s="268" t="s">
        <v>292</v>
      </c>
      <c r="F235" s="268" t="s">
        <v>293</v>
      </c>
      <c r="G235" s="268" t="s">
        <v>294</v>
      </c>
      <c r="H235" s="268" t="s">
        <v>295</v>
      </c>
      <c r="I235" s="268" t="s">
        <v>296</v>
      </c>
      <c r="J235" s="268" t="s">
        <v>297</v>
      </c>
      <c r="K235" s="262" t="s">
        <v>298</v>
      </c>
    </row>
    <row r="236" spans="2:12" x14ac:dyDescent="0.2">
      <c r="B236" s="263" t="s">
        <v>228</v>
      </c>
      <c r="C236" s="151">
        <v>19</v>
      </c>
      <c r="D236" s="151">
        <v>4</v>
      </c>
      <c r="E236" s="151">
        <v>2</v>
      </c>
      <c r="F236" s="151">
        <v>1</v>
      </c>
      <c r="G236" s="151">
        <v>0</v>
      </c>
      <c r="H236" s="151">
        <v>0</v>
      </c>
      <c r="I236" s="151">
        <v>0</v>
      </c>
      <c r="K236" s="264"/>
    </row>
    <row r="237" spans="2:12" x14ac:dyDescent="0.2">
      <c r="B237" s="263" t="s">
        <v>226</v>
      </c>
      <c r="C237" s="151">
        <v>50</v>
      </c>
      <c r="D237" s="151">
        <v>89</v>
      </c>
      <c r="E237" s="151">
        <v>20</v>
      </c>
      <c r="F237" s="151">
        <v>13</v>
      </c>
      <c r="G237" s="151">
        <v>8</v>
      </c>
      <c r="H237" s="151">
        <v>0</v>
      </c>
      <c r="I237" s="151">
        <v>0</v>
      </c>
      <c r="K237" s="264"/>
    </row>
    <row r="238" spans="2:12" ht="13.5" thickBot="1" x14ac:dyDescent="0.25">
      <c r="B238" s="265" t="s">
        <v>222</v>
      </c>
      <c r="C238" s="270">
        <v>69</v>
      </c>
      <c r="D238" s="270">
        <v>93</v>
      </c>
      <c r="E238" s="270">
        <v>22</v>
      </c>
      <c r="F238" s="270">
        <v>14</v>
      </c>
      <c r="G238" s="270">
        <v>8</v>
      </c>
      <c r="H238" s="270">
        <v>0</v>
      </c>
      <c r="I238" s="270">
        <v>0</v>
      </c>
      <c r="J238" s="270"/>
      <c r="K238" s="266"/>
      <c r="L238" s="155"/>
    </row>
    <row r="241" spans="2:9" x14ac:dyDescent="0.2">
      <c r="B241" s="150" t="s">
        <v>133</v>
      </c>
      <c r="E241" s="150" t="s">
        <v>150</v>
      </c>
      <c r="H241" s="150" t="s">
        <v>150</v>
      </c>
    </row>
    <row r="242" spans="2:9" x14ac:dyDescent="0.2">
      <c r="B242" s="151" t="s">
        <v>132</v>
      </c>
      <c r="E242" s="151" t="s">
        <v>134</v>
      </c>
      <c r="H242" s="151" t="s">
        <v>134</v>
      </c>
    </row>
    <row r="243" spans="2:9" ht="13.5" thickBot="1" x14ac:dyDescent="0.25">
      <c r="E243" s="151" t="s">
        <v>148</v>
      </c>
      <c r="H243" s="151" t="s">
        <v>139</v>
      </c>
    </row>
    <row r="244" spans="2:9" ht="13.5" thickBot="1" x14ac:dyDescent="0.25">
      <c r="B244" s="257" t="s">
        <v>206</v>
      </c>
      <c r="C244" s="258" t="s">
        <v>210</v>
      </c>
    </row>
    <row r="245" spans="2:9" ht="13.5" thickBot="1" x14ac:dyDescent="0.25">
      <c r="E245" s="257" t="s">
        <v>206</v>
      </c>
      <c r="F245" s="258" t="s">
        <v>210</v>
      </c>
      <c r="H245" s="257" t="s">
        <v>206</v>
      </c>
      <c r="I245" s="258" t="s">
        <v>210</v>
      </c>
    </row>
    <row r="246" spans="2:9" ht="13.5" thickBot="1" x14ac:dyDescent="0.25">
      <c r="B246" s="261" t="s">
        <v>289</v>
      </c>
      <c r="C246" s="262" t="s">
        <v>213</v>
      </c>
    </row>
    <row r="247" spans="2:9" x14ac:dyDescent="0.2">
      <c r="B247" s="263" t="s">
        <v>137</v>
      </c>
      <c r="C247" s="264">
        <v>6</v>
      </c>
      <c r="E247" s="261" t="s">
        <v>289</v>
      </c>
      <c r="F247" s="262" t="s">
        <v>213</v>
      </c>
      <c r="H247" s="261" t="s">
        <v>289</v>
      </c>
      <c r="I247" s="262" t="s">
        <v>213</v>
      </c>
    </row>
    <row r="248" spans="2:9" x14ac:dyDescent="0.2">
      <c r="B248" s="263" t="s">
        <v>138</v>
      </c>
      <c r="C248" s="264">
        <v>10</v>
      </c>
      <c r="E248" s="263" t="s">
        <v>148</v>
      </c>
      <c r="F248" s="264">
        <v>49</v>
      </c>
      <c r="H248" s="263" t="s">
        <v>139</v>
      </c>
      <c r="I248" s="264">
        <v>8</v>
      </c>
    </row>
    <row r="249" spans="2:9" x14ac:dyDescent="0.2">
      <c r="B249" s="263" t="s">
        <v>140</v>
      </c>
      <c r="C249" s="264">
        <v>-1</v>
      </c>
      <c r="E249" s="263" t="s">
        <v>226</v>
      </c>
      <c r="F249" s="264">
        <v>157</v>
      </c>
      <c r="H249" s="263" t="s">
        <v>226</v>
      </c>
      <c r="I249" s="264">
        <v>198</v>
      </c>
    </row>
    <row r="250" spans="2:9" ht="13.5" thickBot="1" x14ac:dyDescent="0.25">
      <c r="B250" s="263" t="s">
        <v>142</v>
      </c>
      <c r="C250" s="264">
        <v>97</v>
      </c>
      <c r="E250" s="265" t="s">
        <v>222</v>
      </c>
      <c r="F250" s="266">
        <v>206</v>
      </c>
      <c r="H250" s="265" t="s">
        <v>222</v>
      </c>
      <c r="I250" s="266">
        <v>206</v>
      </c>
    </row>
    <row r="251" spans="2:9" ht="13.5" thickBot="1" x14ac:dyDescent="0.25">
      <c r="B251" s="265" t="s">
        <v>222</v>
      </c>
      <c r="C251" s="266">
        <v>112</v>
      </c>
    </row>
    <row r="252" spans="2:9" ht="15" x14ac:dyDescent="0.25">
      <c r="B252"/>
      <c r="C252"/>
    </row>
    <row r="253" spans="2:9" ht="15" x14ac:dyDescent="0.25">
      <c r="B253"/>
      <c r="C253"/>
    </row>
    <row r="254" spans="2:9" ht="15" x14ac:dyDescent="0.25">
      <c r="B254"/>
      <c r="C254"/>
    </row>
    <row r="255" spans="2:9" ht="15" x14ac:dyDescent="0.25">
      <c r="B255" s="150" t="s">
        <v>121</v>
      </c>
      <c r="C255"/>
      <c r="E255" s="150" t="s">
        <v>150</v>
      </c>
      <c r="H255" s="150" t="s">
        <v>150</v>
      </c>
    </row>
    <row r="256" spans="2:9" x14ac:dyDescent="0.2">
      <c r="B256" s="151" t="s">
        <v>122</v>
      </c>
      <c r="E256" s="151" t="s">
        <v>134</v>
      </c>
      <c r="H256" s="151" t="s">
        <v>134</v>
      </c>
    </row>
    <row r="257" spans="2:9" x14ac:dyDescent="0.2">
      <c r="E257" s="151" t="s">
        <v>141</v>
      </c>
      <c r="H257" s="151" t="s">
        <v>147</v>
      </c>
    </row>
    <row r="258" spans="2:9" ht="13.5" thickBot="1" x14ac:dyDescent="0.25"/>
    <row r="259" spans="2:9" ht="13.5" thickBot="1" x14ac:dyDescent="0.25">
      <c r="B259" s="257" t="s">
        <v>206</v>
      </c>
      <c r="C259" s="258" t="s">
        <v>210</v>
      </c>
      <c r="E259" s="257" t="s">
        <v>206</v>
      </c>
      <c r="F259" s="258" t="s">
        <v>210</v>
      </c>
      <c r="H259" s="257" t="s">
        <v>206</v>
      </c>
      <c r="I259" s="258" t="s">
        <v>210</v>
      </c>
    </row>
    <row r="260" spans="2:9" ht="13.5" thickBot="1" x14ac:dyDescent="0.25"/>
    <row r="261" spans="2:9" x14ac:dyDescent="0.2">
      <c r="B261" s="261" t="s">
        <v>289</v>
      </c>
      <c r="C261" s="262" t="s">
        <v>213</v>
      </c>
      <c r="E261" s="261" t="s">
        <v>289</v>
      </c>
      <c r="F261" s="262" t="s">
        <v>213</v>
      </c>
      <c r="H261" s="261" t="s">
        <v>289</v>
      </c>
      <c r="I261" s="262" t="s">
        <v>213</v>
      </c>
    </row>
    <row r="262" spans="2:9" x14ac:dyDescent="0.2">
      <c r="B262" s="263" t="s">
        <v>299</v>
      </c>
      <c r="C262" s="264">
        <v>99</v>
      </c>
      <c r="E262" s="263" t="s">
        <v>141</v>
      </c>
      <c r="F262" s="264">
        <v>16</v>
      </c>
      <c r="H262" s="263" t="s">
        <v>147</v>
      </c>
      <c r="I262" s="264">
        <v>4</v>
      </c>
    </row>
    <row r="263" spans="2:9" x14ac:dyDescent="0.2">
      <c r="B263" s="263" t="s">
        <v>226</v>
      </c>
      <c r="C263" s="264">
        <v>107</v>
      </c>
      <c r="E263" s="263" t="s">
        <v>226</v>
      </c>
      <c r="F263" s="264">
        <v>190</v>
      </c>
      <c r="H263" s="263" t="s">
        <v>226</v>
      </c>
      <c r="I263" s="264">
        <v>202</v>
      </c>
    </row>
    <row r="264" spans="2:9" ht="13.5" thickBot="1" x14ac:dyDescent="0.25">
      <c r="B264" s="265" t="s">
        <v>222</v>
      </c>
      <c r="C264" s="266">
        <v>206</v>
      </c>
      <c r="E264" s="265" t="s">
        <v>222</v>
      </c>
      <c r="F264" s="266">
        <v>206</v>
      </c>
      <c r="H264" s="265" t="s">
        <v>222</v>
      </c>
      <c r="I264" s="266">
        <v>206</v>
      </c>
    </row>
    <row r="265" spans="2:9" ht="15" x14ac:dyDescent="0.25">
      <c r="E265"/>
      <c r="F265"/>
    </row>
    <row r="266" spans="2:9" ht="15" x14ac:dyDescent="0.25">
      <c r="E266"/>
      <c r="F266"/>
    </row>
    <row r="267" spans="2:9" ht="15.75" thickBot="1" x14ac:dyDescent="0.3">
      <c r="E267"/>
      <c r="F267"/>
    </row>
    <row r="269" spans="2:9" x14ac:dyDescent="0.2">
      <c r="B269" s="150"/>
      <c r="E269" s="150"/>
      <c r="H269" s="150"/>
    </row>
    <row r="270" spans="2:9" ht="13.5" thickBot="1" x14ac:dyDescent="0.25">
      <c r="B270" s="150"/>
      <c r="E270" s="150"/>
      <c r="H270" s="150"/>
    </row>
    <row r="271" spans="2:9" ht="13.5" thickBot="1" x14ac:dyDescent="0.25">
      <c r="B271" s="257" t="s">
        <v>206</v>
      </c>
      <c r="C271" s="258" t="s">
        <v>224</v>
      </c>
      <c r="E271" s="257" t="s">
        <v>206</v>
      </c>
      <c r="F271" s="258" t="s">
        <v>218</v>
      </c>
      <c r="H271" s="257" t="s">
        <v>206</v>
      </c>
      <c r="I271" s="258" t="s">
        <v>210</v>
      </c>
    </row>
    <row r="272" spans="2:9" ht="13.5" thickBot="1" x14ac:dyDescent="0.25"/>
    <row r="273" spans="2:9" x14ac:dyDescent="0.2">
      <c r="B273" s="261" t="s">
        <v>289</v>
      </c>
      <c r="C273" s="262" t="s">
        <v>213</v>
      </c>
      <c r="E273" s="261" t="s">
        <v>289</v>
      </c>
      <c r="F273" s="262" t="s">
        <v>213</v>
      </c>
      <c r="H273" s="261" t="s">
        <v>289</v>
      </c>
      <c r="I273" s="262" t="s">
        <v>213</v>
      </c>
    </row>
    <row r="274" spans="2:9" x14ac:dyDescent="0.2">
      <c r="B274" s="263" t="s">
        <v>154</v>
      </c>
      <c r="C274" s="264">
        <v>2</v>
      </c>
      <c r="E274" s="263" t="s">
        <v>154</v>
      </c>
      <c r="F274" s="264">
        <v>1</v>
      </c>
      <c r="H274" s="263" t="s">
        <v>154</v>
      </c>
      <c r="I274" s="264">
        <v>3</v>
      </c>
    </row>
    <row r="275" spans="2:9" x14ac:dyDescent="0.2">
      <c r="B275" s="263" t="s">
        <v>137</v>
      </c>
      <c r="C275" s="264">
        <v>30</v>
      </c>
      <c r="E275" s="263" t="s">
        <v>137</v>
      </c>
      <c r="F275" s="264">
        <v>4</v>
      </c>
      <c r="H275" s="263" t="s">
        <v>137</v>
      </c>
      <c r="I275" s="264">
        <v>8</v>
      </c>
    </row>
    <row r="276" spans="2:9" x14ac:dyDescent="0.2">
      <c r="B276" s="263" t="s">
        <v>174</v>
      </c>
      <c r="C276" s="264">
        <v>61</v>
      </c>
      <c r="E276" s="263" t="s">
        <v>174</v>
      </c>
      <c r="F276" s="264">
        <v>12</v>
      </c>
      <c r="H276" s="263" t="s">
        <v>174</v>
      </c>
      <c r="I276" s="264">
        <v>8</v>
      </c>
    </row>
    <row r="277" spans="2:9" x14ac:dyDescent="0.2">
      <c r="B277" s="263" t="s">
        <v>156</v>
      </c>
      <c r="C277" s="264">
        <v>1</v>
      </c>
      <c r="E277" s="263" t="s">
        <v>156</v>
      </c>
      <c r="F277" s="264">
        <v>-1</v>
      </c>
      <c r="H277" s="263" t="s">
        <v>156</v>
      </c>
      <c r="I277" s="264">
        <v>20</v>
      </c>
    </row>
    <row r="278" spans="2:9" x14ac:dyDescent="0.2">
      <c r="B278" s="263" t="s">
        <v>157</v>
      </c>
      <c r="C278" s="264">
        <v>53</v>
      </c>
      <c r="E278" s="263" t="s">
        <v>157</v>
      </c>
      <c r="F278" s="264">
        <v>19</v>
      </c>
      <c r="H278" s="263" t="s">
        <v>157</v>
      </c>
      <c r="I278" s="264">
        <v>13</v>
      </c>
    </row>
    <row r="279" spans="2:9" x14ac:dyDescent="0.2">
      <c r="B279" s="263" t="s">
        <v>158</v>
      </c>
      <c r="C279" s="264">
        <v>16</v>
      </c>
      <c r="E279" s="263" t="s">
        <v>158</v>
      </c>
      <c r="F279" s="264">
        <v>1</v>
      </c>
      <c r="H279" s="263" t="s">
        <v>158</v>
      </c>
      <c r="I279" s="264">
        <v>2</v>
      </c>
    </row>
    <row r="280" spans="2:9" x14ac:dyDescent="0.2">
      <c r="B280" s="263" t="s">
        <v>159</v>
      </c>
      <c r="C280" s="264">
        <v>9</v>
      </c>
      <c r="E280" s="263" t="s">
        <v>159</v>
      </c>
      <c r="F280" s="264">
        <v>74</v>
      </c>
      <c r="H280" s="263" t="s">
        <v>159</v>
      </c>
      <c r="I280" s="264">
        <v>12</v>
      </c>
    </row>
    <row r="281" spans="2:9" x14ac:dyDescent="0.2">
      <c r="B281" s="263" t="s">
        <v>160</v>
      </c>
      <c r="C281" s="264">
        <v>17</v>
      </c>
      <c r="E281" s="263" t="s">
        <v>160</v>
      </c>
      <c r="F281" s="264">
        <v>1</v>
      </c>
      <c r="H281" s="263" t="s">
        <v>160</v>
      </c>
      <c r="I281" s="264">
        <v>3</v>
      </c>
    </row>
    <row r="282" spans="2:9" x14ac:dyDescent="0.2">
      <c r="B282" s="263" t="s">
        <v>161</v>
      </c>
      <c r="C282" s="264">
        <v>129</v>
      </c>
      <c r="E282" s="263" t="s">
        <v>161</v>
      </c>
      <c r="F282" s="264">
        <v>35</v>
      </c>
      <c r="H282" s="263" t="s">
        <v>161</v>
      </c>
      <c r="I282" s="264">
        <v>9</v>
      </c>
    </row>
    <row r="283" spans="2:9" x14ac:dyDescent="0.2">
      <c r="B283" s="263" t="s">
        <v>175</v>
      </c>
      <c r="C283" s="264">
        <v>97</v>
      </c>
      <c r="E283" s="263" t="s">
        <v>175</v>
      </c>
      <c r="F283" s="264">
        <v>8</v>
      </c>
      <c r="H283" s="263" t="s">
        <v>175</v>
      </c>
      <c r="I283" s="264">
        <v>3</v>
      </c>
    </row>
    <row r="284" spans="2:9" x14ac:dyDescent="0.2">
      <c r="B284" s="263" t="s">
        <v>163</v>
      </c>
      <c r="C284" s="264">
        <v>15</v>
      </c>
      <c r="E284" s="263" t="s">
        <v>163</v>
      </c>
      <c r="F284" s="264">
        <v>75</v>
      </c>
      <c r="H284" s="263" t="s">
        <v>163</v>
      </c>
      <c r="I284" s="264">
        <v>4</v>
      </c>
    </row>
    <row r="285" spans="2:9" x14ac:dyDescent="0.2">
      <c r="B285" s="263" t="s">
        <v>164</v>
      </c>
      <c r="C285" s="264">
        <v>6</v>
      </c>
      <c r="E285" s="263" t="s">
        <v>164</v>
      </c>
      <c r="F285" s="264">
        <v>18</v>
      </c>
      <c r="H285" s="263" t="s">
        <v>164</v>
      </c>
      <c r="I285" s="264">
        <v>7</v>
      </c>
    </row>
    <row r="286" spans="2:9" x14ac:dyDescent="0.2">
      <c r="B286" s="263" t="s">
        <v>165</v>
      </c>
      <c r="C286" s="264">
        <v>21</v>
      </c>
      <c r="E286" s="263" t="s">
        <v>165</v>
      </c>
      <c r="F286" s="264">
        <v>12</v>
      </c>
      <c r="H286" s="263" t="s">
        <v>165</v>
      </c>
      <c r="I286" s="264">
        <v>12</v>
      </c>
    </row>
    <row r="287" spans="2:9" x14ac:dyDescent="0.2">
      <c r="B287" s="263" t="s">
        <v>176</v>
      </c>
      <c r="C287" s="264">
        <v>4</v>
      </c>
      <c r="E287" s="263" t="s">
        <v>176</v>
      </c>
      <c r="F287" s="264">
        <v>214</v>
      </c>
      <c r="H287" s="263" t="s">
        <v>176</v>
      </c>
      <c r="I287" s="264">
        <v>78</v>
      </c>
    </row>
    <row r="288" spans="2:9" x14ac:dyDescent="0.2">
      <c r="B288" s="263" t="s">
        <v>140</v>
      </c>
      <c r="C288" s="264">
        <v>11</v>
      </c>
      <c r="E288" s="263" t="s">
        <v>140</v>
      </c>
      <c r="F288" s="264">
        <v>43</v>
      </c>
      <c r="H288" s="263" t="s">
        <v>140</v>
      </c>
      <c r="I288" s="264">
        <v>6</v>
      </c>
    </row>
    <row r="289" spans="2:9" x14ac:dyDescent="0.2">
      <c r="B289" s="263" t="s">
        <v>167</v>
      </c>
      <c r="C289" s="264">
        <v>62</v>
      </c>
      <c r="E289" s="263" t="s">
        <v>167</v>
      </c>
      <c r="F289" s="264">
        <v>6</v>
      </c>
      <c r="H289" s="263" t="s">
        <v>167</v>
      </c>
      <c r="I289" s="264">
        <v>10</v>
      </c>
    </row>
    <row r="290" spans="2:9" x14ac:dyDescent="0.2">
      <c r="B290" s="263" t="s">
        <v>168</v>
      </c>
      <c r="C290" s="264">
        <v>3</v>
      </c>
      <c r="E290" s="263" t="s">
        <v>168</v>
      </c>
      <c r="F290" s="264">
        <v>5</v>
      </c>
      <c r="H290" s="263" t="s">
        <v>168</v>
      </c>
      <c r="I290" s="264">
        <v>7</v>
      </c>
    </row>
    <row r="291" spans="2:9" x14ac:dyDescent="0.2">
      <c r="B291" s="263" t="s">
        <v>144</v>
      </c>
      <c r="C291" s="264">
        <v>4</v>
      </c>
      <c r="E291" s="263" t="s">
        <v>144</v>
      </c>
      <c r="F291" s="264">
        <v>-4</v>
      </c>
      <c r="H291" s="263" t="s">
        <v>144</v>
      </c>
      <c r="I291" s="264">
        <v>1</v>
      </c>
    </row>
    <row r="292" spans="2:9" ht="13.5" thickBot="1" x14ac:dyDescent="0.25">
      <c r="B292" s="265" t="s">
        <v>222</v>
      </c>
      <c r="C292" s="266">
        <v>541</v>
      </c>
      <c r="E292" s="265" t="s">
        <v>222</v>
      </c>
      <c r="F292" s="266">
        <v>523</v>
      </c>
      <c r="H292" s="265" t="s">
        <v>222</v>
      </c>
      <c r="I292" s="266">
        <v>206</v>
      </c>
    </row>
    <row r="293" spans="2:9" ht="15" x14ac:dyDescent="0.25">
      <c r="B293"/>
      <c r="C293"/>
      <c r="E293"/>
      <c r="F293"/>
    </row>
    <row r="297" spans="2:9" x14ac:dyDescent="0.2">
      <c r="B297" s="150"/>
    </row>
    <row r="298" spans="2:9" ht="13.5" thickBot="1" x14ac:dyDescent="0.25">
      <c r="B298" s="150"/>
    </row>
    <row r="299" spans="2:9" ht="13.5" thickBot="1" x14ac:dyDescent="0.25">
      <c r="B299" s="257" t="s">
        <v>206</v>
      </c>
      <c r="C299" s="258" t="s">
        <v>210</v>
      </c>
    </row>
    <row r="300" spans="2:9" ht="13.5" thickBot="1" x14ac:dyDescent="0.25"/>
    <row r="301" spans="2:9" x14ac:dyDescent="0.2">
      <c r="B301" s="261" t="s">
        <v>289</v>
      </c>
      <c r="C301" s="267" t="s">
        <v>236</v>
      </c>
      <c r="D301" s="268" t="s">
        <v>300</v>
      </c>
      <c r="E301" s="269" t="s">
        <v>213</v>
      </c>
    </row>
    <row r="302" spans="2:9" x14ac:dyDescent="0.2">
      <c r="B302" s="263" t="s">
        <v>154</v>
      </c>
      <c r="C302" s="151">
        <v>4</v>
      </c>
      <c r="D302" s="151">
        <v>1</v>
      </c>
      <c r="E302" s="264">
        <v>3</v>
      </c>
    </row>
    <row r="303" spans="2:9" x14ac:dyDescent="0.2">
      <c r="B303" s="263" t="s">
        <v>137</v>
      </c>
      <c r="C303" s="151">
        <v>21</v>
      </c>
      <c r="D303" s="151">
        <v>13</v>
      </c>
      <c r="E303" s="264">
        <v>8</v>
      </c>
    </row>
    <row r="304" spans="2:9" x14ac:dyDescent="0.2">
      <c r="B304" s="263" t="s">
        <v>174</v>
      </c>
      <c r="C304" s="151">
        <v>12</v>
      </c>
      <c r="D304" s="151">
        <v>4</v>
      </c>
      <c r="E304" s="264">
        <v>8</v>
      </c>
    </row>
    <row r="305" spans="2:5" x14ac:dyDescent="0.2">
      <c r="B305" s="263" t="s">
        <v>156</v>
      </c>
      <c r="C305" s="151">
        <v>21</v>
      </c>
      <c r="D305" s="151">
        <v>1</v>
      </c>
      <c r="E305" s="264">
        <v>20</v>
      </c>
    </row>
    <row r="306" spans="2:5" x14ac:dyDescent="0.2">
      <c r="B306" s="263" t="s">
        <v>157</v>
      </c>
      <c r="C306" s="151">
        <v>15</v>
      </c>
      <c r="D306" s="151">
        <v>2</v>
      </c>
      <c r="E306" s="264">
        <v>13</v>
      </c>
    </row>
    <row r="307" spans="2:5" x14ac:dyDescent="0.2">
      <c r="B307" s="263" t="s">
        <v>158</v>
      </c>
      <c r="C307" s="151">
        <v>3</v>
      </c>
      <c r="D307" s="151">
        <v>1</v>
      </c>
      <c r="E307" s="264">
        <v>2</v>
      </c>
    </row>
    <row r="308" spans="2:5" x14ac:dyDescent="0.2">
      <c r="B308" s="263" t="s">
        <v>159</v>
      </c>
      <c r="C308" s="151">
        <v>13</v>
      </c>
      <c r="D308" s="151">
        <v>1</v>
      </c>
      <c r="E308" s="264">
        <v>12</v>
      </c>
    </row>
    <row r="309" spans="2:5" x14ac:dyDescent="0.2">
      <c r="B309" s="263" t="s">
        <v>160</v>
      </c>
      <c r="C309" s="151">
        <v>4</v>
      </c>
      <c r="D309" s="151">
        <v>1</v>
      </c>
      <c r="E309" s="264">
        <v>3</v>
      </c>
    </row>
    <row r="310" spans="2:5" x14ac:dyDescent="0.2">
      <c r="B310" s="263" t="s">
        <v>161</v>
      </c>
      <c r="C310" s="151">
        <v>10</v>
      </c>
      <c r="D310" s="151">
        <v>1</v>
      </c>
      <c r="E310" s="264">
        <v>9</v>
      </c>
    </row>
    <row r="311" spans="2:5" x14ac:dyDescent="0.2">
      <c r="B311" s="263" t="s">
        <v>175</v>
      </c>
      <c r="C311" s="151">
        <v>6</v>
      </c>
      <c r="D311" s="151">
        <v>3</v>
      </c>
      <c r="E311" s="264">
        <v>3</v>
      </c>
    </row>
    <row r="312" spans="2:5" x14ac:dyDescent="0.2">
      <c r="B312" s="263" t="s">
        <v>163</v>
      </c>
      <c r="C312" s="151">
        <v>5</v>
      </c>
      <c r="D312" s="151">
        <v>1</v>
      </c>
      <c r="E312" s="264">
        <v>4</v>
      </c>
    </row>
    <row r="313" spans="2:5" x14ac:dyDescent="0.2">
      <c r="B313" s="263" t="s">
        <v>164</v>
      </c>
      <c r="C313" s="151">
        <v>14</v>
      </c>
      <c r="D313" s="151">
        <v>7</v>
      </c>
      <c r="E313" s="264">
        <v>7</v>
      </c>
    </row>
    <row r="314" spans="2:5" x14ac:dyDescent="0.2">
      <c r="B314" s="263" t="s">
        <v>165</v>
      </c>
      <c r="C314" s="151">
        <v>12</v>
      </c>
      <c r="D314" s="151">
        <v>0</v>
      </c>
      <c r="E314" s="264">
        <v>12</v>
      </c>
    </row>
    <row r="315" spans="2:5" x14ac:dyDescent="0.2">
      <c r="B315" s="263" t="s">
        <v>176</v>
      </c>
      <c r="C315" s="151">
        <v>81</v>
      </c>
      <c r="D315" s="151">
        <v>3</v>
      </c>
      <c r="E315" s="264">
        <v>78</v>
      </c>
    </row>
    <row r="316" spans="2:5" x14ac:dyDescent="0.2">
      <c r="B316" s="263" t="s">
        <v>140</v>
      </c>
      <c r="C316" s="151">
        <v>9</v>
      </c>
      <c r="D316" s="151">
        <v>3</v>
      </c>
      <c r="E316" s="264">
        <v>6</v>
      </c>
    </row>
    <row r="317" spans="2:5" x14ac:dyDescent="0.2">
      <c r="B317" s="263" t="s">
        <v>167</v>
      </c>
      <c r="C317" s="151">
        <v>12</v>
      </c>
      <c r="D317" s="151">
        <v>2</v>
      </c>
      <c r="E317" s="264">
        <v>10</v>
      </c>
    </row>
    <row r="318" spans="2:5" x14ac:dyDescent="0.2">
      <c r="B318" s="263" t="s">
        <v>168</v>
      </c>
      <c r="C318" s="151">
        <v>10</v>
      </c>
      <c r="D318" s="151">
        <v>3</v>
      </c>
      <c r="E318" s="264">
        <v>7</v>
      </c>
    </row>
    <row r="319" spans="2:5" x14ac:dyDescent="0.2">
      <c r="B319" s="263" t="s">
        <v>144</v>
      </c>
      <c r="C319" s="151">
        <v>3</v>
      </c>
      <c r="D319" s="151">
        <v>2</v>
      </c>
      <c r="E319" s="264">
        <v>1</v>
      </c>
    </row>
    <row r="320" spans="2:5" ht="13.5" thickBot="1" x14ac:dyDescent="0.25">
      <c r="B320" s="265" t="s">
        <v>222</v>
      </c>
      <c r="C320" s="270">
        <v>255</v>
      </c>
      <c r="D320" s="270">
        <v>49</v>
      </c>
      <c r="E320" s="266">
        <v>206</v>
      </c>
    </row>
    <row r="324" spans="2:10" ht="13.5" thickBot="1" x14ac:dyDescent="0.25">
      <c r="B324" s="150" t="s">
        <v>282</v>
      </c>
    </row>
    <row r="325" spans="2:10" ht="13.5" thickBot="1" x14ac:dyDescent="0.25">
      <c r="B325" s="257" t="s">
        <v>206</v>
      </c>
      <c r="C325" s="258" t="s">
        <v>210</v>
      </c>
    </row>
    <row r="326" spans="2:10" ht="13.5" thickBot="1" x14ac:dyDescent="0.25">
      <c r="B326" s="257" t="s">
        <v>220</v>
      </c>
      <c r="C326" s="258" t="s">
        <v>221</v>
      </c>
    </row>
    <row r="327" spans="2:10" ht="13.5" thickBot="1" x14ac:dyDescent="0.25"/>
    <row r="328" spans="2:10" x14ac:dyDescent="0.2">
      <c r="B328" s="261" t="s">
        <v>289</v>
      </c>
      <c r="C328" s="268" t="s">
        <v>290</v>
      </c>
      <c r="D328" s="268" t="s">
        <v>291</v>
      </c>
      <c r="E328" s="268" t="s">
        <v>292</v>
      </c>
      <c r="F328" s="268" t="s">
        <v>293</v>
      </c>
      <c r="G328" s="268" t="s">
        <v>294</v>
      </c>
      <c r="H328" s="268" t="s">
        <v>295</v>
      </c>
      <c r="I328" s="262" t="s">
        <v>296</v>
      </c>
    </row>
    <row r="329" spans="2:10" x14ac:dyDescent="0.2">
      <c r="B329" s="263" t="s">
        <v>254</v>
      </c>
      <c r="C329" s="151">
        <v>34</v>
      </c>
      <c r="D329" s="151">
        <v>80</v>
      </c>
      <c r="E329" s="151">
        <v>16</v>
      </c>
      <c r="F329" s="151">
        <v>10</v>
      </c>
      <c r="G329" s="151">
        <v>5</v>
      </c>
      <c r="H329" s="151">
        <v>1</v>
      </c>
      <c r="I329" s="264">
        <v>0</v>
      </c>
    </row>
    <row r="330" spans="2:10" x14ac:dyDescent="0.2">
      <c r="B330" s="263" t="s">
        <v>250</v>
      </c>
      <c r="C330" s="151">
        <v>10</v>
      </c>
      <c r="D330" s="151">
        <v>2</v>
      </c>
      <c r="E330" s="151">
        <v>5</v>
      </c>
      <c r="F330" s="151">
        <v>0</v>
      </c>
      <c r="G330" s="151">
        <v>0</v>
      </c>
      <c r="H330" s="151">
        <v>0</v>
      </c>
      <c r="I330" s="264">
        <v>0</v>
      </c>
    </row>
    <row r="331" spans="2:10" ht="13.5" thickBot="1" x14ac:dyDescent="0.25">
      <c r="B331" s="265" t="s">
        <v>222</v>
      </c>
      <c r="C331" s="270">
        <v>44</v>
      </c>
      <c r="D331" s="270">
        <v>82</v>
      </c>
      <c r="E331" s="270">
        <v>21</v>
      </c>
      <c r="F331" s="270">
        <v>10</v>
      </c>
      <c r="G331" s="270">
        <v>5</v>
      </c>
      <c r="H331" s="270">
        <v>1</v>
      </c>
      <c r="I331" s="266">
        <v>0</v>
      </c>
      <c r="J331" s="155"/>
    </row>
    <row r="332" spans="2:10" ht="15" x14ac:dyDescent="0.25">
      <c r="B332"/>
      <c r="C332"/>
      <c r="D332"/>
      <c r="E332"/>
      <c r="F332"/>
      <c r="G332"/>
      <c r="H332"/>
      <c r="I332"/>
    </row>
    <row r="335" spans="2:10" ht="13.5" thickBot="1" x14ac:dyDescent="0.25">
      <c r="B335" s="150" t="s">
        <v>283</v>
      </c>
    </row>
    <row r="336" spans="2:10" ht="13.5" thickBot="1" x14ac:dyDescent="0.25">
      <c r="B336" s="257" t="s">
        <v>206</v>
      </c>
      <c r="C336" s="258" t="s">
        <v>218</v>
      </c>
    </row>
    <row r="337" spans="2:10" ht="13.5" thickBot="1" x14ac:dyDescent="0.25">
      <c r="B337" s="257" t="s">
        <v>220</v>
      </c>
      <c r="C337" s="258" t="s">
        <v>221</v>
      </c>
    </row>
    <row r="338" spans="2:10" ht="13.5" thickBot="1" x14ac:dyDescent="0.25"/>
    <row r="339" spans="2:10" x14ac:dyDescent="0.2">
      <c r="B339" s="261" t="s">
        <v>289</v>
      </c>
      <c r="C339" s="268" t="s">
        <v>290</v>
      </c>
      <c r="D339" s="268" t="s">
        <v>291</v>
      </c>
      <c r="E339" s="268" t="s">
        <v>292</v>
      </c>
      <c r="F339" s="268" t="s">
        <v>293</v>
      </c>
      <c r="G339" s="268" t="s">
        <v>294</v>
      </c>
      <c r="H339" s="268" t="s">
        <v>295</v>
      </c>
      <c r="I339" s="262" t="s">
        <v>296</v>
      </c>
    </row>
    <row r="340" spans="2:10" x14ac:dyDescent="0.2">
      <c r="B340" s="263" t="s">
        <v>254</v>
      </c>
      <c r="C340" s="151">
        <v>87</v>
      </c>
      <c r="D340" s="151">
        <v>132</v>
      </c>
      <c r="E340" s="151">
        <v>39</v>
      </c>
      <c r="F340" s="151">
        <v>30</v>
      </c>
      <c r="G340" s="151">
        <v>4</v>
      </c>
      <c r="H340" s="151">
        <v>2</v>
      </c>
      <c r="I340" s="264">
        <v>0</v>
      </c>
    </row>
    <row r="341" spans="2:10" x14ac:dyDescent="0.2">
      <c r="B341" s="263" t="s">
        <v>250</v>
      </c>
      <c r="C341" s="151">
        <v>6</v>
      </c>
      <c r="D341" s="151">
        <v>14</v>
      </c>
      <c r="E341" s="151">
        <v>8</v>
      </c>
      <c r="F341" s="151">
        <v>7</v>
      </c>
      <c r="G341" s="151">
        <v>0</v>
      </c>
      <c r="H341" s="151">
        <v>0</v>
      </c>
      <c r="I341" s="264">
        <v>0</v>
      </c>
    </row>
    <row r="342" spans="2:10" x14ac:dyDescent="0.2">
      <c r="B342" s="263" t="s">
        <v>187</v>
      </c>
      <c r="C342" s="151">
        <v>15</v>
      </c>
      <c r="D342" s="151">
        <v>12</v>
      </c>
      <c r="E342" s="151">
        <v>0</v>
      </c>
      <c r="F342" s="151">
        <v>0</v>
      </c>
      <c r="G342" s="151">
        <v>0</v>
      </c>
      <c r="H342" s="151">
        <v>0</v>
      </c>
      <c r="I342" s="264">
        <v>0</v>
      </c>
      <c r="J342" s="155"/>
    </row>
    <row r="343" spans="2:10" x14ac:dyDescent="0.2">
      <c r="B343" s="263" t="s">
        <v>301</v>
      </c>
      <c r="C343" s="151">
        <v>-5</v>
      </c>
      <c r="D343" s="151">
        <v>-1</v>
      </c>
      <c r="E343" s="151">
        <v>0</v>
      </c>
      <c r="F343" s="151">
        <v>0</v>
      </c>
      <c r="G343" s="151">
        <v>0</v>
      </c>
      <c r="H343" s="151">
        <v>0</v>
      </c>
      <c r="I343" s="264">
        <v>0</v>
      </c>
      <c r="J343" s="155"/>
    </row>
    <row r="344" spans="2:10" ht="13.5" thickBot="1" x14ac:dyDescent="0.25">
      <c r="B344" s="265" t="s">
        <v>222</v>
      </c>
      <c r="C344" s="270">
        <v>103</v>
      </c>
      <c r="D344" s="270">
        <v>157</v>
      </c>
      <c r="E344" s="270">
        <v>47</v>
      </c>
      <c r="F344" s="270">
        <v>37</v>
      </c>
      <c r="G344" s="270">
        <v>4</v>
      </c>
      <c r="H344" s="270">
        <v>2</v>
      </c>
      <c r="I344" s="266">
        <v>0</v>
      </c>
      <c r="J344" s="155"/>
    </row>
    <row r="345" spans="2:10" ht="15" x14ac:dyDescent="0.25">
      <c r="B345"/>
      <c r="C345"/>
      <c r="D345"/>
      <c r="E345"/>
      <c r="F345"/>
      <c r="G345"/>
      <c r="H345"/>
      <c r="I345"/>
    </row>
    <row r="346" spans="2:10" x14ac:dyDescent="0.2">
      <c r="B346" s="150"/>
    </row>
    <row r="347" spans="2:10" x14ac:dyDescent="0.2">
      <c r="B347" s="150"/>
    </row>
    <row r="348" spans="2:10" ht="13.5" thickBot="1" x14ac:dyDescent="0.25">
      <c r="B348" s="150" t="s">
        <v>284</v>
      </c>
    </row>
    <row r="349" spans="2:10" ht="13.5" thickBot="1" x14ac:dyDescent="0.25">
      <c r="B349" s="257" t="s">
        <v>206</v>
      </c>
      <c r="C349" s="258" t="s">
        <v>224</v>
      </c>
    </row>
    <row r="350" spans="2:10" ht="13.5" thickBot="1" x14ac:dyDescent="0.25">
      <c r="B350" s="257" t="s">
        <v>220</v>
      </c>
      <c r="C350" s="258" t="s">
        <v>221</v>
      </c>
    </row>
    <row r="351" spans="2:10" ht="13.5" thickBot="1" x14ac:dyDescent="0.25"/>
    <row r="352" spans="2:10" x14ac:dyDescent="0.2">
      <c r="B352" s="261" t="s">
        <v>289</v>
      </c>
      <c r="C352" s="268" t="s">
        <v>290</v>
      </c>
      <c r="D352" s="268" t="s">
        <v>291</v>
      </c>
      <c r="E352" s="268" t="s">
        <v>292</v>
      </c>
      <c r="F352" s="268" t="s">
        <v>293</v>
      </c>
      <c r="G352" s="268" t="s">
        <v>294</v>
      </c>
      <c r="H352" s="268" t="s">
        <v>295</v>
      </c>
      <c r="I352" s="262" t="s">
        <v>296</v>
      </c>
    </row>
    <row r="353" spans="2:10" x14ac:dyDescent="0.2">
      <c r="B353" s="263" t="s">
        <v>254</v>
      </c>
      <c r="C353" s="151">
        <v>115</v>
      </c>
      <c r="D353" s="151">
        <v>168</v>
      </c>
      <c r="E353" s="151">
        <v>42</v>
      </c>
      <c r="F353" s="151">
        <v>18</v>
      </c>
      <c r="G353" s="151">
        <v>7</v>
      </c>
      <c r="H353" s="151">
        <v>0</v>
      </c>
      <c r="I353" s="264">
        <v>1</v>
      </c>
    </row>
    <row r="354" spans="2:10" x14ac:dyDescent="0.2">
      <c r="B354" s="263" t="s">
        <v>250</v>
      </c>
      <c r="C354" s="151">
        <v>15</v>
      </c>
      <c r="D354" s="151">
        <v>12</v>
      </c>
      <c r="E354" s="151">
        <v>6</v>
      </c>
      <c r="F354" s="151">
        <v>0</v>
      </c>
      <c r="G354" s="151">
        <v>0</v>
      </c>
      <c r="H354" s="151">
        <v>0</v>
      </c>
      <c r="I354" s="264">
        <v>0</v>
      </c>
    </row>
    <row r="355" spans="2:10" x14ac:dyDescent="0.2">
      <c r="B355" s="263" t="s">
        <v>187</v>
      </c>
      <c r="C355" s="151">
        <v>9</v>
      </c>
      <c r="D355" s="151">
        <v>7</v>
      </c>
      <c r="E355" s="151">
        <v>3</v>
      </c>
      <c r="F355" s="151">
        <v>0</v>
      </c>
      <c r="G355" s="151">
        <v>0</v>
      </c>
      <c r="H355" s="151">
        <v>0</v>
      </c>
      <c r="I355" s="264">
        <v>0</v>
      </c>
      <c r="J355" s="155"/>
    </row>
    <row r="356" spans="2:10" ht="13.5" thickBot="1" x14ac:dyDescent="0.25">
      <c r="B356" s="265" t="s">
        <v>222</v>
      </c>
      <c r="C356" s="270">
        <v>139</v>
      </c>
      <c r="D356" s="270">
        <v>187</v>
      </c>
      <c r="E356" s="270">
        <v>51</v>
      </c>
      <c r="F356" s="270">
        <v>18</v>
      </c>
      <c r="G356" s="270">
        <v>7</v>
      </c>
      <c r="H356" s="270">
        <v>0</v>
      </c>
      <c r="I356" s="266">
        <v>1</v>
      </c>
    </row>
    <row r="357" spans="2:10" ht="15" x14ac:dyDescent="0.25">
      <c r="B357"/>
      <c r="C357"/>
      <c r="D357"/>
      <c r="E357"/>
      <c r="F357"/>
      <c r="G357"/>
      <c r="H357"/>
      <c r="I357"/>
    </row>
    <row r="362" spans="2:10" x14ac:dyDescent="0.2">
      <c r="B362" s="150"/>
      <c r="E362" s="150"/>
      <c r="H362" s="150"/>
    </row>
    <row r="363" spans="2:10" ht="13.5" thickBot="1" x14ac:dyDescent="0.25">
      <c r="B363" s="151" t="s">
        <v>200</v>
      </c>
      <c r="E363" s="151" t="s">
        <v>66</v>
      </c>
      <c r="H363" s="151" t="s">
        <v>201</v>
      </c>
    </row>
    <row r="364" spans="2:10" ht="13.5" thickBot="1" x14ac:dyDescent="0.25">
      <c r="B364" s="257" t="s">
        <v>206</v>
      </c>
      <c r="C364" s="258" t="s">
        <v>218</v>
      </c>
      <c r="E364" s="257" t="s">
        <v>206</v>
      </c>
      <c r="F364" s="258" t="s">
        <v>224</v>
      </c>
      <c r="H364" s="257" t="s">
        <v>206</v>
      </c>
      <c r="I364" s="258" t="s">
        <v>218</v>
      </c>
    </row>
    <row r="365" spans="2:10" ht="13.5" thickBot="1" x14ac:dyDescent="0.25">
      <c r="B365" s="257" t="s">
        <v>225</v>
      </c>
      <c r="C365" s="258" t="s">
        <v>227</v>
      </c>
      <c r="E365" s="257" t="s">
        <v>225</v>
      </c>
      <c r="F365" s="258" t="s">
        <v>221</v>
      </c>
      <c r="H365" s="257" t="s">
        <v>225</v>
      </c>
      <c r="I365" s="258" t="s">
        <v>227</v>
      </c>
    </row>
    <row r="366" spans="2:10" ht="13.5" thickBot="1" x14ac:dyDescent="0.25">
      <c r="B366" s="257" t="s">
        <v>220</v>
      </c>
      <c r="C366" s="258" t="s">
        <v>221</v>
      </c>
      <c r="E366" s="257" t="s">
        <v>220</v>
      </c>
      <c r="F366" s="258" t="s">
        <v>221</v>
      </c>
      <c r="H366" s="257" t="s">
        <v>220</v>
      </c>
      <c r="I366" s="258" t="s">
        <v>221</v>
      </c>
    </row>
    <row r="367" spans="2:10" ht="13.5" thickBot="1" x14ac:dyDescent="0.25"/>
    <row r="368" spans="2:10" x14ac:dyDescent="0.2">
      <c r="B368" s="261" t="s">
        <v>289</v>
      </c>
      <c r="C368" s="262" t="s">
        <v>213</v>
      </c>
      <c r="E368" s="261" t="s">
        <v>289</v>
      </c>
      <c r="F368" s="262" t="s">
        <v>213</v>
      </c>
      <c r="H368" s="261" t="s">
        <v>289</v>
      </c>
      <c r="I368" s="262" t="s">
        <v>213</v>
      </c>
    </row>
    <row r="369" spans="2:9" x14ac:dyDescent="0.2">
      <c r="B369" s="263" t="s">
        <v>154</v>
      </c>
      <c r="C369" s="264">
        <v>0</v>
      </c>
      <c r="E369" s="263" t="s">
        <v>154</v>
      </c>
      <c r="F369" s="264">
        <v>0</v>
      </c>
      <c r="H369" s="263" t="s">
        <v>154</v>
      </c>
      <c r="I369" s="264">
        <v>1</v>
      </c>
    </row>
    <row r="370" spans="2:9" x14ac:dyDescent="0.2">
      <c r="B370" s="263" t="s">
        <v>137</v>
      </c>
      <c r="C370" s="264">
        <v>0</v>
      </c>
      <c r="E370" s="263" t="s">
        <v>137</v>
      </c>
      <c r="F370" s="264">
        <v>10</v>
      </c>
      <c r="H370" s="263" t="s">
        <v>137</v>
      </c>
      <c r="I370" s="264">
        <v>4</v>
      </c>
    </row>
    <row r="371" spans="2:9" x14ac:dyDescent="0.2">
      <c r="B371" s="263" t="s">
        <v>174</v>
      </c>
      <c r="C371" s="264">
        <v>4</v>
      </c>
      <c r="E371" s="263" t="s">
        <v>174</v>
      </c>
      <c r="F371" s="264">
        <v>44</v>
      </c>
      <c r="H371" s="263" t="s">
        <v>174</v>
      </c>
      <c r="I371" s="264">
        <v>8</v>
      </c>
    </row>
    <row r="372" spans="2:9" x14ac:dyDescent="0.2">
      <c r="B372" s="263" t="s">
        <v>156</v>
      </c>
      <c r="C372" s="264">
        <v>3</v>
      </c>
      <c r="E372" s="263" t="s">
        <v>156</v>
      </c>
      <c r="F372" s="264">
        <v>0</v>
      </c>
      <c r="H372" s="263" t="s">
        <v>156</v>
      </c>
      <c r="I372" s="264">
        <v>-4</v>
      </c>
    </row>
    <row r="373" spans="2:9" x14ac:dyDescent="0.2">
      <c r="B373" s="263" t="s">
        <v>157</v>
      </c>
      <c r="C373" s="264">
        <v>2</v>
      </c>
      <c r="E373" s="263" t="s">
        <v>157</v>
      </c>
      <c r="F373" s="264">
        <v>43</v>
      </c>
      <c r="H373" s="263" t="s">
        <v>157</v>
      </c>
      <c r="I373" s="264">
        <v>17</v>
      </c>
    </row>
    <row r="374" spans="2:9" x14ac:dyDescent="0.2">
      <c r="B374" s="263" t="s">
        <v>159</v>
      </c>
      <c r="C374" s="264">
        <v>60</v>
      </c>
      <c r="E374" s="263" t="s">
        <v>158</v>
      </c>
      <c r="F374" s="264">
        <v>15</v>
      </c>
      <c r="H374" s="263" t="s">
        <v>158</v>
      </c>
      <c r="I374" s="264">
        <v>1</v>
      </c>
    </row>
    <row r="375" spans="2:9" x14ac:dyDescent="0.2">
      <c r="B375" s="263" t="s">
        <v>160</v>
      </c>
      <c r="C375" s="264">
        <v>1</v>
      </c>
      <c r="E375" s="263" t="s">
        <v>159</v>
      </c>
      <c r="F375" s="264">
        <v>3</v>
      </c>
      <c r="H375" s="263" t="s">
        <v>159</v>
      </c>
      <c r="I375" s="264">
        <v>14</v>
      </c>
    </row>
    <row r="376" spans="2:9" x14ac:dyDescent="0.2">
      <c r="B376" s="263" t="s">
        <v>161</v>
      </c>
      <c r="C376" s="264">
        <v>34</v>
      </c>
      <c r="E376" s="263" t="s">
        <v>160</v>
      </c>
      <c r="F376" s="264">
        <v>15</v>
      </c>
      <c r="H376" s="263" t="s">
        <v>161</v>
      </c>
      <c r="I376" s="264">
        <v>1</v>
      </c>
    </row>
    <row r="377" spans="2:9" x14ac:dyDescent="0.2">
      <c r="B377" s="263" t="s">
        <v>175</v>
      </c>
      <c r="C377" s="264">
        <v>3</v>
      </c>
      <c r="E377" s="263" t="s">
        <v>161</v>
      </c>
      <c r="F377" s="264">
        <v>89</v>
      </c>
      <c r="H377" s="263" t="s">
        <v>175</v>
      </c>
      <c r="I377" s="264">
        <v>5</v>
      </c>
    </row>
    <row r="378" spans="2:9" x14ac:dyDescent="0.2">
      <c r="B378" s="263" t="s">
        <v>164</v>
      </c>
      <c r="C378" s="264">
        <v>11</v>
      </c>
      <c r="E378" s="263" t="s">
        <v>175</v>
      </c>
      <c r="F378" s="264">
        <v>96</v>
      </c>
      <c r="H378" s="263" t="s">
        <v>163</v>
      </c>
      <c r="I378" s="264">
        <v>75</v>
      </c>
    </row>
    <row r="379" spans="2:9" x14ac:dyDescent="0.2">
      <c r="B379" s="263" t="s">
        <v>165</v>
      </c>
      <c r="C379" s="264">
        <v>1</v>
      </c>
      <c r="E379" s="263" t="s">
        <v>163</v>
      </c>
      <c r="F379" s="264">
        <v>6</v>
      </c>
      <c r="H379" s="263" t="s">
        <v>164</v>
      </c>
      <c r="I379" s="264">
        <v>7</v>
      </c>
    </row>
    <row r="380" spans="2:9" x14ac:dyDescent="0.2">
      <c r="B380" s="263" t="s">
        <v>176</v>
      </c>
      <c r="C380" s="264">
        <v>210</v>
      </c>
      <c r="E380" s="263" t="s">
        <v>164</v>
      </c>
      <c r="F380" s="264">
        <v>3</v>
      </c>
      <c r="H380" s="263" t="s">
        <v>165</v>
      </c>
      <c r="I380" s="264">
        <v>11</v>
      </c>
    </row>
    <row r="381" spans="2:9" x14ac:dyDescent="0.2">
      <c r="B381" s="263" t="s">
        <v>140</v>
      </c>
      <c r="C381" s="264">
        <v>23</v>
      </c>
      <c r="E381" s="263" t="s">
        <v>165</v>
      </c>
      <c r="F381" s="264">
        <v>16</v>
      </c>
      <c r="H381" s="263" t="s">
        <v>176</v>
      </c>
      <c r="I381" s="264">
        <v>4</v>
      </c>
    </row>
    <row r="382" spans="2:9" x14ac:dyDescent="0.2">
      <c r="B382" s="263" t="s">
        <v>167</v>
      </c>
      <c r="C382" s="264">
        <v>2</v>
      </c>
      <c r="E382" s="263" t="s">
        <v>176</v>
      </c>
      <c r="F382" s="264">
        <v>4</v>
      </c>
      <c r="H382" s="263" t="s">
        <v>140</v>
      </c>
      <c r="I382" s="264">
        <v>20</v>
      </c>
    </row>
    <row r="383" spans="2:9" x14ac:dyDescent="0.2">
      <c r="B383" s="263" t="s">
        <v>168</v>
      </c>
      <c r="C383" s="264">
        <v>0</v>
      </c>
      <c r="E383" s="263" t="s">
        <v>140</v>
      </c>
      <c r="F383" s="264">
        <v>0</v>
      </c>
      <c r="H383" s="263" t="s">
        <v>167</v>
      </c>
      <c r="I383" s="264">
        <v>4</v>
      </c>
    </row>
    <row r="384" spans="2:9" x14ac:dyDescent="0.2">
      <c r="B384" s="263" t="s">
        <v>144</v>
      </c>
      <c r="C384" s="264">
        <v>-4</v>
      </c>
      <c r="E384" s="263" t="s">
        <v>167</v>
      </c>
      <c r="F384" s="264">
        <v>55</v>
      </c>
      <c r="H384" s="263" t="s">
        <v>168</v>
      </c>
      <c r="I384" s="264">
        <v>5</v>
      </c>
    </row>
    <row r="385" spans="2:9" ht="13.5" thickBot="1" x14ac:dyDescent="0.25">
      <c r="B385" s="265" t="s">
        <v>222</v>
      </c>
      <c r="C385" s="266">
        <v>350</v>
      </c>
      <c r="E385" s="263" t="s">
        <v>168</v>
      </c>
      <c r="F385" s="264">
        <v>2</v>
      </c>
      <c r="H385" s="265" t="s">
        <v>222</v>
      </c>
      <c r="I385" s="266">
        <v>173</v>
      </c>
    </row>
    <row r="386" spans="2:9" ht="15" x14ac:dyDescent="0.25">
      <c r="B386"/>
      <c r="C386"/>
      <c r="E386" s="263" t="s">
        <v>144</v>
      </c>
      <c r="F386" s="264">
        <v>2</v>
      </c>
    </row>
    <row r="387" spans="2:9" ht="15.75" thickBot="1" x14ac:dyDescent="0.3">
      <c r="B387"/>
      <c r="C387"/>
      <c r="E387" s="265" t="s">
        <v>222</v>
      </c>
      <c r="F387" s="266">
        <v>403</v>
      </c>
    </row>
    <row r="388" spans="2:9" ht="15" x14ac:dyDescent="0.25">
      <c r="E388"/>
      <c r="F388"/>
    </row>
    <row r="394" spans="2:9" x14ac:dyDescent="0.2">
      <c r="B394" s="150" t="s">
        <v>302</v>
      </c>
      <c r="E394" s="150" t="s">
        <v>302</v>
      </c>
      <c r="H394" s="150" t="s">
        <v>302</v>
      </c>
    </row>
    <row r="395" spans="2:9" ht="13.5" thickBot="1" x14ac:dyDescent="0.25">
      <c r="B395" s="151" t="s">
        <v>202</v>
      </c>
      <c r="E395" s="151" t="s">
        <v>201</v>
      </c>
      <c r="H395" s="151" t="s">
        <v>202</v>
      </c>
    </row>
    <row r="396" spans="2:9" ht="13.5" thickBot="1" x14ac:dyDescent="0.25">
      <c r="B396" s="257" t="s">
        <v>206</v>
      </c>
      <c r="C396" s="258" t="s">
        <v>224</v>
      </c>
      <c r="E396" s="257" t="s">
        <v>206</v>
      </c>
      <c r="F396" s="258" t="s">
        <v>218</v>
      </c>
      <c r="H396" s="257" t="s">
        <v>206</v>
      </c>
      <c r="I396" s="258" t="s">
        <v>224</v>
      </c>
    </row>
    <row r="397" spans="2:9" ht="13.5" thickBot="1" x14ac:dyDescent="0.25">
      <c r="B397" s="257" t="s">
        <v>225</v>
      </c>
      <c r="C397" s="258" t="s">
        <v>221</v>
      </c>
      <c r="E397" s="257" t="s">
        <v>225</v>
      </c>
      <c r="F397" s="258" t="s">
        <v>228</v>
      </c>
      <c r="H397" s="257" t="s">
        <v>225</v>
      </c>
      <c r="I397" s="258" t="s">
        <v>228</v>
      </c>
    </row>
    <row r="398" spans="2:9" ht="13.5" thickBot="1" x14ac:dyDescent="0.25">
      <c r="B398" s="257" t="s">
        <v>220</v>
      </c>
      <c r="C398" s="258" t="s">
        <v>221</v>
      </c>
      <c r="E398" s="257" t="s">
        <v>220</v>
      </c>
      <c r="F398" s="258" t="s">
        <v>221</v>
      </c>
      <c r="H398" s="257" t="s">
        <v>220</v>
      </c>
      <c r="I398" s="258" t="s">
        <v>227</v>
      </c>
    </row>
    <row r="399" spans="2:9" ht="13.5" thickBot="1" x14ac:dyDescent="0.25"/>
    <row r="400" spans="2:9" x14ac:dyDescent="0.2">
      <c r="B400" s="261" t="s">
        <v>289</v>
      </c>
      <c r="C400" s="262" t="s">
        <v>213</v>
      </c>
      <c r="E400" s="261" t="s">
        <v>289</v>
      </c>
      <c r="F400" s="262" t="s">
        <v>213</v>
      </c>
      <c r="H400" s="261" t="s">
        <v>289</v>
      </c>
      <c r="I400" s="262" t="s">
        <v>213</v>
      </c>
    </row>
    <row r="401" spans="2:9" x14ac:dyDescent="0.2">
      <c r="B401" s="263" t="s">
        <v>154</v>
      </c>
      <c r="C401" s="264">
        <v>2</v>
      </c>
      <c r="E401" s="263" t="s">
        <v>154</v>
      </c>
      <c r="F401" s="264">
        <v>2</v>
      </c>
      <c r="H401" s="263" t="s">
        <v>137</v>
      </c>
      <c r="I401" s="264">
        <v>18</v>
      </c>
    </row>
    <row r="402" spans="2:9" x14ac:dyDescent="0.2">
      <c r="B402" s="263" t="s">
        <v>137</v>
      </c>
      <c r="C402" s="264">
        <v>2</v>
      </c>
      <c r="E402" s="263" t="s">
        <v>137</v>
      </c>
      <c r="F402" s="264">
        <v>1</v>
      </c>
      <c r="H402" s="263" t="s">
        <v>174</v>
      </c>
      <c r="I402" s="264">
        <v>7</v>
      </c>
    </row>
    <row r="403" spans="2:9" x14ac:dyDescent="0.2">
      <c r="B403" s="263" t="s">
        <v>174</v>
      </c>
      <c r="C403" s="264">
        <v>10</v>
      </c>
      <c r="E403" s="263" t="s">
        <v>174</v>
      </c>
      <c r="F403" s="264">
        <v>2</v>
      </c>
      <c r="H403" s="263" t="s">
        <v>157</v>
      </c>
      <c r="I403" s="264">
        <v>2</v>
      </c>
    </row>
    <row r="404" spans="2:9" x14ac:dyDescent="0.2">
      <c r="B404" s="263" t="s">
        <v>156</v>
      </c>
      <c r="C404" s="264">
        <v>1</v>
      </c>
      <c r="E404" s="263" t="s">
        <v>157</v>
      </c>
      <c r="F404" s="264">
        <v>14</v>
      </c>
      <c r="H404" s="263" t="s">
        <v>159</v>
      </c>
      <c r="I404" s="264">
        <v>1</v>
      </c>
    </row>
    <row r="405" spans="2:9" x14ac:dyDescent="0.2">
      <c r="B405" s="263" t="s">
        <v>157</v>
      </c>
      <c r="C405" s="264">
        <v>8</v>
      </c>
      <c r="E405" s="263" t="s">
        <v>158</v>
      </c>
      <c r="F405" s="264">
        <v>1</v>
      </c>
      <c r="H405" s="263" t="s">
        <v>161</v>
      </c>
      <c r="I405" s="264">
        <v>34</v>
      </c>
    </row>
    <row r="406" spans="2:9" x14ac:dyDescent="0.2">
      <c r="B406" s="263" t="s">
        <v>158</v>
      </c>
      <c r="C406" s="264">
        <v>1</v>
      </c>
      <c r="E406" s="263" t="s">
        <v>159</v>
      </c>
      <c r="F406" s="264">
        <v>8</v>
      </c>
      <c r="H406" s="263" t="s">
        <v>163</v>
      </c>
      <c r="I406" s="264">
        <v>2</v>
      </c>
    </row>
    <row r="407" spans="2:9" x14ac:dyDescent="0.2">
      <c r="B407" s="263" t="s">
        <v>159</v>
      </c>
      <c r="C407" s="264">
        <v>5</v>
      </c>
      <c r="E407" s="263" t="s">
        <v>175</v>
      </c>
      <c r="F407" s="264">
        <v>4</v>
      </c>
      <c r="H407" s="263" t="s">
        <v>165</v>
      </c>
      <c r="I407" s="264">
        <v>1</v>
      </c>
    </row>
    <row r="408" spans="2:9" x14ac:dyDescent="0.2">
      <c r="B408" s="263" t="s">
        <v>160</v>
      </c>
      <c r="C408" s="264">
        <v>2</v>
      </c>
      <c r="E408" s="263" t="s">
        <v>163</v>
      </c>
      <c r="F408" s="264">
        <v>1</v>
      </c>
      <c r="H408" s="263" t="s">
        <v>140</v>
      </c>
      <c r="I408" s="264">
        <v>9</v>
      </c>
    </row>
    <row r="409" spans="2:9" x14ac:dyDescent="0.2">
      <c r="B409" s="263" t="s">
        <v>161</v>
      </c>
      <c r="C409" s="264">
        <v>6</v>
      </c>
      <c r="E409" s="263" t="s">
        <v>165</v>
      </c>
      <c r="F409" s="264">
        <v>10</v>
      </c>
      <c r="H409" s="263" t="s">
        <v>167</v>
      </c>
      <c r="I409" s="264">
        <v>4</v>
      </c>
    </row>
    <row r="410" spans="2:9" ht="13.5" thickBot="1" x14ac:dyDescent="0.25">
      <c r="B410" s="263" t="s">
        <v>175</v>
      </c>
      <c r="C410" s="264">
        <v>1</v>
      </c>
      <c r="E410" s="263" t="s">
        <v>176</v>
      </c>
      <c r="F410" s="264">
        <v>4</v>
      </c>
      <c r="H410" s="265" t="s">
        <v>222</v>
      </c>
      <c r="I410" s="266">
        <v>78</v>
      </c>
    </row>
    <row r="411" spans="2:9" x14ac:dyDescent="0.2">
      <c r="B411" s="263" t="s">
        <v>163</v>
      </c>
      <c r="C411" s="264">
        <v>7</v>
      </c>
      <c r="E411" s="263" t="s">
        <v>140</v>
      </c>
      <c r="F411" s="264">
        <v>4</v>
      </c>
    </row>
    <row r="412" spans="2:9" ht="13.5" thickBot="1" x14ac:dyDescent="0.25">
      <c r="B412" s="263" t="s">
        <v>164</v>
      </c>
      <c r="C412" s="264">
        <v>3</v>
      </c>
      <c r="E412" s="265" t="s">
        <v>222</v>
      </c>
      <c r="F412" s="266">
        <v>51</v>
      </c>
    </row>
    <row r="413" spans="2:9" x14ac:dyDescent="0.2">
      <c r="B413" s="263" t="s">
        <v>165</v>
      </c>
      <c r="C413" s="264">
        <v>4</v>
      </c>
    </row>
    <row r="414" spans="2:9" x14ac:dyDescent="0.2">
      <c r="B414" s="263" t="s">
        <v>140</v>
      </c>
      <c r="C414" s="264">
        <v>2</v>
      </c>
    </row>
    <row r="415" spans="2:9" x14ac:dyDescent="0.2">
      <c r="B415" s="263" t="s">
        <v>167</v>
      </c>
      <c r="C415" s="264">
        <v>3</v>
      </c>
    </row>
    <row r="416" spans="2:9" x14ac:dyDescent="0.2">
      <c r="B416" s="263" t="s">
        <v>168</v>
      </c>
      <c r="C416" s="264">
        <v>1</v>
      </c>
    </row>
    <row r="417" spans="2:11" x14ac:dyDescent="0.2">
      <c r="B417" s="263" t="s">
        <v>144</v>
      </c>
      <c r="C417" s="264">
        <v>2</v>
      </c>
    </row>
    <row r="418" spans="2:11" ht="13.5" thickBot="1" x14ac:dyDescent="0.25">
      <c r="B418" s="265" t="s">
        <v>222</v>
      </c>
      <c r="C418" s="266">
        <v>60</v>
      </c>
    </row>
    <row r="419" spans="2:11" ht="15" x14ac:dyDescent="0.25">
      <c r="B419"/>
      <c r="C419"/>
    </row>
    <row r="423" spans="2:11" ht="13.5" thickBot="1" x14ac:dyDescent="0.25"/>
    <row r="424" spans="2:11" ht="13.5" thickBot="1" x14ac:dyDescent="0.25">
      <c r="B424" s="257" t="s">
        <v>206</v>
      </c>
      <c r="C424" s="258" t="s">
        <v>227</v>
      </c>
    </row>
    <row r="425" spans="2:11" ht="13.5" thickBot="1" x14ac:dyDescent="0.25"/>
    <row r="426" spans="2:11" x14ac:dyDescent="0.2">
      <c r="B426" s="261" t="s">
        <v>303</v>
      </c>
      <c r="C426" s="268" t="s">
        <v>304</v>
      </c>
      <c r="D426" s="268" t="s">
        <v>305</v>
      </c>
      <c r="E426" s="268" t="s">
        <v>306</v>
      </c>
      <c r="F426" s="268" t="s">
        <v>307</v>
      </c>
      <c r="G426" s="268" t="s">
        <v>308</v>
      </c>
      <c r="H426" s="268" t="s">
        <v>309</v>
      </c>
      <c r="I426" s="268" t="s">
        <v>310</v>
      </c>
      <c r="J426" s="268" t="s">
        <v>311</v>
      </c>
      <c r="K426" s="262" t="s">
        <v>312</v>
      </c>
    </row>
    <row r="427" spans="2:11" ht="13.5" thickBot="1" x14ac:dyDescent="0.25">
      <c r="B427" s="278">
        <v>217.25</v>
      </c>
      <c r="C427" s="272">
        <v>338</v>
      </c>
      <c r="D427" s="272">
        <v>574.5</v>
      </c>
      <c r="E427" s="272">
        <v>432.5</v>
      </c>
      <c r="F427" s="272">
        <v>665</v>
      </c>
      <c r="G427" s="272">
        <v>510.25</v>
      </c>
      <c r="H427" s="272">
        <v>515.25</v>
      </c>
      <c r="I427" s="272">
        <v>515.25</v>
      </c>
      <c r="J427" s="272">
        <v>419</v>
      </c>
      <c r="K427" s="273">
        <v>419</v>
      </c>
    </row>
    <row r="431" spans="2:11" ht="13.5" thickBot="1" x14ac:dyDescent="0.25"/>
    <row r="432" spans="2:11" ht="13.5" thickBot="1" x14ac:dyDescent="0.25">
      <c r="B432" s="257" t="s">
        <v>206</v>
      </c>
      <c r="C432" s="258" t="s">
        <v>221</v>
      </c>
    </row>
    <row r="433" spans="2:8" ht="13.5" thickBot="1" x14ac:dyDescent="0.25"/>
    <row r="434" spans="2:8" x14ac:dyDescent="0.2">
      <c r="B434" s="261" t="s">
        <v>289</v>
      </c>
      <c r="C434" s="268" t="s">
        <v>303</v>
      </c>
      <c r="D434" s="268" t="s">
        <v>304</v>
      </c>
      <c r="E434" s="268" t="s">
        <v>305</v>
      </c>
      <c r="F434" s="268" t="s">
        <v>306</v>
      </c>
      <c r="G434" s="268" t="s">
        <v>307</v>
      </c>
      <c r="H434" s="262" t="s">
        <v>313</v>
      </c>
    </row>
    <row r="435" spans="2:8" x14ac:dyDescent="0.2">
      <c r="B435" s="263" t="s">
        <v>174</v>
      </c>
      <c r="C435" s="274">
        <v>0</v>
      </c>
      <c r="D435" s="274">
        <v>0</v>
      </c>
      <c r="E435" s="274">
        <v>30</v>
      </c>
      <c r="F435" s="274">
        <v>0</v>
      </c>
      <c r="G435" s="274">
        <v>0</v>
      </c>
      <c r="H435" s="275">
        <v>30</v>
      </c>
    </row>
    <row r="436" spans="2:8" x14ac:dyDescent="0.2">
      <c r="B436" s="263" t="s">
        <v>156</v>
      </c>
      <c r="C436" s="274">
        <v>0</v>
      </c>
      <c r="D436" s="274">
        <v>0</v>
      </c>
      <c r="E436" s="274">
        <v>0</v>
      </c>
      <c r="F436" s="274">
        <v>0</v>
      </c>
      <c r="G436" s="274">
        <v>50</v>
      </c>
      <c r="H436" s="275">
        <v>50</v>
      </c>
    </row>
    <row r="437" spans="2:8" x14ac:dyDescent="0.2">
      <c r="B437" s="263" t="s">
        <v>175</v>
      </c>
      <c r="C437" s="274">
        <v>0</v>
      </c>
      <c r="D437" s="274">
        <v>0</v>
      </c>
      <c r="E437" s="274">
        <v>0</v>
      </c>
      <c r="F437" s="274">
        <v>0</v>
      </c>
      <c r="G437" s="274">
        <v>100</v>
      </c>
      <c r="H437" s="275">
        <v>100</v>
      </c>
    </row>
    <row r="438" spans="2:8" x14ac:dyDescent="0.2">
      <c r="B438" s="263" t="s">
        <v>163</v>
      </c>
      <c r="C438" s="274">
        <v>0</v>
      </c>
      <c r="D438" s="274">
        <v>0</v>
      </c>
      <c r="E438" s="274">
        <v>0</v>
      </c>
      <c r="F438" s="274">
        <v>0</v>
      </c>
      <c r="G438" s="274">
        <v>96.25</v>
      </c>
      <c r="H438" s="275">
        <v>96.25</v>
      </c>
    </row>
    <row r="439" spans="2:8" x14ac:dyDescent="0.2">
      <c r="B439" s="263" t="s">
        <v>165</v>
      </c>
      <c r="C439" s="274">
        <v>0</v>
      </c>
      <c r="D439" s="274">
        <v>0</v>
      </c>
      <c r="E439" s="274">
        <v>0</v>
      </c>
      <c r="F439" s="274">
        <v>20</v>
      </c>
      <c r="G439" s="274">
        <v>20</v>
      </c>
      <c r="H439" s="275">
        <v>40</v>
      </c>
    </row>
    <row r="440" spans="2:8" x14ac:dyDescent="0.2">
      <c r="B440" s="263" t="s">
        <v>140</v>
      </c>
      <c r="C440" s="274">
        <v>0</v>
      </c>
      <c r="D440" s="274">
        <v>0</v>
      </c>
      <c r="E440" s="274">
        <v>0</v>
      </c>
      <c r="F440" s="274">
        <v>0</v>
      </c>
      <c r="G440" s="274">
        <v>0</v>
      </c>
      <c r="H440" s="275">
        <v>0</v>
      </c>
    </row>
    <row r="441" spans="2:8" x14ac:dyDescent="0.2">
      <c r="B441" s="263" t="s">
        <v>167</v>
      </c>
      <c r="C441" s="274">
        <v>0</v>
      </c>
      <c r="D441" s="274">
        <v>0</v>
      </c>
      <c r="E441" s="274">
        <v>0</v>
      </c>
      <c r="F441" s="274">
        <v>10</v>
      </c>
      <c r="G441" s="274">
        <v>10</v>
      </c>
      <c r="H441" s="275">
        <v>20</v>
      </c>
    </row>
    <row r="442" spans="2:8" x14ac:dyDescent="0.2">
      <c r="B442" s="263" t="s">
        <v>144</v>
      </c>
      <c r="C442" s="274">
        <v>0</v>
      </c>
      <c r="D442" s="274">
        <v>0</v>
      </c>
      <c r="E442" s="274">
        <v>0</v>
      </c>
      <c r="F442" s="274">
        <v>32.5</v>
      </c>
      <c r="G442" s="274">
        <v>52.5</v>
      </c>
      <c r="H442" s="275">
        <v>85</v>
      </c>
    </row>
    <row r="443" spans="2:8" x14ac:dyDescent="0.2">
      <c r="B443" s="263" t="s">
        <v>314</v>
      </c>
      <c r="C443" s="274">
        <v>20</v>
      </c>
      <c r="D443" s="274">
        <v>20</v>
      </c>
      <c r="E443" s="274">
        <v>234</v>
      </c>
      <c r="F443" s="274">
        <v>234</v>
      </c>
      <c r="G443" s="274">
        <v>234</v>
      </c>
      <c r="H443" s="275">
        <v>742</v>
      </c>
    </row>
    <row r="444" spans="2:8" ht="13.5" thickBot="1" x14ac:dyDescent="0.25">
      <c r="B444" s="265" t="s">
        <v>222</v>
      </c>
      <c r="C444" s="276">
        <v>20</v>
      </c>
      <c r="D444" s="276">
        <v>20</v>
      </c>
      <c r="E444" s="276">
        <v>264</v>
      </c>
      <c r="F444" s="276">
        <v>296.5</v>
      </c>
      <c r="G444" s="276">
        <v>562.75</v>
      </c>
      <c r="H444" s="277">
        <v>1163.25</v>
      </c>
    </row>
    <row r="445" spans="2:8" ht="15" x14ac:dyDescent="0.25">
      <c r="B445"/>
      <c r="C445"/>
      <c r="D445"/>
      <c r="E445"/>
      <c r="F445"/>
      <c r="G445"/>
      <c r="H445"/>
    </row>
    <row r="446" spans="2:8" ht="15" x14ac:dyDescent="0.25">
      <c r="B446"/>
    </row>
    <row r="447" spans="2:8" ht="13.5" thickBot="1" x14ac:dyDescent="0.25"/>
    <row r="448" spans="2:8" ht="13.5" thickBot="1" x14ac:dyDescent="0.25">
      <c r="B448" s="257" t="s">
        <v>206</v>
      </c>
      <c r="C448" s="258" t="s">
        <v>221</v>
      </c>
    </row>
    <row r="449" spans="2:9" ht="13.5" thickBot="1" x14ac:dyDescent="0.25"/>
    <row r="450" spans="2:9" ht="15" x14ac:dyDescent="0.25">
      <c r="B450" s="261" t="s">
        <v>289</v>
      </c>
      <c r="C450" s="268" t="s">
        <v>308</v>
      </c>
      <c r="D450" s="268" t="s">
        <v>309</v>
      </c>
      <c r="E450" s="268" t="s">
        <v>310</v>
      </c>
      <c r="F450" s="268" t="s">
        <v>311</v>
      </c>
      <c r="G450" s="268" t="s">
        <v>312</v>
      </c>
      <c r="H450" s="262" t="s">
        <v>315</v>
      </c>
      <c r="I450"/>
    </row>
    <row r="451" spans="2:9" ht="15" x14ac:dyDescent="0.25">
      <c r="B451" s="263" t="s">
        <v>174</v>
      </c>
      <c r="C451" s="274">
        <v>0</v>
      </c>
      <c r="D451" s="274">
        <v>0</v>
      </c>
      <c r="E451" s="274">
        <v>0</v>
      </c>
      <c r="F451" s="274">
        <v>0</v>
      </c>
      <c r="G451" s="274">
        <v>0</v>
      </c>
      <c r="H451" s="275">
        <v>0</v>
      </c>
      <c r="I451"/>
    </row>
    <row r="452" spans="2:9" ht="15" x14ac:dyDescent="0.25">
      <c r="B452" s="263" t="s">
        <v>156</v>
      </c>
      <c r="C452" s="274">
        <v>100</v>
      </c>
      <c r="D452" s="274">
        <v>100</v>
      </c>
      <c r="E452" s="274">
        <v>100</v>
      </c>
      <c r="F452" s="274">
        <v>100</v>
      </c>
      <c r="G452" s="274">
        <v>100</v>
      </c>
      <c r="H452" s="275">
        <v>500</v>
      </c>
      <c r="I452"/>
    </row>
    <row r="453" spans="2:9" ht="15" x14ac:dyDescent="0.25">
      <c r="B453" s="263" t="s">
        <v>175</v>
      </c>
      <c r="C453" s="274">
        <v>80</v>
      </c>
      <c r="D453" s="274">
        <v>80</v>
      </c>
      <c r="E453" s="274">
        <v>80</v>
      </c>
      <c r="F453" s="274">
        <v>80</v>
      </c>
      <c r="G453" s="274">
        <v>80</v>
      </c>
      <c r="H453" s="275">
        <v>400</v>
      </c>
      <c r="I453"/>
    </row>
    <row r="454" spans="2:9" ht="15" x14ac:dyDescent="0.25">
      <c r="B454" s="263" t="s">
        <v>314</v>
      </c>
      <c r="C454" s="274">
        <v>234</v>
      </c>
      <c r="D454" s="274">
        <v>234</v>
      </c>
      <c r="E454" s="274">
        <v>234</v>
      </c>
      <c r="F454" s="274">
        <v>234</v>
      </c>
      <c r="G454" s="274">
        <v>234</v>
      </c>
      <c r="H454" s="275">
        <v>1170</v>
      </c>
      <c r="I454"/>
    </row>
    <row r="455" spans="2:9" ht="15" x14ac:dyDescent="0.25">
      <c r="B455" s="263" t="s">
        <v>163</v>
      </c>
      <c r="C455" s="274">
        <v>96.25</v>
      </c>
      <c r="D455" s="274">
        <v>96.25</v>
      </c>
      <c r="E455" s="274">
        <v>96.25</v>
      </c>
      <c r="F455" s="274">
        <v>0</v>
      </c>
      <c r="G455" s="274">
        <v>0</v>
      </c>
      <c r="H455" s="275">
        <v>288.75</v>
      </c>
      <c r="I455"/>
    </row>
    <row r="456" spans="2:9" ht="15" x14ac:dyDescent="0.25">
      <c r="B456" s="263" t="s">
        <v>165</v>
      </c>
      <c r="C456" s="274">
        <v>0</v>
      </c>
      <c r="D456" s="274">
        <v>0</v>
      </c>
      <c r="E456" s="274">
        <v>0</v>
      </c>
      <c r="F456" s="274">
        <v>0</v>
      </c>
      <c r="G456" s="274">
        <v>0</v>
      </c>
      <c r="H456" s="275">
        <v>0</v>
      </c>
      <c r="I456"/>
    </row>
    <row r="457" spans="2:9" ht="15" x14ac:dyDescent="0.25">
      <c r="B457" s="263" t="s">
        <v>140</v>
      </c>
      <c r="C457" s="274">
        <v>0</v>
      </c>
      <c r="D457" s="274">
        <v>5</v>
      </c>
      <c r="E457" s="274">
        <v>5</v>
      </c>
      <c r="F457" s="274">
        <v>5</v>
      </c>
      <c r="G457" s="274">
        <v>5</v>
      </c>
      <c r="H457" s="275">
        <v>20</v>
      </c>
      <c r="I457"/>
    </row>
    <row r="458" spans="2:9" ht="15" x14ac:dyDescent="0.25">
      <c r="B458" s="263" t="s">
        <v>167</v>
      </c>
      <c r="C458" s="274">
        <v>0</v>
      </c>
      <c r="D458" s="274">
        <v>0</v>
      </c>
      <c r="E458" s="274">
        <v>0</v>
      </c>
      <c r="F458" s="274">
        <v>0</v>
      </c>
      <c r="G458" s="274">
        <v>0</v>
      </c>
      <c r="H458" s="275">
        <v>0</v>
      </c>
      <c r="I458"/>
    </row>
    <row r="459" spans="2:9" ht="15" x14ac:dyDescent="0.25">
      <c r="B459" s="263" t="s">
        <v>144</v>
      </c>
      <c r="C459" s="274">
        <v>0</v>
      </c>
      <c r="D459" s="274">
        <v>0</v>
      </c>
      <c r="E459" s="274">
        <v>0</v>
      </c>
      <c r="F459" s="274">
        <v>0</v>
      </c>
      <c r="G459" s="274">
        <v>0</v>
      </c>
      <c r="H459" s="275">
        <v>0</v>
      </c>
      <c r="I459"/>
    </row>
    <row r="460" spans="2:9" ht="15.75" thickBot="1" x14ac:dyDescent="0.3">
      <c r="B460" s="265" t="s">
        <v>222</v>
      </c>
      <c r="C460" s="276">
        <v>510.25</v>
      </c>
      <c r="D460" s="276">
        <v>515.25</v>
      </c>
      <c r="E460" s="276">
        <v>515.25</v>
      </c>
      <c r="F460" s="276">
        <v>419</v>
      </c>
      <c r="G460" s="276">
        <v>419</v>
      </c>
      <c r="H460" s="277">
        <v>2378.75</v>
      </c>
      <c r="I460"/>
    </row>
    <row r="461" spans="2:9" ht="15" x14ac:dyDescent="0.25">
      <c r="B461"/>
      <c r="C461"/>
      <c r="D461"/>
      <c r="E461"/>
      <c r="F461"/>
      <c r="G461"/>
      <c r="H461"/>
    </row>
  </sheetData>
  <pageMargins left="0.7" right="0.7" top="0.75" bottom="0.75" header="0.3" footer="0.3"/>
  <pageSetup paperSize="9" orientation="portrait" r:id="rId86"/>
  <headerFooter>
    <oddHeader>&amp;L&amp;"Calibri"&amp;10&amp;K000000 Official&amp;1#_x000D_</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342"/>
  <sheetViews>
    <sheetView zoomScale="85" zoomScaleNormal="85" workbookViewId="0">
      <pane ySplit="1" topLeftCell="A2" activePane="bottomLeft" state="frozen"/>
      <selection pane="bottomLeft"/>
    </sheetView>
  </sheetViews>
  <sheetFormatPr defaultRowHeight="15" x14ac:dyDescent="0.25"/>
  <cols>
    <col min="1" max="1" width="16.5703125" style="2" bestFit="1" customWidth="1"/>
    <col min="2" max="3" width="14.85546875" style="2" customWidth="1"/>
    <col min="4" max="5" width="12" style="2" customWidth="1"/>
    <col min="6" max="6" width="11.42578125" style="2" customWidth="1"/>
    <col min="7" max="7" width="13.5703125" style="2" customWidth="1"/>
    <col min="8" max="9" width="23" style="2" customWidth="1"/>
    <col min="10" max="10" width="9.5703125" style="2" customWidth="1"/>
    <col min="11" max="11" width="50.7109375" style="2" customWidth="1"/>
    <col min="12" max="12" width="41.5703125" style="2" customWidth="1"/>
    <col min="13" max="13" width="10.42578125" style="2" customWidth="1"/>
    <col min="14" max="22" width="12.28515625" style="2" customWidth="1"/>
    <col min="23" max="23" width="15.5703125" style="2" customWidth="1"/>
    <col min="24" max="24" width="12.85546875" style="2" customWidth="1"/>
    <col min="25" max="31" width="12.28515625" style="2" customWidth="1"/>
    <col min="32" max="41" width="15.7109375" style="2" customWidth="1"/>
    <col min="42" max="42" width="15.140625" style="2" customWidth="1"/>
    <col min="43" max="43" width="8.85546875" style="180" customWidth="1"/>
    <col min="44" max="44" width="9.140625" style="2" customWidth="1"/>
    <col min="45" max="49" width="9.140625" style="180" customWidth="1"/>
    <col min="50" max="54" width="9.140625" style="2" customWidth="1"/>
    <col min="55" max="55" width="11.140625" style="2" bestFit="1" customWidth="1"/>
    <col min="56" max="56" width="12.28515625" style="2" customWidth="1"/>
    <col min="57" max="57" width="13.28515625" style="2" customWidth="1"/>
    <col min="58" max="58" width="18" style="2" customWidth="1"/>
    <col min="59" max="59" width="14" style="2" customWidth="1"/>
    <col min="60" max="60" width="9.42578125" style="2" customWidth="1"/>
    <col min="61" max="61" width="11.5703125" style="2" customWidth="1"/>
    <col min="62" max="62" width="7.7109375" style="2" customWidth="1"/>
    <col min="63" max="63" width="15.7109375" style="2" customWidth="1"/>
    <col min="64" max="71" width="16.28515625" style="2" customWidth="1"/>
    <col min="72" max="72" width="39.85546875" style="2" customWidth="1"/>
    <col min="73" max="16384" width="9.140625" style="2"/>
  </cols>
  <sheetData>
    <row r="1" spans="1:72" s="238" customFormat="1" ht="30.75" thickBot="1" x14ac:dyDescent="0.3">
      <c r="A1" s="238" t="s">
        <v>316</v>
      </c>
      <c r="B1" s="238" t="s">
        <v>220</v>
      </c>
      <c r="C1" s="238" t="s">
        <v>225</v>
      </c>
      <c r="D1" s="238" t="s">
        <v>317</v>
      </c>
      <c r="E1" s="238" t="s">
        <v>318</v>
      </c>
      <c r="F1" s="238" t="s">
        <v>319</v>
      </c>
      <c r="G1" s="238" t="s">
        <v>320</v>
      </c>
      <c r="H1" s="241" t="s">
        <v>206</v>
      </c>
      <c r="I1" s="241" t="s">
        <v>246</v>
      </c>
      <c r="J1" s="241" t="s">
        <v>321</v>
      </c>
      <c r="K1" s="238" t="s">
        <v>322</v>
      </c>
      <c r="L1" s="238" t="s">
        <v>323</v>
      </c>
      <c r="M1" s="238" t="s">
        <v>324</v>
      </c>
      <c r="N1" s="238" t="s">
        <v>325</v>
      </c>
      <c r="O1" s="238" t="s">
        <v>326</v>
      </c>
      <c r="P1" s="238" t="s">
        <v>327</v>
      </c>
      <c r="Q1" s="238" t="s">
        <v>328</v>
      </c>
      <c r="R1" s="238" t="s">
        <v>329</v>
      </c>
      <c r="S1" s="238" t="s">
        <v>330</v>
      </c>
      <c r="T1" s="238" t="s">
        <v>331</v>
      </c>
      <c r="U1" s="238" t="s">
        <v>332</v>
      </c>
      <c r="V1" s="238" t="s">
        <v>333</v>
      </c>
      <c r="W1" s="238" t="s">
        <v>334</v>
      </c>
      <c r="X1" s="238" t="s">
        <v>335</v>
      </c>
      <c r="Y1" s="238" t="s">
        <v>336</v>
      </c>
      <c r="Z1" s="238" t="s">
        <v>337</v>
      </c>
      <c r="AA1" s="238" t="s">
        <v>338</v>
      </c>
      <c r="AB1" s="238" t="s">
        <v>339</v>
      </c>
      <c r="AC1" s="238" t="s">
        <v>340</v>
      </c>
      <c r="AD1" s="238" t="s">
        <v>341</v>
      </c>
      <c r="AE1" s="238" t="s">
        <v>342</v>
      </c>
      <c r="AF1" s="238" t="s">
        <v>343</v>
      </c>
      <c r="AG1" s="238" t="s">
        <v>344</v>
      </c>
      <c r="AH1" s="238" t="s">
        <v>345</v>
      </c>
      <c r="AI1" s="238" t="s">
        <v>346</v>
      </c>
      <c r="AJ1" s="238" t="s">
        <v>347</v>
      </c>
      <c r="AK1" s="238" t="s">
        <v>348</v>
      </c>
      <c r="AL1" s="238" t="s">
        <v>349</v>
      </c>
      <c r="AM1" s="238" t="s">
        <v>350</v>
      </c>
      <c r="AN1" s="238" t="s">
        <v>351</v>
      </c>
      <c r="AO1" s="238" t="s">
        <v>352</v>
      </c>
      <c r="AP1" s="315" t="s">
        <v>353</v>
      </c>
      <c r="AQ1" s="239" t="s">
        <v>354</v>
      </c>
      <c r="AR1" s="305" t="s">
        <v>355</v>
      </c>
      <c r="AS1" s="306" t="s">
        <v>356</v>
      </c>
      <c r="AT1" s="307" t="s">
        <v>357</v>
      </c>
      <c r="AU1" s="239" t="s">
        <v>358</v>
      </c>
      <c r="AV1" s="239" t="s">
        <v>359</v>
      </c>
      <c r="AW1" s="308" t="s">
        <v>360</v>
      </c>
      <c r="AX1" s="238" t="s">
        <v>361</v>
      </c>
      <c r="AY1" s="238" t="s">
        <v>362</v>
      </c>
      <c r="AZ1" s="238" t="s">
        <v>363</v>
      </c>
      <c r="BA1" s="238" t="s">
        <v>364</v>
      </c>
      <c r="BB1" s="238" t="s">
        <v>365</v>
      </c>
      <c r="BC1" s="247" t="s">
        <v>366</v>
      </c>
      <c r="BD1" s="239" t="s">
        <v>367</v>
      </c>
      <c r="BE1" s="238" t="s">
        <v>368</v>
      </c>
      <c r="BF1" s="238" t="s">
        <v>369</v>
      </c>
      <c r="BG1" s="238" t="s">
        <v>370</v>
      </c>
      <c r="BH1" s="238" t="s">
        <v>371</v>
      </c>
      <c r="BI1" s="238" t="s">
        <v>372</v>
      </c>
      <c r="BJ1" s="238" t="s">
        <v>373</v>
      </c>
      <c r="BK1" s="238" t="s">
        <v>147</v>
      </c>
      <c r="BL1" s="238" t="s">
        <v>374</v>
      </c>
      <c r="BM1" s="238" t="s">
        <v>375</v>
      </c>
      <c r="BN1" s="238" t="s">
        <v>376</v>
      </c>
      <c r="BO1" s="238" t="s">
        <v>141</v>
      </c>
      <c r="BP1" s="238" t="s">
        <v>377</v>
      </c>
      <c r="BQ1" s="238" t="s">
        <v>378</v>
      </c>
      <c r="BR1" s="238" t="s">
        <v>379</v>
      </c>
      <c r="BS1" s="238" t="s">
        <v>148</v>
      </c>
      <c r="BT1" s="238" t="s">
        <v>380</v>
      </c>
    </row>
    <row r="2" spans="1:72" x14ac:dyDescent="0.25">
      <c r="A2" s="2" t="s">
        <v>381</v>
      </c>
      <c r="B2" s="2" t="s">
        <v>382</v>
      </c>
      <c r="D2" s="4">
        <v>40998</v>
      </c>
      <c r="E2" s="4">
        <v>42093</v>
      </c>
      <c r="F2" s="4">
        <v>42077</v>
      </c>
      <c r="G2" s="3">
        <v>44253</v>
      </c>
      <c r="H2" s="2" t="s">
        <v>210</v>
      </c>
      <c r="I2" s="2" t="s">
        <v>254</v>
      </c>
      <c r="K2" s="2" t="s">
        <v>383</v>
      </c>
      <c r="L2" s="2" t="s">
        <v>384</v>
      </c>
      <c r="W2" s="2">
        <f t="shared" ref="W2:W65" si="0">SUM(N2:V2)</f>
        <v>0</v>
      </c>
      <c r="X2" s="2" t="s">
        <v>385</v>
      </c>
      <c r="Y2" s="2">
        <v>19</v>
      </c>
      <c r="Z2" s="2">
        <v>51</v>
      </c>
      <c r="AA2" s="2">
        <v>7</v>
      </c>
      <c r="AF2" s="2">
        <f t="shared" ref="AF2:AF65" si="1">SUM(Y2:AE2)</f>
        <v>77</v>
      </c>
      <c r="AG2" s="2">
        <f t="shared" ref="AG2:AG65" si="2">Y2-N2</f>
        <v>19</v>
      </c>
      <c r="AH2" s="2">
        <f t="shared" ref="AH2:AH65" si="3">Z2-O2</f>
        <v>51</v>
      </c>
      <c r="AI2" s="2">
        <f t="shared" ref="AI2:AI65" si="4">AA2-P2</f>
        <v>7</v>
      </c>
      <c r="AJ2" s="2">
        <f t="shared" ref="AJ2:AJ65" si="5">AB2-Q2</f>
        <v>0</v>
      </c>
      <c r="AK2" s="2">
        <f t="shared" ref="AK2:AK65" si="6">AC2-R2</f>
        <v>0</v>
      </c>
      <c r="AL2" s="2">
        <f t="shared" ref="AL2:AL65" si="7">AD2-S2</f>
        <v>0</v>
      </c>
      <c r="AM2" s="2">
        <f t="shared" ref="AM2:AM65" si="8">AE2-T2</f>
        <v>0</v>
      </c>
      <c r="AP2" s="2">
        <v>77</v>
      </c>
      <c r="AQ2" s="180" t="s">
        <v>299</v>
      </c>
      <c r="AR2" s="2">
        <v>77</v>
      </c>
      <c r="AS2" s="309"/>
      <c r="AW2" s="310"/>
      <c r="BC2" s="218">
        <v>0</v>
      </c>
      <c r="BH2" s="2">
        <v>516095</v>
      </c>
      <c r="BI2" s="2">
        <v>173690</v>
      </c>
      <c r="BJ2" s="2" t="s">
        <v>386</v>
      </c>
      <c r="BL2" s="2" t="s">
        <v>176</v>
      </c>
      <c r="BM2" s="2" t="s">
        <v>142</v>
      </c>
    </row>
    <row r="3" spans="1:72" x14ac:dyDescent="0.25">
      <c r="A3" s="2" t="s">
        <v>387</v>
      </c>
      <c r="B3" s="2" t="s">
        <v>382</v>
      </c>
      <c r="D3" s="4">
        <v>41583</v>
      </c>
      <c r="E3" s="4">
        <v>42679</v>
      </c>
      <c r="F3" s="4">
        <v>42596</v>
      </c>
      <c r="G3" s="3">
        <v>44286</v>
      </c>
      <c r="H3" s="2" t="s">
        <v>210</v>
      </c>
      <c r="I3" s="2" t="s">
        <v>254</v>
      </c>
      <c r="K3" s="2" t="s">
        <v>388</v>
      </c>
      <c r="L3" s="2" t="s">
        <v>389</v>
      </c>
      <c r="M3" s="2" t="s">
        <v>390</v>
      </c>
      <c r="W3" s="2">
        <f t="shared" si="0"/>
        <v>0</v>
      </c>
      <c r="X3" s="2" t="s">
        <v>385</v>
      </c>
      <c r="AA3" s="2">
        <v>2</v>
      </c>
      <c r="AF3" s="2">
        <f t="shared" si="1"/>
        <v>2</v>
      </c>
      <c r="AG3" s="2">
        <f t="shared" si="2"/>
        <v>0</v>
      </c>
      <c r="AH3" s="2">
        <f t="shared" si="3"/>
        <v>0</v>
      </c>
      <c r="AI3" s="2">
        <f t="shared" si="4"/>
        <v>2</v>
      </c>
      <c r="AJ3" s="2">
        <f t="shared" si="5"/>
        <v>0</v>
      </c>
      <c r="AK3" s="2">
        <f t="shared" si="6"/>
        <v>0</v>
      </c>
      <c r="AL3" s="2">
        <f t="shared" si="7"/>
        <v>0</v>
      </c>
      <c r="AM3" s="2">
        <f t="shared" si="8"/>
        <v>0</v>
      </c>
      <c r="AP3" s="2">
        <v>2</v>
      </c>
      <c r="AR3" s="2">
        <v>2</v>
      </c>
      <c r="AS3" s="309"/>
      <c r="AW3" s="310"/>
      <c r="BC3" s="218">
        <v>0</v>
      </c>
      <c r="BH3" s="2">
        <v>515074</v>
      </c>
      <c r="BI3" s="2">
        <v>171654</v>
      </c>
      <c r="BJ3" s="2" t="s">
        <v>391</v>
      </c>
      <c r="BL3" s="2" t="s">
        <v>174</v>
      </c>
      <c r="BO3" s="2" t="s">
        <v>141</v>
      </c>
      <c r="BP3" s="2" t="s">
        <v>392</v>
      </c>
    </row>
    <row r="4" spans="1:72" x14ac:dyDescent="0.25">
      <c r="A4" s="2" t="s">
        <v>393</v>
      </c>
      <c r="B4" s="2" t="s">
        <v>394</v>
      </c>
      <c r="D4" s="4">
        <v>42089</v>
      </c>
      <c r="E4" s="4">
        <v>43186</v>
      </c>
      <c r="F4" s="4">
        <v>42522</v>
      </c>
      <c r="G4" s="3">
        <v>44286</v>
      </c>
      <c r="H4" s="2" t="s">
        <v>210</v>
      </c>
      <c r="I4" s="2" t="s">
        <v>254</v>
      </c>
      <c r="K4" s="2" t="s">
        <v>395</v>
      </c>
      <c r="L4" s="2" t="s">
        <v>396</v>
      </c>
      <c r="O4" s="2">
        <v>1</v>
      </c>
      <c r="W4" s="2">
        <f t="shared" si="0"/>
        <v>1</v>
      </c>
      <c r="Y4" s="2">
        <v>4</v>
      </c>
      <c r="AF4" s="2">
        <f t="shared" si="1"/>
        <v>4</v>
      </c>
      <c r="AG4" s="2">
        <f t="shared" si="2"/>
        <v>4</v>
      </c>
      <c r="AH4" s="2">
        <f t="shared" si="3"/>
        <v>-1</v>
      </c>
      <c r="AI4" s="2">
        <f t="shared" si="4"/>
        <v>0</v>
      </c>
      <c r="AJ4" s="2">
        <f t="shared" si="5"/>
        <v>0</v>
      </c>
      <c r="AK4" s="2">
        <f t="shared" si="6"/>
        <v>0</v>
      </c>
      <c r="AL4" s="2">
        <f t="shared" si="7"/>
        <v>0</v>
      </c>
      <c r="AM4" s="2">
        <f t="shared" si="8"/>
        <v>0</v>
      </c>
      <c r="AP4" s="2">
        <v>3</v>
      </c>
      <c r="AR4" s="2">
        <v>3</v>
      </c>
      <c r="AS4" s="309"/>
      <c r="AW4" s="310"/>
      <c r="BC4" s="218">
        <v>0</v>
      </c>
      <c r="BH4" s="2">
        <v>513482</v>
      </c>
      <c r="BI4" s="2">
        <v>173963</v>
      </c>
      <c r="BJ4" s="2" t="s">
        <v>397</v>
      </c>
      <c r="BL4" s="2" t="s">
        <v>160</v>
      </c>
    </row>
    <row r="5" spans="1:72" x14ac:dyDescent="0.25">
      <c r="A5" s="2" t="s">
        <v>398</v>
      </c>
      <c r="B5" s="2" t="s">
        <v>394</v>
      </c>
      <c r="D5" s="4">
        <v>42124</v>
      </c>
      <c r="E5" s="4">
        <v>43220</v>
      </c>
      <c r="F5" s="4">
        <v>42552</v>
      </c>
      <c r="G5" s="3">
        <v>44207</v>
      </c>
      <c r="H5" s="2" t="s">
        <v>210</v>
      </c>
      <c r="I5" s="2" t="s">
        <v>254</v>
      </c>
      <c r="K5" s="2" t="s">
        <v>399</v>
      </c>
      <c r="L5" s="2" t="s">
        <v>400</v>
      </c>
      <c r="W5" s="2">
        <f t="shared" si="0"/>
        <v>0</v>
      </c>
      <c r="X5" s="2" t="s">
        <v>385</v>
      </c>
      <c r="Z5" s="2">
        <v>5</v>
      </c>
      <c r="AF5" s="2">
        <f t="shared" si="1"/>
        <v>5</v>
      </c>
      <c r="AG5" s="2">
        <f t="shared" si="2"/>
        <v>0</v>
      </c>
      <c r="AH5" s="2">
        <f t="shared" si="3"/>
        <v>5</v>
      </c>
      <c r="AI5" s="2">
        <f t="shared" si="4"/>
        <v>0</v>
      </c>
      <c r="AJ5" s="2">
        <f t="shared" si="5"/>
        <v>0</v>
      </c>
      <c r="AK5" s="2">
        <f t="shared" si="6"/>
        <v>0</v>
      </c>
      <c r="AL5" s="2">
        <f t="shared" si="7"/>
        <v>0</v>
      </c>
      <c r="AM5" s="2">
        <f t="shared" si="8"/>
        <v>0</v>
      </c>
      <c r="AP5" s="2">
        <v>5</v>
      </c>
      <c r="AR5" s="2">
        <v>5</v>
      </c>
      <c r="AS5" s="309"/>
      <c r="AW5" s="310"/>
      <c r="BC5" s="218">
        <v>0</v>
      </c>
      <c r="BH5" s="2">
        <v>517917</v>
      </c>
      <c r="BI5" s="2">
        <v>175196</v>
      </c>
      <c r="BJ5" s="2" t="s">
        <v>401</v>
      </c>
      <c r="BL5" s="2" t="s">
        <v>164</v>
      </c>
      <c r="BM5" s="2" t="s">
        <v>138</v>
      </c>
      <c r="BS5" s="240" t="s">
        <v>148</v>
      </c>
      <c r="BT5" s="2" t="s">
        <v>402</v>
      </c>
    </row>
    <row r="6" spans="1:72" x14ac:dyDescent="0.25">
      <c r="A6" s="2" t="s">
        <v>398</v>
      </c>
      <c r="B6" s="2" t="s">
        <v>394</v>
      </c>
      <c r="D6" s="4">
        <v>42124</v>
      </c>
      <c r="E6" s="4">
        <v>43220</v>
      </c>
      <c r="F6" s="4">
        <v>42552</v>
      </c>
      <c r="G6" s="3">
        <v>44286</v>
      </c>
      <c r="H6" s="2" t="s">
        <v>210</v>
      </c>
      <c r="I6" s="2" t="s">
        <v>254</v>
      </c>
      <c r="K6" s="2" t="s">
        <v>399</v>
      </c>
      <c r="L6" s="2" t="s">
        <v>400</v>
      </c>
      <c r="W6" s="2">
        <f t="shared" si="0"/>
        <v>0</v>
      </c>
      <c r="X6" s="2" t="s">
        <v>385</v>
      </c>
      <c r="AA6" s="2">
        <v>3</v>
      </c>
      <c r="AF6" s="2">
        <f t="shared" si="1"/>
        <v>3</v>
      </c>
      <c r="AG6" s="2">
        <f t="shared" si="2"/>
        <v>0</v>
      </c>
      <c r="AH6" s="2">
        <f t="shared" si="3"/>
        <v>0</v>
      </c>
      <c r="AI6" s="2">
        <f t="shared" si="4"/>
        <v>3</v>
      </c>
      <c r="AJ6" s="2">
        <f t="shared" si="5"/>
        <v>0</v>
      </c>
      <c r="AK6" s="2">
        <f t="shared" si="6"/>
        <v>0</v>
      </c>
      <c r="AL6" s="2">
        <f t="shared" si="7"/>
        <v>0</v>
      </c>
      <c r="AM6" s="2">
        <f t="shared" si="8"/>
        <v>0</v>
      </c>
      <c r="AP6" s="2">
        <v>3</v>
      </c>
      <c r="AR6" s="2">
        <v>3</v>
      </c>
      <c r="AS6" s="309"/>
      <c r="AW6" s="310"/>
      <c r="BC6" s="218">
        <v>0</v>
      </c>
      <c r="BH6" s="2">
        <v>517917</v>
      </c>
      <c r="BI6" s="2">
        <v>175196</v>
      </c>
      <c r="BJ6" s="2" t="s">
        <v>401</v>
      </c>
      <c r="BL6" s="2" t="s">
        <v>164</v>
      </c>
      <c r="BM6" s="2" t="s">
        <v>138</v>
      </c>
      <c r="BS6" s="240" t="s">
        <v>148</v>
      </c>
      <c r="BT6" s="2" t="s">
        <v>402</v>
      </c>
    </row>
    <row r="7" spans="1:72" x14ac:dyDescent="0.25">
      <c r="A7" s="2" t="s">
        <v>403</v>
      </c>
      <c r="B7" s="2" t="s">
        <v>404</v>
      </c>
      <c r="D7" s="4">
        <v>42177</v>
      </c>
      <c r="E7" s="4">
        <v>43273</v>
      </c>
      <c r="F7" s="4">
        <v>42856</v>
      </c>
      <c r="G7" s="3">
        <v>44065</v>
      </c>
      <c r="H7" s="2" t="s">
        <v>210</v>
      </c>
      <c r="I7" s="2" t="s">
        <v>254</v>
      </c>
      <c r="K7" s="2" t="s">
        <v>405</v>
      </c>
      <c r="L7" s="2" t="s">
        <v>406</v>
      </c>
      <c r="O7" s="2">
        <v>1</v>
      </c>
      <c r="W7" s="2">
        <f t="shared" si="0"/>
        <v>1</v>
      </c>
      <c r="AB7" s="2">
        <v>1</v>
      </c>
      <c r="AF7" s="2">
        <f t="shared" si="1"/>
        <v>1</v>
      </c>
      <c r="AG7" s="2">
        <f t="shared" si="2"/>
        <v>0</v>
      </c>
      <c r="AH7" s="2">
        <f t="shared" si="3"/>
        <v>-1</v>
      </c>
      <c r="AI7" s="2">
        <f t="shared" si="4"/>
        <v>0</v>
      </c>
      <c r="AJ7" s="2">
        <f t="shared" si="5"/>
        <v>1</v>
      </c>
      <c r="AK7" s="2">
        <f t="shared" si="6"/>
        <v>0</v>
      </c>
      <c r="AL7" s="2">
        <f t="shared" si="7"/>
        <v>0</v>
      </c>
      <c r="AM7" s="2">
        <f t="shared" si="8"/>
        <v>0</v>
      </c>
      <c r="AP7" s="2">
        <v>0</v>
      </c>
      <c r="AR7" s="2">
        <v>0</v>
      </c>
      <c r="AS7" s="309"/>
      <c r="AW7" s="310"/>
      <c r="BC7" s="218">
        <v>0</v>
      </c>
      <c r="BH7" s="2">
        <v>518248</v>
      </c>
      <c r="BI7" s="2">
        <v>175334</v>
      </c>
      <c r="BJ7" s="2" t="s">
        <v>407</v>
      </c>
      <c r="BL7" s="2" t="s">
        <v>163</v>
      </c>
      <c r="BM7" s="2" t="s">
        <v>138</v>
      </c>
      <c r="BS7" s="240" t="s">
        <v>148</v>
      </c>
      <c r="BT7" s="2" t="s">
        <v>402</v>
      </c>
    </row>
    <row r="8" spans="1:72" x14ac:dyDescent="0.25">
      <c r="A8" s="2" t="s">
        <v>408</v>
      </c>
      <c r="B8" s="2" t="s">
        <v>382</v>
      </c>
      <c r="D8" s="4">
        <v>42523</v>
      </c>
      <c r="E8" s="4">
        <v>43618</v>
      </c>
      <c r="F8" s="4">
        <v>43586</v>
      </c>
      <c r="G8" s="4">
        <v>44092</v>
      </c>
      <c r="H8" s="2" t="s">
        <v>210</v>
      </c>
      <c r="I8" s="2" t="s">
        <v>250</v>
      </c>
      <c r="K8" s="2" t="s">
        <v>409</v>
      </c>
      <c r="L8" s="2" t="s">
        <v>410</v>
      </c>
      <c r="W8" s="2">
        <f t="shared" si="0"/>
        <v>0</v>
      </c>
      <c r="X8" s="2" t="s">
        <v>299</v>
      </c>
      <c r="Z8" s="2">
        <v>2</v>
      </c>
      <c r="AF8" s="2">
        <f t="shared" si="1"/>
        <v>2</v>
      </c>
      <c r="AG8" s="2">
        <f t="shared" si="2"/>
        <v>0</v>
      </c>
      <c r="AH8" s="2">
        <f t="shared" si="3"/>
        <v>2</v>
      </c>
      <c r="AI8" s="2">
        <f t="shared" si="4"/>
        <v>0</v>
      </c>
      <c r="AJ8" s="2">
        <f t="shared" si="5"/>
        <v>0</v>
      </c>
      <c r="AK8" s="2">
        <f t="shared" si="6"/>
        <v>0</v>
      </c>
      <c r="AL8" s="2">
        <f t="shared" si="7"/>
        <v>0</v>
      </c>
      <c r="AM8" s="2">
        <f t="shared" si="8"/>
        <v>0</v>
      </c>
      <c r="AP8" s="2">
        <v>2</v>
      </c>
      <c r="AR8" s="2">
        <v>2</v>
      </c>
      <c r="AS8" s="309"/>
      <c r="AW8" s="310"/>
      <c r="BC8" s="218">
        <v>0</v>
      </c>
      <c r="BH8" s="2">
        <v>517050</v>
      </c>
      <c r="BI8" s="2">
        <v>172680</v>
      </c>
      <c r="BJ8" s="2" t="s">
        <v>411</v>
      </c>
      <c r="BL8" s="2" t="s">
        <v>156</v>
      </c>
    </row>
    <row r="9" spans="1:72" x14ac:dyDescent="0.25">
      <c r="A9" s="2" t="s">
        <v>412</v>
      </c>
      <c r="B9" s="2" t="s">
        <v>382</v>
      </c>
      <c r="D9" s="4">
        <v>42523</v>
      </c>
      <c r="E9" s="4">
        <v>43618</v>
      </c>
      <c r="F9" s="4">
        <v>43613</v>
      </c>
      <c r="G9" s="4">
        <v>44161</v>
      </c>
      <c r="H9" s="2" t="s">
        <v>210</v>
      </c>
      <c r="I9" s="2" t="s">
        <v>250</v>
      </c>
      <c r="K9" s="2" t="s">
        <v>413</v>
      </c>
      <c r="L9" s="2" t="s">
        <v>414</v>
      </c>
      <c r="W9" s="2">
        <f t="shared" si="0"/>
        <v>0</v>
      </c>
      <c r="X9" s="2" t="s">
        <v>299</v>
      </c>
      <c r="AA9" s="2">
        <v>2</v>
      </c>
      <c r="AF9" s="2">
        <f t="shared" si="1"/>
        <v>2</v>
      </c>
      <c r="AG9" s="2">
        <f t="shared" si="2"/>
        <v>0</v>
      </c>
      <c r="AH9" s="2">
        <f t="shared" si="3"/>
        <v>0</v>
      </c>
      <c r="AI9" s="2">
        <f t="shared" si="4"/>
        <v>2</v>
      </c>
      <c r="AJ9" s="2">
        <f t="shared" si="5"/>
        <v>0</v>
      </c>
      <c r="AK9" s="2">
        <f t="shared" si="6"/>
        <v>0</v>
      </c>
      <c r="AL9" s="2">
        <f t="shared" si="7"/>
        <v>0</v>
      </c>
      <c r="AM9" s="2">
        <f t="shared" si="8"/>
        <v>0</v>
      </c>
      <c r="AP9" s="2">
        <v>2</v>
      </c>
      <c r="AR9" s="2">
        <v>2</v>
      </c>
      <c r="AS9" s="309"/>
      <c r="AW9" s="310"/>
      <c r="BC9" s="218">
        <v>0</v>
      </c>
      <c r="BH9" s="2">
        <v>517476</v>
      </c>
      <c r="BI9" s="2">
        <v>171658</v>
      </c>
      <c r="BJ9" s="2" t="s">
        <v>411</v>
      </c>
      <c r="BL9" s="2" t="s">
        <v>156</v>
      </c>
    </row>
    <row r="10" spans="1:72" x14ac:dyDescent="0.25">
      <c r="A10" s="2" t="s">
        <v>415</v>
      </c>
      <c r="B10" s="2" t="s">
        <v>382</v>
      </c>
      <c r="D10" s="4">
        <v>42613</v>
      </c>
      <c r="E10" s="4">
        <v>43708</v>
      </c>
      <c r="F10" s="4">
        <v>42864</v>
      </c>
      <c r="G10" s="3">
        <v>44043</v>
      </c>
      <c r="H10" s="2" t="s">
        <v>210</v>
      </c>
      <c r="I10" s="2" t="s">
        <v>254</v>
      </c>
      <c r="K10" s="2" t="s">
        <v>416</v>
      </c>
      <c r="L10" s="2" t="s">
        <v>417</v>
      </c>
      <c r="W10" s="2">
        <f t="shared" si="0"/>
        <v>0</v>
      </c>
      <c r="Z10" s="2">
        <v>1</v>
      </c>
      <c r="AF10" s="2">
        <f t="shared" si="1"/>
        <v>1</v>
      </c>
      <c r="AG10" s="2">
        <f t="shared" si="2"/>
        <v>0</v>
      </c>
      <c r="AH10" s="2">
        <f t="shared" si="3"/>
        <v>1</v>
      </c>
      <c r="AI10" s="2">
        <f t="shared" si="4"/>
        <v>0</v>
      </c>
      <c r="AJ10" s="2">
        <f t="shared" si="5"/>
        <v>0</v>
      </c>
      <c r="AK10" s="2">
        <f t="shared" si="6"/>
        <v>0</v>
      </c>
      <c r="AL10" s="2">
        <f t="shared" si="7"/>
        <v>0</v>
      </c>
      <c r="AM10" s="2">
        <f t="shared" si="8"/>
        <v>0</v>
      </c>
      <c r="AP10" s="2">
        <v>1</v>
      </c>
      <c r="AR10" s="2">
        <v>1</v>
      </c>
      <c r="AS10" s="309"/>
      <c r="AW10" s="310"/>
      <c r="BC10" s="218">
        <v>0</v>
      </c>
      <c r="BH10" s="2">
        <v>522622</v>
      </c>
      <c r="BI10" s="2">
        <v>177876</v>
      </c>
      <c r="BJ10" s="2" t="s">
        <v>418</v>
      </c>
      <c r="BL10" s="2" t="s">
        <v>154</v>
      </c>
      <c r="BS10" s="240" t="s">
        <v>148</v>
      </c>
      <c r="BT10" s="2" t="s">
        <v>419</v>
      </c>
    </row>
    <row r="11" spans="1:72" x14ac:dyDescent="0.25">
      <c r="A11" s="2" t="s">
        <v>420</v>
      </c>
      <c r="B11" s="2" t="s">
        <v>404</v>
      </c>
      <c r="D11" s="4">
        <v>42632</v>
      </c>
      <c r="E11" s="4">
        <v>43727</v>
      </c>
      <c r="F11" s="4">
        <v>43063</v>
      </c>
      <c r="G11" s="4">
        <v>44090</v>
      </c>
      <c r="H11" s="2" t="s">
        <v>210</v>
      </c>
      <c r="I11" s="2" t="s">
        <v>254</v>
      </c>
      <c r="K11" s="2" t="s">
        <v>421</v>
      </c>
      <c r="L11" s="2" t="s">
        <v>422</v>
      </c>
      <c r="M11" s="2" t="s">
        <v>423</v>
      </c>
      <c r="W11" s="2">
        <f t="shared" si="0"/>
        <v>0</v>
      </c>
      <c r="X11" s="2" t="s">
        <v>385</v>
      </c>
      <c r="AC11" s="2">
        <v>1</v>
      </c>
      <c r="AF11" s="2">
        <f t="shared" si="1"/>
        <v>1</v>
      </c>
      <c r="AG11" s="2">
        <f t="shared" si="2"/>
        <v>0</v>
      </c>
      <c r="AH11" s="2">
        <f t="shared" si="3"/>
        <v>0</v>
      </c>
      <c r="AI11" s="2">
        <f t="shared" si="4"/>
        <v>0</v>
      </c>
      <c r="AJ11" s="2">
        <f t="shared" si="5"/>
        <v>0</v>
      </c>
      <c r="AK11" s="2">
        <f t="shared" si="6"/>
        <v>1</v>
      </c>
      <c r="AL11" s="2">
        <f t="shared" si="7"/>
        <v>0</v>
      </c>
      <c r="AM11" s="2">
        <f t="shared" si="8"/>
        <v>0</v>
      </c>
      <c r="AP11" s="2">
        <v>1</v>
      </c>
      <c r="AR11" s="2">
        <v>1</v>
      </c>
      <c r="AS11" s="309"/>
      <c r="AW11" s="310"/>
      <c r="BC11" s="218">
        <v>0</v>
      </c>
      <c r="BH11" s="2">
        <v>517807</v>
      </c>
      <c r="BI11" s="2">
        <v>174892</v>
      </c>
      <c r="BJ11" s="2" t="s">
        <v>401</v>
      </c>
      <c r="BL11" s="2" t="s">
        <v>164</v>
      </c>
      <c r="BM11" s="2" t="s">
        <v>138</v>
      </c>
      <c r="BS11" s="240" t="s">
        <v>148</v>
      </c>
      <c r="BT11" s="2" t="s">
        <v>424</v>
      </c>
    </row>
    <row r="12" spans="1:72" x14ac:dyDescent="0.25">
      <c r="A12" s="2" t="s">
        <v>425</v>
      </c>
      <c r="B12" s="2" t="s">
        <v>404</v>
      </c>
      <c r="D12" s="4">
        <v>42689</v>
      </c>
      <c r="E12" s="4">
        <v>44136</v>
      </c>
      <c r="F12" s="4">
        <v>43479</v>
      </c>
      <c r="G12" s="4">
        <v>43969</v>
      </c>
      <c r="H12" s="2" t="s">
        <v>210</v>
      </c>
      <c r="I12" s="2" t="s">
        <v>254</v>
      </c>
      <c r="K12" s="2" t="s">
        <v>426</v>
      </c>
      <c r="L12" s="2" t="s">
        <v>427</v>
      </c>
      <c r="W12" s="2">
        <f t="shared" si="0"/>
        <v>0</v>
      </c>
      <c r="Z12" s="2">
        <v>1</v>
      </c>
      <c r="AF12" s="2">
        <f t="shared" si="1"/>
        <v>1</v>
      </c>
      <c r="AG12" s="2">
        <f t="shared" si="2"/>
        <v>0</v>
      </c>
      <c r="AH12" s="2">
        <f t="shared" si="3"/>
        <v>1</v>
      </c>
      <c r="AI12" s="2">
        <f t="shared" si="4"/>
        <v>0</v>
      </c>
      <c r="AJ12" s="2">
        <f t="shared" si="5"/>
        <v>0</v>
      </c>
      <c r="AK12" s="2">
        <f t="shared" si="6"/>
        <v>0</v>
      </c>
      <c r="AL12" s="2">
        <f t="shared" si="7"/>
        <v>0</v>
      </c>
      <c r="AM12" s="2">
        <f t="shared" si="8"/>
        <v>0</v>
      </c>
      <c r="AP12" s="2">
        <v>1</v>
      </c>
      <c r="AR12" s="2">
        <v>1</v>
      </c>
      <c r="AS12" s="309"/>
      <c r="AW12" s="310"/>
      <c r="BC12" s="218">
        <v>0</v>
      </c>
      <c r="BH12" s="2">
        <v>518846</v>
      </c>
      <c r="BI12" s="2">
        <v>177650</v>
      </c>
      <c r="BJ12" s="2" t="s">
        <v>428</v>
      </c>
      <c r="BL12" s="2" t="s">
        <v>161</v>
      </c>
      <c r="BN12" s="2" t="s">
        <v>139</v>
      </c>
      <c r="BS12" s="240" t="s">
        <v>148</v>
      </c>
      <c r="BT12" s="2" t="s">
        <v>429</v>
      </c>
    </row>
    <row r="13" spans="1:72" x14ac:dyDescent="0.25">
      <c r="A13" s="2" t="s">
        <v>430</v>
      </c>
      <c r="B13" s="2" t="s">
        <v>382</v>
      </c>
      <c r="D13" s="4">
        <v>42691</v>
      </c>
      <c r="E13" s="4">
        <v>43786</v>
      </c>
      <c r="F13" s="4">
        <v>43754</v>
      </c>
      <c r="G13" s="4">
        <v>44231</v>
      </c>
      <c r="H13" s="2" t="s">
        <v>210</v>
      </c>
      <c r="I13" s="2" t="s">
        <v>250</v>
      </c>
      <c r="K13" s="2" t="s">
        <v>431</v>
      </c>
      <c r="L13" s="2" t="s">
        <v>432</v>
      </c>
      <c r="W13" s="2">
        <f t="shared" si="0"/>
        <v>0</v>
      </c>
      <c r="X13" s="2" t="s">
        <v>299</v>
      </c>
      <c r="AA13" s="2">
        <v>3</v>
      </c>
      <c r="AF13" s="2">
        <f t="shared" si="1"/>
        <v>3</v>
      </c>
      <c r="AG13" s="2">
        <f t="shared" si="2"/>
        <v>0</v>
      </c>
      <c r="AH13" s="2">
        <f t="shared" si="3"/>
        <v>0</v>
      </c>
      <c r="AI13" s="2">
        <f t="shared" si="4"/>
        <v>3</v>
      </c>
      <c r="AJ13" s="2">
        <f t="shared" si="5"/>
        <v>0</v>
      </c>
      <c r="AK13" s="2">
        <f t="shared" si="6"/>
        <v>0</v>
      </c>
      <c r="AL13" s="2">
        <f t="shared" si="7"/>
        <v>0</v>
      </c>
      <c r="AM13" s="2">
        <f t="shared" si="8"/>
        <v>0</v>
      </c>
      <c r="AP13" s="2">
        <v>3</v>
      </c>
      <c r="AR13" s="2">
        <v>3</v>
      </c>
      <c r="AS13" s="309"/>
      <c r="AW13" s="310"/>
      <c r="BC13" s="218">
        <v>0</v>
      </c>
      <c r="BH13" s="2">
        <v>517848</v>
      </c>
      <c r="BI13" s="2">
        <v>172830</v>
      </c>
      <c r="BJ13" s="2" t="s">
        <v>411</v>
      </c>
      <c r="BL13" s="2" t="s">
        <v>156</v>
      </c>
    </row>
    <row r="14" spans="1:72" ht="15" customHeight="1" x14ac:dyDescent="0.25">
      <c r="A14" s="2" t="s">
        <v>433</v>
      </c>
      <c r="B14" s="2" t="s">
        <v>434</v>
      </c>
      <c r="D14" s="4">
        <v>42698</v>
      </c>
      <c r="E14" s="4">
        <v>43793</v>
      </c>
      <c r="F14" s="3">
        <v>43791</v>
      </c>
      <c r="G14" s="3">
        <v>44081</v>
      </c>
      <c r="H14" s="2" t="s">
        <v>210</v>
      </c>
      <c r="I14" s="2" t="s">
        <v>254</v>
      </c>
      <c r="K14" s="2" t="s">
        <v>435</v>
      </c>
      <c r="L14" s="2" t="s">
        <v>436</v>
      </c>
      <c r="M14" s="2" t="s">
        <v>437</v>
      </c>
      <c r="N14" s="2">
        <v>1</v>
      </c>
      <c r="Q14" s="2">
        <v>1</v>
      </c>
      <c r="W14" s="2">
        <f t="shared" si="0"/>
        <v>2</v>
      </c>
      <c r="AB14" s="2">
        <v>1</v>
      </c>
      <c r="AF14" s="2">
        <f t="shared" si="1"/>
        <v>1</v>
      </c>
      <c r="AG14" s="2">
        <f t="shared" si="2"/>
        <v>-1</v>
      </c>
      <c r="AH14" s="2">
        <f t="shared" si="3"/>
        <v>0</v>
      </c>
      <c r="AI14" s="2">
        <f t="shared" si="4"/>
        <v>0</v>
      </c>
      <c r="AJ14" s="2">
        <f t="shared" si="5"/>
        <v>0</v>
      </c>
      <c r="AK14" s="2">
        <f t="shared" si="6"/>
        <v>0</v>
      </c>
      <c r="AL14" s="2">
        <f t="shared" si="7"/>
        <v>0</v>
      </c>
      <c r="AM14" s="2">
        <f t="shared" si="8"/>
        <v>0</v>
      </c>
      <c r="AP14" s="2">
        <v>-1</v>
      </c>
      <c r="AR14" s="2">
        <v>-1</v>
      </c>
      <c r="AS14" s="309"/>
      <c r="AW14" s="310"/>
      <c r="BC14" s="218">
        <v>0</v>
      </c>
      <c r="BH14" s="2">
        <v>518642</v>
      </c>
      <c r="BI14" s="2">
        <v>174770</v>
      </c>
      <c r="BJ14" s="2" t="s">
        <v>401</v>
      </c>
      <c r="BL14" s="2" t="s">
        <v>164</v>
      </c>
      <c r="BS14" s="240" t="s">
        <v>148</v>
      </c>
      <c r="BT14" s="2" t="s">
        <v>438</v>
      </c>
    </row>
    <row r="15" spans="1:72" x14ac:dyDescent="0.25">
      <c r="A15" s="2" t="s">
        <v>439</v>
      </c>
      <c r="B15" s="2" t="s">
        <v>434</v>
      </c>
      <c r="D15" s="4">
        <v>42719</v>
      </c>
      <c r="E15" s="4">
        <v>43814</v>
      </c>
      <c r="F15" s="4">
        <v>43497</v>
      </c>
      <c r="G15" s="4">
        <v>44008</v>
      </c>
      <c r="H15" s="2" t="s">
        <v>210</v>
      </c>
      <c r="I15" s="2" t="s">
        <v>254</v>
      </c>
      <c r="K15" s="2" t="s">
        <v>440</v>
      </c>
      <c r="L15" s="2" t="s">
        <v>441</v>
      </c>
      <c r="M15" s="2" t="s">
        <v>442</v>
      </c>
      <c r="W15" s="2">
        <f t="shared" si="0"/>
        <v>0</v>
      </c>
      <c r="Y15" s="2">
        <v>1</v>
      </c>
      <c r="AF15" s="2">
        <f t="shared" si="1"/>
        <v>1</v>
      </c>
      <c r="AG15" s="2">
        <f t="shared" si="2"/>
        <v>1</v>
      </c>
      <c r="AH15" s="2">
        <f t="shared" si="3"/>
        <v>0</v>
      </c>
      <c r="AI15" s="2">
        <f t="shared" si="4"/>
        <v>0</v>
      </c>
      <c r="AJ15" s="2">
        <f t="shared" si="5"/>
        <v>0</v>
      </c>
      <c r="AK15" s="2">
        <f t="shared" si="6"/>
        <v>0</v>
      </c>
      <c r="AL15" s="2">
        <f t="shared" si="7"/>
        <v>0</v>
      </c>
      <c r="AM15" s="2">
        <f t="shared" si="8"/>
        <v>0</v>
      </c>
      <c r="AP15" s="2">
        <v>1</v>
      </c>
      <c r="AR15" s="2">
        <v>1</v>
      </c>
      <c r="AS15" s="309"/>
      <c r="AW15" s="310"/>
      <c r="BC15" s="218">
        <v>0</v>
      </c>
      <c r="BH15" s="2">
        <v>517615</v>
      </c>
      <c r="BI15" s="2">
        <v>169709</v>
      </c>
      <c r="BJ15" s="2" t="s">
        <v>443</v>
      </c>
      <c r="BL15" s="2" t="s">
        <v>159</v>
      </c>
      <c r="BS15" s="240" t="s">
        <v>148</v>
      </c>
      <c r="BT15" s="2" t="s">
        <v>444</v>
      </c>
    </row>
    <row r="16" spans="1:72" x14ac:dyDescent="0.25">
      <c r="A16" s="2" t="s">
        <v>445</v>
      </c>
      <c r="B16" s="2" t="s">
        <v>382</v>
      </c>
      <c r="D16" s="4">
        <v>42786</v>
      </c>
      <c r="E16" s="4">
        <v>44053</v>
      </c>
      <c r="F16" s="4">
        <v>43479</v>
      </c>
      <c r="G16" s="4">
        <v>44175</v>
      </c>
      <c r="H16" s="2" t="s">
        <v>210</v>
      </c>
      <c r="I16" s="2" t="s">
        <v>254</v>
      </c>
      <c r="K16" s="2" t="s">
        <v>446</v>
      </c>
      <c r="L16" s="2" t="s">
        <v>447</v>
      </c>
      <c r="M16" s="2" t="s">
        <v>448</v>
      </c>
      <c r="W16" s="2">
        <f t="shared" si="0"/>
        <v>0</v>
      </c>
      <c r="X16" s="2" t="s">
        <v>385</v>
      </c>
      <c r="Z16" s="2">
        <v>1</v>
      </c>
      <c r="AF16" s="2">
        <f t="shared" si="1"/>
        <v>1</v>
      </c>
      <c r="AG16" s="2">
        <f t="shared" si="2"/>
        <v>0</v>
      </c>
      <c r="AH16" s="2">
        <f t="shared" si="3"/>
        <v>1</v>
      </c>
      <c r="AI16" s="2">
        <f t="shared" si="4"/>
        <v>0</v>
      </c>
      <c r="AJ16" s="2">
        <f t="shared" si="5"/>
        <v>0</v>
      </c>
      <c r="AK16" s="2">
        <f t="shared" si="6"/>
        <v>0</v>
      </c>
      <c r="AL16" s="2">
        <f t="shared" si="7"/>
        <v>0</v>
      </c>
      <c r="AM16" s="2">
        <f t="shared" si="8"/>
        <v>0</v>
      </c>
      <c r="AP16" s="2">
        <v>1</v>
      </c>
      <c r="AR16" s="2">
        <v>1</v>
      </c>
      <c r="AS16" s="309"/>
      <c r="AW16" s="310"/>
      <c r="BC16" s="218">
        <v>0</v>
      </c>
      <c r="BH16" s="2">
        <v>521729</v>
      </c>
      <c r="BI16" s="2">
        <v>176400</v>
      </c>
      <c r="BJ16" s="2" t="s">
        <v>449</v>
      </c>
      <c r="BL16" s="2" t="s">
        <v>175</v>
      </c>
      <c r="BO16" s="2" t="s">
        <v>141</v>
      </c>
      <c r="BP16" s="2" t="s">
        <v>450</v>
      </c>
      <c r="BS16" s="240" t="s">
        <v>148</v>
      </c>
      <c r="BT16" s="2" t="s">
        <v>451</v>
      </c>
    </row>
    <row r="17" spans="1:72" x14ac:dyDescent="0.25">
      <c r="A17" s="2" t="s">
        <v>452</v>
      </c>
      <c r="B17" s="2" t="s">
        <v>404</v>
      </c>
      <c r="C17" s="2" t="s">
        <v>228</v>
      </c>
      <c r="D17" s="4">
        <v>42790</v>
      </c>
      <c r="E17" s="4">
        <v>44186</v>
      </c>
      <c r="F17" s="4">
        <v>43815</v>
      </c>
      <c r="G17" s="4">
        <v>44106</v>
      </c>
      <c r="H17" s="2" t="s">
        <v>210</v>
      </c>
      <c r="I17" s="2" t="s">
        <v>254</v>
      </c>
      <c r="K17" s="2" t="s">
        <v>453</v>
      </c>
      <c r="L17" s="2" t="s">
        <v>454</v>
      </c>
      <c r="M17" s="2" t="s">
        <v>455</v>
      </c>
      <c r="W17" s="2">
        <f t="shared" si="0"/>
        <v>0</v>
      </c>
      <c r="X17" s="2" t="s">
        <v>385</v>
      </c>
      <c r="Y17" s="2">
        <v>8</v>
      </c>
      <c r="Z17" s="2">
        <v>1</v>
      </c>
      <c r="AF17" s="2">
        <f t="shared" si="1"/>
        <v>9</v>
      </c>
      <c r="AG17" s="2">
        <f t="shared" si="2"/>
        <v>8</v>
      </c>
      <c r="AH17" s="2">
        <f t="shared" si="3"/>
        <v>1</v>
      </c>
      <c r="AI17" s="2">
        <f t="shared" si="4"/>
        <v>0</v>
      </c>
      <c r="AJ17" s="2">
        <f t="shared" si="5"/>
        <v>0</v>
      </c>
      <c r="AK17" s="2">
        <f t="shared" si="6"/>
        <v>0</v>
      </c>
      <c r="AL17" s="2">
        <f t="shared" si="7"/>
        <v>0</v>
      </c>
      <c r="AM17" s="2">
        <f t="shared" si="8"/>
        <v>0</v>
      </c>
      <c r="AP17" s="2">
        <v>9</v>
      </c>
      <c r="AR17" s="2">
        <v>9</v>
      </c>
      <c r="AS17" s="309"/>
      <c r="AW17" s="310"/>
      <c r="BC17" s="218">
        <v>0</v>
      </c>
      <c r="BH17" s="2">
        <v>515974</v>
      </c>
      <c r="BI17" s="2">
        <v>173142</v>
      </c>
      <c r="BJ17" s="2" t="s">
        <v>456</v>
      </c>
      <c r="BL17" s="2" t="s">
        <v>167</v>
      </c>
      <c r="BM17" s="2" t="s">
        <v>142</v>
      </c>
    </row>
    <row r="18" spans="1:72" x14ac:dyDescent="0.25">
      <c r="A18" s="2" t="s">
        <v>457</v>
      </c>
      <c r="B18" s="2" t="s">
        <v>382</v>
      </c>
      <c r="D18" s="4">
        <v>42801</v>
      </c>
      <c r="E18" s="4">
        <v>43897</v>
      </c>
      <c r="F18" s="4">
        <v>42865</v>
      </c>
      <c r="G18" s="4">
        <v>44211</v>
      </c>
      <c r="H18" s="2" t="s">
        <v>210</v>
      </c>
      <c r="I18" s="2" t="s">
        <v>254</v>
      </c>
      <c r="K18" s="2" t="s">
        <v>458</v>
      </c>
      <c r="L18" s="2" t="s">
        <v>459</v>
      </c>
      <c r="Q18" s="2">
        <v>1</v>
      </c>
      <c r="W18" s="2">
        <f t="shared" si="0"/>
        <v>1</v>
      </c>
      <c r="AB18" s="2">
        <v>1</v>
      </c>
      <c r="AF18" s="2">
        <f t="shared" si="1"/>
        <v>1</v>
      </c>
      <c r="AG18" s="2">
        <f t="shared" si="2"/>
        <v>0</v>
      </c>
      <c r="AH18" s="2">
        <f t="shared" si="3"/>
        <v>0</v>
      </c>
      <c r="AI18" s="2">
        <f t="shared" si="4"/>
        <v>0</v>
      </c>
      <c r="AJ18" s="2">
        <f t="shared" si="5"/>
        <v>0</v>
      </c>
      <c r="AK18" s="2">
        <f t="shared" si="6"/>
        <v>0</v>
      </c>
      <c r="AL18" s="2">
        <f t="shared" si="7"/>
        <v>0</v>
      </c>
      <c r="AM18" s="2">
        <f t="shared" si="8"/>
        <v>0</v>
      </c>
      <c r="AP18" s="2">
        <v>0</v>
      </c>
      <c r="AR18" s="2">
        <v>0</v>
      </c>
      <c r="AS18" s="309"/>
      <c r="AW18" s="310"/>
      <c r="BC18" s="218">
        <v>0</v>
      </c>
      <c r="BH18" s="2">
        <v>521872</v>
      </c>
      <c r="BI18" s="2">
        <v>177181</v>
      </c>
      <c r="BJ18" s="2" t="s">
        <v>418</v>
      </c>
      <c r="BL18" s="2" t="s">
        <v>154</v>
      </c>
    </row>
    <row r="19" spans="1:72" x14ac:dyDescent="0.25">
      <c r="A19" s="2" t="s">
        <v>460</v>
      </c>
      <c r="B19" s="2" t="s">
        <v>382</v>
      </c>
      <c r="D19" s="4">
        <v>42831</v>
      </c>
      <c r="E19" s="4">
        <v>43928</v>
      </c>
      <c r="F19" s="4">
        <v>43884</v>
      </c>
      <c r="G19" s="4">
        <v>44286</v>
      </c>
      <c r="H19" s="2" t="s">
        <v>210</v>
      </c>
      <c r="I19" s="2" t="s">
        <v>254</v>
      </c>
      <c r="K19" s="2" t="s">
        <v>461</v>
      </c>
      <c r="L19" s="2" t="s">
        <v>462</v>
      </c>
      <c r="P19" s="2">
        <v>1</v>
      </c>
      <c r="W19" s="2">
        <f t="shared" si="0"/>
        <v>1</v>
      </c>
      <c r="X19" s="2" t="s">
        <v>385</v>
      </c>
      <c r="Z19" s="2">
        <v>2</v>
      </c>
      <c r="AF19" s="2">
        <f t="shared" si="1"/>
        <v>2</v>
      </c>
      <c r="AG19" s="2">
        <f t="shared" si="2"/>
        <v>0</v>
      </c>
      <c r="AH19" s="2">
        <f t="shared" si="3"/>
        <v>2</v>
      </c>
      <c r="AI19" s="2">
        <f t="shared" si="4"/>
        <v>-1</v>
      </c>
      <c r="AJ19" s="2">
        <f t="shared" si="5"/>
        <v>0</v>
      </c>
      <c r="AK19" s="2">
        <f t="shared" si="6"/>
        <v>0</v>
      </c>
      <c r="AL19" s="2">
        <f t="shared" si="7"/>
        <v>0</v>
      </c>
      <c r="AM19" s="2">
        <f t="shared" si="8"/>
        <v>0</v>
      </c>
      <c r="AP19" s="2">
        <v>1</v>
      </c>
      <c r="AR19" s="2">
        <v>1</v>
      </c>
      <c r="AS19" s="309"/>
      <c r="AW19" s="310"/>
      <c r="BC19" s="218">
        <v>0</v>
      </c>
      <c r="BH19" s="2">
        <v>514775</v>
      </c>
      <c r="BI19" s="2">
        <v>172397</v>
      </c>
      <c r="BJ19" s="2" t="s">
        <v>463</v>
      </c>
      <c r="BL19" s="2" t="s">
        <v>168</v>
      </c>
    </row>
    <row r="20" spans="1:72" x14ac:dyDescent="0.25">
      <c r="A20" s="2" t="s">
        <v>464</v>
      </c>
      <c r="B20" s="2" t="s">
        <v>404</v>
      </c>
      <c r="C20" s="2" t="s">
        <v>228</v>
      </c>
      <c r="D20" s="4">
        <v>42881</v>
      </c>
      <c r="E20" s="4">
        <v>44538</v>
      </c>
      <c r="F20" s="4">
        <v>43843</v>
      </c>
      <c r="G20" s="3">
        <v>44252</v>
      </c>
      <c r="H20" s="2" t="s">
        <v>210</v>
      </c>
      <c r="I20" s="2" t="s">
        <v>254</v>
      </c>
      <c r="K20" s="2" t="s">
        <v>465</v>
      </c>
      <c r="L20" s="2" t="s">
        <v>466</v>
      </c>
      <c r="M20" s="2" t="s">
        <v>467</v>
      </c>
      <c r="W20" s="2">
        <f t="shared" si="0"/>
        <v>0</v>
      </c>
      <c r="X20" s="2" t="s">
        <v>385</v>
      </c>
      <c r="Z20" s="2">
        <v>2</v>
      </c>
      <c r="AF20" s="2">
        <f t="shared" si="1"/>
        <v>2</v>
      </c>
      <c r="AG20" s="2">
        <f t="shared" si="2"/>
        <v>0</v>
      </c>
      <c r="AH20" s="2">
        <f t="shared" si="3"/>
        <v>2</v>
      </c>
      <c r="AI20" s="2">
        <f t="shared" si="4"/>
        <v>0</v>
      </c>
      <c r="AJ20" s="2">
        <f t="shared" si="5"/>
        <v>0</v>
      </c>
      <c r="AK20" s="2">
        <f t="shared" si="6"/>
        <v>0</v>
      </c>
      <c r="AL20" s="2">
        <f t="shared" si="7"/>
        <v>0</v>
      </c>
      <c r="AM20" s="2">
        <f t="shared" si="8"/>
        <v>0</v>
      </c>
      <c r="AP20" s="2">
        <v>2</v>
      </c>
      <c r="AR20" s="2">
        <v>2</v>
      </c>
      <c r="AS20" s="309"/>
      <c r="AW20" s="310"/>
      <c r="BC20" s="218">
        <v>0</v>
      </c>
      <c r="BH20" s="2">
        <v>519061</v>
      </c>
      <c r="BI20" s="2">
        <v>176662</v>
      </c>
      <c r="BJ20" s="2" t="s">
        <v>428</v>
      </c>
      <c r="BL20" s="2" t="s">
        <v>161</v>
      </c>
      <c r="BS20" s="240" t="s">
        <v>148</v>
      </c>
      <c r="BT20" s="2" t="s">
        <v>468</v>
      </c>
    </row>
    <row r="21" spans="1:72" x14ac:dyDescent="0.25">
      <c r="A21" s="2" t="s">
        <v>469</v>
      </c>
      <c r="B21" s="2" t="s">
        <v>404</v>
      </c>
      <c r="C21" s="2" t="s">
        <v>228</v>
      </c>
      <c r="D21" s="4">
        <v>42886</v>
      </c>
      <c r="E21" s="4">
        <v>43982</v>
      </c>
      <c r="F21" s="3">
        <v>43980</v>
      </c>
      <c r="G21" s="3">
        <v>44118</v>
      </c>
      <c r="H21" s="2" t="s">
        <v>210</v>
      </c>
      <c r="I21" s="2" t="s">
        <v>254</v>
      </c>
      <c r="K21" s="2" t="s">
        <v>470</v>
      </c>
      <c r="L21" s="2" t="s">
        <v>471</v>
      </c>
      <c r="W21" s="2">
        <f t="shared" si="0"/>
        <v>0</v>
      </c>
      <c r="X21" s="2" t="s">
        <v>385</v>
      </c>
      <c r="AB21" s="2">
        <v>1</v>
      </c>
      <c r="AF21" s="2">
        <f t="shared" si="1"/>
        <v>1</v>
      </c>
      <c r="AG21" s="2">
        <f t="shared" si="2"/>
        <v>0</v>
      </c>
      <c r="AH21" s="2">
        <f t="shared" si="3"/>
        <v>0</v>
      </c>
      <c r="AI21" s="2">
        <f t="shared" si="4"/>
        <v>0</v>
      </c>
      <c r="AJ21" s="2">
        <f t="shared" si="5"/>
        <v>1</v>
      </c>
      <c r="AK21" s="2">
        <f t="shared" si="6"/>
        <v>0</v>
      </c>
      <c r="AL21" s="2">
        <f t="shared" si="7"/>
        <v>0</v>
      </c>
      <c r="AM21" s="2">
        <f t="shared" si="8"/>
        <v>0</v>
      </c>
      <c r="AP21" s="2">
        <v>1</v>
      </c>
      <c r="AR21" s="2">
        <v>1</v>
      </c>
      <c r="AS21" s="309"/>
      <c r="AW21" s="310"/>
      <c r="BC21" s="218">
        <v>0</v>
      </c>
      <c r="BH21" s="2">
        <v>516024</v>
      </c>
      <c r="BI21" s="2">
        <v>173277</v>
      </c>
      <c r="BJ21" s="2" t="s">
        <v>456</v>
      </c>
      <c r="BL21" s="2" t="s">
        <v>167</v>
      </c>
    </row>
    <row r="22" spans="1:72" x14ac:dyDescent="0.25">
      <c r="A22" s="2" t="s">
        <v>472</v>
      </c>
      <c r="B22" s="2" t="s">
        <v>382</v>
      </c>
      <c r="D22" s="4">
        <v>42908</v>
      </c>
      <c r="E22" s="4">
        <v>44512</v>
      </c>
      <c r="F22" s="4">
        <v>43747</v>
      </c>
      <c r="G22" s="4">
        <v>43980</v>
      </c>
      <c r="H22" s="2" t="s">
        <v>210</v>
      </c>
      <c r="I22" s="2" t="s">
        <v>254</v>
      </c>
      <c r="K22" s="2" t="s">
        <v>473</v>
      </c>
      <c r="L22" s="2" t="s">
        <v>474</v>
      </c>
      <c r="M22" s="2" t="s">
        <v>475</v>
      </c>
      <c r="W22" s="2">
        <f t="shared" si="0"/>
        <v>0</v>
      </c>
      <c r="X22" s="2" t="s">
        <v>385</v>
      </c>
      <c r="Y22" s="2">
        <v>1</v>
      </c>
      <c r="AF22" s="2">
        <f t="shared" si="1"/>
        <v>1</v>
      </c>
      <c r="AG22" s="2">
        <f t="shared" si="2"/>
        <v>1</v>
      </c>
      <c r="AH22" s="2">
        <f t="shared" si="3"/>
        <v>0</v>
      </c>
      <c r="AI22" s="2">
        <f t="shared" si="4"/>
        <v>0</v>
      </c>
      <c r="AJ22" s="2">
        <f t="shared" si="5"/>
        <v>0</v>
      </c>
      <c r="AK22" s="2">
        <f t="shared" si="6"/>
        <v>0</v>
      </c>
      <c r="AL22" s="2">
        <f t="shared" si="7"/>
        <v>0</v>
      </c>
      <c r="AM22" s="2">
        <f t="shared" si="8"/>
        <v>0</v>
      </c>
      <c r="AP22" s="2">
        <v>1</v>
      </c>
      <c r="AR22" s="2">
        <v>1</v>
      </c>
      <c r="AS22" s="309"/>
      <c r="AW22" s="310"/>
      <c r="BC22" s="218">
        <v>0</v>
      </c>
      <c r="BH22" s="2">
        <v>518494</v>
      </c>
      <c r="BI22" s="2">
        <v>175035</v>
      </c>
      <c r="BJ22" s="2" t="s">
        <v>401</v>
      </c>
      <c r="BL22" s="2" t="s">
        <v>164</v>
      </c>
      <c r="BS22" s="240" t="s">
        <v>148</v>
      </c>
      <c r="BT22" s="2" t="s">
        <v>476</v>
      </c>
    </row>
    <row r="23" spans="1:72" x14ac:dyDescent="0.25">
      <c r="A23" s="2" t="s">
        <v>477</v>
      </c>
      <c r="B23" s="2" t="s">
        <v>404</v>
      </c>
      <c r="D23" s="4">
        <v>42913</v>
      </c>
      <c r="E23" s="4">
        <v>44009</v>
      </c>
      <c r="F23" s="4">
        <v>43984</v>
      </c>
      <c r="G23" s="4">
        <v>44274</v>
      </c>
      <c r="H23" s="2" t="s">
        <v>210</v>
      </c>
      <c r="I23" s="2" t="s">
        <v>254</v>
      </c>
      <c r="K23" s="2" t="s">
        <v>478</v>
      </c>
      <c r="L23" s="2" t="s">
        <v>479</v>
      </c>
      <c r="M23" s="2" t="s">
        <v>480</v>
      </c>
      <c r="W23" s="2">
        <f t="shared" si="0"/>
        <v>0</v>
      </c>
      <c r="X23" s="2" t="s">
        <v>385</v>
      </c>
      <c r="Y23" s="2">
        <v>1</v>
      </c>
      <c r="AF23" s="2">
        <f t="shared" si="1"/>
        <v>1</v>
      </c>
      <c r="AG23" s="2">
        <f t="shared" si="2"/>
        <v>1</v>
      </c>
      <c r="AH23" s="2">
        <f t="shared" si="3"/>
        <v>0</v>
      </c>
      <c r="AI23" s="2">
        <f t="shared" si="4"/>
        <v>0</v>
      </c>
      <c r="AJ23" s="2">
        <f t="shared" si="5"/>
        <v>0</v>
      </c>
      <c r="AK23" s="2">
        <f t="shared" si="6"/>
        <v>0</v>
      </c>
      <c r="AL23" s="2">
        <f t="shared" si="7"/>
        <v>0</v>
      </c>
      <c r="AM23" s="2">
        <f t="shared" si="8"/>
        <v>0</v>
      </c>
      <c r="AP23" s="2">
        <v>1</v>
      </c>
      <c r="AR23" s="2">
        <v>1</v>
      </c>
      <c r="AS23" s="309"/>
      <c r="AW23" s="310"/>
      <c r="BC23" s="218">
        <v>0</v>
      </c>
      <c r="BH23" s="2">
        <v>520283</v>
      </c>
      <c r="BI23" s="2">
        <v>175017</v>
      </c>
      <c r="BJ23" s="2" t="s">
        <v>481</v>
      </c>
      <c r="BL23" s="2" t="s">
        <v>137</v>
      </c>
    </row>
    <row r="24" spans="1:72" x14ac:dyDescent="0.25">
      <c r="A24" s="2" t="s">
        <v>482</v>
      </c>
      <c r="B24" s="2" t="s">
        <v>382</v>
      </c>
      <c r="D24" s="4">
        <v>42954</v>
      </c>
      <c r="E24" s="4">
        <v>44050</v>
      </c>
      <c r="F24" s="4">
        <v>43179</v>
      </c>
      <c r="G24" s="3">
        <v>44286</v>
      </c>
      <c r="H24" s="2" t="s">
        <v>210</v>
      </c>
      <c r="I24" s="2" t="s">
        <v>254</v>
      </c>
      <c r="K24" s="2" t="s">
        <v>483</v>
      </c>
      <c r="L24" s="2" t="s">
        <v>484</v>
      </c>
      <c r="M24" s="2" t="s">
        <v>485</v>
      </c>
      <c r="W24" s="2">
        <f t="shared" si="0"/>
        <v>0</v>
      </c>
      <c r="X24" s="2" t="s">
        <v>385</v>
      </c>
      <c r="AD24" s="2">
        <v>1</v>
      </c>
      <c r="AF24" s="2">
        <f t="shared" si="1"/>
        <v>1</v>
      </c>
      <c r="AG24" s="2">
        <f t="shared" si="2"/>
        <v>0</v>
      </c>
      <c r="AH24" s="2">
        <f t="shared" si="3"/>
        <v>0</v>
      </c>
      <c r="AI24" s="2">
        <f t="shared" si="4"/>
        <v>0</v>
      </c>
      <c r="AJ24" s="2">
        <f t="shared" si="5"/>
        <v>0</v>
      </c>
      <c r="AK24" s="2">
        <f t="shared" si="6"/>
        <v>0</v>
      </c>
      <c r="AL24" s="2">
        <f t="shared" si="7"/>
        <v>1</v>
      </c>
      <c r="AM24" s="2">
        <f t="shared" si="8"/>
        <v>0</v>
      </c>
      <c r="AP24" s="2">
        <v>1</v>
      </c>
      <c r="AR24" s="2">
        <v>1</v>
      </c>
      <c r="AS24" s="309"/>
      <c r="AW24" s="310"/>
      <c r="BC24" s="218">
        <v>0</v>
      </c>
      <c r="BH24" s="2">
        <v>517123</v>
      </c>
      <c r="BI24" s="2">
        <v>170663</v>
      </c>
      <c r="BJ24" s="2" t="s">
        <v>443</v>
      </c>
      <c r="BK24" s="2" t="s">
        <v>147</v>
      </c>
      <c r="BL24" s="2" t="s">
        <v>159</v>
      </c>
    </row>
    <row r="25" spans="1:72" x14ac:dyDescent="0.25">
      <c r="A25" s="2" t="s">
        <v>482</v>
      </c>
      <c r="B25" s="2" t="s">
        <v>382</v>
      </c>
      <c r="D25" s="4">
        <v>42954</v>
      </c>
      <c r="E25" s="4">
        <v>44050</v>
      </c>
      <c r="F25" s="4">
        <v>43179</v>
      </c>
      <c r="G25" s="3">
        <v>44286</v>
      </c>
      <c r="H25" s="2" t="s">
        <v>210</v>
      </c>
      <c r="I25" s="2" t="s">
        <v>254</v>
      </c>
      <c r="K25" s="2" t="s">
        <v>483</v>
      </c>
      <c r="L25" s="2" t="s">
        <v>484</v>
      </c>
      <c r="M25" s="2" t="s">
        <v>485</v>
      </c>
      <c r="Q25" s="2">
        <v>1</v>
      </c>
      <c r="W25" s="2">
        <f t="shared" si="0"/>
        <v>1</v>
      </c>
      <c r="X25" s="2" t="s">
        <v>385</v>
      </c>
      <c r="AC25" s="2">
        <v>1</v>
      </c>
      <c r="AF25" s="2">
        <f t="shared" si="1"/>
        <v>1</v>
      </c>
      <c r="AG25" s="2">
        <f t="shared" si="2"/>
        <v>0</v>
      </c>
      <c r="AH25" s="2">
        <f t="shared" si="3"/>
        <v>0</v>
      </c>
      <c r="AI25" s="2">
        <f t="shared" si="4"/>
        <v>0</v>
      </c>
      <c r="AJ25" s="2">
        <f t="shared" si="5"/>
        <v>-1</v>
      </c>
      <c r="AK25" s="2">
        <f t="shared" si="6"/>
        <v>1</v>
      </c>
      <c r="AL25" s="2">
        <f t="shared" si="7"/>
        <v>0</v>
      </c>
      <c r="AM25" s="2">
        <f t="shared" si="8"/>
        <v>0</v>
      </c>
      <c r="AP25" s="2">
        <v>0</v>
      </c>
      <c r="AR25" s="2">
        <v>0</v>
      </c>
      <c r="AS25" s="309"/>
      <c r="AW25" s="310"/>
      <c r="BC25" s="218">
        <v>0</v>
      </c>
      <c r="BH25" s="2">
        <v>517123</v>
      </c>
      <c r="BI25" s="2">
        <v>170663</v>
      </c>
      <c r="BJ25" s="2" t="s">
        <v>443</v>
      </c>
      <c r="BL25" s="2" t="s">
        <v>159</v>
      </c>
    </row>
    <row r="26" spans="1:72" x14ac:dyDescent="0.25">
      <c r="A26" s="2" t="s">
        <v>486</v>
      </c>
      <c r="B26" s="2" t="s">
        <v>404</v>
      </c>
      <c r="C26" s="2" t="s">
        <v>228</v>
      </c>
      <c r="D26" s="4">
        <v>42986</v>
      </c>
      <c r="E26" s="4">
        <v>44082</v>
      </c>
      <c r="F26" s="3">
        <v>44011</v>
      </c>
      <c r="G26" s="4">
        <v>44075</v>
      </c>
      <c r="H26" s="2" t="s">
        <v>210</v>
      </c>
      <c r="I26" s="2" t="s">
        <v>254</v>
      </c>
      <c r="K26" s="2" t="s">
        <v>487</v>
      </c>
      <c r="L26" s="2" t="s">
        <v>488</v>
      </c>
      <c r="M26" s="2" t="s">
        <v>489</v>
      </c>
      <c r="W26" s="2">
        <f t="shared" si="0"/>
        <v>0</v>
      </c>
      <c r="X26" s="2" t="s">
        <v>385</v>
      </c>
      <c r="Y26" s="2">
        <v>1</v>
      </c>
      <c r="AF26" s="2">
        <f t="shared" si="1"/>
        <v>1</v>
      </c>
      <c r="AG26" s="2">
        <f t="shared" si="2"/>
        <v>1</v>
      </c>
      <c r="AH26" s="2">
        <f t="shared" si="3"/>
        <v>0</v>
      </c>
      <c r="AI26" s="2">
        <f t="shared" si="4"/>
        <v>0</v>
      </c>
      <c r="AJ26" s="2">
        <f t="shared" si="5"/>
        <v>0</v>
      </c>
      <c r="AK26" s="2">
        <f t="shared" si="6"/>
        <v>0</v>
      </c>
      <c r="AL26" s="2">
        <f t="shared" si="7"/>
        <v>0</v>
      </c>
      <c r="AM26" s="2">
        <f t="shared" si="8"/>
        <v>0</v>
      </c>
      <c r="AP26" s="2">
        <v>1</v>
      </c>
      <c r="AR26" s="2">
        <v>1</v>
      </c>
      <c r="AS26" s="309"/>
      <c r="AW26" s="310"/>
      <c r="BC26" s="218">
        <v>0</v>
      </c>
      <c r="BH26" s="2">
        <v>520531</v>
      </c>
      <c r="BI26" s="2">
        <v>175416</v>
      </c>
      <c r="BJ26" s="2" t="s">
        <v>481</v>
      </c>
      <c r="BL26" s="2" t="s">
        <v>137</v>
      </c>
      <c r="BM26" s="2" t="s">
        <v>137</v>
      </c>
      <c r="BS26" s="240" t="s">
        <v>148</v>
      </c>
      <c r="BT26" s="2" t="s">
        <v>490</v>
      </c>
    </row>
    <row r="27" spans="1:72" x14ac:dyDescent="0.25">
      <c r="A27" s="2" t="s">
        <v>491</v>
      </c>
      <c r="B27" s="2" t="s">
        <v>434</v>
      </c>
      <c r="D27" s="4">
        <v>43005</v>
      </c>
      <c r="E27" s="4">
        <v>44101</v>
      </c>
      <c r="F27" s="3">
        <v>44044</v>
      </c>
      <c r="G27" s="3">
        <v>44081</v>
      </c>
      <c r="H27" s="2" t="s">
        <v>210</v>
      </c>
      <c r="I27" s="2" t="s">
        <v>254</v>
      </c>
      <c r="K27" s="2" t="s">
        <v>492</v>
      </c>
      <c r="L27" s="2" t="s">
        <v>493</v>
      </c>
      <c r="M27" s="2" t="s">
        <v>494</v>
      </c>
      <c r="N27" s="2">
        <v>2</v>
      </c>
      <c r="W27" s="2">
        <f t="shared" si="0"/>
        <v>2</v>
      </c>
      <c r="X27" s="2" t="s">
        <v>385</v>
      </c>
      <c r="AA27" s="2">
        <v>1</v>
      </c>
      <c r="AF27" s="2">
        <f t="shared" si="1"/>
        <v>1</v>
      </c>
      <c r="AG27" s="2">
        <f t="shared" si="2"/>
        <v>-2</v>
      </c>
      <c r="AH27" s="2">
        <f t="shared" si="3"/>
        <v>0</v>
      </c>
      <c r="AI27" s="2">
        <f t="shared" si="4"/>
        <v>1</v>
      </c>
      <c r="AJ27" s="2">
        <f t="shared" si="5"/>
        <v>0</v>
      </c>
      <c r="AK27" s="2">
        <f t="shared" si="6"/>
        <v>0</v>
      </c>
      <c r="AL27" s="2">
        <f t="shared" si="7"/>
        <v>0</v>
      </c>
      <c r="AM27" s="2">
        <f t="shared" si="8"/>
        <v>0</v>
      </c>
      <c r="AP27" s="2">
        <v>-1</v>
      </c>
      <c r="AR27" s="2">
        <v>-1</v>
      </c>
      <c r="AS27" s="309"/>
      <c r="AW27" s="310"/>
      <c r="BC27" s="218">
        <v>0</v>
      </c>
      <c r="BH27" s="2">
        <v>520088</v>
      </c>
      <c r="BI27" s="2">
        <v>175029</v>
      </c>
      <c r="BJ27" s="2" t="s">
        <v>481</v>
      </c>
      <c r="BL27" s="2" t="s">
        <v>137</v>
      </c>
    </row>
    <row r="28" spans="1:72" x14ac:dyDescent="0.25">
      <c r="A28" s="2" t="s">
        <v>495</v>
      </c>
      <c r="B28" s="2" t="s">
        <v>382</v>
      </c>
      <c r="D28" s="4">
        <v>43013</v>
      </c>
      <c r="E28" s="4">
        <v>43078</v>
      </c>
      <c r="F28" s="4">
        <v>43013</v>
      </c>
      <c r="G28" s="4">
        <v>44118</v>
      </c>
      <c r="H28" s="2" t="s">
        <v>210</v>
      </c>
      <c r="I28" s="2" t="s">
        <v>254</v>
      </c>
      <c r="K28" s="2" t="s">
        <v>496</v>
      </c>
      <c r="L28" s="2" t="s">
        <v>497</v>
      </c>
      <c r="M28" s="2" t="s">
        <v>390</v>
      </c>
      <c r="W28" s="2">
        <f t="shared" si="0"/>
        <v>0</v>
      </c>
      <c r="X28" s="2" t="s">
        <v>385</v>
      </c>
      <c r="AB28" s="2">
        <v>6</v>
      </c>
      <c r="AF28" s="2">
        <f t="shared" si="1"/>
        <v>6</v>
      </c>
      <c r="AG28" s="2">
        <f t="shared" si="2"/>
        <v>0</v>
      </c>
      <c r="AH28" s="2">
        <f t="shared" si="3"/>
        <v>0</v>
      </c>
      <c r="AI28" s="2">
        <f t="shared" si="4"/>
        <v>0</v>
      </c>
      <c r="AJ28" s="2">
        <f t="shared" si="5"/>
        <v>6</v>
      </c>
      <c r="AK28" s="2">
        <f t="shared" si="6"/>
        <v>0</v>
      </c>
      <c r="AL28" s="2">
        <f t="shared" si="7"/>
        <v>0</v>
      </c>
      <c r="AM28" s="2">
        <f t="shared" si="8"/>
        <v>0</v>
      </c>
      <c r="AP28" s="2">
        <v>6</v>
      </c>
      <c r="AR28" s="2">
        <v>6</v>
      </c>
      <c r="AS28" s="309"/>
      <c r="AW28" s="310"/>
      <c r="BC28" s="218">
        <v>0</v>
      </c>
      <c r="BH28" s="2">
        <v>516802</v>
      </c>
      <c r="BI28" s="2">
        <v>171333</v>
      </c>
      <c r="BJ28" s="2" t="s">
        <v>498</v>
      </c>
      <c r="BL28" s="2" t="s">
        <v>140</v>
      </c>
      <c r="BN28" s="2" t="s">
        <v>139</v>
      </c>
    </row>
    <row r="29" spans="1:72" x14ac:dyDescent="0.25">
      <c r="A29" s="2" t="s">
        <v>495</v>
      </c>
      <c r="B29" s="2" t="s">
        <v>382</v>
      </c>
      <c r="D29" s="4">
        <v>43013</v>
      </c>
      <c r="E29" s="4">
        <v>43078</v>
      </c>
      <c r="F29" s="4">
        <v>43013</v>
      </c>
      <c r="G29" s="4">
        <v>44118</v>
      </c>
      <c r="H29" s="2" t="s">
        <v>210</v>
      </c>
      <c r="I29" s="2" t="s">
        <v>254</v>
      </c>
      <c r="K29" s="2" t="s">
        <v>496</v>
      </c>
      <c r="L29" s="2" t="s">
        <v>497</v>
      </c>
      <c r="M29" s="2" t="s">
        <v>390</v>
      </c>
      <c r="W29" s="2">
        <f t="shared" si="0"/>
        <v>0</v>
      </c>
      <c r="X29" s="2" t="s">
        <v>385</v>
      </c>
      <c r="AC29" s="2">
        <v>1</v>
      </c>
      <c r="AF29" s="2">
        <f t="shared" si="1"/>
        <v>1</v>
      </c>
      <c r="AG29" s="2">
        <f t="shared" si="2"/>
        <v>0</v>
      </c>
      <c r="AH29" s="2">
        <f t="shared" si="3"/>
        <v>0</v>
      </c>
      <c r="AI29" s="2">
        <f t="shared" si="4"/>
        <v>0</v>
      </c>
      <c r="AJ29" s="2">
        <f t="shared" si="5"/>
        <v>0</v>
      </c>
      <c r="AK29" s="2">
        <f t="shared" si="6"/>
        <v>1</v>
      </c>
      <c r="AL29" s="2">
        <f t="shared" si="7"/>
        <v>0</v>
      </c>
      <c r="AM29" s="2">
        <f t="shared" si="8"/>
        <v>0</v>
      </c>
      <c r="AP29" s="2">
        <v>1</v>
      </c>
      <c r="AR29" s="2">
        <v>1</v>
      </c>
      <c r="AS29" s="309"/>
      <c r="AW29" s="310"/>
      <c r="BC29" s="218">
        <v>0</v>
      </c>
      <c r="BH29" s="2">
        <v>516802</v>
      </c>
      <c r="BI29" s="2">
        <v>171333</v>
      </c>
      <c r="BJ29" s="2" t="s">
        <v>498</v>
      </c>
      <c r="BL29" s="2" t="s">
        <v>140</v>
      </c>
      <c r="BN29" s="2" t="s">
        <v>139</v>
      </c>
    </row>
    <row r="30" spans="1:72" x14ac:dyDescent="0.25">
      <c r="A30" s="2" t="s">
        <v>499</v>
      </c>
      <c r="B30" s="2" t="s">
        <v>382</v>
      </c>
      <c r="D30" s="4">
        <v>43024</v>
      </c>
      <c r="E30" s="4">
        <v>44120</v>
      </c>
      <c r="F30" s="4">
        <v>43346</v>
      </c>
      <c r="G30" s="4">
        <v>44083</v>
      </c>
      <c r="H30" s="2" t="s">
        <v>210</v>
      </c>
      <c r="I30" s="2" t="s">
        <v>254</v>
      </c>
      <c r="K30" s="2" t="s">
        <v>500</v>
      </c>
      <c r="L30" s="2" t="s">
        <v>501</v>
      </c>
      <c r="M30" s="2" t="s">
        <v>502</v>
      </c>
      <c r="W30" s="2">
        <f t="shared" si="0"/>
        <v>0</v>
      </c>
      <c r="X30" s="2" t="s">
        <v>385</v>
      </c>
      <c r="Y30" s="2">
        <v>8</v>
      </c>
      <c r="Z30" s="2">
        <v>1</v>
      </c>
      <c r="AF30" s="2">
        <f t="shared" si="1"/>
        <v>9</v>
      </c>
      <c r="AG30" s="2">
        <f t="shared" si="2"/>
        <v>8</v>
      </c>
      <c r="AH30" s="2">
        <f t="shared" si="3"/>
        <v>1</v>
      </c>
      <c r="AI30" s="2">
        <f t="shared" si="4"/>
        <v>0</v>
      </c>
      <c r="AJ30" s="2">
        <f t="shared" si="5"/>
        <v>0</v>
      </c>
      <c r="AK30" s="2">
        <f t="shared" si="6"/>
        <v>0</v>
      </c>
      <c r="AL30" s="2">
        <f t="shared" si="7"/>
        <v>0</v>
      </c>
      <c r="AM30" s="2">
        <f t="shared" si="8"/>
        <v>0</v>
      </c>
      <c r="AP30" s="2">
        <v>9</v>
      </c>
      <c r="AR30" s="2">
        <v>9</v>
      </c>
      <c r="AS30" s="309"/>
      <c r="AW30" s="310"/>
      <c r="BC30" s="218">
        <v>0</v>
      </c>
      <c r="BH30" s="2">
        <v>515669</v>
      </c>
      <c r="BI30" s="2">
        <v>173102</v>
      </c>
      <c r="BJ30" s="2" t="s">
        <v>503</v>
      </c>
      <c r="BL30" s="2" t="s">
        <v>165</v>
      </c>
      <c r="BM30" s="2" t="s">
        <v>142</v>
      </c>
    </row>
    <row r="31" spans="1:72" x14ac:dyDescent="0.25">
      <c r="A31" s="2" t="s">
        <v>504</v>
      </c>
      <c r="B31" s="2" t="s">
        <v>382</v>
      </c>
      <c r="D31" s="4">
        <v>43067</v>
      </c>
      <c r="E31" s="4">
        <v>44163</v>
      </c>
      <c r="F31" s="4">
        <v>43497</v>
      </c>
      <c r="G31" s="4">
        <v>44036</v>
      </c>
      <c r="H31" s="2" t="s">
        <v>210</v>
      </c>
      <c r="I31" s="2" t="s">
        <v>254</v>
      </c>
      <c r="K31" s="2" t="s">
        <v>505</v>
      </c>
      <c r="L31" s="2" t="s">
        <v>506</v>
      </c>
      <c r="M31" s="2" t="s">
        <v>507</v>
      </c>
      <c r="W31" s="2">
        <f t="shared" si="0"/>
        <v>0</v>
      </c>
      <c r="X31" s="2" t="s">
        <v>385</v>
      </c>
      <c r="AB31" s="2">
        <v>2</v>
      </c>
      <c r="AF31" s="2">
        <f t="shared" si="1"/>
        <v>2</v>
      </c>
      <c r="AG31" s="2">
        <f t="shared" si="2"/>
        <v>0</v>
      </c>
      <c r="AH31" s="2">
        <f t="shared" si="3"/>
        <v>0</v>
      </c>
      <c r="AI31" s="2">
        <f t="shared" si="4"/>
        <v>0</v>
      </c>
      <c r="AJ31" s="2">
        <f t="shared" si="5"/>
        <v>2</v>
      </c>
      <c r="AK31" s="2">
        <f t="shared" si="6"/>
        <v>0</v>
      </c>
      <c r="AL31" s="2">
        <f t="shared" si="7"/>
        <v>0</v>
      </c>
      <c r="AM31" s="2">
        <f t="shared" si="8"/>
        <v>0</v>
      </c>
      <c r="AP31" s="2">
        <v>2</v>
      </c>
      <c r="AR31" s="2">
        <v>2</v>
      </c>
      <c r="AS31" s="309"/>
      <c r="AW31" s="310"/>
      <c r="BC31" s="218">
        <v>0</v>
      </c>
      <c r="BH31" s="2">
        <v>519840</v>
      </c>
      <c r="BI31" s="2">
        <v>175428</v>
      </c>
      <c r="BJ31" s="2" t="s">
        <v>407</v>
      </c>
      <c r="BL31" s="2" t="s">
        <v>163</v>
      </c>
    </row>
    <row r="32" spans="1:72" x14ac:dyDescent="0.25">
      <c r="A32" s="2" t="s">
        <v>508</v>
      </c>
      <c r="B32" s="2" t="s">
        <v>382</v>
      </c>
      <c r="D32" s="4">
        <v>43080</v>
      </c>
      <c r="E32" s="4">
        <v>44269</v>
      </c>
      <c r="F32" s="4">
        <v>43983</v>
      </c>
      <c r="G32" s="3">
        <v>44286</v>
      </c>
      <c r="H32" s="2" t="s">
        <v>210</v>
      </c>
      <c r="I32" s="2" t="s">
        <v>254</v>
      </c>
      <c r="K32" s="2" t="s">
        <v>509</v>
      </c>
      <c r="L32" s="2" t="s">
        <v>510</v>
      </c>
      <c r="M32" s="2" t="s">
        <v>511</v>
      </c>
      <c r="Q32" s="2">
        <v>1</v>
      </c>
      <c r="W32" s="2">
        <f t="shared" si="0"/>
        <v>1</v>
      </c>
      <c r="X32" s="2" t="s">
        <v>385</v>
      </c>
      <c r="AB32" s="2">
        <v>2</v>
      </c>
      <c r="AC32" s="2">
        <v>1</v>
      </c>
      <c r="AF32" s="2">
        <f t="shared" si="1"/>
        <v>3</v>
      </c>
      <c r="AG32" s="2">
        <f t="shared" si="2"/>
        <v>0</v>
      </c>
      <c r="AH32" s="2">
        <f t="shared" si="3"/>
        <v>0</v>
      </c>
      <c r="AI32" s="2">
        <f t="shared" si="4"/>
        <v>0</v>
      </c>
      <c r="AJ32" s="2">
        <f t="shared" si="5"/>
        <v>1</v>
      </c>
      <c r="AK32" s="2">
        <f t="shared" si="6"/>
        <v>1</v>
      </c>
      <c r="AL32" s="2">
        <f t="shared" si="7"/>
        <v>0</v>
      </c>
      <c r="AM32" s="2">
        <f t="shared" si="8"/>
        <v>0</v>
      </c>
      <c r="AP32" s="2">
        <v>2</v>
      </c>
      <c r="AR32" s="2">
        <v>2</v>
      </c>
      <c r="AS32" s="309"/>
      <c r="AW32" s="310"/>
      <c r="BC32" s="218">
        <v>0</v>
      </c>
      <c r="BH32" s="2">
        <v>514169</v>
      </c>
      <c r="BI32" s="2">
        <v>170167</v>
      </c>
      <c r="BJ32" s="2" t="s">
        <v>512</v>
      </c>
      <c r="BL32" s="2" t="s">
        <v>157</v>
      </c>
    </row>
    <row r="33" spans="1:72" x14ac:dyDescent="0.25">
      <c r="A33" s="2" t="s">
        <v>513</v>
      </c>
      <c r="B33" s="2" t="s">
        <v>382</v>
      </c>
      <c r="D33" s="4">
        <v>43157</v>
      </c>
      <c r="E33" s="4">
        <v>44253</v>
      </c>
      <c r="F33" s="4">
        <v>43525</v>
      </c>
      <c r="G33" s="4">
        <v>44056</v>
      </c>
      <c r="H33" s="2" t="s">
        <v>210</v>
      </c>
      <c r="I33" s="2" t="s">
        <v>254</v>
      </c>
      <c r="K33" s="2" t="s">
        <v>514</v>
      </c>
      <c r="L33" s="2" t="s">
        <v>515</v>
      </c>
      <c r="M33" s="2" t="s">
        <v>516</v>
      </c>
      <c r="Q33" s="2">
        <v>1</v>
      </c>
      <c r="W33" s="2">
        <f t="shared" si="0"/>
        <v>1</v>
      </c>
      <c r="X33" s="2" t="s">
        <v>385</v>
      </c>
      <c r="AC33" s="2">
        <v>2</v>
      </c>
      <c r="AF33" s="2">
        <f t="shared" si="1"/>
        <v>2</v>
      </c>
      <c r="AG33" s="2">
        <f t="shared" si="2"/>
        <v>0</v>
      </c>
      <c r="AH33" s="2">
        <f t="shared" si="3"/>
        <v>0</v>
      </c>
      <c r="AI33" s="2">
        <f t="shared" si="4"/>
        <v>0</v>
      </c>
      <c r="AJ33" s="2">
        <f t="shared" si="5"/>
        <v>-1</v>
      </c>
      <c r="AK33" s="2">
        <f t="shared" si="6"/>
        <v>2</v>
      </c>
      <c r="AL33" s="2">
        <f t="shared" si="7"/>
        <v>0</v>
      </c>
      <c r="AM33" s="2">
        <f t="shared" si="8"/>
        <v>0</v>
      </c>
      <c r="AP33" s="2">
        <v>1</v>
      </c>
      <c r="AR33" s="2">
        <v>1</v>
      </c>
      <c r="AS33" s="309"/>
      <c r="AW33" s="310"/>
      <c r="BC33" s="218">
        <v>0</v>
      </c>
      <c r="BH33" s="2">
        <v>519786</v>
      </c>
      <c r="BI33" s="2">
        <v>175060</v>
      </c>
      <c r="BJ33" s="2" t="s">
        <v>481</v>
      </c>
      <c r="BL33" s="2" t="s">
        <v>137</v>
      </c>
    </row>
    <row r="34" spans="1:72" x14ac:dyDescent="0.25">
      <c r="A34" s="2" t="s">
        <v>517</v>
      </c>
      <c r="B34" s="2" t="s">
        <v>394</v>
      </c>
      <c r="D34" s="4">
        <v>43214</v>
      </c>
      <c r="E34" s="4">
        <v>44310</v>
      </c>
      <c r="F34" s="4">
        <v>43215</v>
      </c>
      <c r="G34" s="4">
        <v>44266</v>
      </c>
      <c r="H34" s="2" t="s">
        <v>210</v>
      </c>
      <c r="I34" s="2" t="s">
        <v>254</v>
      </c>
      <c r="K34" s="2" t="s">
        <v>518</v>
      </c>
      <c r="L34" s="2" t="s">
        <v>519</v>
      </c>
      <c r="M34" s="2" t="s">
        <v>520</v>
      </c>
      <c r="W34" s="2">
        <f t="shared" si="0"/>
        <v>0</v>
      </c>
      <c r="X34" s="2" t="s">
        <v>385</v>
      </c>
      <c r="Y34" s="2">
        <v>1</v>
      </c>
      <c r="Z34" s="2">
        <v>11</v>
      </c>
      <c r="AF34" s="2">
        <f t="shared" si="1"/>
        <v>12</v>
      </c>
      <c r="AG34" s="2">
        <f t="shared" si="2"/>
        <v>1</v>
      </c>
      <c r="AH34" s="2">
        <f t="shared" si="3"/>
        <v>11</v>
      </c>
      <c r="AI34" s="2">
        <f t="shared" si="4"/>
        <v>0</v>
      </c>
      <c r="AJ34" s="2">
        <f t="shared" si="5"/>
        <v>0</v>
      </c>
      <c r="AK34" s="2">
        <f t="shared" si="6"/>
        <v>0</v>
      </c>
      <c r="AL34" s="2">
        <f t="shared" si="7"/>
        <v>0</v>
      </c>
      <c r="AM34" s="2">
        <f t="shared" si="8"/>
        <v>0</v>
      </c>
      <c r="AP34" s="2">
        <v>12</v>
      </c>
      <c r="AQ34" s="180" t="s">
        <v>299</v>
      </c>
      <c r="AR34" s="2">
        <v>12</v>
      </c>
      <c r="AS34" s="309"/>
      <c r="AW34" s="310"/>
      <c r="BC34" s="218">
        <v>0</v>
      </c>
      <c r="BE34" s="2" t="s">
        <v>299</v>
      </c>
      <c r="BH34" s="2">
        <v>517752</v>
      </c>
      <c r="BI34" s="2">
        <v>172177</v>
      </c>
      <c r="BJ34" s="2" t="s">
        <v>411</v>
      </c>
      <c r="BL34" s="2" t="s">
        <v>156</v>
      </c>
      <c r="BS34" s="240" t="s">
        <v>148</v>
      </c>
      <c r="BT34" s="2" t="s">
        <v>521</v>
      </c>
    </row>
    <row r="35" spans="1:72" x14ac:dyDescent="0.25">
      <c r="A35" s="2" t="s">
        <v>522</v>
      </c>
      <c r="B35" s="2" t="s">
        <v>382</v>
      </c>
      <c r="D35" s="4">
        <v>43229</v>
      </c>
      <c r="E35" s="4">
        <v>44325</v>
      </c>
      <c r="F35" s="4">
        <v>43525</v>
      </c>
      <c r="G35" s="3">
        <v>44286</v>
      </c>
      <c r="H35" s="2" t="s">
        <v>210</v>
      </c>
      <c r="I35" s="2" t="s">
        <v>254</v>
      </c>
      <c r="K35" s="2" t="s">
        <v>523</v>
      </c>
      <c r="L35" s="2" t="s">
        <v>524</v>
      </c>
      <c r="M35" s="2" t="s">
        <v>525</v>
      </c>
      <c r="W35" s="2">
        <f t="shared" si="0"/>
        <v>0</v>
      </c>
      <c r="X35" s="2" t="s">
        <v>385</v>
      </c>
      <c r="AA35" s="2">
        <v>1</v>
      </c>
      <c r="AF35" s="2">
        <f t="shared" si="1"/>
        <v>1</v>
      </c>
      <c r="AG35" s="2">
        <f t="shared" si="2"/>
        <v>0</v>
      </c>
      <c r="AH35" s="2">
        <f t="shared" si="3"/>
        <v>0</v>
      </c>
      <c r="AI35" s="2">
        <f t="shared" si="4"/>
        <v>1</v>
      </c>
      <c r="AJ35" s="2">
        <f t="shared" si="5"/>
        <v>0</v>
      </c>
      <c r="AK35" s="2">
        <f t="shared" si="6"/>
        <v>0</v>
      </c>
      <c r="AL35" s="2">
        <f t="shared" si="7"/>
        <v>0</v>
      </c>
      <c r="AM35" s="2">
        <f t="shared" si="8"/>
        <v>0</v>
      </c>
      <c r="AP35" s="2">
        <v>1</v>
      </c>
      <c r="AR35" s="2">
        <v>1</v>
      </c>
      <c r="AS35" s="309"/>
      <c r="AW35" s="310"/>
      <c r="BC35" s="218">
        <v>0</v>
      </c>
      <c r="BH35" s="2">
        <v>522397</v>
      </c>
      <c r="BI35" s="2">
        <v>177790</v>
      </c>
      <c r="BJ35" s="2" t="s">
        <v>418</v>
      </c>
      <c r="BL35" s="2" t="s">
        <v>154</v>
      </c>
      <c r="BS35" s="240" t="s">
        <v>148</v>
      </c>
      <c r="BT35" s="2" t="s">
        <v>419</v>
      </c>
    </row>
    <row r="36" spans="1:72" x14ac:dyDescent="0.25">
      <c r="A36" s="2" t="s">
        <v>526</v>
      </c>
      <c r="B36" s="2" t="s">
        <v>404</v>
      </c>
      <c r="D36" s="4">
        <v>43255</v>
      </c>
      <c r="E36" s="4">
        <v>44351</v>
      </c>
      <c r="F36" s="4">
        <v>43843</v>
      </c>
      <c r="G36" s="4">
        <v>44252</v>
      </c>
      <c r="H36" s="2" t="s">
        <v>210</v>
      </c>
      <c r="I36" s="2" t="s">
        <v>254</v>
      </c>
      <c r="K36" s="2" t="s">
        <v>527</v>
      </c>
      <c r="L36" s="2" t="s">
        <v>528</v>
      </c>
      <c r="M36" s="2" t="s">
        <v>467</v>
      </c>
      <c r="O36" s="2">
        <v>1</v>
      </c>
      <c r="W36" s="2">
        <f t="shared" si="0"/>
        <v>1</v>
      </c>
      <c r="X36" s="2" t="s">
        <v>385</v>
      </c>
      <c r="Y36" s="2">
        <v>2</v>
      </c>
      <c r="AF36" s="2">
        <f t="shared" si="1"/>
        <v>2</v>
      </c>
      <c r="AG36" s="2">
        <f t="shared" si="2"/>
        <v>2</v>
      </c>
      <c r="AH36" s="2">
        <f t="shared" si="3"/>
        <v>-1</v>
      </c>
      <c r="AI36" s="2">
        <f t="shared" si="4"/>
        <v>0</v>
      </c>
      <c r="AJ36" s="2">
        <f t="shared" si="5"/>
        <v>0</v>
      </c>
      <c r="AK36" s="2">
        <f t="shared" si="6"/>
        <v>0</v>
      </c>
      <c r="AL36" s="2">
        <f t="shared" si="7"/>
        <v>0</v>
      </c>
      <c r="AM36" s="2">
        <f t="shared" si="8"/>
        <v>0</v>
      </c>
      <c r="AP36" s="2">
        <v>1</v>
      </c>
      <c r="AR36" s="2">
        <v>1</v>
      </c>
      <c r="AS36" s="309"/>
      <c r="AW36" s="310"/>
      <c r="BC36" s="218">
        <v>0</v>
      </c>
      <c r="BH36" s="2">
        <v>519061</v>
      </c>
      <c r="BI36" s="2">
        <v>176659</v>
      </c>
      <c r="BJ36" s="2" t="s">
        <v>428</v>
      </c>
      <c r="BL36" s="2" t="s">
        <v>161</v>
      </c>
      <c r="BS36" s="240" t="s">
        <v>148</v>
      </c>
      <c r="BT36" s="2" t="s">
        <v>468</v>
      </c>
    </row>
    <row r="37" spans="1:72" x14ac:dyDescent="0.25">
      <c r="A37" s="2" t="s">
        <v>529</v>
      </c>
      <c r="B37" s="2" t="s">
        <v>382</v>
      </c>
      <c r="D37" s="4">
        <v>43272</v>
      </c>
      <c r="E37" s="4">
        <v>44368</v>
      </c>
      <c r="F37" s="4">
        <v>43478</v>
      </c>
      <c r="G37" s="4">
        <v>43999</v>
      </c>
      <c r="H37" s="2" t="s">
        <v>210</v>
      </c>
      <c r="I37" s="2" t="s">
        <v>254</v>
      </c>
      <c r="K37" s="2" t="s">
        <v>530</v>
      </c>
      <c r="L37" s="2" t="s">
        <v>531</v>
      </c>
      <c r="M37" s="2" t="s">
        <v>532</v>
      </c>
      <c r="W37" s="2">
        <f t="shared" si="0"/>
        <v>0</v>
      </c>
      <c r="X37" s="2" t="s">
        <v>385</v>
      </c>
      <c r="Y37" s="2">
        <v>1</v>
      </c>
      <c r="AF37" s="2">
        <f t="shared" si="1"/>
        <v>1</v>
      </c>
      <c r="AG37" s="2">
        <f t="shared" si="2"/>
        <v>1</v>
      </c>
      <c r="AH37" s="2">
        <f t="shared" si="3"/>
        <v>0</v>
      </c>
      <c r="AI37" s="2">
        <f t="shared" si="4"/>
        <v>0</v>
      </c>
      <c r="AJ37" s="2">
        <f t="shared" si="5"/>
        <v>0</v>
      </c>
      <c r="AK37" s="2">
        <f t="shared" si="6"/>
        <v>0</v>
      </c>
      <c r="AL37" s="2">
        <f t="shared" si="7"/>
        <v>0</v>
      </c>
      <c r="AM37" s="2">
        <f t="shared" si="8"/>
        <v>0</v>
      </c>
      <c r="AP37" s="2">
        <v>1</v>
      </c>
      <c r="AR37" s="2">
        <v>1</v>
      </c>
      <c r="AS37" s="309"/>
      <c r="AW37" s="310"/>
      <c r="BC37" s="218">
        <v>0</v>
      </c>
      <c r="BH37" s="2">
        <v>513452</v>
      </c>
      <c r="BI37" s="2">
        <v>171614</v>
      </c>
      <c r="BJ37" s="2" t="s">
        <v>533</v>
      </c>
      <c r="BL37" s="2" t="s">
        <v>158</v>
      </c>
    </row>
    <row r="38" spans="1:72" x14ac:dyDescent="0.25">
      <c r="A38" s="2" t="s">
        <v>534</v>
      </c>
      <c r="B38" s="2" t="s">
        <v>382</v>
      </c>
      <c r="D38" s="4">
        <v>43278</v>
      </c>
      <c r="E38" s="4">
        <v>44374</v>
      </c>
      <c r="F38" s="4">
        <v>43661</v>
      </c>
      <c r="G38" s="4">
        <v>44165</v>
      </c>
      <c r="H38" s="2" t="s">
        <v>210</v>
      </c>
      <c r="I38" s="2" t="s">
        <v>254</v>
      </c>
      <c r="K38" s="2" t="s">
        <v>535</v>
      </c>
      <c r="L38" s="2" t="s">
        <v>536</v>
      </c>
      <c r="M38" s="2" t="s">
        <v>537</v>
      </c>
      <c r="W38" s="2">
        <f t="shared" si="0"/>
        <v>0</v>
      </c>
      <c r="X38" s="2" t="s">
        <v>385</v>
      </c>
      <c r="AA38" s="2">
        <v>1</v>
      </c>
      <c r="AF38" s="2">
        <f t="shared" si="1"/>
        <v>1</v>
      </c>
      <c r="AG38" s="2">
        <f t="shared" si="2"/>
        <v>0</v>
      </c>
      <c r="AH38" s="2">
        <f t="shared" si="3"/>
        <v>0</v>
      </c>
      <c r="AI38" s="2">
        <f t="shared" si="4"/>
        <v>1</v>
      </c>
      <c r="AJ38" s="2">
        <f t="shared" si="5"/>
        <v>0</v>
      </c>
      <c r="AK38" s="2">
        <f t="shared" si="6"/>
        <v>0</v>
      </c>
      <c r="AL38" s="2">
        <f t="shared" si="7"/>
        <v>0</v>
      </c>
      <c r="AM38" s="2">
        <f t="shared" si="8"/>
        <v>0</v>
      </c>
      <c r="AP38" s="2">
        <v>1</v>
      </c>
      <c r="AR38" s="2">
        <v>1</v>
      </c>
      <c r="AS38" s="309"/>
      <c r="AW38" s="310"/>
      <c r="BC38" s="218">
        <v>0</v>
      </c>
      <c r="BH38" s="2">
        <v>513875</v>
      </c>
      <c r="BI38" s="2">
        <v>172459</v>
      </c>
      <c r="BJ38" s="2" t="s">
        <v>463</v>
      </c>
      <c r="BL38" s="2" t="s">
        <v>168</v>
      </c>
    </row>
    <row r="39" spans="1:72" x14ac:dyDescent="0.25">
      <c r="A39" s="2" t="s">
        <v>538</v>
      </c>
      <c r="B39" s="2" t="s">
        <v>539</v>
      </c>
      <c r="D39" s="4">
        <v>43301</v>
      </c>
      <c r="E39" s="4">
        <v>44397</v>
      </c>
      <c r="F39" s="3">
        <v>43770</v>
      </c>
      <c r="G39" s="4">
        <v>44019</v>
      </c>
      <c r="H39" s="2" t="s">
        <v>210</v>
      </c>
      <c r="I39" s="2" t="s">
        <v>254</v>
      </c>
      <c r="K39" s="2" t="s">
        <v>540</v>
      </c>
      <c r="L39" s="2" t="s">
        <v>541</v>
      </c>
      <c r="M39" s="2" t="s">
        <v>542</v>
      </c>
      <c r="W39" s="2">
        <f t="shared" si="0"/>
        <v>0</v>
      </c>
      <c r="X39" s="2" t="s">
        <v>385</v>
      </c>
      <c r="Z39" s="2">
        <v>1</v>
      </c>
      <c r="AF39" s="2">
        <f t="shared" si="1"/>
        <v>1</v>
      </c>
      <c r="AG39" s="2">
        <f t="shared" si="2"/>
        <v>0</v>
      </c>
      <c r="AH39" s="2">
        <f t="shared" si="3"/>
        <v>1</v>
      </c>
      <c r="AI39" s="2">
        <f t="shared" si="4"/>
        <v>0</v>
      </c>
      <c r="AJ39" s="2">
        <f t="shared" si="5"/>
        <v>0</v>
      </c>
      <c r="AK39" s="2">
        <f t="shared" si="6"/>
        <v>0</v>
      </c>
      <c r="AL39" s="2">
        <f t="shared" si="7"/>
        <v>0</v>
      </c>
      <c r="AM39" s="2">
        <f t="shared" si="8"/>
        <v>0</v>
      </c>
      <c r="AP39" s="2">
        <v>1</v>
      </c>
      <c r="AR39" s="2">
        <v>1</v>
      </c>
      <c r="AS39" s="309"/>
      <c r="AW39" s="310"/>
      <c r="BC39" s="218">
        <v>0</v>
      </c>
      <c r="BH39" s="2">
        <v>515426</v>
      </c>
      <c r="BI39" s="2">
        <v>171451</v>
      </c>
      <c r="BJ39" s="2" t="s">
        <v>391</v>
      </c>
      <c r="BL39" s="2" t="s">
        <v>174</v>
      </c>
    </row>
    <row r="40" spans="1:72" x14ac:dyDescent="0.25">
      <c r="A40" s="2" t="s">
        <v>543</v>
      </c>
      <c r="B40" s="2" t="s">
        <v>382</v>
      </c>
      <c r="D40" s="4">
        <v>43329</v>
      </c>
      <c r="E40" s="4">
        <v>44425</v>
      </c>
      <c r="F40" s="4">
        <v>43689</v>
      </c>
      <c r="G40" s="3">
        <v>44286</v>
      </c>
      <c r="H40" s="2" t="s">
        <v>210</v>
      </c>
      <c r="I40" s="2" t="s">
        <v>254</v>
      </c>
      <c r="K40" s="2" t="s">
        <v>544</v>
      </c>
      <c r="L40" s="2" t="s">
        <v>545</v>
      </c>
      <c r="M40" s="2" t="s">
        <v>546</v>
      </c>
      <c r="W40" s="2">
        <f t="shared" si="0"/>
        <v>0</v>
      </c>
      <c r="X40" s="2" t="s">
        <v>385</v>
      </c>
      <c r="AB40" s="2">
        <v>1</v>
      </c>
      <c r="AF40" s="2">
        <f t="shared" si="1"/>
        <v>1</v>
      </c>
      <c r="AG40" s="2">
        <f t="shared" si="2"/>
        <v>0</v>
      </c>
      <c r="AH40" s="2">
        <f t="shared" si="3"/>
        <v>0</v>
      </c>
      <c r="AI40" s="2">
        <f t="shared" si="4"/>
        <v>0</v>
      </c>
      <c r="AJ40" s="2">
        <f t="shared" si="5"/>
        <v>1</v>
      </c>
      <c r="AK40" s="2">
        <f t="shared" si="6"/>
        <v>0</v>
      </c>
      <c r="AL40" s="2">
        <f t="shared" si="7"/>
        <v>0</v>
      </c>
      <c r="AM40" s="2">
        <f t="shared" si="8"/>
        <v>0</v>
      </c>
      <c r="AP40" s="2">
        <v>1</v>
      </c>
      <c r="AR40" s="2">
        <v>1</v>
      </c>
      <c r="AS40" s="309"/>
      <c r="AW40" s="310"/>
      <c r="BC40" s="218">
        <v>0</v>
      </c>
      <c r="BH40" s="2">
        <v>513446</v>
      </c>
      <c r="BI40" s="2">
        <v>170353</v>
      </c>
      <c r="BJ40" s="2" t="s">
        <v>512</v>
      </c>
      <c r="BK40" s="2" t="s">
        <v>147</v>
      </c>
      <c r="BL40" s="2" t="s">
        <v>157</v>
      </c>
    </row>
    <row r="41" spans="1:72" x14ac:dyDescent="0.25">
      <c r="A41" s="2" t="s">
        <v>547</v>
      </c>
      <c r="B41" s="2" t="s">
        <v>434</v>
      </c>
      <c r="D41" s="4">
        <v>43350</v>
      </c>
      <c r="E41" s="4">
        <v>44446</v>
      </c>
      <c r="F41" s="4">
        <v>43405</v>
      </c>
      <c r="G41" s="4">
        <v>44161</v>
      </c>
      <c r="H41" s="2" t="s">
        <v>210</v>
      </c>
      <c r="I41" s="2" t="s">
        <v>254</v>
      </c>
      <c r="K41" s="2" t="s">
        <v>548</v>
      </c>
      <c r="L41" s="2" t="s">
        <v>549</v>
      </c>
      <c r="M41" s="2" t="s">
        <v>550</v>
      </c>
      <c r="O41" s="2">
        <v>1</v>
      </c>
      <c r="W41" s="2">
        <f t="shared" si="0"/>
        <v>1</v>
      </c>
      <c r="X41" s="2" t="s">
        <v>385</v>
      </c>
      <c r="Y41" s="2">
        <v>2</v>
      </c>
      <c r="AF41" s="2">
        <f t="shared" si="1"/>
        <v>2</v>
      </c>
      <c r="AG41" s="2">
        <f t="shared" si="2"/>
        <v>2</v>
      </c>
      <c r="AH41" s="2">
        <f t="shared" si="3"/>
        <v>-1</v>
      </c>
      <c r="AI41" s="2">
        <f t="shared" si="4"/>
        <v>0</v>
      </c>
      <c r="AJ41" s="2">
        <f t="shared" si="5"/>
        <v>0</v>
      </c>
      <c r="AK41" s="2">
        <f t="shared" si="6"/>
        <v>0</v>
      </c>
      <c r="AL41" s="2">
        <f t="shared" si="7"/>
        <v>0</v>
      </c>
      <c r="AM41" s="2">
        <f t="shared" si="8"/>
        <v>0</v>
      </c>
      <c r="AP41" s="2">
        <v>1</v>
      </c>
      <c r="AR41" s="2">
        <v>1</v>
      </c>
      <c r="AS41" s="309"/>
      <c r="AW41" s="310"/>
      <c r="BC41" s="218">
        <v>0</v>
      </c>
      <c r="BH41" s="2">
        <v>515991</v>
      </c>
      <c r="BI41" s="2">
        <v>168830</v>
      </c>
      <c r="BJ41" s="2" t="s">
        <v>512</v>
      </c>
      <c r="BL41" s="2" t="s">
        <v>157</v>
      </c>
      <c r="BS41" s="240" t="s">
        <v>148</v>
      </c>
      <c r="BT41" s="2" t="s">
        <v>551</v>
      </c>
    </row>
    <row r="42" spans="1:72" x14ac:dyDescent="0.25">
      <c r="A42" s="2" t="s">
        <v>552</v>
      </c>
      <c r="B42" s="2" t="s">
        <v>404</v>
      </c>
      <c r="D42" s="4">
        <v>43356</v>
      </c>
      <c r="E42" s="4">
        <v>44452</v>
      </c>
      <c r="F42" s="4">
        <v>43739</v>
      </c>
      <c r="G42" s="4">
        <v>44217</v>
      </c>
      <c r="H42" s="2" t="s">
        <v>210</v>
      </c>
      <c r="I42" s="2" t="s">
        <v>254</v>
      </c>
      <c r="K42" s="2" t="s">
        <v>553</v>
      </c>
      <c r="L42" s="2" t="s">
        <v>554</v>
      </c>
      <c r="M42" s="2" t="s">
        <v>555</v>
      </c>
      <c r="W42" s="2">
        <f t="shared" si="0"/>
        <v>0</v>
      </c>
      <c r="X42" s="2" t="s">
        <v>385</v>
      </c>
      <c r="Z42" s="2">
        <v>2</v>
      </c>
      <c r="AF42" s="2">
        <f t="shared" si="1"/>
        <v>2</v>
      </c>
      <c r="AG42" s="2">
        <f t="shared" si="2"/>
        <v>0</v>
      </c>
      <c r="AH42" s="2">
        <f t="shared" si="3"/>
        <v>2</v>
      </c>
      <c r="AI42" s="2">
        <f t="shared" si="4"/>
        <v>0</v>
      </c>
      <c r="AJ42" s="2">
        <f t="shared" si="5"/>
        <v>0</v>
      </c>
      <c r="AK42" s="2">
        <f t="shared" si="6"/>
        <v>0</v>
      </c>
      <c r="AL42" s="2">
        <f t="shared" si="7"/>
        <v>0</v>
      </c>
      <c r="AM42" s="2">
        <f t="shared" si="8"/>
        <v>0</v>
      </c>
      <c r="AP42" s="2">
        <v>2</v>
      </c>
      <c r="AR42" s="2">
        <v>2</v>
      </c>
      <c r="AS42" s="309"/>
      <c r="AW42" s="310"/>
      <c r="BC42" s="218">
        <v>0</v>
      </c>
      <c r="BH42" s="2">
        <v>515790</v>
      </c>
      <c r="BI42" s="2">
        <v>173166</v>
      </c>
      <c r="BJ42" s="2" t="s">
        <v>503</v>
      </c>
      <c r="BL42" s="2" t="s">
        <v>165</v>
      </c>
      <c r="BM42" s="2" t="s">
        <v>142</v>
      </c>
    </row>
    <row r="43" spans="1:72" x14ac:dyDescent="0.25">
      <c r="A43" s="2" t="s">
        <v>556</v>
      </c>
      <c r="B43" s="2" t="s">
        <v>394</v>
      </c>
      <c r="D43" s="4">
        <v>43411</v>
      </c>
      <c r="E43" s="4">
        <v>44507</v>
      </c>
      <c r="F43" s="4">
        <v>43437</v>
      </c>
      <c r="G43" s="4">
        <v>43994</v>
      </c>
      <c r="H43" s="2" t="s">
        <v>210</v>
      </c>
      <c r="I43" s="2" t="s">
        <v>254</v>
      </c>
      <c r="K43" s="2" t="s">
        <v>557</v>
      </c>
      <c r="L43" s="2" t="s">
        <v>558</v>
      </c>
      <c r="M43" s="2" t="s">
        <v>559</v>
      </c>
      <c r="N43" s="2">
        <v>3</v>
      </c>
      <c r="W43" s="2">
        <f t="shared" si="0"/>
        <v>3</v>
      </c>
      <c r="X43" s="2" t="s">
        <v>385</v>
      </c>
      <c r="Z43" s="2">
        <v>3</v>
      </c>
      <c r="AF43" s="2">
        <f t="shared" si="1"/>
        <v>3</v>
      </c>
      <c r="AG43" s="2">
        <f t="shared" si="2"/>
        <v>-3</v>
      </c>
      <c r="AH43" s="2">
        <f t="shared" si="3"/>
        <v>3</v>
      </c>
      <c r="AI43" s="2">
        <f t="shared" si="4"/>
        <v>0</v>
      </c>
      <c r="AJ43" s="2">
        <f t="shared" si="5"/>
        <v>0</v>
      </c>
      <c r="AK43" s="2">
        <f t="shared" si="6"/>
        <v>0</v>
      </c>
      <c r="AL43" s="2">
        <f t="shared" si="7"/>
        <v>0</v>
      </c>
      <c r="AM43" s="2">
        <f t="shared" si="8"/>
        <v>0</v>
      </c>
      <c r="AP43" s="2">
        <v>0</v>
      </c>
      <c r="AR43" s="2">
        <v>0</v>
      </c>
      <c r="AS43" s="309"/>
      <c r="AW43" s="310"/>
      <c r="BC43" s="218">
        <v>0</v>
      </c>
      <c r="BH43" s="2">
        <v>514485</v>
      </c>
      <c r="BI43" s="2">
        <v>171271</v>
      </c>
      <c r="BJ43" s="2" t="s">
        <v>391</v>
      </c>
      <c r="BL43" s="2" t="s">
        <v>174</v>
      </c>
      <c r="BO43" s="2" t="s">
        <v>141</v>
      </c>
      <c r="BP43" s="2" t="s">
        <v>560</v>
      </c>
      <c r="BS43" s="240" t="s">
        <v>148</v>
      </c>
      <c r="BT43" s="2" t="s">
        <v>561</v>
      </c>
    </row>
    <row r="44" spans="1:72" x14ac:dyDescent="0.25">
      <c r="A44" s="2" t="s">
        <v>562</v>
      </c>
      <c r="B44" s="2" t="s">
        <v>404</v>
      </c>
      <c r="D44" s="4">
        <v>43417</v>
      </c>
      <c r="E44" s="4">
        <v>44711</v>
      </c>
      <c r="F44" s="4">
        <v>43843</v>
      </c>
      <c r="G44" s="4">
        <v>44252</v>
      </c>
      <c r="H44" s="2" t="s">
        <v>210</v>
      </c>
      <c r="I44" s="2" t="s">
        <v>254</v>
      </c>
      <c r="K44" s="2" t="s">
        <v>563</v>
      </c>
      <c r="L44" s="2" t="s">
        <v>564</v>
      </c>
      <c r="M44" s="2" t="s">
        <v>467</v>
      </c>
      <c r="W44" s="2">
        <f t="shared" si="0"/>
        <v>0</v>
      </c>
      <c r="X44" s="2" t="s">
        <v>385</v>
      </c>
      <c r="Z44" s="2">
        <v>1</v>
      </c>
      <c r="AF44" s="2">
        <f t="shared" si="1"/>
        <v>1</v>
      </c>
      <c r="AG44" s="2">
        <f t="shared" si="2"/>
        <v>0</v>
      </c>
      <c r="AH44" s="2">
        <f t="shared" si="3"/>
        <v>1</v>
      </c>
      <c r="AI44" s="2">
        <f t="shared" si="4"/>
        <v>0</v>
      </c>
      <c r="AJ44" s="2">
        <f t="shared" si="5"/>
        <v>0</v>
      </c>
      <c r="AK44" s="2">
        <f t="shared" si="6"/>
        <v>0</v>
      </c>
      <c r="AL44" s="2">
        <f t="shared" si="7"/>
        <v>0</v>
      </c>
      <c r="AM44" s="2">
        <f t="shared" si="8"/>
        <v>0</v>
      </c>
      <c r="AP44" s="2">
        <v>1</v>
      </c>
      <c r="AR44" s="2">
        <v>1</v>
      </c>
      <c r="AS44" s="309"/>
      <c r="AW44" s="310"/>
      <c r="BC44" s="218">
        <v>0</v>
      </c>
      <c r="BH44" s="2">
        <v>519061</v>
      </c>
      <c r="BI44" s="2">
        <v>176662</v>
      </c>
      <c r="BJ44" s="2" t="s">
        <v>428</v>
      </c>
      <c r="BL44" s="2" t="s">
        <v>161</v>
      </c>
      <c r="BS44" s="240" t="s">
        <v>148</v>
      </c>
      <c r="BT44" s="2" t="s">
        <v>468</v>
      </c>
    </row>
    <row r="45" spans="1:72" x14ac:dyDescent="0.25">
      <c r="A45" s="2" t="s">
        <v>565</v>
      </c>
      <c r="B45" s="2" t="s">
        <v>382</v>
      </c>
      <c r="D45" s="4">
        <v>43423</v>
      </c>
      <c r="E45" s="4">
        <v>44519</v>
      </c>
      <c r="F45" s="4">
        <v>43754</v>
      </c>
      <c r="G45" s="3">
        <v>44286</v>
      </c>
      <c r="H45" s="2" t="s">
        <v>210</v>
      </c>
      <c r="I45" s="2" t="s">
        <v>254</v>
      </c>
      <c r="K45" s="2" t="s">
        <v>566</v>
      </c>
      <c r="L45" s="2" t="s">
        <v>567</v>
      </c>
      <c r="M45" s="2" t="s">
        <v>568</v>
      </c>
      <c r="W45" s="2">
        <f t="shared" si="0"/>
        <v>0</v>
      </c>
      <c r="X45" s="2" t="s">
        <v>385</v>
      </c>
      <c r="AB45" s="2">
        <v>1</v>
      </c>
      <c r="AF45" s="2">
        <f t="shared" si="1"/>
        <v>1</v>
      </c>
      <c r="AG45" s="2">
        <f t="shared" si="2"/>
        <v>0</v>
      </c>
      <c r="AH45" s="2">
        <f t="shared" si="3"/>
        <v>0</v>
      </c>
      <c r="AI45" s="2">
        <f t="shared" si="4"/>
        <v>0</v>
      </c>
      <c r="AJ45" s="2">
        <f t="shared" si="5"/>
        <v>1</v>
      </c>
      <c r="AK45" s="2">
        <f t="shared" si="6"/>
        <v>0</v>
      </c>
      <c r="AL45" s="2">
        <f t="shared" si="7"/>
        <v>0</v>
      </c>
      <c r="AM45" s="2">
        <f t="shared" si="8"/>
        <v>0</v>
      </c>
      <c r="AP45" s="2">
        <v>1</v>
      </c>
      <c r="AR45" s="2">
        <v>1</v>
      </c>
      <c r="AS45" s="309"/>
      <c r="AW45" s="310"/>
      <c r="BC45" s="218">
        <v>0</v>
      </c>
      <c r="BH45" s="2">
        <v>515803</v>
      </c>
      <c r="BI45" s="2">
        <v>171071</v>
      </c>
      <c r="BJ45" s="2" t="s">
        <v>498</v>
      </c>
      <c r="BL45" s="2" t="s">
        <v>140</v>
      </c>
    </row>
    <row r="46" spans="1:72" x14ac:dyDescent="0.25">
      <c r="A46" s="2" t="s">
        <v>569</v>
      </c>
      <c r="B46" s="2" t="s">
        <v>434</v>
      </c>
      <c r="D46" s="4">
        <v>43431</v>
      </c>
      <c r="E46" s="4">
        <v>44527</v>
      </c>
      <c r="F46" s="3">
        <v>43952</v>
      </c>
      <c r="G46" s="3">
        <v>44286</v>
      </c>
      <c r="H46" s="2" t="s">
        <v>210</v>
      </c>
      <c r="I46" s="2" t="s">
        <v>254</v>
      </c>
      <c r="K46" s="2" t="s">
        <v>570</v>
      </c>
      <c r="L46" s="2" t="s">
        <v>571</v>
      </c>
      <c r="M46" s="2" t="s">
        <v>572</v>
      </c>
      <c r="N46" s="2">
        <v>1</v>
      </c>
      <c r="W46" s="2">
        <f t="shared" si="0"/>
        <v>1</v>
      </c>
      <c r="AF46" s="2">
        <f t="shared" si="1"/>
        <v>0</v>
      </c>
      <c r="AG46" s="2">
        <f t="shared" si="2"/>
        <v>-1</v>
      </c>
      <c r="AH46" s="2">
        <f t="shared" si="3"/>
        <v>0</v>
      </c>
      <c r="AI46" s="2">
        <f t="shared" si="4"/>
        <v>0</v>
      </c>
      <c r="AJ46" s="2">
        <f t="shared" si="5"/>
        <v>0</v>
      </c>
      <c r="AK46" s="2">
        <f t="shared" si="6"/>
        <v>0</v>
      </c>
      <c r="AL46" s="2">
        <f t="shared" si="7"/>
        <v>0</v>
      </c>
      <c r="AM46" s="2">
        <f t="shared" si="8"/>
        <v>0</v>
      </c>
      <c r="AP46" s="2">
        <v>-1</v>
      </c>
      <c r="AR46" s="2">
        <v>-1</v>
      </c>
      <c r="AS46" s="309"/>
      <c r="AW46" s="310"/>
      <c r="BC46" s="218">
        <v>0</v>
      </c>
      <c r="BH46" s="2">
        <v>515922</v>
      </c>
      <c r="BI46" s="2">
        <v>171125</v>
      </c>
      <c r="BJ46" s="2" t="s">
        <v>498</v>
      </c>
      <c r="BL46" s="2" t="s">
        <v>140</v>
      </c>
      <c r="BM46" s="2" t="s">
        <v>140</v>
      </c>
      <c r="BS46" s="240" t="s">
        <v>148</v>
      </c>
      <c r="BT46" s="2" t="s">
        <v>573</v>
      </c>
    </row>
    <row r="47" spans="1:72" x14ac:dyDescent="0.25">
      <c r="A47" s="2" t="s">
        <v>574</v>
      </c>
      <c r="B47" s="2" t="s">
        <v>404</v>
      </c>
      <c r="D47" s="4">
        <v>43454</v>
      </c>
      <c r="E47" s="4">
        <v>44550</v>
      </c>
      <c r="F47" s="4">
        <v>43497</v>
      </c>
      <c r="G47" s="4">
        <v>43955</v>
      </c>
      <c r="H47" s="2" t="s">
        <v>210</v>
      </c>
      <c r="I47" s="2" t="s">
        <v>254</v>
      </c>
      <c r="K47" s="2" t="s">
        <v>575</v>
      </c>
      <c r="L47" s="2" t="s">
        <v>576</v>
      </c>
      <c r="M47" s="2" t="s">
        <v>448</v>
      </c>
      <c r="N47" s="2">
        <v>2</v>
      </c>
      <c r="W47" s="2">
        <f t="shared" si="0"/>
        <v>2</v>
      </c>
      <c r="X47" s="2" t="s">
        <v>385</v>
      </c>
      <c r="Y47" s="2">
        <v>2</v>
      </c>
      <c r="Z47" s="2">
        <v>1</v>
      </c>
      <c r="AF47" s="2">
        <f t="shared" si="1"/>
        <v>3</v>
      </c>
      <c r="AG47" s="2">
        <f t="shared" si="2"/>
        <v>0</v>
      </c>
      <c r="AH47" s="2">
        <f t="shared" si="3"/>
        <v>1</v>
      </c>
      <c r="AI47" s="2">
        <f t="shared" si="4"/>
        <v>0</v>
      </c>
      <c r="AJ47" s="2">
        <f t="shared" si="5"/>
        <v>0</v>
      </c>
      <c r="AK47" s="2">
        <f t="shared" si="6"/>
        <v>0</v>
      </c>
      <c r="AL47" s="2">
        <f t="shared" si="7"/>
        <v>0</v>
      </c>
      <c r="AM47" s="2">
        <f t="shared" si="8"/>
        <v>0</v>
      </c>
      <c r="AP47" s="2">
        <v>1</v>
      </c>
      <c r="AR47" s="2">
        <v>1</v>
      </c>
      <c r="AS47" s="309"/>
      <c r="AW47" s="310"/>
      <c r="BC47" s="218">
        <v>0</v>
      </c>
      <c r="BH47" s="2">
        <v>521729</v>
      </c>
      <c r="BI47" s="2">
        <v>176389</v>
      </c>
      <c r="BJ47" s="2" t="s">
        <v>449</v>
      </c>
      <c r="BL47" s="2" t="s">
        <v>175</v>
      </c>
      <c r="BO47" s="2" t="s">
        <v>141</v>
      </c>
      <c r="BP47" s="2" t="s">
        <v>450</v>
      </c>
      <c r="BS47" s="240" t="s">
        <v>148</v>
      </c>
      <c r="BT47" s="2" t="s">
        <v>451</v>
      </c>
    </row>
    <row r="48" spans="1:72" x14ac:dyDescent="0.25">
      <c r="A48" s="2" t="s">
        <v>577</v>
      </c>
      <c r="B48" s="2" t="s">
        <v>404</v>
      </c>
      <c r="C48" s="2" t="s">
        <v>228</v>
      </c>
      <c r="D48" s="4">
        <v>43495</v>
      </c>
      <c r="E48" s="4">
        <v>44591</v>
      </c>
      <c r="F48" s="4">
        <v>43691</v>
      </c>
      <c r="G48" s="4">
        <v>44076</v>
      </c>
      <c r="H48" s="2" t="s">
        <v>210</v>
      </c>
      <c r="I48" s="2" t="s">
        <v>254</v>
      </c>
      <c r="K48" s="2" t="s">
        <v>578</v>
      </c>
      <c r="L48" s="2" t="s">
        <v>579</v>
      </c>
      <c r="M48" s="2" t="s">
        <v>580</v>
      </c>
      <c r="W48" s="2">
        <f t="shared" si="0"/>
        <v>0</v>
      </c>
      <c r="X48" s="2" t="s">
        <v>385</v>
      </c>
      <c r="Z48" s="2">
        <v>1</v>
      </c>
      <c r="AA48" s="2">
        <v>2</v>
      </c>
      <c r="AF48" s="2">
        <f t="shared" si="1"/>
        <v>3</v>
      </c>
      <c r="AG48" s="2">
        <f t="shared" si="2"/>
        <v>0</v>
      </c>
      <c r="AH48" s="2">
        <f t="shared" si="3"/>
        <v>1</v>
      </c>
      <c r="AI48" s="2">
        <f t="shared" si="4"/>
        <v>2</v>
      </c>
      <c r="AJ48" s="2">
        <f t="shared" si="5"/>
        <v>0</v>
      </c>
      <c r="AK48" s="2">
        <f t="shared" si="6"/>
        <v>0</v>
      </c>
      <c r="AL48" s="2">
        <f t="shared" si="7"/>
        <v>0</v>
      </c>
      <c r="AM48" s="2">
        <f t="shared" si="8"/>
        <v>0</v>
      </c>
      <c r="AP48" s="2">
        <v>3</v>
      </c>
      <c r="AR48" s="2">
        <v>3</v>
      </c>
      <c r="AS48" s="309"/>
      <c r="AW48" s="310"/>
      <c r="BC48" s="218">
        <v>0</v>
      </c>
      <c r="BH48" s="2">
        <v>519311</v>
      </c>
      <c r="BI48" s="2">
        <v>177214</v>
      </c>
      <c r="BJ48" s="2" t="s">
        <v>428</v>
      </c>
      <c r="BL48" s="2" t="s">
        <v>161</v>
      </c>
      <c r="BS48" s="240" t="s">
        <v>148</v>
      </c>
      <c r="BT48" s="2" t="s">
        <v>429</v>
      </c>
    </row>
    <row r="49" spans="1:72" x14ac:dyDescent="0.25">
      <c r="A49" s="2" t="s">
        <v>581</v>
      </c>
      <c r="B49" s="2" t="s">
        <v>434</v>
      </c>
      <c r="D49" s="4">
        <v>43514</v>
      </c>
      <c r="E49" s="4">
        <v>44610</v>
      </c>
      <c r="F49" s="4">
        <v>43739</v>
      </c>
      <c r="G49" s="4">
        <v>44056</v>
      </c>
      <c r="H49" s="2" t="s">
        <v>210</v>
      </c>
      <c r="I49" s="2" t="s">
        <v>254</v>
      </c>
      <c r="K49" s="2" t="s">
        <v>582</v>
      </c>
      <c r="L49" s="2" t="s">
        <v>583</v>
      </c>
      <c r="M49" s="2" t="s">
        <v>584</v>
      </c>
      <c r="O49" s="2">
        <v>2</v>
      </c>
      <c r="W49" s="2">
        <f t="shared" si="0"/>
        <v>2</v>
      </c>
      <c r="X49" s="2" t="s">
        <v>385</v>
      </c>
      <c r="Y49" s="2">
        <v>3</v>
      </c>
      <c r="Z49" s="2">
        <v>1</v>
      </c>
      <c r="AF49" s="2">
        <f t="shared" si="1"/>
        <v>4</v>
      </c>
      <c r="AG49" s="2">
        <f t="shared" si="2"/>
        <v>3</v>
      </c>
      <c r="AH49" s="2">
        <f t="shared" si="3"/>
        <v>-1</v>
      </c>
      <c r="AI49" s="2">
        <f t="shared" si="4"/>
        <v>0</v>
      </c>
      <c r="AJ49" s="2">
        <f t="shared" si="5"/>
        <v>0</v>
      </c>
      <c r="AK49" s="2">
        <f t="shared" si="6"/>
        <v>0</v>
      </c>
      <c r="AL49" s="2">
        <f t="shared" si="7"/>
        <v>0</v>
      </c>
      <c r="AM49" s="2">
        <f t="shared" si="8"/>
        <v>0</v>
      </c>
      <c r="AP49" s="2">
        <v>2</v>
      </c>
      <c r="AR49" s="2">
        <v>2</v>
      </c>
      <c r="AS49" s="309"/>
      <c r="AW49" s="310"/>
      <c r="BC49" s="218">
        <v>0</v>
      </c>
      <c r="BH49" s="2">
        <v>520700</v>
      </c>
      <c r="BI49" s="2">
        <v>175411</v>
      </c>
      <c r="BJ49" s="2" t="s">
        <v>481</v>
      </c>
      <c r="BL49" s="2" t="s">
        <v>137</v>
      </c>
      <c r="BM49" s="2" t="s">
        <v>137</v>
      </c>
    </row>
    <row r="50" spans="1:72" x14ac:dyDescent="0.25">
      <c r="A50" s="2" t="s">
        <v>585</v>
      </c>
      <c r="B50" s="2" t="s">
        <v>404</v>
      </c>
      <c r="C50" s="2" t="s">
        <v>228</v>
      </c>
      <c r="D50" s="4">
        <v>43530</v>
      </c>
      <c r="E50" s="4">
        <v>44626</v>
      </c>
      <c r="F50" s="4">
        <v>43598</v>
      </c>
      <c r="G50" s="4">
        <v>44014</v>
      </c>
      <c r="H50" s="2" t="s">
        <v>210</v>
      </c>
      <c r="I50" s="2" t="s">
        <v>254</v>
      </c>
      <c r="K50" s="2" t="s">
        <v>586</v>
      </c>
      <c r="L50" s="2" t="s">
        <v>587</v>
      </c>
      <c r="M50" s="2" t="s">
        <v>588</v>
      </c>
      <c r="W50" s="2">
        <f t="shared" si="0"/>
        <v>0</v>
      </c>
      <c r="X50" s="2" t="s">
        <v>385</v>
      </c>
      <c r="Y50" s="2">
        <v>1</v>
      </c>
      <c r="AF50" s="2">
        <f t="shared" si="1"/>
        <v>1</v>
      </c>
      <c r="AG50" s="2">
        <f t="shared" si="2"/>
        <v>1</v>
      </c>
      <c r="AH50" s="2">
        <f t="shared" si="3"/>
        <v>0</v>
      </c>
      <c r="AI50" s="2">
        <f t="shared" si="4"/>
        <v>0</v>
      </c>
      <c r="AJ50" s="2">
        <f t="shared" si="5"/>
        <v>0</v>
      </c>
      <c r="AK50" s="2">
        <f t="shared" si="6"/>
        <v>0</v>
      </c>
      <c r="AL50" s="2">
        <f t="shared" si="7"/>
        <v>0</v>
      </c>
      <c r="AM50" s="2">
        <f t="shared" si="8"/>
        <v>0</v>
      </c>
      <c r="AP50" s="2">
        <v>1</v>
      </c>
      <c r="AR50" s="2">
        <v>1</v>
      </c>
      <c r="AS50" s="309"/>
      <c r="AW50" s="310"/>
      <c r="BC50" s="218">
        <v>0</v>
      </c>
      <c r="BH50" s="2">
        <v>520540</v>
      </c>
      <c r="BI50" s="2">
        <v>175748</v>
      </c>
      <c r="BJ50" s="2" t="s">
        <v>481</v>
      </c>
      <c r="BL50" s="2" t="s">
        <v>137</v>
      </c>
      <c r="BM50" s="2" t="s">
        <v>137</v>
      </c>
    </row>
    <row r="51" spans="1:72" x14ac:dyDescent="0.25">
      <c r="A51" s="2" t="s">
        <v>589</v>
      </c>
      <c r="B51" s="2" t="s">
        <v>394</v>
      </c>
      <c r="D51" s="4">
        <v>43530</v>
      </c>
      <c r="E51" s="4">
        <v>44627</v>
      </c>
      <c r="F51" s="4">
        <v>43710</v>
      </c>
      <c r="G51" s="4">
        <v>44237</v>
      </c>
      <c r="H51" s="2" t="s">
        <v>210</v>
      </c>
      <c r="I51" s="2" t="s">
        <v>254</v>
      </c>
      <c r="K51" s="2" t="s">
        <v>590</v>
      </c>
      <c r="L51" s="2" t="s">
        <v>591</v>
      </c>
      <c r="M51" s="2" t="s">
        <v>592</v>
      </c>
      <c r="Q51" s="2">
        <v>1</v>
      </c>
      <c r="W51" s="2">
        <f t="shared" si="0"/>
        <v>1</v>
      </c>
      <c r="X51" s="2" t="s">
        <v>385</v>
      </c>
      <c r="Z51" s="2">
        <v>1</v>
      </c>
      <c r="AA51" s="2">
        <v>1</v>
      </c>
      <c r="AF51" s="2">
        <f t="shared" si="1"/>
        <v>2</v>
      </c>
      <c r="AG51" s="2">
        <f t="shared" si="2"/>
        <v>0</v>
      </c>
      <c r="AH51" s="2">
        <f t="shared" si="3"/>
        <v>1</v>
      </c>
      <c r="AI51" s="2">
        <f t="shared" si="4"/>
        <v>1</v>
      </c>
      <c r="AJ51" s="2">
        <f t="shared" si="5"/>
        <v>-1</v>
      </c>
      <c r="AK51" s="2">
        <f t="shared" si="6"/>
        <v>0</v>
      </c>
      <c r="AL51" s="2">
        <f t="shared" si="7"/>
        <v>0</v>
      </c>
      <c r="AM51" s="2">
        <f t="shared" si="8"/>
        <v>0</v>
      </c>
      <c r="AP51" s="2">
        <v>1</v>
      </c>
      <c r="AR51" s="2">
        <v>1</v>
      </c>
      <c r="AS51" s="309"/>
      <c r="AW51" s="310"/>
      <c r="BC51" s="218">
        <v>0</v>
      </c>
      <c r="BH51" s="2">
        <v>512731</v>
      </c>
      <c r="BI51" s="2">
        <v>171617</v>
      </c>
      <c r="BJ51" s="2" t="s">
        <v>533</v>
      </c>
      <c r="BL51" s="2" t="s">
        <v>158</v>
      </c>
    </row>
    <row r="52" spans="1:72" x14ac:dyDescent="0.25">
      <c r="A52" s="2" t="s">
        <v>593</v>
      </c>
      <c r="B52" s="2" t="s">
        <v>382</v>
      </c>
      <c r="D52" s="4">
        <v>43532</v>
      </c>
      <c r="E52" s="4">
        <v>44628</v>
      </c>
      <c r="F52" s="4">
        <v>43739</v>
      </c>
      <c r="G52" s="4">
        <v>44221</v>
      </c>
      <c r="H52" s="2" t="s">
        <v>210</v>
      </c>
      <c r="I52" s="2" t="s">
        <v>254</v>
      </c>
      <c r="K52" s="2" t="s">
        <v>594</v>
      </c>
      <c r="L52" s="2" t="s">
        <v>595</v>
      </c>
      <c r="M52" s="2" t="s">
        <v>596</v>
      </c>
      <c r="O52" s="2">
        <v>2</v>
      </c>
      <c r="W52" s="2">
        <f t="shared" si="0"/>
        <v>2</v>
      </c>
      <c r="X52" s="2" t="s">
        <v>385</v>
      </c>
      <c r="AB52" s="2">
        <v>2</v>
      </c>
      <c r="AF52" s="2">
        <f t="shared" si="1"/>
        <v>2</v>
      </c>
      <c r="AG52" s="2">
        <f t="shared" si="2"/>
        <v>0</v>
      </c>
      <c r="AH52" s="2">
        <f t="shared" si="3"/>
        <v>-2</v>
      </c>
      <c r="AI52" s="2">
        <f t="shared" si="4"/>
        <v>0</v>
      </c>
      <c r="AJ52" s="2">
        <f t="shared" si="5"/>
        <v>2</v>
      </c>
      <c r="AK52" s="2">
        <f t="shared" si="6"/>
        <v>0</v>
      </c>
      <c r="AL52" s="2">
        <f t="shared" si="7"/>
        <v>0</v>
      </c>
      <c r="AM52" s="2">
        <f t="shared" si="8"/>
        <v>0</v>
      </c>
      <c r="AP52" s="2">
        <v>0</v>
      </c>
      <c r="AR52" s="2">
        <v>0</v>
      </c>
      <c r="AS52" s="309"/>
      <c r="AW52" s="310"/>
      <c r="BC52" s="218">
        <v>0</v>
      </c>
      <c r="BH52" s="2">
        <v>517831</v>
      </c>
      <c r="BI52" s="2">
        <v>174076</v>
      </c>
      <c r="BJ52" s="2" t="s">
        <v>456</v>
      </c>
      <c r="BL52" s="2" t="s">
        <v>167</v>
      </c>
    </row>
    <row r="53" spans="1:72" x14ac:dyDescent="0.25">
      <c r="A53" s="2" t="s">
        <v>597</v>
      </c>
      <c r="B53" s="2" t="s">
        <v>382</v>
      </c>
      <c r="D53" s="4">
        <v>43546</v>
      </c>
      <c r="E53" s="4">
        <v>44642</v>
      </c>
      <c r="F53" s="4">
        <v>43859</v>
      </c>
      <c r="G53" s="4">
        <v>44204</v>
      </c>
      <c r="H53" s="2" t="s">
        <v>210</v>
      </c>
      <c r="I53" s="2" t="s">
        <v>254</v>
      </c>
      <c r="K53" s="2" t="s">
        <v>598</v>
      </c>
      <c r="L53" s="2" t="s">
        <v>599</v>
      </c>
      <c r="M53" s="2" t="s">
        <v>600</v>
      </c>
      <c r="O53" s="2">
        <v>1</v>
      </c>
      <c r="W53" s="2">
        <f t="shared" si="0"/>
        <v>1</v>
      </c>
      <c r="X53" s="2" t="s">
        <v>385</v>
      </c>
      <c r="AA53" s="2">
        <v>2</v>
      </c>
      <c r="AF53" s="2">
        <f t="shared" si="1"/>
        <v>2</v>
      </c>
      <c r="AG53" s="2">
        <f t="shared" si="2"/>
        <v>0</v>
      </c>
      <c r="AH53" s="2">
        <f t="shared" si="3"/>
        <v>-1</v>
      </c>
      <c r="AI53" s="2">
        <f t="shared" si="4"/>
        <v>2</v>
      </c>
      <c r="AJ53" s="2">
        <f t="shared" si="5"/>
        <v>0</v>
      </c>
      <c r="AK53" s="2">
        <f t="shared" si="6"/>
        <v>0</v>
      </c>
      <c r="AL53" s="2">
        <f t="shared" si="7"/>
        <v>0</v>
      </c>
      <c r="AM53" s="2">
        <f t="shared" si="8"/>
        <v>0</v>
      </c>
      <c r="AP53" s="2">
        <v>1</v>
      </c>
      <c r="AR53" s="2">
        <v>1</v>
      </c>
      <c r="AS53" s="309"/>
      <c r="AW53" s="310"/>
      <c r="BC53" s="218">
        <v>0</v>
      </c>
      <c r="BH53" s="2">
        <v>519884</v>
      </c>
      <c r="BI53" s="2">
        <v>175023</v>
      </c>
      <c r="BJ53" s="2" t="s">
        <v>481</v>
      </c>
      <c r="BK53" s="2" t="s">
        <v>147</v>
      </c>
      <c r="BL53" s="2" t="s">
        <v>137</v>
      </c>
    </row>
    <row r="54" spans="1:72" x14ac:dyDescent="0.25">
      <c r="A54" s="2" t="s">
        <v>601</v>
      </c>
      <c r="B54" s="2" t="s">
        <v>404</v>
      </c>
      <c r="C54" s="2" t="s">
        <v>228</v>
      </c>
      <c r="D54" s="4">
        <v>43594</v>
      </c>
      <c r="E54" s="4">
        <v>44690</v>
      </c>
      <c r="F54" s="4">
        <v>43885</v>
      </c>
      <c r="G54" s="3">
        <v>44213</v>
      </c>
      <c r="H54" s="2" t="s">
        <v>210</v>
      </c>
      <c r="I54" s="2" t="s">
        <v>254</v>
      </c>
      <c r="K54" s="2" t="s">
        <v>602</v>
      </c>
      <c r="L54" s="2" t="s">
        <v>603</v>
      </c>
      <c r="M54" s="2" t="s">
        <v>604</v>
      </c>
      <c r="W54" s="2">
        <f t="shared" si="0"/>
        <v>0</v>
      </c>
      <c r="X54" s="2" t="s">
        <v>385</v>
      </c>
      <c r="Y54" s="2">
        <v>3</v>
      </c>
      <c r="AF54" s="2">
        <f t="shared" si="1"/>
        <v>3</v>
      </c>
      <c r="AG54" s="2">
        <f t="shared" si="2"/>
        <v>3</v>
      </c>
      <c r="AH54" s="2">
        <f t="shared" si="3"/>
        <v>0</v>
      </c>
      <c r="AI54" s="2">
        <f t="shared" si="4"/>
        <v>0</v>
      </c>
      <c r="AJ54" s="2">
        <f t="shared" si="5"/>
        <v>0</v>
      </c>
      <c r="AK54" s="2">
        <f t="shared" si="6"/>
        <v>0</v>
      </c>
      <c r="AL54" s="2">
        <f t="shared" si="7"/>
        <v>0</v>
      </c>
      <c r="AM54" s="2">
        <f t="shared" si="8"/>
        <v>0</v>
      </c>
      <c r="AP54" s="2">
        <v>3</v>
      </c>
      <c r="AR54" s="2">
        <v>3</v>
      </c>
      <c r="AS54" s="309"/>
      <c r="AW54" s="310"/>
      <c r="BC54" s="218">
        <v>0</v>
      </c>
      <c r="BH54" s="2">
        <v>515069</v>
      </c>
      <c r="BI54" s="2">
        <v>172813</v>
      </c>
      <c r="BJ54" s="2" t="s">
        <v>463</v>
      </c>
      <c r="BL54" s="2" t="s">
        <v>168</v>
      </c>
    </row>
    <row r="55" spans="1:72" x14ac:dyDescent="0.25">
      <c r="A55" s="2" t="s">
        <v>605</v>
      </c>
      <c r="B55" s="2" t="s">
        <v>382</v>
      </c>
      <c r="D55" s="4">
        <v>43599</v>
      </c>
      <c r="E55" s="4">
        <v>44695</v>
      </c>
      <c r="F55" s="4">
        <v>43755</v>
      </c>
      <c r="G55" s="3">
        <v>44253</v>
      </c>
      <c r="H55" s="2" t="s">
        <v>210</v>
      </c>
      <c r="I55" s="2" t="s">
        <v>254</v>
      </c>
      <c r="K55" s="2" t="s">
        <v>606</v>
      </c>
      <c r="L55" s="2" t="s">
        <v>607</v>
      </c>
      <c r="M55" s="2" t="s">
        <v>608</v>
      </c>
      <c r="W55" s="2">
        <f t="shared" si="0"/>
        <v>0</v>
      </c>
      <c r="X55" s="2" t="s">
        <v>385</v>
      </c>
      <c r="Y55" s="2">
        <v>2</v>
      </c>
      <c r="Z55" s="2">
        <v>5</v>
      </c>
      <c r="AF55" s="2">
        <f t="shared" si="1"/>
        <v>7</v>
      </c>
      <c r="AG55" s="2">
        <f t="shared" si="2"/>
        <v>2</v>
      </c>
      <c r="AH55" s="2">
        <f t="shared" si="3"/>
        <v>5</v>
      </c>
      <c r="AI55" s="2">
        <f t="shared" si="4"/>
        <v>0</v>
      </c>
      <c r="AJ55" s="2">
        <f t="shared" si="5"/>
        <v>0</v>
      </c>
      <c r="AK55" s="2">
        <f t="shared" si="6"/>
        <v>0</v>
      </c>
      <c r="AL55" s="2">
        <f t="shared" si="7"/>
        <v>0</v>
      </c>
      <c r="AM55" s="2">
        <f t="shared" si="8"/>
        <v>0</v>
      </c>
      <c r="AP55" s="2">
        <v>7</v>
      </c>
      <c r="AR55" s="2">
        <v>7</v>
      </c>
      <c r="AS55" s="309"/>
      <c r="AW55" s="310"/>
      <c r="BC55" s="218">
        <v>0</v>
      </c>
      <c r="BH55" s="2">
        <v>513285</v>
      </c>
      <c r="BI55" s="2">
        <v>169757</v>
      </c>
      <c r="BJ55" s="2" t="s">
        <v>512</v>
      </c>
      <c r="BL55" s="2" t="s">
        <v>157</v>
      </c>
      <c r="BO55" s="2" t="s">
        <v>141</v>
      </c>
      <c r="BP55" s="2" t="s">
        <v>609</v>
      </c>
    </row>
    <row r="56" spans="1:72" x14ac:dyDescent="0.25">
      <c r="A56" s="2" t="s">
        <v>605</v>
      </c>
      <c r="B56" s="2" t="s">
        <v>382</v>
      </c>
      <c r="D56" s="4">
        <v>43599</v>
      </c>
      <c r="E56" s="4">
        <v>44695</v>
      </c>
      <c r="F56" s="4">
        <v>43755</v>
      </c>
      <c r="G56" s="3">
        <v>44253</v>
      </c>
      <c r="H56" s="2" t="s">
        <v>210</v>
      </c>
      <c r="I56" s="2" t="s">
        <v>254</v>
      </c>
      <c r="K56" s="2" t="s">
        <v>606</v>
      </c>
      <c r="L56" s="2" t="s">
        <v>607</v>
      </c>
      <c r="M56" s="2" t="s">
        <v>608</v>
      </c>
      <c r="W56" s="2">
        <f t="shared" si="0"/>
        <v>0</v>
      </c>
      <c r="X56" s="2" t="s">
        <v>385</v>
      </c>
      <c r="Z56" s="2">
        <v>2</v>
      </c>
      <c r="AF56" s="2">
        <f t="shared" si="1"/>
        <v>2</v>
      </c>
      <c r="AG56" s="2">
        <f t="shared" si="2"/>
        <v>0</v>
      </c>
      <c r="AH56" s="2">
        <f t="shared" si="3"/>
        <v>2</v>
      </c>
      <c r="AI56" s="2">
        <f t="shared" si="4"/>
        <v>0</v>
      </c>
      <c r="AJ56" s="2">
        <f t="shared" si="5"/>
        <v>0</v>
      </c>
      <c r="AK56" s="2">
        <f t="shared" si="6"/>
        <v>0</v>
      </c>
      <c r="AL56" s="2">
        <f t="shared" si="7"/>
        <v>0</v>
      </c>
      <c r="AM56" s="2">
        <f t="shared" si="8"/>
        <v>0</v>
      </c>
      <c r="AP56" s="2">
        <v>2</v>
      </c>
      <c r="AR56" s="2">
        <v>2</v>
      </c>
      <c r="AS56" s="309"/>
      <c r="AW56" s="310"/>
      <c r="BC56" s="218">
        <v>0</v>
      </c>
      <c r="BH56" s="2">
        <v>513285</v>
      </c>
      <c r="BI56" s="2">
        <v>169757</v>
      </c>
      <c r="BJ56" s="2" t="s">
        <v>512</v>
      </c>
      <c r="BL56" s="2" t="s">
        <v>157</v>
      </c>
      <c r="BO56" s="2" t="s">
        <v>141</v>
      </c>
      <c r="BP56" s="2" t="s">
        <v>609</v>
      </c>
    </row>
    <row r="57" spans="1:72" x14ac:dyDescent="0.25">
      <c r="A57" s="2" t="s">
        <v>610</v>
      </c>
      <c r="B57" s="2" t="s">
        <v>539</v>
      </c>
      <c r="D57" s="4">
        <v>43613</v>
      </c>
      <c r="E57" s="4">
        <v>44709</v>
      </c>
      <c r="F57" s="4">
        <v>43684</v>
      </c>
      <c r="G57" s="4">
        <v>43963</v>
      </c>
      <c r="H57" s="2" t="s">
        <v>210</v>
      </c>
      <c r="I57" s="2" t="s">
        <v>254</v>
      </c>
      <c r="K57" s="2" t="s">
        <v>611</v>
      </c>
      <c r="L57" s="2" t="s">
        <v>612</v>
      </c>
      <c r="M57" s="2" t="s">
        <v>613</v>
      </c>
      <c r="W57" s="2">
        <f t="shared" si="0"/>
        <v>0</v>
      </c>
      <c r="X57" s="2" t="s">
        <v>385</v>
      </c>
      <c r="Y57" s="2">
        <v>1</v>
      </c>
      <c r="AF57" s="2">
        <f t="shared" si="1"/>
        <v>1</v>
      </c>
      <c r="AG57" s="2">
        <f t="shared" si="2"/>
        <v>1</v>
      </c>
      <c r="AH57" s="2">
        <f t="shared" si="3"/>
        <v>0</v>
      </c>
      <c r="AI57" s="2">
        <f t="shared" si="4"/>
        <v>0</v>
      </c>
      <c r="AJ57" s="2">
        <f t="shared" si="5"/>
        <v>0</v>
      </c>
      <c r="AK57" s="2">
        <f t="shared" si="6"/>
        <v>0</v>
      </c>
      <c r="AL57" s="2">
        <f t="shared" si="7"/>
        <v>0</v>
      </c>
      <c r="AM57" s="2">
        <f t="shared" si="8"/>
        <v>0</v>
      </c>
      <c r="AP57" s="2">
        <v>1</v>
      </c>
      <c r="AR57" s="2">
        <v>1</v>
      </c>
      <c r="AS57" s="309"/>
      <c r="AW57" s="310"/>
      <c r="BC57" s="218">
        <v>0</v>
      </c>
      <c r="BH57" s="2">
        <v>520508</v>
      </c>
      <c r="BI57" s="2">
        <v>175448</v>
      </c>
      <c r="BJ57" s="2" t="s">
        <v>481</v>
      </c>
      <c r="BL57" s="2" t="s">
        <v>137</v>
      </c>
      <c r="BM57" s="2" t="s">
        <v>137</v>
      </c>
      <c r="BS57" s="240" t="s">
        <v>148</v>
      </c>
      <c r="BT57" s="2" t="s">
        <v>490</v>
      </c>
    </row>
    <row r="58" spans="1:72" ht="15" customHeight="1" x14ac:dyDescent="0.25">
      <c r="A58" s="2" t="s">
        <v>614</v>
      </c>
      <c r="B58" s="2" t="s">
        <v>394</v>
      </c>
      <c r="D58" s="4">
        <v>43619</v>
      </c>
      <c r="E58" s="4">
        <v>44716</v>
      </c>
      <c r="F58" s="4">
        <v>43731</v>
      </c>
      <c r="G58" s="4">
        <v>43986</v>
      </c>
      <c r="H58" s="2" t="s">
        <v>210</v>
      </c>
      <c r="I58" s="2" t="s">
        <v>254</v>
      </c>
      <c r="K58" s="2" t="s">
        <v>615</v>
      </c>
      <c r="L58" s="2" t="s">
        <v>616</v>
      </c>
      <c r="M58" s="2" t="s">
        <v>617</v>
      </c>
      <c r="W58" s="2">
        <f t="shared" si="0"/>
        <v>0</v>
      </c>
      <c r="X58" s="2" t="s">
        <v>385</v>
      </c>
      <c r="Y58" s="2">
        <v>1</v>
      </c>
      <c r="AF58" s="2">
        <f t="shared" si="1"/>
        <v>1</v>
      </c>
      <c r="AG58" s="2">
        <f t="shared" si="2"/>
        <v>1</v>
      </c>
      <c r="AH58" s="2">
        <f t="shared" si="3"/>
        <v>0</v>
      </c>
      <c r="AI58" s="2">
        <f t="shared" si="4"/>
        <v>0</v>
      </c>
      <c r="AJ58" s="2">
        <f t="shared" si="5"/>
        <v>0</v>
      </c>
      <c r="AK58" s="2">
        <f t="shared" si="6"/>
        <v>0</v>
      </c>
      <c r="AL58" s="2">
        <f t="shared" si="7"/>
        <v>0</v>
      </c>
      <c r="AM58" s="2">
        <f t="shared" si="8"/>
        <v>0</v>
      </c>
      <c r="AP58" s="2">
        <v>1</v>
      </c>
      <c r="AR58" s="2">
        <v>1</v>
      </c>
      <c r="AS58" s="309"/>
      <c r="AW58" s="310"/>
      <c r="BC58" s="218">
        <v>0</v>
      </c>
      <c r="BH58" s="2">
        <v>516556</v>
      </c>
      <c r="BI58" s="2">
        <v>175236</v>
      </c>
      <c r="BJ58" s="2" t="s">
        <v>386</v>
      </c>
      <c r="BL58" s="2" t="s">
        <v>176</v>
      </c>
    </row>
    <row r="59" spans="1:72" x14ac:dyDescent="0.25">
      <c r="A59" s="2" t="s">
        <v>618</v>
      </c>
      <c r="B59" s="2" t="s">
        <v>394</v>
      </c>
      <c r="D59" s="4">
        <v>43649</v>
      </c>
      <c r="E59" s="4">
        <v>44745</v>
      </c>
      <c r="F59" s="4">
        <v>43701</v>
      </c>
      <c r="G59" s="4">
        <v>44090</v>
      </c>
      <c r="H59" s="2" t="s">
        <v>210</v>
      </c>
      <c r="I59" s="2" t="s">
        <v>254</v>
      </c>
      <c r="K59" s="2" t="s">
        <v>619</v>
      </c>
      <c r="L59" s="2" t="s">
        <v>620</v>
      </c>
      <c r="M59" s="2" t="s">
        <v>621</v>
      </c>
      <c r="W59" s="2">
        <f t="shared" si="0"/>
        <v>0</v>
      </c>
      <c r="X59" s="2" t="s">
        <v>385</v>
      </c>
      <c r="Y59" s="2">
        <v>1</v>
      </c>
      <c r="AF59" s="2">
        <f t="shared" si="1"/>
        <v>1</v>
      </c>
      <c r="AG59" s="2">
        <f t="shared" si="2"/>
        <v>1</v>
      </c>
      <c r="AH59" s="2">
        <f t="shared" si="3"/>
        <v>0</v>
      </c>
      <c r="AI59" s="2">
        <f t="shared" si="4"/>
        <v>0</v>
      </c>
      <c r="AJ59" s="2">
        <f t="shared" si="5"/>
        <v>0</v>
      </c>
      <c r="AK59" s="2">
        <f t="shared" si="6"/>
        <v>0</v>
      </c>
      <c r="AL59" s="2">
        <f t="shared" si="7"/>
        <v>0</v>
      </c>
      <c r="AM59" s="2">
        <f t="shared" si="8"/>
        <v>0</v>
      </c>
      <c r="AP59" s="2">
        <v>1</v>
      </c>
      <c r="AR59" s="2">
        <v>1</v>
      </c>
      <c r="AS59" s="309"/>
      <c r="AW59" s="310"/>
      <c r="BC59" s="218">
        <v>0</v>
      </c>
      <c r="BH59" s="2">
        <v>513733</v>
      </c>
      <c r="BI59" s="2">
        <v>174333</v>
      </c>
      <c r="BJ59" s="2" t="s">
        <v>622</v>
      </c>
      <c r="BL59" s="2" t="s">
        <v>144</v>
      </c>
    </row>
    <row r="60" spans="1:72" x14ac:dyDescent="0.25">
      <c r="A60" s="2" t="s">
        <v>623</v>
      </c>
      <c r="B60" s="2" t="s">
        <v>382</v>
      </c>
      <c r="D60" s="4">
        <v>43651</v>
      </c>
      <c r="E60" s="4">
        <v>44747</v>
      </c>
      <c r="F60" s="4">
        <v>43836</v>
      </c>
      <c r="G60" s="4">
        <v>44126</v>
      </c>
      <c r="H60" s="2" t="s">
        <v>210</v>
      </c>
      <c r="I60" s="2" t="s">
        <v>254</v>
      </c>
      <c r="K60" s="2" t="s">
        <v>624</v>
      </c>
      <c r="L60" s="2" t="s">
        <v>625</v>
      </c>
      <c r="M60" s="2" t="s">
        <v>626</v>
      </c>
      <c r="N60" s="2">
        <v>1</v>
      </c>
      <c r="W60" s="2">
        <f t="shared" si="0"/>
        <v>1</v>
      </c>
      <c r="X60" s="2" t="s">
        <v>385</v>
      </c>
      <c r="Z60" s="2">
        <v>1</v>
      </c>
      <c r="AF60" s="2">
        <f t="shared" si="1"/>
        <v>1</v>
      </c>
      <c r="AG60" s="2">
        <f t="shared" si="2"/>
        <v>-1</v>
      </c>
      <c r="AH60" s="2">
        <f t="shared" si="3"/>
        <v>1</v>
      </c>
      <c r="AI60" s="2">
        <f t="shared" si="4"/>
        <v>0</v>
      </c>
      <c r="AJ60" s="2">
        <f t="shared" si="5"/>
        <v>0</v>
      </c>
      <c r="AK60" s="2">
        <f t="shared" si="6"/>
        <v>0</v>
      </c>
      <c r="AL60" s="2">
        <f t="shared" si="7"/>
        <v>0</v>
      </c>
      <c r="AM60" s="2">
        <f t="shared" si="8"/>
        <v>0</v>
      </c>
      <c r="AP60" s="2">
        <v>0</v>
      </c>
      <c r="AR60" s="2">
        <v>0</v>
      </c>
      <c r="AS60" s="309"/>
      <c r="AW60" s="310"/>
      <c r="BC60" s="218">
        <v>0</v>
      </c>
      <c r="BH60" s="2">
        <v>514120</v>
      </c>
      <c r="BI60" s="2">
        <v>173638</v>
      </c>
      <c r="BJ60" s="2" t="s">
        <v>622</v>
      </c>
      <c r="BL60" s="2" t="s">
        <v>144</v>
      </c>
    </row>
    <row r="61" spans="1:72" x14ac:dyDescent="0.25">
      <c r="A61" s="2" t="s">
        <v>627</v>
      </c>
      <c r="B61" s="2" t="s">
        <v>404</v>
      </c>
      <c r="C61" s="2" t="s">
        <v>228</v>
      </c>
      <c r="D61" s="4">
        <v>43657</v>
      </c>
      <c r="E61" s="4">
        <v>44753</v>
      </c>
      <c r="F61" s="4">
        <v>43678</v>
      </c>
      <c r="G61" s="4">
        <v>43987</v>
      </c>
      <c r="H61" s="2" t="s">
        <v>210</v>
      </c>
      <c r="I61" s="2" t="s">
        <v>254</v>
      </c>
      <c r="K61" s="2" t="s">
        <v>628</v>
      </c>
      <c r="L61" s="2" t="s">
        <v>629</v>
      </c>
      <c r="M61" s="2" t="s">
        <v>630</v>
      </c>
      <c r="W61" s="2">
        <f t="shared" si="0"/>
        <v>0</v>
      </c>
      <c r="X61" s="2" t="s">
        <v>385</v>
      </c>
      <c r="Y61" s="2">
        <v>1</v>
      </c>
      <c r="AF61" s="2">
        <f t="shared" si="1"/>
        <v>1</v>
      </c>
      <c r="AG61" s="2">
        <f t="shared" si="2"/>
        <v>1</v>
      </c>
      <c r="AH61" s="2">
        <f t="shared" si="3"/>
        <v>0</v>
      </c>
      <c r="AI61" s="2">
        <f t="shared" si="4"/>
        <v>0</v>
      </c>
      <c r="AJ61" s="2">
        <f t="shared" si="5"/>
        <v>0</v>
      </c>
      <c r="AK61" s="2">
        <f t="shared" si="6"/>
        <v>0</v>
      </c>
      <c r="AL61" s="2">
        <f t="shared" si="7"/>
        <v>0</v>
      </c>
      <c r="AM61" s="2">
        <f t="shared" si="8"/>
        <v>0</v>
      </c>
      <c r="AP61" s="2">
        <v>1</v>
      </c>
      <c r="AR61" s="2">
        <v>1</v>
      </c>
      <c r="AS61" s="309"/>
      <c r="AW61" s="310"/>
      <c r="BC61" s="218">
        <v>0</v>
      </c>
      <c r="BH61" s="2">
        <v>514126</v>
      </c>
      <c r="BI61" s="2">
        <v>174159</v>
      </c>
      <c r="BJ61" s="2" t="s">
        <v>622</v>
      </c>
      <c r="BL61" s="2" t="s">
        <v>144</v>
      </c>
    </row>
    <row r="62" spans="1:72" x14ac:dyDescent="0.25">
      <c r="A62" s="2" t="s">
        <v>631</v>
      </c>
      <c r="B62" s="2" t="s">
        <v>404</v>
      </c>
      <c r="C62" s="2" t="s">
        <v>228</v>
      </c>
      <c r="D62" s="4">
        <v>43661</v>
      </c>
      <c r="E62" s="4">
        <v>44757</v>
      </c>
      <c r="F62" s="3">
        <v>44161</v>
      </c>
      <c r="G62" s="3">
        <v>44286</v>
      </c>
      <c r="H62" s="2" t="s">
        <v>210</v>
      </c>
      <c r="I62" s="2" t="s">
        <v>254</v>
      </c>
      <c r="K62" s="2" t="s">
        <v>632</v>
      </c>
      <c r="L62" s="2" t="s">
        <v>633</v>
      </c>
      <c r="M62" s="2" t="s">
        <v>634</v>
      </c>
      <c r="W62" s="2">
        <f t="shared" si="0"/>
        <v>0</v>
      </c>
      <c r="X62" s="2" t="s">
        <v>385</v>
      </c>
      <c r="Y62" s="2">
        <v>1</v>
      </c>
      <c r="AF62" s="2">
        <f t="shared" si="1"/>
        <v>1</v>
      </c>
      <c r="AG62" s="2">
        <f t="shared" si="2"/>
        <v>1</v>
      </c>
      <c r="AH62" s="2">
        <f t="shared" si="3"/>
        <v>0</v>
      </c>
      <c r="AI62" s="2">
        <f t="shared" si="4"/>
        <v>0</v>
      </c>
      <c r="AJ62" s="2">
        <f t="shared" si="5"/>
        <v>0</v>
      </c>
      <c r="AK62" s="2">
        <f t="shared" si="6"/>
        <v>0</v>
      </c>
      <c r="AL62" s="2">
        <f t="shared" si="7"/>
        <v>0</v>
      </c>
      <c r="AM62" s="2">
        <f t="shared" si="8"/>
        <v>0</v>
      </c>
      <c r="AP62" s="2">
        <v>1</v>
      </c>
      <c r="AR62" s="2">
        <v>1</v>
      </c>
      <c r="AS62" s="309"/>
      <c r="AW62" s="310"/>
      <c r="BC62" s="218">
        <v>0</v>
      </c>
      <c r="BH62" s="2">
        <v>515391</v>
      </c>
      <c r="BI62" s="2">
        <v>171652</v>
      </c>
      <c r="BJ62" s="2" t="s">
        <v>391</v>
      </c>
      <c r="BL62" s="2" t="s">
        <v>174</v>
      </c>
    </row>
    <row r="63" spans="1:72" x14ac:dyDescent="0.25">
      <c r="A63" s="2" t="s">
        <v>635</v>
      </c>
      <c r="B63" s="2" t="s">
        <v>539</v>
      </c>
      <c r="D63" s="4">
        <v>43662</v>
      </c>
      <c r="E63" s="4">
        <v>44758</v>
      </c>
      <c r="F63" s="4">
        <v>43999</v>
      </c>
      <c r="G63" s="4">
        <v>44104</v>
      </c>
      <c r="H63" s="2" t="s">
        <v>210</v>
      </c>
      <c r="I63" s="2" t="s">
        <v>254</v>
      </c>
      <c r="K63" s="2" t="s">
        <v>636</v>
      </c>
      <c r="L63" s="2" t="s">
        <v>637</v>
      </c>
      <c r="M63" s="2" t="s">
        <v>638</v>
      </c>
      <c r="Q63" s="2">
        <v>1</v>
      </c>
      <c r="W63" s="2">
        <f t="shared" si="0"/>
        <v>1</v>
      </c>
      <c r="X63" s="2" t="s">
        <v>385</v>
      </c>
      <c r="Z63" s="2">
        <v>2</v>
      </c>
      <c r="AF63" s="2">
        <f t="shared" si="1"/>
        <v>2</v>
      </c>
      <c r="AG63" s="2">
        <f t="shared" si="2"/>
        <v>0</v>
      </c>
      <c r="AH63" s="2">
        <f t="shared" si="3"/>
        <v>2</v>
      </c>
      <c r="AI63" s="2">
        <f t="shared" si="4"/>
        <v>0</v>
      </c>
      <c r="AJ63" s="2">
        <f t="shared" si="5"/>
        <v>-1</v>
      </c>
      <c r="AK63" s="2">
        <f t="shared" si="6"/>
        <v>0</v>
      </c>
      <c r="AL63" s="2">
        <f t="shared" si="7"/>
        <v>0</v>
      </c>
      <c r="AM63" s="2">
        <f t="shared" si="8"/>
        <v>0</v>
      </c>
      <c r="AP63" s="2">
        <v>1</v>
      </c>
      <c r="AR63" s="2">
        <v>1</v>
      </c>
      <c r="AS63" s="309"/>
      <c r="AW63" s="310"/>
      <c r="BC63" s="218">
        <v>0</v>
      </c>
      <c r="BH63" s="2">
        <v>514833</v>
      </c>
      <c r="BI63" s="2">
        <v>172367</v>
      </c>
      <c r="BJ63" s="2" t="s">
        <v>463</v>
      </c>
      <c r="BL63" s="2" t="s">
        <v>168</v>
      </c>
    </row>
    <row r="64" spans="1:72" x14ac:dyDescent="0.25">
      <c r="A64" s="2" t="s">
        <v>639</v>
      </c>
      <c r="B64" s="2" t="s">
        <v>404</v>
      </c>
      <c r="D64" s="4">
        <v>43668</v>
      </c>
      <c r="E64" s="4">
        <v>44764</v>
      </c>
      <c r="F64" s="4">
        <v>43746</v>
      </c>
      <c r="G64" s="4">
        <v>44043</v>
      </c>
      <c r="H64" s="2" t="s">
        <v>210</v>
      </c>
      <c r="I64" s="2" t="s">
        <v>254</v>
      </c>
      <c r="K64" s="2" t="s">
        <v>640</v>
      </c>
      <c r="L64" s="2" t="s">
        <v>641</v>
      </c>
      <c r="M64" s="2" t="s">
        <v>642</v>
      </c>
      <c r="O64" s="2">
        <v>1</v>
      </c>
      <c r="W64" s="2">
        <f t="shared" si="0"/>
        <v>1</v>
      </c>
      <c r="X64" s="2" t="s">
        <v>385</v>
      </c>
      <c r="AA64" s="2">
        <v>1</v>
      </c>
      <c r="AF64" s="2">
        <f t="shared" si="1"/>
        <v>1</v>
      </c>
      <c r="AG64" s="2">
        <f t="shared" si="2"/>
        <v>0</v>
      </c>
      <c r="AH64" s="2">
        <f t="shared" si="3"/>
        <v>-1</v>
      </c>
      <c r="AI64" s="2">
        <f t="shared" si="4"/>
        <v>1</v>
      </c>
      <c r="AJ64" s="2">
        <f t="shared" si="5"/>
        <v>0</v>
      </c>
      <c r="AK64" s="2">
        <f t="shared" si="6"/>
        <v>0</v>
      </c>
      <c r="AL64" s="2">
        <f t="shared" si="7"/>
        <v>0</v>
      </c>
      <c r="AM64" s="2">
        <f t="shared" si="8"/>
        <v>0</v>
      </c>
      <c r="AP64" s="2">
        <v>0</v>
      </c>
      <c r="AR64" s="2">
        <v>0</v>
      </c>
      <c r="AS64" s="309"/>
      <c r="AW64" s="310"/>
      <c r="BC64" s="218">
        <v>0</v>
      </c>
      <c r="BH64" s="2">
        <v>521312</v>
      </c>
      <c r="BI64" s="2">
        <v>175859</v>
      </c>
      <c r="BJ64" s="2" t="s">
        <v>449</v>
      </c>
      <c r="BL64" s="2" t="s">
        <v>175</v>
      </c>
      <c r="BO64" s="2" t="s">
        <v>141</v>
      </c>
      <c r="BP64" s="2" t="s">
        <v>643</v>
      </c>
      <c r="BS64" s="240" t="s">
        <v>148</v>
      </c>
      <c r="BT64" s="2" t="s">
        <v>644</v>
      </c>
    </row>
    <row r="65" spans="1:72" x14ac:dyDescent="0.25">
      <c r="A65" s="2" t="s">
        <v>645</v>
      </c>
      <c r="B65" s="2" t="s">
        <v>404</v>
      </c>
      <c r="C65" s="2" t="s">
        <v>228</v>
      </c>
      <c r="D65" s="4">
        <v>43672</v>
      </c>
      <c r="E65" s="4">
        <v>44289</v>
      </c>
      <c r="F65" s="4">
        <v>44075</v>
      </c>
      <c r="G65" s="4">
        <v>43942</v>
      </c>
      <c r="H65" s="2" t="s">
        <v>210</v>
      </c>
      <c r="I65" s="2" t="s">
        <v>254</v>
      </c>
      <c r="K65" s="2" t="s">
        <v>646</v>
      </c>
      <c r="L65" s="2" t="s">
        <v>647</v>
      </c>
      <c r="M65" s="2" t="s">
        <v>648</v>
      </c>
      <c r="W65" s="2">
        <f t="shared" si="0"/>
        <v>0</v>
      </c>
      <c r="X65" s="2" t="s">
        <v>385</v>
      </c>
      <c r="Y65" s="2">
        <v>2</v>
      </c>
      <c r="AF65" s="2">
        <f t="shared" si="1"/>
        <v>2</v>
      </c>
      <c r="AG65" s="2">
        <f t="shared" si="2"/>
        <v>2</v>
      </c>
      <c r="AH65" s="2">
        <f t="shared" si="3"/>
        <v>0</v>
      </c>
      <c r="AI65" s="2">
        <f t="shared" si="4"/>
        <v>0</v>
      </c>
      <c r="AJ65" s="2">
        <f t="shared" si="5"/>
        <v>0</v>
      </c>
      <c r="AK65" s="2">
        <f t="shared" si="6"/>
        <v>0</v>
      </c>
      <c r="AL65" s="2">
        <f t="shared" si="7"/>
        <v>0</v>
      </c>
      <c r="AM65" s="2">
        <f t="shared" si="8"/>
        <v>0</v>
      </c>
      <c r="AP65" s="2">
        <v>2</v>
      </c>
      <c r="AR65" s="2">
        <v>2</v>
      </c>
      <c r="AS65" s="309"/>
      <c r="AW65" s="310"/>
      <c r="BC65" s="218">
        <v>0</v>
      </c>
      <c r="BH65" s="2">
        <v>518741</v>
      </c>
      <c r="BI65" s="2">
        <v>175360</v>
      </c>
      <c r="BJ65" s="2" t="s">
        <v>407</v>
      </c>
      <c r="BL65" s="2" t="s">
        <v>163</v>
      </c>
    </row>
    <row r="66" spans="1:72" x14ac:dyDescent="0.25">
      <c r="A66" s="2" t="s">
        <v>649</v>
      </c>
      <c r="B66" s="2" t="s">
        <v>434</v>
      </c>
      <c r="D66" s="4">
        <v>43683</v>
      </c>
      <c r="E66" s="4">
        <v>44779</v>
      </c>
      <c r="F66" s="4">
        <v>43846</v>
      </c>
      <c r="G66" s="4">
        <v>44151</v>
      </c>
      <c r="H66" s="2" t="s">
        <v>210</v>
      </c>
      <c r="I66" s="2" t="s">
        <v>254</v>
      </c>
      <c r="K66" s="2" t="s">
        <v>650</v>
      </c>
      <c r="L66" s="2" t="s">
        <v>651</v>
      </c>
      <c r="M66" s="2" t="s">
        <v>652</v>
      </c>
      <c r="R66" s="2">
        <v>1</v>
      </c>
      <c r="W66" s="2">
        <f t="shared" ref="W66:W129" si="9">SUM(N66:V66)</f>
        <v>1</v>
      </c>
      <c r="X66" s="2" t="s">
        <v>385</v>
      </c>
      <c r="Z66" s="2">
        <v>2</v>
      </c>
      <c r="AF66" s="2">
        <f t="shared" ref="AF66:AF129" si="10">SUM(Y66:AE66)</f>
        <v>2</v>
      </c>
      <c r="AG66" s="2">
        <f t="shared" ref="AG66:AG129" si="11">Y66-N66</f>
        <v>0</v>
      </c>
      <c r="AH66" s="2">
        <f t="shared" ref="AH66:AH129" si="12">Z66-O66</f>
        <v>2</v>
      </c>
      <c r="AI66" s="2">
        <f t="shared" ref="AI66:AI129" si="13">AA66-P66</f>
        <v>0</v>
      </c>
      <c r="AJ66" s="2">
        <f t="shared" ref="AJ66:AJ129" si="14">AB66-Q66</f>
        <v>0</v>
      </c>
      <c r="AK66" s="2">
        <f t="shared" ref="AK66:AK129" si="15">AC66-R66</f>
        <v>-1</v>
      </c>
      <c r="AL66" s="2">
        <f t="shared" ref="AL66:AL129" si="16">AD66-S66</f>
        <v>0</v>
      </c>
      <c r="AM66" s="2">
        <f t="shared" ref="AM66:AM129" si="17">AE66-T66</f>
        <v>0</v>
      </c>
      <c r="AP66" s="2">
        <v>1</v>
      </c>
      <c r="AR66" s="2">
        <v>1</v>
      </c>
      <c r="AS66" s="309"/>
      <c r="AW66" s="310"/>
      <c r="BC66" s="218">
        <v>0</v>
      </c>
      <c r="BH66" s="2">
        <v>520308</v>
      </c>
      <c r="BI66" s="2">
        <v>175588</v>
      </c>
      <c r="BJ66" s="2" t="s">
        <v>481</v>
      </c>
      <c r="BL66" s="2" t="s">
        <v>137</v>
      </c>
    </row>
    <row r="67" spans="1:72" x14ac:dyDescent="0.25">
      <c r="A67" s="2" t="s">
        <v>653</v>
      </c>
      <c r="B67" s="2" t="s">
        <v>404</v>
      </c>
      <c r="D67" s="4">
        <v>43689</v>
      </c>
      <c r="E67" s="4">
        <v>44785</v>
      </c>
      <c r="F67" s="4">
        <v>43864</v>
      </c>
      <c r="G67" s="3">
        <v>44104</v>
      </c>
      <c r="H67" s="2" t="s">
        <v>210</v>
      </c>
      <c r="I67" s="2" t="s">
        <v>254</v>
      </c>
      <c r="K67" s="2" t="s">
        <v>654</v>
      </c>
      <c r="L67" s="2" t="s">
        <v>655</v>
      </c>
      <c r="M67" s="2" t="s">
        <v>656</v>
      </c>
      <c r="W67" s="2">
        <f t="shared" si="9"/>
        <v>0</v>
      </c>
      <c r="X67" s="2" t="s">
        <v>385</v>
      </c>
      <c r="AA67" s="2">
        <v>1</v>
      </c>
      <c r="AF67" s="2">
        <f t="shared" si="10"/>
        <v>1</v>
      </c>
      <c r="AG67" s="2">
        <f t="shared" si="11"/>
        <v>0</v>
      </c>
      <c r="AH67" s="2">
        <f t="shared" si="12"/>
        <v>0</v>
      </c>
      <c r="AI67" s="2">
        <f t="shared" si="13"/>
        <v>1</v>
      </c>
      <c r="AJ67" s="2">
        <f t="shared" si="14"/>
        <v>0</v>
      </c>
      <c r="AK67" s="2">
        <f t="shared" si="15"/>
        <v>0</v>
      </c>
      <c r="AL67" s="2">
        <f t="shared" si="16"/>
        <v>0</v>
      </c>
      <c r="AM67" s="2">
        <f t="shared" si="17"/>
        <v>0</v>
      </c>
      <c r="AP67" s="2">
        <v>1</v>
      </c>
      <c r="AR67" s="2">
        <v>1</v>
      </c>
      <c r="AS67" s="309"/>
      <c r="AW67" s="310"/>
      <c r="BC67" s="218">
        <v>0</v>
      </c>
      <c r="BH67" s="2">
        <v>518999</v>
      </c>
      <c r="BI67" s="2">
        <v>177227</v>
      </c>
      <c r="BJ67" s="2" t="s">
        <v>428</v>
      </c>
      <c r="BL67" s="2" t="s">
        <v>161</v>
      </c>
      <c r="BS67" s="240" t="s">
        <v>148</v>
      </c>
      <c r="BT67" s="2" t="s">
        <v>429</v>
      </c>
    </row>
    <row r="68" spans="1:72" x14ac:dyDescent="0.25">
      <c r="A68" s="2" t="s">
        <v>657</v>
      </c>
      <c r="B68" s="2" t="s">
        <v>404</v>
      </c>
      <c r="D68" s="4">
        <v>43690</v>
      </c>
      <c r="E68" s="4">
        <v>44786</v>
      </c>
      <c r="F68" s="4">
        <v>43858</v>
      </c>
      <c r="G68" s="4">
        <v>44229</v>
      </c>
      <c r="H68" s="2" t="s">
        <v>210</v>
      </c>
      <c r="I68" s="2" t="s">
        <v>254</v>
      </c>
      <c r="K68" s="2" t="s">
        <v>658</v>
      </c>
      <c r="L68" s="2" t="s">
        <v>659</v>
      </c>
      <c r="M68" s="2" t="s">
        <v>660</v>
      </c>
      <c r="W68" s="2">
        <f t="shared" si="9"/>
        <v>0</v>
      </c>
      <c r="X68" s="2" t="s">
        <v>385</v>
      </c>
      <c r="Y68" s="2">
        <v>1</v>
      </c>
      <c r="AF68" s="2">
        <f t="shared" si="10"/>
        <v>1</v>
      </c>
      <c r="AG68" s="2">
        <f t="shared" si="11"/>
        <v>1</v>
      </c>
      <c r="AH68" s="2">
        <f t="shared" si="12"/>
        <v>0</v>
      </c>
      <c r="AI68" s="2">
        <f t="shared" si="13"/>
        <v>0</v>
      </c>
      <c r="AJ68" s="2">
        <f t="shared" si="14"/>
        <v>0</v>
      </c>
      <c r="AK68" s="2">
        <f t="shared" si="15"/>
        <v>0</v>
      </c>
      <c r="AL68" s="2">
        <f t="shared" si="16"/>
        <v>0</v>
      </c>
      <c r="AM68" s="2">
        <f t="shared" si="17"/>
        <v>0</v>
      </c>
      <c r="AP68" s="2">
        <v>1</v>
      </c>
      <c r="AR68" s="2">
        <v>1</v>
      </c>
      <c r="AS68" s="309"/>
      <c r="AW68" s="310"/>
      <c r="BC68" s="218">
        <v>0</v>
      </c>
      <c r="BH68" s="2">
        <v>517726</v>
      </c>
      <c r="BI68" s="2">
        <v>174837</v>
      </c>
      <c r="BJ68" s="2" t="s">
        <v>401</v>
      </c>
      <c r="BL68" s="2" t="s">
        <v>164</v>
      </c>
      <c r="BM68" s="2" t="s">
        <v>138</v>
      </c>
      <c r="BS68" s="240" t="s">
        <v>148</v>
      </c>
      <c r="BT68" s="2" t="s">
        <v>424</v>
      </c>
    </row>
    <row r="69" spans="1:72" s="242" customFormat="1" x14ac:dyDescent="0.25">
      <c r="A69" s="2" t="s">
        <v>661</v>
      </c>
      <c r="B69" s="2" t="s">
        <v>404</v>
      </c>
      <c r="C69" s="2"/>
      <c r="D69" s="4">
        <v>43700</v>
      </c>
      <c r="E69" s="4">
        <v>44796</v>
      </c>
      <c r="F69" s="4">
        <v>43780</v>
      </c>
      <c r="G69" s="3">
        <v>44125</v>
      </c>
      <c r="H69" s="2" t="s">
        <v>210</v>
      </c>
      <c r="I69" s="2" t="s">
        <v>254</v>
      </c>
      <c r="J69" s="2"/>
      <c r="K69" s="2" t="s">
        <v>662</v>
      </c>
      <c r="L69" s="2" t="s">
        <v>663</v>
      </c>
      <c r="M69" s="2" t="s">
        <v>664</v>
      </c>
      <c r="N69" s="2"/>
      <c r="O69" s="2"/>
      <c r="P69" s="2"/>
      <c r="Q69" s="2">
        <v>1</v>
      </c>
      <c r="R69" s="2"/>
      <c r="S69" s="2"/>
      <c r="T69" s="2"/>
      <c r="U69" s="2"/>
      <c r="V69" s="2"/>
      <c r="W69" s="2">
        <f t="shared" si="9"/>
        <v>1</v>
      </c>
      <c r="X69" s="2" t="s">
        <v>385</v>
      </c>
      <c r="Y69" s="2"/>
      <c r="Z69" s="2"/>
      <c r="AA69" s="2"/>
      <c r="AB69" s="2"/>
      <c r="AC69" s="2">
        <v>1</v>
      </c>
      <c r="AD69" s="2"/>
      <c r="AE69" s="2"/>
      <c r="AF69" s="2">
        <f t="shared" si="10"/>
        <v>1</v>
      </c>
      <c r="AG69" s="2">
        <f t="shared" si="11"/>
        <v>0</v>
      </c>
      <c r="AH69" s="2">
        <f t="shared" si="12"/>
        <v>0</v>
      </c>
      <c r="AI69" s="2">
        <f t="shared" si="13"/>
        <v>0</v>
      </c>
      <c r="AJ69" s="2">
        <f t="shared" si="14"/>
        <v>-1</v>
      </c>
      <c r="AK69" s="2">
        <f t="shared" si="15"/>
        <v>1</v>
      </c>
      <c r="AL69" s="2">
        <f t="shared" si="16"/>
        <v>0</v>
      </c>
      <c r="AM69" s="2">
        <f t="shared" si="17"/>
        <v>0</v>
      </c>
      <c r="AN69" s="2"/>
      <c r="AO69" s="2"/>
      <c r="AP69" s="2">
        <v>0</v>
      </c>
      <c r="AQ69" s="180"/>
      <c r="AR69" s="2">
        <v>0</v>
      </c>
      <c r="AS69" s="309"/>
      <c r="AT69" s="180"/>
      <c r="AU69" s="180"/>
      <c r="AV69" s="180"/>
      <c r="AW69" s="310"/>
      <c r="AX69" s="2"/>
      <c r="AY69" s="2"/>
      <c r="AZ69" s="2"/>
      <c r="BA69" s="2"/>
      <c r="BB69" s="2"/>
      <c r="BC69" s="218">
        <v>0</v>
      </c>
      <c r="BD69" s="2"/>
      <c r="BE69" s="2"/>
      <c r="BF69" s="2"/>
      <c r="BG69" s="2"/>
      <c r="BH69" s="2">
        <v>517949</v>
      </c>
      <c r="BI69" s="2">
        <v>174356</v>
      </c>
      <c r="BJ69" s="2" t="s">
        <v>411</v>
      </c>
      <c r="BK69" s="2"/>
      <c r="BL69" s="2" t="s">
        <v>156</v>
      </c>
      <c r="BM69" s="2"/>
      <c r="BN69" s="2" t="s">
        <v>139</v>
      </c>
      <c r="BO69" s="2"/>
      <c r="BP69" s="2"/>
      <c r="BQ69" s="2"/>
      <c r="BR69" s="2"/>
      <c r="BS69" s="240" t="s">
        <v>148</v>
      </c>
      <c r="BT69" s="2" t="s">
        <v>665</v>
      </c>
    </row>
    <row r="70" spans="1:72" s="242" customFormat="1" x14ac:dyDescent="0.25">
      <c r="A70" s="2" t="s">
        <v>666</v>
      </c>
      <c r="B70" s="2" t="s">
        <v>539</v>
      </c>
      <c r="C70" s="2"/>
      <c r="D70" s="4">
        <v>43725</v>
      </c>
      <c r="E70" s="4">
        <v>44821</v>
      </c>
      <c r="F70" s="3">
        <v>43860</v>
      </c>
      <c r="G70" s="4">
        <v>44285</v>
      </c>
      <c r="H70" s="2" t="s">
        <v>210</v>
      </c>
      <c r="I70" s="2" t="s">
        <v>254</v>
      </c>
      <c r="J70" s="2"/>
      <c r="K70" s="2" t="s">
        <v>667</v>
      </c>
      <c r="L70" s="2" t="s">
        <v>668</v>
      </c>
      <c r="M70" s="2" t="s">
        <v>669</v>
      </c>
      <c r="N70" s="2"/>
      <c r="O70" s="2"/>
      <c r="P70" s="2"/>
      <c r="Q70" s="2"/>
      <c r="R70" s="2"/>
      <c r="S70" s="2"/>
      <c r="T70" s="2"/>
      <c r="U70" s="2"/>
      <c r="V70" s="2"/>
      <c r="W70" s="2">
        <f t="shared" si="9"/>
        <v>0</v>
      </c>
      <c r="X70" s="2" t="s">
        <v>385</v>
      </c>
      <c r="Y70" s="2"/>
      <c r="Z70" s="2"/>
      <c r="AA70" s="2"/>
      <c r="AB70" s="2">
        <v>1</v>
      </c>
      <c r="AC70" s="2"/>
      <c r="AD70" s="2"/>
      <c r="AE70" s="2"/>
      <c r="AF70" s="2">
        <f t="shared" si="10"/>
        <v>1</v>
      </c>
      <c r="AG70" s="2">
        <f t="shared" si="11"/>
        <v>0</v>
      </c>
      <c r="AH70" s="2">
        <f t="shared" si="12"/>
        <v>0</v>
      </c>
      <c r="AI70" s="2">
        <f t="shared" si="13"/>
        <v>0</v>
      </c>
      <c r="AJ70" s="2">
        <f t="shared" si="14"/>
        <v>1</v>
      </c>
      <c r="AK70" s="2">
        <f t="shared" si="15"/>
        <v>0</v>
      </c>
      <c r="AL70" s="2">
        <f t="shared" si="16"/>
        <v>0</v>
      </c>
      <c r="AM70" s="2">
        <f t="shared" si="17"/>
        <v>0</v>
      </c>
      <c r="AN70" s="2"/>
      <c r="AO70" s="2"/>
      <c r="AP70" s="2">
        <v>1</v>
      </c>
      <c r="AQ70" s="180"/>
      <c r="AR70" s="2">
        <v>1</v>
      </c>
      <c r="AS70" s="309"/>
      <c r="AT70" s="180"/>
      <c r="AU70" s="180"/>
      <c r="AV70" s="180"/>
      <c r="AW70" s="310"/>
      <c r="AX70" s="2"/>
      <c r="AY70" s="2"/>
      <c r="AZ70" s="2"/>
      <c r="BA70" s="2"/>
      <c r="BB70" s="2"/>
      <c r="BC70" s="218">
        <v>0</v>
      </c>
      <c r="BD70" s="2"/>
      <c r="BE70" s="2"/>
      <c r="BF70" s="2"/>
      <c r="BG70" s="2"/>
      <c r="BH70" s="2">
        <v>513857</v>
      </c>
      <c r="BI70" s="2">
        <v>171464</v>
      </c>
      <c r="BJ70" s="2" t="s">
        <v>391</v>
      </c>
      <c r="BK70" s="2" t="s">
        <v>147</v>
      </c>
      <c r="BL70" s="2" t="s">
        <v>174</v>
      </c>
      <c r="BM70" s="2"/>
      <c r="BN70" s="2"/>
      <c r="BO70" s="2"/>
      <c r="BP70" s="2"/>
      <c r="BQ70" s="2"/>
      <c r="BR70" s="2"/>
      <c r="BS70" s="2"/>
      <c r="BT70" s="2"/>
    </row>
    <row r="71" spans="1:72" x14ac:dyDescent="0.25">
      <c r="A71" s="2" t="s">
        <v>666</v>
      </c>
      <c r="B71" s="2" t="s">
        <v>539</v>
      </c>
      <c r="D71" s="4">
        <v>43725</v>
      </c>
      <c r="E71" s="4">
        <v>44821</v>
      </c>
      <c r="F71" s="3">
        <v>43860</v>
      </c>
      <c r="G71" s="4">
        <v>44285</v>
      </c>
      <c r="H71" s="2" t="s">
        <v>210</v>
      </c>
      <c r="I71" s="2" t="s">
        <v>254</v>
      </c>
      <c r="K71" s="2" t="s">
        <v>667</v>
      </c>
      <c r="L71" s="2" t="s">
        <v>668</v>
      </c>
      <c r="M71" s="2" t="s">
        <v>669</v>
      </c>
      <c r="P71" s="2">
        <v>1</v>
      </c>
      <c r="W71" s="2">
        <f t="shared" si="9"/>
        <v>1</v>
      </c>
      <c r="X71" s="2" t="s">
        <v>385</v>
      </c>
      <c r="AB71" s="2">
        <v>1</v>
      </c>
      <c r="AF71" s="2">
        <f t="shared" si="10"/>
        <v>1</v>
      </c>
      <c r="AG71" s="2">
        <f t="shared" si="11"/>
        <v>0</v>
      </c>
      <c r="AH71" s="2">
        <f t="shared" si="12"/>
        <v>0</v>
      </c>
      <c r="AI71" s="2">
        <f t="shared" si="13"/>
        <v>-1</v>
      </c>
      <c r="AJ71" s="2">
        <f t="shared" si="14"/>
        <v>1</v>
      </c>
      <c r="AK71" s="2">
        <f t="shared" si="15"/>
        <v>0</v>
      </c>
      <c r="AL71" s="2">
        <f t="shared" si="16"/>
        <v>0</v>
      </c>
      <c r="AM71" s="2">
        <f t="shared" si="17"/>
        <v>0</v>
      </c>
      <c r="AP71" s="2">
        <v>0</v>
      </c>
      <c r="AR71" s="2">
        <v>0</v>
      </c>
      <c r="AS71" s="309"/>
      <c r="AW71" s="310"/>
      <c r="BC71" s="218">
        <v>0</v>
      </c>
      <c r="BH71" s="2">
        <v>513857</v>
      </c>
      <c r="BI71" s="2">
        <v>171464</v>
      </c>
      <c r="BJ71" s="2" t="s">
        <v>391</v>
      </c>
      <c r="BL71" s="2" t="s">
        <v>174</v>
      </c>
    </row>
    <row r="72" spans="1:72" s="242" customFormat="1" x14ac:dyDescent="0.25">
      <c r="A72" s="2" t="s">
        <v>670</v>
      </c>
      <c r="B72" s="2" t="s">
        <v>404</v>
      </c>
      <c r="C72" s="2"/>
      <c r="D72" s="4">
        <v>43756</v>
      </c>
      <c r="E72" s="4">
        <v>44852</v>
      </c>
      <c r="F72" s="4">
        <v>43885</v>
      </c>
      <c r="G72" s="3">
        <v>44213</v>
      </c>
      <c r="H72" s="2" t="s">
        <v>210</v>
      </c>
      <c r="I72" s="2" t="s">
        <v>254</v>
      </c>
      <c r="J72" s="2"/>
      <c r="K72" s="2" t="s">
        <v>671</v>
      </c>
      <c r="L72" s="2" t="s">
        <v>672</v>
      </c>
      <c r="M72" s="2" t="s">
        <v>604</v>
      </c>
      <c r="N72" s="2"/>
      <c r="O72" s="2"/>
      <c r="P72" s="2">
        <v>1</v>
      </c>
      <c r="Q72" s="2"/>
      <c r="R72" s="2"/>
      <c r="S72" s="2"/>
      <c r="T72" s="2"/>
      <c r="U72" s="2"/>
      <c r="V72" s="2"/>
      <c r="W72" s="2">
        <f t="shared" si="9"/>
        <v>1</v>
      </c>
      <c r="X72" s="2" t="s">
        <v>385</v>
      </c>
      <c r="Y72" s="2"/>
      <c r="Z72" s="2">
        <v>2</v>
      </c>
      <c r="AA72" s="2"/>
      <c r="AB72" s="2"/>
      <c r="AC72" s="2"/>
      <c r="AD72" s="2"/>
      <c r="AE72" s="2"/>
      <c r="AF72" s="2">
        <f t="shared" si="10"/>
        <v>2</v>
      </c>
      <c r="AG72" s="2">
        <f t="shared" si="11"/>
        <v>0</v>
      </c>
      <c r="AH72" s="2">
        <f t="shared" si="12"/>
        <v>2</v>
      </c>
      <c r="AI72" s="2">
        <f t="shared" si="13"/>
        <v>-1</v>
      </c>
      <c r="AJ72" s="2">
        <f t="shared" si="14"/>
        <v>0</v>
      </c>
      <c r="AK72" s="2">
        <f t="shared" si="15"/>
        <v>0</v>
      </c>
      <c r="AL72" s="2">
        <f t="shared" si="16"/>
        <v>0</v>
      </c>
      <c r="AM72" s="2">
        <f t="shared" si="17"/>
        <v>0</v>
      </c>
      <c r="AN72" s="2"/>
      <c r="AO72" s="2"/>
      <c r="AP72" s="2">
        <v>1</v>
      </c>
      <c r="AQ72" s="180"/>
      <c r="AR72" s="2">
        <v>1</v>
      </c>
      <c r="AS72" s="309"/>
      <c r="AT72" s="180"/>
      <c r="AU72" s="180"/>
      <c r="AV72" s="180"/>
      <c r="AW72" s="310"/>
      <c r="AX72" s="2"/>
      <c r="AY72" s="2"/>
      <c r="AZ72" s="2"/>
      <c r="BA72" s="2"/>
      <c r="BB72" s="2"/>
      <c r="BC72" s="218">
        <v>0</v>
      </c>
      <c r="BD72" s="2"/>
      <c r="BE72" s="2"/>
      <c r="BF72" s="2"/>
      <c r="BG72" s="2"/>
      <c r="BH72" s="2">
        <v>515069</v>
      </c>
      <c r="BI72" s="2">
        <v>172813</v>
      </c>
      <c r="BJ72" s="2" t="s">
        <v>463</v>
      </c>
      <c r="BK72" s="2"/>
      <c r="BL72" s="2" t="s">
        <v>168</v>
      </c>
      <c r="BM72" s="2"/>
      <c r="BN72" s="2"/>
      <c r="BO72" s="2"/>
      <c r="BP72" s="2"/>
      <c r="BQ72" s="2"/>
      <c r="BR72" s="2"/>
      <c r="BS72" s="2"/>
      <c r="BT72" s="2"/>
    </row>
    <row r="73" spans="1:72" s="242" customFormat="1" x14ac:dyDescent="0.25">
      <c r="A73" s="2" t="s">
        <v>673</v>
      </c>
      <c r="B73" s="2" t="s">
        <v>434</v>
      </c>
      <c r="C73" s="2"/>
      <c r="D73" s="4">
        <v>43760</v>
      </c>
      <c r="E73" s="4">
        <v>44856</v>
      </c>
      <c r="F73" s="3">
        <v>43862</v>
      </c>
      <c r="G73" s="4">
        <v>43997</v>
      </c>
      <c r="H73" s="2" t="s">
        <v>210</v>
      </c>
      <c r="I73" s="2" t="s">
        <v>254</v>
      </c>
      <c r="J73" s="2"/>
      <c r="K73" s="2" t="s">
        <v>674</v>
      </c>
      <c r="L73" s="2" t="s">
        <v>675</v>
      </c>
      <c r="M73" s="2" t="s">
        <v>676</v>
      </c>
      <c r="N73" s="2"/>
      <c r="O73" s="2"/>
      <c r="P73" s="2">
        <v>2</v>
      </c>
      <c r="Q73" s="2"/>
      <c r="R73" s="2"/>
      <c r="S73" s="2"/>
      <c r="T73" s="2"/>
      <c r="U73" s="2"/>
      <c r="V73" s="2"/>
      <c r="W73" s="2">
        <f t="shared" si="9"/>
        <v>2</v>
      </c>
      <c r="X73" s="2" t="s">
        <v>385</v>
      </c>
      <c r="Y73" s="2"/>
      <c r="Z73" s="2"/>
      <c r="AA73" s="2"/>
      <c r="AB73" s="2">
        <v>1</v>
      </c>
      <c r="AC73" s="2"/>
      <c r="AD73" s="2"/>
      <c r="AE73" s="2"/>
      <c r="AF73" s="2">
        <f t="shared" si="10"/>
        <v>1</v>
      </c>
      <c r="AG73" s="2">
        <f t="shared" si="11"/>
        <v>0</v>
      </c>
      <c r="AH73" s="2">
        <f t="shared" si="12"/>
        <v>0</v>
      </c>
      <c r="AI73" s="2">
        <f t="shared" si="13"/>
        <v>-2</v>
      </c>
      <c r="AJ73" s="2">
        <f t="shared" si="14"/>
        <v>1</v>
      </c>
      <c r="AK73" s="2">
        <f t="shared" si="15"/>
        <v>0</v>
      </c>
      <c r="AL73" s="2">
        <f t="shared" si="16"/>
        <v>0</v>
      </c>
      <c r="AM73" s="2">
        <f t="shared" si="17"/>
        <v>0</v>
      </c>
      <c r="AN73" s="2"/>
      <c r="AO73" s="2"/>
      <c r="AP73" s="2">
        <v>-1</v>
      </c>
      <c r="AQ73" s="180"/>
      <c r="AR73" s="2">
        <v>-1</v>
      </c>
      <c r="AS73" s="309"/>
      <c r="AT73" s="180"/>
      <c r="AU73" s="180"/>
      <c r="AV73" s="180"/>
      <c r="AW73" s="310"/>
      <c r="AX73" s="2"/>
      <c r="AY73" s="2"/>
      <c r="AZ73" s="2"/>
      <c r="BA73" s="2"/>
      <c r="BB73" s="2"/>
      <c r="BC73" s="218">
        <v>0</v>
      </c>
      <c r="BD73" s="2"/>
      <c r="BE73" s="2"/>
      <c r="BF73" s="2"/>
      <c r="BG73" s="2"/>
      <c r="BH73" s="2">
        <v>516802</v>
      </c>
      <c r="BI73" s="2">
        <v>171333</v>
      </c>
      <c r="BJ73" s="2" t="s">
        <v>498</v>
      </c>
      <c r="BK73" s="2"/>
      <c r="BL73" s="2" t="s">
        <v>140</v>
      </c>
      <c r="BM73" s="2"/>
      <c r="BN73" s="2" t="s">
        <v>139</v>
      </c>
      <c r="BO73" s="2"/>
      <c r="BP73" s="2"/>
      <c r="BQ73" s="2"/>
      <c r="BR73" s="2"/>
      <c r="BS73" s="2"/>
      <c r="BT73" s="2"/>
    </row>
    <row r="74" spans="1:72" x14ac:dyDescent="0.25">
      <c r="A74" s="2" t="s">
        <v>677</v>
      </c>
      <c r="B74" s="2" t="s">
        <v>434</v>
      </c>
      <c r="D74" s="4">
        <v>43780</v>
      </c>
      <c r="E74" s="4">
        <v>44876</v>
      </c>
      <c r="F74" s="4">
        <v>43787</v>
      </c>
      <c r="G74" s="3">
        <v>44209</v>
      </c>
      <c r="H74" s="2" t="s">
        <v>210</v>
      </c>
      <c r="I74" s="2" t="s">
        <v>254</v>
      </c>
      <c r="K74" s="2" t="s">
        <v>678</v>
      </c>
      <c r="L74" s="2" t="s">
        <v>679</v>
      </c>
      <c r="M74" s="2" t="s">
        <v>680</v>
      </c>
      <c r="N74" s="2">
        <v>1</v>
      </c>
      <c r="S74" s="2">
        <v>1</v>
      </c>
      <c r="W74" s="2">
        <f t="shared" si="9"/>
        <v>2</v>
      </c>
      <c r="X74" s="2" t="s">
        <v>385</v>
      </c>
      <c r="AD74" s="2">
        <v>1</v>
      </c>
      <c r="AF74" s="2">
        <f t="shared" si="10"/>
        <v>1</v>
      </c>
      <c r="AG74" s="2">
        <f t="shared" si="11"/>
        <v>-1</v>
      </c>
      <c r="AH74" s="2">
        <f t="shared" si="12"/>
        <v>0</v>
      </c>
      <c r="AI74" s="2">
        <f t="shared" si="13"/>
        <v>0</v>
      </c>
      <c r="AJ74" s="2">
        <f t="shared" si="14"/>
        <v>0</v>
      </c>
      <c r="AK74" s="2">
        <f t="shared" si="15"/>
        <v>0</v>
      </c>
      <c r="AL74" s="2">
        <f t="shared" si="16"/>
        <v>0</v>
      </c>
      <c r="AM74" s="2">
        <f t="shared" si="17"/>
        <v>0</v>
      </c>
      <c r="AP74" s="2">
        <v>-1</v>
      </c>
      <c r="AR74" s="2">
        <v>-1</v>
      </c>
      <c r="AS74" s="309"/>
      <c r="AW74" s="310"/>
      <c r="BC74" s="218">
        <v>0</v>
      </c>
      <c r="BH74" s="2">
        <v>518508</v>
      </c>
      <c r="BI74" s="2">
        <v>174268</v>
      </c>
      <c r="BJ74" s="2" t="s">
        <v>401</v>
      </c>
      <c r="BL74" s="2" t="s">
        <v>164</v>
      </c>
      <c r="BS74" s="240" t="s">
        <v>148</v>
      </c>
      <c r="BT74" s="2" t="s">
        <v>438</v>
      </c>
    </row>
    <row r="75" spans="1:72" s="242" customFormat="1" x14ac:dyDescent="0.25">
      <c r="A75" s="2" t="s">
        <v>681</v>
      </c>
      <c r="B75" s="2" t="s">
        <v>394</v>
      </c>
      <c r="C75" s="2"/>
      <c r="D75" s="4">
        <v>43811</v>
      </c>
      <c r="E75" s="4">
        <v>44907</v>
      </c>
      <c r="F75" s="4">
        <v>43920</v>
      </c>
      <c r="G75" s="3">
        <v>44008</v>
      </c>
      <c r="H75" s="2" t="s">
        <v>210</v>
      </c>
      <c r="I75" s="2" t="s">
        <v>250</v>
      </c>
      <c r="J75" s="2"/>
      <c r="K75" s="2" t="s">
        <v>682</v>
      </c>
      <c r="L75" s="2" t="s">
        <v>683</v>
      </c>
      <c r="M75" s="2" t="s">
        <v>684</v>
      </c>
      <c r="N75" s="2"/>
      <c r="O75" s="2"/>
      <c r="P75" s="2"/>
      <c r="Q75" s="2"/>
      <c r="R75" s="2"/>
      <c r="S75" s="2"/>
      <c r="T75" s="2"/>
      <c r="U75" s="2"/>
      <c r="V75" s="2"/>
      <c r="W75" s="2">
        <f t="shared" si="9"/>
        <v>0</v>
      </c>
      <c r="X75" s="2" t="s">
        <v>299</v>
      </c>
      <c r="Y75" s="2">
        <v>10</v>
      </c>
      <c r="Z75" s="2"/>
      <c r="AA75" s="2"/>
      <c r="AB75" s="2"/>
      <c r="AC75" s="2"/>
      <c r="AD75" s="2"/>
      <c r="AE75" s="2"/>
      <c r="AF75" s="2">
        <f t="shared" si="10"/>
        <v>10</v>
      </c>
      <c r="AG75" s="2">
        <f t="shared" si="11"/>
        <v>10</v>
      </c>
      <c r="AH75" s="2">
        <f t="shared" si="12"/>
        <v>0</v>
      </c>
      <c r="AI75" s="2">
        <f t="shared" si="13"/>
        <v>0</v>
      </c>
      <c r="AJ75" s="2">
        <f t="shared" si="14"/>
        <v>0</v>
      </c>
      <c r="AK75" s="2">
        <f t="shared" si="15"/>
        <v>0</v>
      </c>
      <c r="AL75" s="2">
        <f t="shared" si="16"/>
        <v>0</v>
      </c>
      <c r="AM75" s="2">
        <f t="shared" si="17"/>
        <v>0</v>
      </c>
      <c r="AN75" s="2"/>
      <c r="AO75" s="2"/>
      <c r="AP75" s="2">
        <v>10</v>
      </c>
      <c r="AQ75" s="180" t="s">
        <v>299</v>
      </c>
      <c r="AR75" s="2">
        <v>10</v>
      </c>
      <c r="AS75" s="309"/>
      <c r="AT75" s="180"/>
      <c r="AU75" s="180"/>
      <c r="AV75" s="180"/>
      <c r="AW75" s="310"/>
      <c r="AX75" s="2"/>
      <c r="AY75" s="2"/>
      <c r="AZ75" s="2"/>
      <c r="BA75" s="2"/>
      <c r="BB75" s="2"/>
      <c r="BC75" s="218">
        <v>0</v>
      </c>
      <c r="BD75" s="2"/>
      <c r="BE75" s="2"/>
      <c r="BF75" s="2"/>
      <c r="BG75" s="2"/>
      <c r="BH75" s="2">
        <v>517598</v>
      </c>
      <c r="BI75" s="2">
        <v>169722</v>
      </c>
      <c r="BJ75" s="2" t="s">
        <v>443</v>
      </c>
      <c r="BK75" s="2"/>
      <c r="BL75" s="2" t="s">
        <v>159</v>
      </c>
      <c r="BM75" s="2"/>
      <c r="BN75" s="2"/>
      <c r="BO75" s="2"/>
      <c r="BP75" s="2"/>
      <c r="BQ75" s="2"/>
      <c r="BR75" s="2"/>
      <c r="BS75" s="240" t="s">
        <v>148</v>
      </c>
      <c r="BT75" s="2" t="s">
        <v>444</v>
      </c>
    </row>
    <row r="76" spans="1:72" x14ac:dyDescent="0.25">
      <c r="A76" s="2" t="s">
        <v>685</v>
      </c>
      <c r="B76" s="2" t="s">
        <v>404</v>
      </c>
      <c r="C76" s="2" t="s">
        <v>228</v>
      </c>
      <c r="D76" s="4">
        <v>43875</v>
      </c>
      <c r="E76" s="4">
        <v>44012</v>
      </c>
      <c r="F76" s="4">
        <v>43892</v>
      </c>
      <c r="G76" s="4">
        <v>44110</v>
      </c>
      <c r="H76" s="2" t="s">
        <v>210</v>
      </c>
      <c r="I76" s="2" t="s">
        <v>254</v>
      </c>
      <c r="K76" s="2" t="s">
        <v>686</v>
      </c>
      <c r="L76" s="2" t="s">
        <v>687</v>
      </c>
      <c r="M76" s="2" t="s">
        <v>688</v>
      </c>
      <c r="W76" s="2">
        <f t="shared" si="9"/>
        <v>0</v>
      </c>
      <c r="X76" s="2" t="s">
        <v>385</v>
      </c>
      <c r="Y76" s="2">
        <v>2</v>
      </c>
      <c r="AF76" s="2">
        <f t="shared" si="10"/>
        <v>2</v>
      </c>
      <c r="AG76" s="2">
        <f t="shared" si="11"/>
        <v>2</v>
      </c>
      <c r="AH76" s="2">
        <f t="shared" si="12"/>
        <v>0</v>
      </c>
      <c r="AI76" s="2">
        <f t="shared" si="13"/>
        <v>0</v>
      </c>
      <c r="AJ76" s="2">
        <f t="shared" si="14"/>
        <v>0</v>
      </c>
      <c r="AK76" s="2">
        <f t="shared" si="15"/>
        <v>0</v>
      </c>
      <c r="AL76" s="2">
        <f t="shared" si="16"/>
        <v>0</v>
      </c>
      <c r="AM76" s="2">
        <f t="shared" si="17"/>
        <v>0</v>
      </c>
      <c r="AP76" s="2">
        <v>2</v>
      </c>
      <c r="AR76" s="2">
        <v>2</v>
      </c>
      <c r="AS76" s="309"/>
      <c r="AW76" s="310"/>
      <c r="BC76" s="218">
        <v>0</v>
      </c>
      <c r="BH76" s="2">
        <v>516541</v>
      </c>
      <c r="BI76" s="2">
        <v>175254</v>
      </c>
      <c r="BJ76" s="2" t="s">
        <v>386</v>
      </c>
      <c r="BL76" s="2" t="s">
        <v>176</v>
      </c>
    </row>
    <row r="77" spans="1:72" s="242" customFormat="1" x14ac:dyDescent="0.25">
      <c r="A77" s="2" t="s">
        <v>689</v>
      </c>
      <c r="B77" s="2" t="s">
        <v>434</v>
      </c>
      <c r="C77" s="2"/>
      <c r="D77" s="4">
        <v>44012</v>
      </c>
      <c r="E77" s="4">
        <v>44012</v>
      </c>
      <c r="F77" s="4">
        <v>44012</v>
      </c>
      <c r="G77" s="4">
        <v>44012</v>
      </c>
      <c r="H77" s="2" t="s">
        <v>210</v>
      </c>
      <c r="I77" s="2" t="s">
        <v>254</v>
      </c>
      <c r="J77" s="2"/>
      <c r="K77" s="2" t="s">
        <v>690</v>
      </c>
      <c r="L77" s="2" t="s">
        <v>691</v>
      </c>
      <c r="M77" s="2" t="s">
        <v>692</v>
      </c>
      <c r="N77" s="2"/>
      <c r="O77" s="2"/>
      <c r="P77" s="2"/>
      <c r="Q77" s="2">
        <v>1</v>
      </c>
      <c r="R77" s="2"/>
      <c r="S77" s="2"/>
      <c r="T77" s="2"/>
      <c r="U77" s="2"/>
      <c r="V77" s="2"/>
      <c r="W77" s="2">
        <f t="shared" si="9"/>
        <v>1</v>
      </c>
      <c r="X77" s="2" t="s">
        <v>385</v>
      </c>
      <c r="Y77" s="2"/>
      <c r="Z77" s="2"/>
      <c r="AA77" s="2"/>
      <c r="AB77" s="2"/>
      <c r="AC77" s="2">
        <v>0</v>
      </c>
      <c r="AD77" s="2"/>
      <c r="AE77" s="2"/>
      <c r="AF77" s="2">
        <f t="shared" si="10"/>
        <v>0</v>
      </c>
      <c r="AG77" s="2">
        <f t="shared" si="11"/>
        <v>0</v>
      </c>
      <c r="AH77" s="2">
        <f t="shared" si="12"/>
        <v>0</v>
      </c>
      <c r="AI77" s="2">
        <f t="shared" si="13"/>
        <v>0</v>
      </c>
      <c r="AJ77" s="2">
        <f t="shared" si="14"/>
        <v>-1</v>
      </c>
      <c r="AK77" s="2">
        <f t="shared" si="15"/>
        <v>0</v>
      </c>
      <c r="AL77" s="2">
        <f t="shared" si="16"/>
        <v>0</v>
      </c>
      <c r="AM77" s="2">
        <f t="shared" si="17"/>
        <v>0</v>
      </c>
      <c r="AN77" s="2"/>
      <c r="AO77" s="2"/>
      <c r="AP77" s="2">
        <v>-1</v>
      </c>
      <c r="AQ77" s="180"/>
      <c r="AR77" s="2">
        <v>-1</v>
      </c>
      <c r="AS77" s="309"/>
      <c r="AT77" s="180"/>
      <c r="AU77" s="180"/>
      <c r="AV77" s="180"/>
      <c r="AW77" s="310"/>
      <c r="AX77" s="2"/>
      <c r="AY77" s="2"/>
      <c r="AZ77" s="2"/>
      <c r="BA77" s="2"/>
      <c r="BB77" s="2"/>
      <c r="BC77" s="218">
        <v>0</v>
      </c>
      <c r="BD77" s="2"/>
      <c r="BE77" s="2"/>
      <c r="BF77" s="2"/>
      <c r="BG77" s="180" t="s">
        <v>299</v>
      </c>
      <c r="BH77" s="2">
        <v>514974</v>
      </c>
      <c r="BI77" s="2">
        <v>173441</v>
      </c>
      <c r="BJ77" s="2" t="s">
        <v>622</v>
      </c>
      <c r="BK77" s="2"/>
      <c r="BL77" s="2" t="s">
        <v>144</v>
      </c>
      <c r="BM77" s="2"/>
      <c r="BN77" s="2"/>
      <c r="BO77" s="2"/>
      <c r="BP77" s="2"/>
      <c r="BQ77" s="2"/>
      <c r="BR77" s="2"/>
      <c r="BS77" s="240" t="s">
        <v>148</v>
      </c>
      <c r="BT77" s="2" t="s">
        <v>693</v>
      </c>
    </row>
    <row r="78" spans="1:72" x14ac:dyDescent="0.25">
      <c r="A78" s="2" t="s">
        <v>694</v>
      </c>
      <c r="B78" s="2" t="s">
        <v>434</v>
      </c>
      <c r="D78" s="4">
        <v>44028</v>
      </c>
      <c r="E78" s="4">
        <v>45123</v>
      </c>
      <c r="F78" s="4">
        <v>44028</v>
      </c>
      <c r="G78" s="3">
        <v>44028</v>
      </c>
      <c r="H78" s="2" t="s">
        <v>210</v>
      </c>
      <c r="I78" s="2" t="s">
        <v>254</v>
      </c>
      <c r="K78" s="2" t="s">
        <v>695</v>
      </c>
      <c r="L78" s="2" t="s">
        <v>696</v>
      </c>
      <c r="M78" s="2" t="s">
        <v>697</v>
      </c>
      <c r="N78" s="2">
        <v>2</v>
      </c>
      <c r="O78" s="2">
        <v>1</v>
      </c>
      <c r="W78" s="2">
        <f t="shared" si="9"/>
        <v>3</v>
      </c>
      <c r="X78" s="2" t="s">
        <v>385</v>
      </c>
      <c r="AB78" s="2">
        <v>1</v>
      </c>
      <c r="AF78" s="2">
        <f t="shared" si="10"/>
        <v>1</v>
      </c>
      <c r="AG78" s="2">
        <f t="shared" si="11"/>
        <v>-2</v>
      </c>
      <c r="AH78" s="2">
        <f t="shared" si="12"/>
        <v>-1</v>
      </c>
      <c r="AI78" s="2">
        <f t="shared" si="13"/>
        <v>0</v>
      </c>
      <c r="AJ78" s="2">
        <f t="shared" si="14"/>
        <v>1</v>
      </c>
      <c r="AK78" s="2">
        <f t="shared" si="15"/>
        <v>0</v>
      </c>
      <c r="AL78" s="2">
        <f t="shared" si="16"/>
        <v>0</v>
      </c>
      <c r="AM78" s="2">
        <f t="shared" si="17"/>
        <v>0</v>
      </c>
      <c r="AP78" s="2">
        <v>-2</v>
      </c>
      <c r="AR78" s="2">
        <v>-2</v>
      </c>
      <c r="AS78" s="309"/>
      <c r="AW78" s="310"/>
      <c r="BC78" s="218">
        <v>0</v>
      </c>
      <c r="BH78" s="2">
        <v>518716</v>
      </c>
      <c r="BI78" s="2">
        <v>175042</v>
      </c>
      <c r="BJ78" s="2" t="s">
        <v>401</v>
      </c>
      <c r="BL78" s="2" t="s">
        <v>164</v>
      </c>
      <c r="BS78" s="240" t="s">
        <v>148</v>
      </c>
      <c r="BT78" s="2" t="s">
        <v>476</v>
      </c>
    </row>
    <row r="79" spans="1:72" x14ac:dyDescent="0.25">
      <c r="A79" s="2" t="s">
        <v>698</v>
      </c>
      <c r="B79" s="2" t="s">
        <v>434</v>
      </c>
      <c r="D79" s="4">
        <v>44054</v>
      </c>
      <c r="E79" s="4">
        <v>45149</v>
      </c>
      <c r="F79" s="3">
        <v>44054</v>
      </c>
      <c r="G79" s="3">
        <v>44064</v>
      </c>
      <c r="H79" s="2" t="s">
        <v>210</v>
      </c>
      <c r="I79" s="2" t="s">
        <v>254</v>
      </c>
      <c r="K79" s="2" t="s">
        <v>699</v>
      </c>
      <c r="L79" s="2" t="s">
        <v>700</v>
      </c>
      <c r="M79" s="2" t="s">
        <v>489</v>
      </c>
      <c r="S79" s="2">
        <v>1</v>
      </c>
      <c r="W79" s="2">
        <f t="shared" si="9"/>
        <v>1</v>
      </c>
      <c r="X79" s="2" t="s">
        <v>385</v>
      </c>
      <c r="Y79" s="2">
        <v>1</v>
      </c>
      <c r="Z79" s="2">
        <v>1</v>
      </c>
      <c r="AF79" s="2">
        <f t="shared" si="10"/>
        <v>2</v>
      </c>
      <c r="AG79" s="2">
        <f t="shared" si="11"/>
        <v>1</v>
      </c>
      <c r="AH79" s="2">
        <f t="shared" si="12"/>
        <v>1</v>
      </c>
      <c r="AI79" s="2">
        <f t="shared" si="13"/>
        <v>0</v>
      </c>
      <c r="AJ79" s="2">
        <f t="shared" si="14"/>
        <v>0</v>
      </c>
      <c r="AK79" s="2">
        <f t="shared" si="15"/>
        <v>0</v>
      </c>
      <c r="AL79" s="2">
        <f t="shared" si="16"/>
        <v>-1</v>
      </c>
      <c r="AM79" s="2">
        <f t="shared" si="17"/>
        <v>0</v>
      </c>
      <c r="AP79" s="2">
        <v>1</v>
      </c>
      <c r="AR79" s="2">
        <v>1</v>
      </c>
      <c r="AS79" s="309"/>
      <c r="AW79" s="310"/>
      <c r="BC79" s="218">
        <v>0</v>
      </c>
      <c r="BH79" s="2">
        <v>520518</v>
      </c>
      <c r="BI79" s="2">
        <v>175422</v>
      </c>
      <c r="BJ79" s="2" t="s">
        <v>481</v>
      </c>
      <c r="BL79" s="2" t="s">
        <v>137</v>
      </c>
      <c r="BM79" s="2" t="s">
        <v>137</v>
      </c>
      <c r="BS79" s="240" t="s">
        <v>148</v>
      </c>
      <c r="BT79" s="2" t="s">
        <v>490</v>
      </c>
    </row>
    <row r="80" spans="1:72" x14ac:dyDescent="0.25">
      <c r="A80" s="2" t="s">
        <v>701</v>
      </c>
      <c r="B80" s="2" t="s">
        <v>404</v>
      </c>
      <c r="D80" s="4">
        <v>44076</v>
      </c>
      <c r="E80" s="4">
        <v>44076</v>
      </c>
      <c r="F80" s="4">
        <v>44076</v>
      </c>
      <c r="G80" s="4">
        <v>44076</v>
      </c>
      <c r="H80" s="2" t="s">
        <v>210</v>
      </c>
      <c r="I80" s="2" t="s">
        <v>254</v>
      </c>
      <c r="K80" s="2" t="s">
        <v>702</v>
      </c>
      <c r="L80" s="2" t="s">
        <v>703</v>
      </c>
      <c r="M80" s="2" t="s">
        <v>704</v>
      </c>
      <c r="O80" s="2">
        <v>1</v>
      </c>
      <c r="W80" s="2">
        <f t="shared" si="9"/>
        <v>1</v>
      </c>
      <c r="X80" s="2" t="s">
        <v>385</v>
      </c>
      <c r="AA80" s="2">
        <v>1</v>
      </c>
      <c r="AF80" s="2">
        <f t="shared" si="10"/>
        <v>1</v>
      </c>
      <c r="AG80" s="2">
        <f t="shared" si="11"/>
        <v>0</v>
      </c>
      <c r="AH80" s="2">
        <f t="shared" si="12"/>
        <v>-1</v>
      </c>
      <c r="AI80" s="2">
        <f t="shared" si="13"/>
        <v>1</v>
      </c>
      <c r="AJ80" s="2">
        <f t="shared" si="14"/>
        <v>0</v>
      </c>
      <c r="AK80" s="2">
        <f t="shared" si="15"/>
        <v>0</v>
      </c>
      <c r="AL80" s="2">
        <f t="shared" si="16"/>
        <v>0</v>
      </c>
      <c r="AM80" s="2">
        <f t="shared" si="17"/>
        <v>0</v>
      </c>
      <c r="AP80" s="2">
        <v>0</v>
      </c>
      <c r="AR80" s="2">
        <v>0</v>
      </c>
      <c r="AS80" s="309"/>
      <c r="AW80" s="310"/>
      <c r="BC80" s="218">
        <v>0</v>
      </c>
      <c r="BH80" s="2">
        <v>520460</v>
      </c>
      <c r="BI80" s="2">
        <v>175649</v>
      </c>
      <c r="BJ80" s="2" t="s">
        <v>481</v>
      </c>
      <c r="BL80" s="2" t="s">
        <v>137</v>
      </c>
      <c r="BM80" s="2" t="s">
        <v>137</v>
      </c>
      <c r="BS80" s="240" t="s">
        <v>148</v>
      </c>
      <c r="BT80" s="2" t="s">
        <v>490</v>
      </c>
    </row>
    <row r="81" spans="1:72" x14ac:dyDescent="0.25">
      <c r="A81" s="2" t="s">
        <v>705</v>
      </c>
      <c r="B81" s="2" t="s">
        <v>404</v>
      </c>
      <c r="D81" s="4">
        <v>44077</v>
      </c>
      <c r="E81" s="4">
        <v>44077</v>
      </c>
      <c r="F81" s="4">
        <v>44077</v>
      </c>
      <c r="G81" s="4">
        <v>44077</v>
      </c>
      <c r="H81" s="2" t="s">
        <v>210</v>
      </c>
      <c r="I81" s="2" t="s">
        <v>254</v>
      </c>
      <c r="K81" s="2" t="s">
        <v>706</v>
      </c>
      <c r="L81" s="2" t="s">
        <v>707</v>
      </c>
      <c r="M81" s="2" t="s">
        <v>708</v>
      </c>
      <c r="W81" s="2">
        <f t="shared" si="9"/>
        <v>0</v>
      </c>
      <c r="Y81" s="2">
        <v>1</v>
      </c>
      <c r="AF81" s="2">
        <f t="shared" si="10"/>
        <v>1</v>
      </c>
      <c r="AG81" s="2">
        <f t="shared" si="11"/>
        <v>1</v>
      </c>
      <c r="AH81" s="2">
        <f t="shared" si="12"/>
        <v>0</v>
      </c>
      <c r="AI81" s="2">
        <f t="shared" si="13"/>
        <v>0</v>
      </c>
      <c r="AJ81" s="2">
        <f t="shared" si="14"/>
        <v>0</v>
      </c>
      <c r="AK81" s="2">
        <f t="shared" si="15"/>
        <v>0</v>
      </c>
      <c r="AL81" s="2">
        <f t="shared" si="16"/>
        <v>0</v>
      </c>
      <c r="AM81" s="2">
        <f t="shared" si="17"/>
        <v>0</v>
      </c>
      <c r="AP81" s="2">
        <v>1</v>
      </c>
      <c r="AR81" s="2">
        <v>1</v>
      </c>
      <c r="AS81" s="309"/>
      <c r="AW81" s="310"/>
      <c r="BC81" s="218">
        <v>0</v>
      </c>
      <c r="BH81" s="2">
        <v>522340</v>
      </c>
      <c r="BI81" s="2">
        <v>176708</v>
      </c>
      <c r="BJ81" s="2" t="s">
        <v>418</v>
      </c>
      <c r="BL81" s="2" t="s">
        <v>154</v>
      </c>
      <c r="BS81" s="240" t="s">
        <v>148</v>
      </c>
      <c r="BT81" s="2" t="s">
        <v>419</v>
      </c>
    </row>
    <row r="82" spans="1:72" x14ac:dyDescent="0.25">
      <c r="A82" s="2" t="s">
        <v>709</v>
      </c>
      <c r="B82" s="2" t="s">
        <v>404</v>
      </c>
      <c r="D82" s="4">
        <v>44078</v>
      </c>
      <c r="E82" s="4">
        <v>45173</v>
      </c>
      <c r="F82" s="4">
        <v>44078</v>
      </c>
      <c r="G82" s="4">
        <v>44166</v>
      </c>
      <c r="H82" s="2" t="s">
        <v>210</v>
      </c>
      <c r="I82" s="2" t="s">
        <v>254</v>
      </c>
      <c r="K82" s="2" t="s">
        <v>710</v>
      </c>
      <c r="L82" s="2" t="s">
        <v>711</v>
      </c>
      <c r="M82" s="2" t="s">
        <v>712</v>
      </c>
      <c r="W82" s="2">
        <f t="shared" si="9"/>
        <v>0</v>
      </c>
      <c r="X82" s="2" t="s">
        <v>385</v>
      </c>
      <c r="Y82" s="2">
        <v>1</v>
      </c>
      <c r="AF82" s="2">
        <f t="shared" si="10"/>
        <v>1</v>
      </c>
      <c r="AG82" s="2">
        <f t="shared" si="11"/>
        <v>1</v>
      </c>
      <c r="AH82" s="2">
        <f t="shared" si="12"/>
        <v>0</v>
      </c>
      <c r="AI82" s="2">
        <f t="shared" si="13"/>
        <v>0</v>
      </c>
      <c r="AJ82" s="2">
        <f t="shared" si="14"/>
        <v>0</v>
      </c>
      <c r="AK82" s="2">
        <f t="shared" si="15"/>
        <v>0</v>
      </c>
      <c r="AL82" s="2">
        <f t="shared" si="16"/>
        <v>0</v>
      </c>
      <c r="AM82" s="2">
        <f t="shared" si="17"/>
        <v>0</v>
      </c>
      <c r="AP82" s="2">
        <v>1</v>
      </c>
      <c r="AR82" s="2">
        <v>1</v>
      </c>
      <c r="AS82" s="309"/>
      <c r="AW82" s="310"/>
      <c r="BC82" s="218">
        <v>0</v>
      </c>
      <c r="BH82" s="2">
        <v>518424</v>
      </c>
      <c r="BI82" s="2">
        <v>173759</v>
      </c>
      <c r="BJ82" s="2" t="s">
        <v>411</v>
      </c>
      <c r="BL82" s="2" t="s">
        <v>156</v>
      </c>
      <c r="BN82" s="2" t="s">
        <v>139</v>
      </c>
      <c r="BS82" s="240" t="s">
        <v>148</v>
      </c>
      <c r="BT82" s="2" t="s">
        <v>665</v>
      </c>
    </row>
    <row r="83" spans="1:72" x14ac:dyDescent="0.25">
      <c r="A83" s="2" t="s">
        <v>713</v>
      </c>
      <c r="B83" s="2" t="s">
        <v>434</v>
      </c>
      <c r="D83" s="4">
        <v>44098</v>
      </c>
      <c r="E83" s="4">
        <v>45193</v>
      </c>
      <c r="F83" s="3">
        <v>44166</v>
      </c>
      <c r="G83" s="3">
        <v>44218</v>
      </c>
      <c r="H83" s="2" t="s">
        <v>210</v>
      </c>
      <c r="I83" s="2" t="s">
        <v>254</v>
      </c>
      <c r="K83" s="2" t="s">
        <v>714</v>
      </c>
      <c r="L83" s="2" t="s">
        <v>715</v>
      </c>
      <c r="M83" s="2" t="s">
        <v>716</v>
      </c>
      <c r="N83" s="2">
        <v>2</v>
      </c>
      <c r="O83" s="2">
        <v>1</v>
      </c>
      <c r="W83" s="2">
        <f t="shared" si="9"/>
        <v>3</v>
      </c>
      <c r="X83" s="2" t="s">
        <v>385</v>
      </c>
      <c r="AC83" s="2">
        <v>1</v>
      </c>
      <c r="AF83" s="2">
        <f t="shared" si="10"/>
        <v>1</v>
      </c>
      <c r="AG83" s="2">
        <f t="shared" si="11"/>
        <v>-2</v>
      </c>
      <c r="AH83" s="2">
        <f t="shared" si="12"/>
        <v>-1</v>
      </c>
      <c r="AI83" s="2">
        <f t="shared" si="13"/>
        <v>0</v>
      </c>
      <c r="AJ83" s="2">
        <f t="shared" si="14"/>
        <v>0</v>
      </c>
      <c r="AK83" s="2">
        <f t="shared" si="15"/>
        <v>1</v>
      </c>
      <c r="AL83" s="2">
        <f t="shared" si="16"/>
        <v>0</v>
      </c>
      <c r="AM83" s="2">
        <f t="shared" si="17"/>
        <v>0</v>
      </c>
      <c r="AP83" s="2">
        <v>-2</v>
      </c>
      <c r="AR83" s="2">
        <v>-2</v>
      </c>
      <c r="AS83" s="309"/>
      <c r="AW83" s="310"/>
      <c r="BC83" s="218">
        <v>0</v>
      </c>
      <c r="BH83" s="2">
        <v>516602</v>
      </c>
      <c r="BI83" s="2">
        <v>174585</v>
      </c>
      <c r="BJ83" s="2" t="s">
        <v>386</v>
      </c>
      <c r="BL83" s="2" t="s">
        <v>176</v>
      </c>
      <c r="BS83" s="240" t="s">
        <v>148</v>
      </c>
      <c r="BT83" s="2" t="s">
        <v>717</v>
      </c>
    </row>
    <row r="84" spans="1:72" x14ac:dyDescent="0.25">
      <c r="A84" s="2" t="s">
        <v>718</v>
      </c>
      <c r="B84" s="2" t="s">
        <v>404</v>
      </c>
      <c r="D84" s="4">
        <v>44120</v>
      </c>
      <c r="E84" s="4">
        <v>45215</v>
      </c>
      <c r="F84" s="4">
        <v>43525</v>
      </c>
      <c r="G84" s="4">
        <v>44137</v>
      </c>
      <c r="H84" s="2" t="s">
        <v>210</v>
      </c>
      <c r="I84" s="2" t="s">
        <v>254</v>
      </c>
      <c r="K84" s="2" t="s">
        <v>719</v>
      </c>
      <c r="L84" s="2" t="s">
        <v>720</v>
      </c>
      <c r="M84" s="2" t="s">
        <v>721</v>
      </c>
      <c r="W84" s="2">
        <f t="shared" si="9"/>
        <v>0</v>
      </c>
      <c r="X84" s="2" t="s">
        <v>385</v>
      </c>
      <c r="Z84" s="2">
        <v>3</v>
      </c>
      <c r="AF84" s="2">
        <f t="shared" si="10"/>
        <v>3</v>
      </c>
      <c r="AG84" s="2">
        <f t="shared" si="11"/>
        <v>0</v>
      </c>
      <c r="AH84" s="2">
        <f t="shared" si="12"/>
        <v>3</v>
      </c>
      <c r="AI84" s="2">
        <f t="shared" si="13"/>
        <v>0</v>
      </c>
      <c r="AJ84" s="2">
        <f t="shared" si="14"/>
        <v>0</v>
      </c>
      <c r="AK84" s="2">
        <f t="shared" si="15"/>
        <v>0</v>
      </c>
      <c r="AL84" s="2">
        <f t="shared" si="16"/>
        <v>0</v>
      </c>
      <c r="AM84" s="2">
        <f t="shared" si="17"/>
        <v>0</v>
      </c>
      <c r="AP84" s="2">
        <v>3</v>
      </c>
      <c r="AR84" s="2">
        <v>3</v>
      </c>
      <c r="AS84" s="309"/>
      <c r="AW84" s="310"/>
      <c r="BC84" s="218">
        <v>0</v>
      </c>
      <c r="BH84" s="2">
        <v>514273</v>
      </c>
      <c r="BI84" s="2">
        <v>170844</v>
      </c>
      <c r="BJ84" s="2" t="s">
        <v>391</v>
      </c>
      <c r="BL84" s="2" t="s">
        <v>174</v>
      </c>
      <c r="BO84" s="2" t="s">
        <v>141</v>
      </c>
      <c r="BP84" s="2" t="s">
        <v>560</v>
      </c>
      <c r="BS84" s="240" t="s">
        <v>148</v>
      </c>
      <c r="BT84" s="2" t="s">
        <v>561</v>
      </c>
    </row>
    <row r="85" spans="1:72" x14ac:dyDescent="0.25">
      <c r="A85" s="2" t="s">
        <v>722</v>
      </c>
      <c r="B85" s="2" t="s">
        <v>404</v>
      </c>
      <c r="D85" s="4">
        <v>44183</v>
      </c>
      <c r="E85" s="4">
        <v>44183</v>
      </c>
      <c r="F85" s="4">
        <v>44183</v>
      </c>
      <c r="G85" s="4">
        <v>44183</v>
      </c>
      <c r="H85" s="2" t="s">
        <v>210</v>
      </c>
      <c r="I85" s="2" t="s">
        <v>254</v>
      </c>
      <c r="K85" s="2" t="s">
        <v>702</v>
      </c>
      <c r="L85" s="2" t="s">
        <v>723</v>
      </c>
      <c r="M85" s="2" t="s">
        <v>704</v>
      </c>
      <c r="O85" s="2">
        <v>1</v>
      </c>
      <c r="W85" s="2">
        <f t="shared" si="9"/>
        <v>1</v>
      </c>
      <c r="X85" s="2" t="s">
        <v>385</v>
      </c>
      <c r="AA85" s="2">
        <v>1</v>
      </c>
      <c r="AF85" s="2">
        <f t="shared" si="10"/>
        <v>1</v>
      </c>
      <c r="AG85" s="2">
        <f t="shared" si="11"/>
        <v>0</v>
      </c>
      <c r="AH85" s="2">
        <f t="shared" si="12"/>
        <v>-1</v>
      </c>
      <c r="AI85" s="2">
        <f t="shared" si="13"/>
        <v>1</v>
      </c>
      <c r="AJ85" s="2">
        <f t="shared" si="14"/>
        <v>0</v>
      </c>
      <c r="AK85" s="2">
        <f t="shared" si="15"/>
        <v>0</v>
      </c>
      <c r="AL85" s="2">
        <f t="shared" si="16"/>
        <v>0</v>
      </c>
      <c r="AM85" s="2">
        <f t="shared" si="17"/>
        <v>0</v>
      </c>
      <c r="AP85" s="2">
        <v>0</v>
      </c>
      <c r="AR85" s="2">
        <v>0</v>
      </c>
      <c r="AS85" s="309"/>
      <c r="AW85" s="310"/>
      <c r="BC85" s="218">
        <v>0</v>
      </c>
      <c r="BH85" s="2">
        <v>520436</v>
      </c>
      <c r="BI85" s="2">
        <v>175651</v>
      </c>
      <c r="BJ85" s="2" t="s">
        <v>481</v>
      </c>
      <c r="BL85" s="2" t="s">
        <v>137</v>
      </c>
      <c r="BM85" s="2" t="s">
        <v>137</v>
      </c>
    </row>
    <row r="86" spans="1:72" x14ac:dyDescent="0.25">
      <c r="A86" s="2" t="s">
        <v>724</v>
      </c>
      <c r="B86" s="2" t="s">
        <v>404</v>
      </c>
      <c r="D86" s="4">
        <v>44230</v>
      </c>
      <c r="E86" s="4">
        <v>45325</v>
      </c>
      <c r="F86" s="3">
        <v>44230</v>
      </c>
      <c r="G86" s="3">
        <v>44286</v>
      </c>
      <c r="H86" s="2" t="s">
        <v>210</v>
      </c>
      <c r="I86" s="2" t="s">
        <v>254</v>
      </c>
      <c r="K86" s="2" t="s">
        <v>725</v>
      </c>
      <c r="L86" s="2" t="s">
        <v>726</v>
      </c>
      <c r="M86" s="2" t="s">
        <v>727</v>
      </c>
      <c r="W86" s="2">
        <f t="shared" si="9"/>
        <v>0</v>
      </c>
      <c r="X86" s="2" t="s">
        <v>385</v>
      </c>
      <c r="AC86" s="2">
        <v>1</v>
      </c>
      <c r="AF86" s="2">
        <f t="shared" si="10"/>
        <v>1</v>
      </c>
      <c r="AG86" s="2">
        <f t="shared" si="11"/>
        <v>0</v>
      </c>
      <c r="AH86" s="2">
        <f t="shared" si="12"/>
        <v>0</v>
      </c>
      <c r="AI86" s="2">
        <f t="shared" si="13"/>
        <v>0</v>
      </c>
      <c r="AJ86" s="2">
        <f t="shared" si="14"/>
        <v>0</v>
      </c>
      <c r="AK86" s="2">
        <f t="shared" si="15"/>
        <v>1</v>
      </c>
      <c r="AL86" s="2">
        <f t="shared" si="16"/>
        <v>0</v>
      </c>
      <c r="AM86" s="2">
        <f t="shared" si="17"/>
        <v>0</v>
      </c>
      <c r="AP86" s="2">
        <v>1</v>
      </c>
      <c r="AR86" s="2">
        <v>1</v>
      </c>
      <c r="AS86" s="309"/>
      <c r="AW86" s="310"/>
      <c r="BC86" s="218">
        <v>0</v>
      </c>
      <c r="BH86" s="2">
        <v>522171</v>
      </c>
      <c r="BI86" s="2">
        <v>176288</v>
      </c>
      <c r="BJ86" s="2" t="s">
        <v>449</v>
      </c>
      <c r="BL86" s="2" t="s">
        <v>175</v>
      </c>
      <c r="BS86" s="240" t="s">
        <v>148</v>
      </c>
      <c r="BT86" s="2" t="s">
        <v>728</v>
      </c>
    </row>
    <row r="87" spans="1:72" x14ac:dyDescent="0.25">
      <c r="A87" s="2" t="s">
        <v>729</v>
      </c>
      <c r="B87" s="2" t="s">
        <v>434</v>
      </c>
      <c r="D87" s="4">
        <v>44270</v>
      </c>
      <c r="E87" s="4">
        <v>44270</v>
      </c>
      <c r="F87" s="4">
        <v>44270</v>
      </c>
      <c r="G87" s="4">
        <v>44270</v>
      </c>
      <c r="H87" s="2" t="s">
        <v>210</v>
      </c>
      <c r="I87" s="2" t="s">
        <v>254</v>
      </c>
      <c r="K87" s="2" t="s">
        <v>730</v>
      </c>
      <c r="L87" s="2" t="s">
        <v>731</v>
      </c>
      <c r="M87" s="2" t="s">
        <v>732</v>
      </c>
      <c r="W87" s="2">
        <f t="shared" si="9"/>
        <v>0</v>
      </c>
      <c r="X87" s="2" t="s">
        <v>385</v>
      </c>
      <c r="Y87" s="2">
        <v>1</v>
      </c>
      <c r="AF87" s="2">
        <f t="shared" si="10"/>
        <v>1</v>
      </c>
      <c r="AG87" s="2">
        <f t="shared" si="11"/>
        <v>1</v>
      </c>
      <c r="AH87" s="2">
        <f t="shared" si="12"/>
        <v>0</v>
      </c>
      <c r="AI87" s="2">
        <f t="shared" si="13"/>
        <v>0</v>
      </c>
      <c r="AJ87" s="2">
        <f t="shared" si="14"/>
        <v>0</v>
      </c>
      <c r="AK87" s="2">
        <f t="shared" si="15"/>
        <v>0</v>
      </c>
      <c r="AL87" s="2">
        <f t="shared" si="16"/>
        <v>0</v>
      </c>
      <c r="AM87" s="2">
        <f t="shared" si="17"/>
        <v>0</v>
      </c>
      <c r="AP87" s="2">
        <v>1</v>
      </c>
      <c r="AR87" s="2">
        <v>1</v>
      </c>
      <c r="AS87" s="309"/>
      <c r="AW87" s="310"/>
      <c r="BC87" s="218">
        <v>0</v>
      </c>
      <c r="BH87" s="2">
        <v>515672</v>
      </c>
      <c r="BI87" s="2">
        <v>172427</v>
      </c>
      <c r="BJ87" s="2" t="s">
        <v>503</v>
      </c>
      <c r="BL87" s="2" t="s">
        <v>165</v>
      </c>
      <c r="BS87" s="240" t="s">
        <v>148</v>
      </c>
      <c r="BT87" s="2" t="s">
        <v>733</v>
      </c>
    </row>
    <row r="88" spans="1:72" x14ac:dyDescent="0.25">
      <c r="A88" s="2" t="s">
        <v>734</v>
      </c>
      <c r="B88" s="2" t="s">
        <v>434</v>
      </c>
      <c r="D88" s="4">
        <v>44284</v>
      </c>
      <c r="E88" s="4">
        <v>44284</v>
      </c>
      <c r="F88" s="4">
        <v>44284</v>
      </c>
      <c r="G88" s="4">
        <v>44284</v>
      </c>
      <c r="H88" s="2" t="s">
        <v>210</v>
      </c>
      <c r="I88" s="2" t="s">
        <v>254</v>
      </c>
      <c r="K88" s="2" t="s">
        <v>735</v>
      </c>
      <c r="L88" s="2" t="s">
        <v>736</v>
      </c>
      <c r="M88" s="2" t="s">
        <v>737</v>
      </c>
      <c r="P88" s="2">
        <v>3</v>
      </c>
      <c r="W88" s="2">
        <f t="shared" si="9"/>
        <v>3</v>
      </c>
      <c r="X88" s="2" t="s">
        <v>385</v>
      </c>
      <c r="AA88" s="2">
        <v>1</v>
      </c>
      <c r="AB88" s="2">
        <v>1</v>
      </c>
      <c r="AF88" s="2">
        <f t="shared" si="10"/>
        <v>2</v>
      </c>
      <c r="AG88" s="2">
        <f t="shared" si="11"/>
        <v>0</v>
      </c>
      <c r="AH88" s="2">
        <f t="shared" si="12"/>
        <v>0</v>
      </c>
      <c r="AI88" s="2">
        <f t="shared" si="13"/>
        <v>-2</v>
      </c>
      <c r="AJ88" s="2">
        <f t="shared" si="14"/>
        <v>1</v>
      </c>
      <c r="AK88" s="2">
        <f t="shared" si="15"/>
        <v>0</v>
      </c>
      <c r="AL88" s="2">
        <f t="shared" si="16"/>
        <v>0</v>
      </c>
      <c r="AM88" s="2">
        <f t="shared" si="17"/>
        <v>0</v>
      </c>
      <c r="AP88" s="2">
        <v>-1</v>
      </c>
      <c r="AR88" s="2">
        <v>-1</v>
      </c>
      <c r="AS88" s="309"/>
      <c r="AW88" s="310"/>
      <c r="BC88" s="218">
        <v>0</v>
      </c>
      <c r="BH88" s="2">
        <v>520454</v>
      </c>
      <c r="BI88" s="2">
        <v>174898</v>
      </c>
      <c r="BJ88" s="2" t="s">
        <v>481</v>
      </c>
      <c r="BL88" s="2" t="s">
        <v>137</v>
      </c>
      <c r="BS88" s="240" t="s">
        <v>148</v>
      </c>
      <c r="BT88" s="2" t="s">
        <v>738</v>
      </c>
    </row>
    <row r="89" spans="1:72" x14ac:dyDescent="0.25">
      <c r="A89" s="2" t="s">
        <v>739</v>
      </c>
      <c r="B89" s="2" t="s">
        <v>382</v>
      </c>
      <c r="D89" s="4">
        <v>39477</v>
      </c>
      <c r="E89" s="4">
        <v>40573</v>
      </c>
      <c r="F89" s="4">
        <v>40568</v>
      </c>
      <c r="H89" s="2" t="s">
        <v>218</v>
      </c>
      <c r="I89" s="2" t="s">
        <v>254</v>
      </c>
      <c r="K89" s="2" t="s">
        <v>740</v>
      </c>
      <c r="L89" s="2" t="s">
        <v>741</v>
      </c>
      <c r="P89" s="2">
        <v>1</v>
      </c>
      <c r="W89" s="2">
        <f t="shared" si="9"/>
        <v>1</v>
      </c>
      <c r="Y89" s="2">
        <v>1</v>
      </c>
      <c r="AB89" s="2">
        <v>1</v>
      </c>
      <c r="AF89" s="2">
        <f t="shared" si="10"/>
        <v>2</v>
      </c>
      <c r="AG89" s="2">
        <f t="shared" si="11"/>
        <v>1</v>
      </c>
      <c r="AH89" s="2">
        <f t="shared" si="12"/>
        <v>0</v>
      </c>
      <c r="AI89" s="2">
        <f t="shared" si="13"/>
        <v>-1</v>
      </c>
      <c r="AJ89" s="2">
        <f t="shared" si="14"/>
        <v>1</v>
      </c>
      <c r="AK89" s="2">
        <f t="shared" si="15"/>
        <v>0</v>
      </c>
      <c r="AL89" s="2">
        <f t="shared" si="16"/>
        <v>0</v>
      </c>
      <c r="AM89" s="2">
        <f t="shared" si="17"/>
        <v>0</v>
      </c>
      <c r="AP89" s="2">
        <v>1</v>
      </c>
      <c r="AS89" s="309">
        <v>1</v>
      </c>
      <c r="AW89" s="310"/>
      <c r="BC89" s="218">
        <v>1</v>
      </c>
      <c r="BH89" s="2">
        <v>513713</v>
      </c>
      <c r="BI89" s="2">
        <v>169858</v>
      </c>
      <c r="BJ89" s="2" t="s">
        <v>512</v>
      </c>
      <c r="BL89" s="2" t="s">
        <v>157</v>
      </c>
    </row>
    <row r="90" spans="1:72" x14ac:dyDescent="0.25">
      <c r="A90" s="2" t="s">
        <v>742</v>
      </c>
      <c r="B90" s="2" t="s">
        <v>382</v>
      </c>
      <c r="D90" s="4">
        <v>39539</v>
      </c>
      <c r="E90" s="4">
        <v>40634</v>
      </c>
      <c r="F90" s="4">
        <v>41138</v>
      </c>
      <c r="H90" s="2" t="s">
        <v>218</v>
      </c>
      <c r="I90" s="2" t="s">
        <v>254</v>
      </c>
      <c r="K90" s="2" t="s">
        <v>743</v>
      </c>
      <c r="L90" s="2" t="s">
        <v>744</v>
      </c>
      <c r="Q90" s="2">
        <v>1</v>
      </c>
      <c r="W90" s="2">
        <f t="shared" si="9"/>
        <v>1</v>
      </c>
      <c r="Y90" s="2">
        <v>1</v>
      </c>
      <c r="AB90" s="2">
        <v>2</v>
      </c>
      <c r="AF90" s="2">
        <f t="shared" si="10"/>
        <v>3</v>
      </c>
      <c r="AG90" s="2">
        <f t="shared" si="11"/>
        <v>1</v>
      </c>
      <c r="AH90" s="2">
        <f t="shared" si="12"/>
        <v>0</v>
      </c>
      <c r="AI90" s="2">
        <f t="shared" si="13"/>
        <v>0</v>
      </c>
      <c r="AJ90" s="2">
        <f t="shared" si="14"/>
        <v>1</v>
      </c>
      <c r="AK90" s="2">
        <f t="shared" si="15"/>
        <v>0</v>
      </c>
      <c r="AL90" s="2">
        <f t="shared" si="16"/>
        <v>0</v>
      </c>
      <c r="AM90" s="2">
        <f t="shared" si="17"/>
        <v>0</v>
      </c>
      <c r="AP90" s="2">
        <v>2</v>
      </c>
      <c r="AS90" s="309">
        <v>2</v>
      </c>
      <c r="AW90" s="310"/>
      <c r="BC90" s="218">
        <v>2</v>
      </c>
      <c r="BH90" s="2">
        <v>517856</v>
      </c>
      <c r="BI90" s="2">
        <v>172364</v>
      </c>
      <c r="BJ90" s="2" t="s">
        <v>411</v>
      </c>
      <c r="BL90" s="2" t="s">
        <v>156</v>
      </c>
    </row>
    <row r="91" spans="1:72" x14ac:dyDescent="0.25">
      <c r="A91" s="2" t="s">
        <v>745</v>
      </c>
      <c r="B91" s="2" t="s">
        <v>382</v>
      </c>
      <c r="C91" s="2" t="s">
        <v>228</v>
      </c>
      <c r="D91" s="4">
        <v>40609</v>
      </c>
      <c r="E91" s="4">
        <v>41705</v>
      </c>
      <c r="F91" s="4">
        <v>40609</v>
      </c>
      <c r="H91" s="2" t="s">
        <v>218</v>
      </c>
      <c r="I91" s="2" t="s">
        <v>254</v>
      </c>
      <c r="K91" s="2" t="s">
        <v>746</v>
      </c>
      <c r="L91" s="2" t="s">
        <v>747</v>
      </c>
      <c r="W91" s="2">
        <f t="shared" si="9"/>
        <v>0</v>
      </c>
      <c r="X91" s="2" t="s">
        <v>385</v>
      </c>
      <c r="Y91" s="2">
        <v>4</v>
      </c>
      <c r="Z91" s="2">
        <v>7</v>
      </c>
      <c r="AF91" s="2">
        <f t="shared" si="10"/>
        <v>11</v>
      </c>
      <c r="AG91" s="2">
        <f t="shared" si="11"/>
        <v>4</v>
      </c>
      <c r="AH91" s="2">
        <f t="shared" si="12"/>
        <v>7</v>
      </c>
      <c r="AI91" s="2">
        <f t="shared" si="13"/>
        <v>0</v>
      </c>
      <c r="AJ91" s="2">
        <f t="shared" si="14"/>
        <v>0</v>
      </c>
      <c r="AK91" s="2">
        <f t="shared" si="15"/>
        <v>0</v>
      </c>
      <c r="AL91" s="2">
        <f t="shared" si="16"/>
        <v>0</v>
      </c>
      <c r="AM91" s="2">
        <f t="shared" si="17"/>
        <v>0</v>
      </c>
      <c r="AP91" s="2">
        <v>11</v>
      </c>
      <c r="AQ91" s="180" t="s">
        <v>299</v>
      </c>
      <c r="AS91" s="309"/>
      <c r="AT91" s="180">
        <v>5.5</v>
      </c>
      <c r="AU91" s="180">
        <v>5.5</v>
      </c>
      <c r="AW91" s="310"/>
      <c r="BC91" s="218">
        <v>11</v>
      </c>
      <c r="BH91" s="2">
        <v>517650</v>
      </c>
      <c r="BI91" s="2">
        <v>169624</v>
      </c>
      <c r="BJ91" s="2" t="s">
        <v>443</v>
      </c>
      <c r="BL91" s="2" t="s">
        <v>159</v>
      </c>
      <c r="BN91" s="2" t="s">
        <v>139</v>
      </c>
      <c r="BO91" s="2" t="s">
        <v>141</v>
      </c>
      <c r="BP91" s="2" t="s">
        <v>159</v>
      </c>
      <c r="BS91" s="240" t="s">
        <v>148</v>
      </c>
      <c r="BT91" s="2" t="s">
        <v>444</v>
      </c>
    </row>
    <row r="92" spans="1:72" x14ac:dyDescent="0.25">
      <c r="A92" s="2" t="s">
        <v>381</v>
      </c>
      <c r="B92" s="2" t="s">
        <v>382</v>
      </c>
      <c r="D92" s="4">
        <v>40998</v>
      </c>
      <c r="E92" s="4">
        <v>42093</v>
      </c>
      <c r="F92" s="4">
        <v>42077</v>
      </c>
      <c r="H92" s="2" t="s">
        <v>218</v>
      </c>
      <c r="I92" s="2" t="s">
        <v>254</v>
      </c>
      <c r="K92" s="2" t="s">
        <v>383</v>
      </c>
      <c r="L92" s="2" t="s">
        <v>384</v>
      </c>
      <c r="W92" s="2">
        <f t="shared" si="9"/>
        <v>0</v>
      </c>
      <c r="X92" s="2" t="s">
        <v>385</v>
      </c>
      <c r="Y92" s="2">
        <v>18</v>
      </c>
      <c r="Z92" s="2">
        <v>12</v>
      </c>
      <c r="AF92" s="2">
        <f t="shared" si="10"/>
        <v>30</v>
      </c>
      <c r="AG92" s="2">
        <f t="shared" si="11"/>
        <v>18</v>
      </c>
      <c r="AH92" s="2">
        <f t="shared" si="12"/>
        <v>12</v>
      </c>
      <c r="AI92" s="2">
        <f t="shared" si="13"/>
        <v>0</v>
      </c>
      <c r="AJ92" s="2">
        <f t="shared" si="14"/>
        <v>0</v>
      </c>
      <c r="AK92" s="2">
        <f t="shared" si="15"/>
        <v>0</v>
      </c>
      <c r="AL92" s="2">
        <f t="shared" si="16"/>
        <v>0</v>
      </c>
      <c r="AM92" s="2">
        <f t="shared" si="17"/>
        <v>0</v>
      </c>
      <c r="AP92" s="2">
        <v>30</v>
      </c>
      <c r="AQ92" s="180" t="s">
        <v>299</v>
      </c>
      <c r="AS92" s="309">
        <v>30</v>
      </c>
      <c r="AW92" s="310"/>
      <c r="BC92" s="218">
        <v>30</v>
      </c>
      <c r="BH92" s="2">
        <v>516095</v>
      </c>
      <c r="BI92" s="2">
        <v>173690</v>
      </c>
      <c r="BJ92" s="2" t="s">
        <v>386</v>
      </c>
      <c r="BL92" s="2" t="s">
        <v>176</v>
      </c>
      <c r="BM92" s="2" t="s">
        <v>142</v>
      </c>
    </row>
    <row r="93" spans="1:72" x14ac:dyDescent="0.25">
      <c r="A93" s="2" t="s">
        <v>748</v>
      </c>
      <c r="B93" s="2" t="s">
        <v>404</v>
      </c>
      <c r="D93" s="4">
        <v>41520</v>
      </c>
      <c r="E93" s="4">
        <v>42616</v>
      </c>
      <c r="F93" s="4">
        <v>42601</v>
      </c>
      <c r="H93" s="2" t="s">
        <v>218</v>
      </c>
      <c r="I93" s="2" t="s">
        <v>254</v>
      </c>
      <c r="K93" s="2" t="s">
        <v>749</v>
      </c>
      <c r="L93" s="2" t="s">
        <v>750</v>
      </c>
      <c r="Q93" s="2">
        <v>2</v>
      </c>
      <c r="W93" s="2">
        <f t="shared" si="9"/>
        <v>2</v>
      </c>
      <c r="AB93" s="2">
        <v>1</v>
      </c>
      <c r="AF93" s="2">
        <f t="shared" si="10"/>
        <v>1</v>
      </c>
      <c r="AG93" s="2">
        <f t="shared" si="11"/>
        <v>0</v>
      </c>
      <c r="AH93" s="2">
        <f t="shared" si="12"/>
        <v>0</v>
      </c>
      <c r="AI93" s="2">
        <f t="shared" si="13"/>
        <v>0</v>
      </c>
      <c r="AJ93" s="2">
        <f t="shared" si="14"/>
        <v>-1</v>
      </c>
      <c r="AK93" s="2">
        <f t="shared" si="15"/>
        <v>0</v>
      </c>
      <c r="AL93" s="2">
        <f t="shared" si="16"/>
        <v>0</v>
      </c>
      <c r="AM93" s="2">
        <f t="shared" si="17"/>
        <v>0</v>
      </c>
      <c r="AP93" s="2">
        <v>-1</v>
      </c>
      <c r="AS93" s="309">
        <v>-1</v>
      </c>
      <c r="AW93" s="310"/>
      <c r="BC93" s="218">
        <v>-1</v>
      </c>
      <c r="BH93" s="2">
        <v>518397</v>
      </c>
      <c r="BI93" s="2">
        <v>173968</v>
      </c>
      <c r="BJ93" s="2" t="s">
        <v>411</v>
      </c>
      <c r="BL93" s="2" t="s">
        <v>156</v>
      </c>
      <c r="BN93" s="2" t="s">
        <v>139</v>
      </c>
      <c r="BS93" s="240" t="s">
        <v>148</v>
      </c>
      <c r="BT93" s="2" t="s">
        <v>665</v>
      </c>
    </row>
    <row r="94" spans="1:72" x14ac:dyDescent="0.25">
      <c r="A94" s="2" t="s">
        <v>751</v>
      </c>
      <c r="B94" s="2" t="s">
        <v>404</v>
      </c>
      <c r="C94" s="2" t="s">
        <v>228</v>
      </c>
      <c r="D94" s="4">
        <v>41736</v>
      </c>
      <c r="E94" s="4">
        <v>43563</v>
      </c>
      <c r="F94" s="4">
        <v>41883</v>
      </c>
      <c r="H94" s="2" t="s">
        <v>218</v>
      </c>
      <c r="I94" s="2" t="s">
        <v>254</v>
      </c>
      <c r="K94" s="2" t="s">
        <v>752</v>
      </c>
      <c r="L94" s="2" t="s">
        <v>753</v>
      </c>
      <c r="M94" s="2" t="s">
        <v>754</v>
      </c>
      <c r="W94" s="2">
        <f t="shared" si="9"/>
        <v>0</v>
      </c>
      <c r="X94" s="2" t="s">
        <v>385</v>
      </c>
      <c r="Y94" s="2">
        <v>1</v>
      </c>
      <c r="AF94" s="2">
        <f t="shared" si="10"/>
        <v>1</v>
      </c>
      <c r="AG94" s="2">
        <f t="shared" si="11"/>
        <v>1</v>
      </c>
      <c r="AH94" s="2">
        <f t="shared" si="12"/>
        <v>0</v>
      </c>
      <c r="AI94" s="2">
        <f t="shared" si="13"/>
        <v>0</v>
      </c>
      <c r="AJ94" s="2">
        <f t="shared" si="14"/>
        <v>0</v>
      </c>
      <c r="AK94" s="2">
        <f t="shared" si="15"/>
        <v>0</v>
      </c>
      <c r="AL94" s="2">
        <f t="shared" si="16"/>
        <v>0</v>
      </c>
      <c r="AM94" s="2">
        <f t="shared" si="17"/>
        <v>0</v>
      </c>
      <c r="AP94" s="2">
        <v>1</v>
      </c>
      <c r="AS94" s="309">
        <v>1</v>
      </c>
      <c r="AW94" s="310"/>
      <c r="BC94" s="218">
        <v>1</v>
      </c>
      <c r="BH94" s="2">
        <v>513841</v>
      </c>
      <c r="BI94" s="2">
        <v>170798</v>
      </c>
      <c r="BJ94" s="2" t="s">
        <v>533</v>
      </c>
      <c r="BL94" s="2" t="s">
        <v>158</v>
      </c>
    </row>
    <row r="95" spans="1:72" x14ac:dyDescent="0.25">
      <c r="A95" s="2" t="s">
        <v>755</v>
      </c>
      <c r="B95" s="2" t="s">
        <v>434</v>
      </c>
      <c r="D95" s="4">
        <v>41838</v>
      </c>
      <c r="E95" s="4">
        <v>43119</v>
      </c>
      <c r="F95" s="4">
        <v>43009</v>
      </c>
      <c r="H95" s="2" t="s">
        <v>218</v>
      </c>
      <c r="I95" s="2" t="s">
        <v>254</v>
      </c>
      <c r="K95" s="2" t="s">
        <v>756</v>
      </c>
      <c r="L95" s="2" t="s">
        <v>757</v>
      </c>
      <c r="N95" s="2">
        <v>1</v>
      </c>
      <c r="O95" s="2">
        <v>1</v>
      </c>
      <c r="P95" s="2">
        <v>1</v>
      </c>
      <c r="W95" s="2">
        <f t="shared" si="9"/>
        <v>3</v>
      </c>
      <c r="AB95" s="2">
        <v>1</v>
      </c>
      <c r="AF95" s="2">
        <f t="shared" si="10"/>
        <v>1</v>
      </c>
      <c r="AG95" s="2">
        <f t="shared" si="11"/>
        <v>-1</v>
      </c>
      <c r="AH95" s="2">
        <f t="shared" si="12"/>
        <v>-1</v>
      </c>
      <c r="AI95" s="2">
        <f t="shared" si="13"/>
        <v>-1</v>
      </c>
      <c r="AJ95" s="2">
        <f t="shared" si="14"/>
        <v>1</v>
      </c>
      <c r="AK95" s="2">
        <f t="shared" si="15"/>
        <v>0</v>
      </c>
      <c r="AL95" s="2">
        <f t="shared" si="16"/>
        <v>0</v>
      </c>
      <c r="AM95" s="2">
        <f t="shared" si="17"/>
        <v>0</v>
      </c>
      <c r="AP95" s="2">
        <v>-2</v>
      </c>
      <c r="AS95" s="309">
        <v>-2</v>
      </c>
      <c r="AW95" s="310"/>
      <c r="BC95" s="218">
        <v>-2</v>
      </c>
      <c r="BH95" s="2">
        <v>520243</v>
      </c>
      <c r="BI95" s="2">
        <v>175216</v>
      </c>
      <c r="BJ95" s="2" t="s">
        <v>481</v>
      </c>
      <c r="BL95" s="2" t="s">
        <v>137</v>
      </c>
      <c r="BS95" s="240" t="s">
        <v>148</v>
      </c>
      <c r="BT95" s="2" t="s">
        <v>738</v>
      </c>
    </row>
    <row r="96" spans="1:72" x14ac:dyDescent="0.25">
      <c r="A96" s="2" t="s">
        <v>758</v>
      </c>
      <c r="B96" s="2" t="s">
        <v>382</v>
      </c>
      <c r="D96" s="4">
        <v>41913</v>
      </c>
      <c r="E96" s="4">
        <v>43687</v>
      </c>
      <c r="F96" s="4">
        <v>43003</v>
      </c>
      <c r="H96" s="2" t="s">
        <v>218</v>
      </c>
      <c r="I96" s="2" t="s">
        <v>254</v>
      </c>
      <c r="K96" s="2" t="s">
        <v>759</v>
      </c>
      <c r="L96" s="2" t="s">
        <v>760</v>
      </c>
      <c r="M96" s="2" t="s">
        <v>761</v>
      </c>
      <c r="N96" s="2">
        <v>1</v>
      </c>
      <c r="O96" s="2">
        <v>1</v>
      </c>
      <c r="W96" s="2">
        <f t="shared" si="9"/>
        <v>2</v>
      </c>
      <c r="AB96" s="2">
        <v>2</v>
      </c>
      <c r="AF96" s="2">
        <f t="shared" si="10"/>
        <v>2</v>
      </c>
      <c r="AG96" s="2">
        <f t="shared" si="11"/>
        <v>-1</v>
      </c>
      <c r="AH96" s="2">
        <f t="shared" si="12"/>
        <v>-1</v>
      </c>
      <c r="AI96" s="2">
        <f t="shared" si="13"/>
        <v>0</v>
      </c>
      <c r="AJ96" s="2">
        <f t="shared" si="14"/>
        <v>2</v>
      </c>
      <c r="AK96" s="2">
        <f t="shared" si="15"/>
        <v>0</v>
      </c>
      <c r="AL96" s="2">
        <f t="shared" si="16"/>
        <v>0</v>
      </c>
      <c r="AM96" s="2">
        <f t="shared" si="17"/>
        <v>0</v>
      </c>
      <c r="AP96" s="2">
        <v>0</v>
      </c>
      <c r="AS96" s="309">
        <v>0</v>
      </c>
      <c r="AW96" s="310"/>
      <c r="BC96" s="218">
        <v>0</v>
      </c>
      <c r="BH96" s="2">
        <v>517502</v>
      </c>
      <c r="BI96" s="2">
        <v>174565</v>
      </c>
      <c r="BJ96" s="2" t="s">
        <v>456</v>
      </c>
      <c r="BL96" s="2" t="s">
        <v>167</v>
      </c>
      <c r="BN96" s="2" t="s">
        <v>139</v>
      </c>
      <c r="BS96" s="240" t="s">
        <v>148</v>
      </c>
      <c r="BT96" s="2" t="s">
        <v>762</v>
      </c>
    </row>
    <row r="97" spans="1:72" x14ac:dyDescent="0.25">
      <c r="A97" s="2" t="s">
        <v>763</v>
      </c>
      <c r="B97" s="2" t="s">
        <v>434</v>
      </c>
      <c r="D97" s="4">
        <v>42051</v>
      </c>
      <c r="E97" s="4">
        <v>43147</v>
      </c>
      <c r="F97" s="4">
        <v>43182</v>
      </c>
      <c r="H97" s="2" t="s">
        <v>218</v>
      </c>
      <c r="I97" s="2" t="s">
        <v>254</v>
      </c>
      <c r="K97" s="2" t="s">
        <v>764</v>
      </c>
      <c r="L97" s="2" t="s">
        <v>765</v>
      </c>
      <c r="M97" s="2" t="s">
        <v>766</v>
      </c>
      <c r="N97" s="2">
        <v>1</v>
      </c>
      <c r="P97" s="2">
        <v>1</v>
      </c>
      <c r="W97" s="2">
        <f t="shared" si="9"/>
        <v>2</v>
      </c>
      <c r="X97" s="2" t="s">
        <v>385</v>
      </c>
      <c r="AB97" s="2">
        <v>1</v>
      </c>
      <c r="AF97" s="2">
        <f t="shared" si="10"/>
        <v>1</v>
      </c>
      <c r="AG97" s="2">
        <f t="shared" si="11"/>
        <v>-1</v>
      </c>
      <c r="AH97" s="2">
        <f t="shared" si="12"/>
        <v>0</v>
      </c>
      <c r="AI97" s="2">
        <f t="shared" si="13"/>
        <v>-1</v>
      </c>
      <c r="AJ97" s="2">
        <f t="shared" si="14"/>
        <v>1</v>
      </c>
      <c r="AK97" s="2">
        <f t="shared" si="15"/>
        <v>0</v>
      </c>
      <c r="AL97" s="2">
        <f t="shared" si="16"/>
        <v>0</v>
      </c>
      <c r="AM97" s="2">
        <f t="shared" si="17"/>
        <v>0</v>
      </c>
      <c r="AP97" s="2">
        <v>-1</v>
      </c>
      <c r="AS97" s="309">
        <v>-1</v>
      </c>
      <c r="AW97" s="310"/>
      <c r="BC97" s="218">
        <v>-1</v>
      </c>
      <c r="BH97" s="2">
        <v>518090</v>
      </c>
      <c r="BI97" s="2">
        <v>174701</v>
      </c>
      <c r="BJ97" s="2" t="s">
        <v>401</v>
      </c>
      <c r="BL97" s="2" t="s">
        <v>164</v>
      </c>
      <c r="BS97" s="240" t="s">
        <v>148</v>
      </c>
      <c r="BT97" s="2" t="s">
        <v>665</v>
      </c>
    </row>
    <row r="98" spans="1:72" x14ac:dyDescent="0.25">
      <c r="A98" s="2" t="s">
        <v>767</v>
      </c>
      <c r="B98" s="2" t="s">
        <v>404</v>
      </c>
      <c r="D98" s="4">
        <v>42111</v>
      </c>
      <c r="E98" s="4">
        <v>43210</v>
      </c>
      <c r="F98" s="4">
        <v>43194</v>
      </c>
      <c r="H98" s="2" t="s">
        <v>218</v>
      </c>
      <c r="I98" s="2" t="s">
        <v>254</v>
      </c>
      <c r="K98" s="2" t="s">
        <v>768</v>
      </c>
      <c r="L98" s="2" t="s">
        <v>769</v>
      </c>
      <c r="N98" s="2">
        <v>1</v>
      </c>
      <c r="W98" s="2">
        <f t="shared" si="9"/>
        <v>1</v>
      </c>
      <c r="Y98" s="2">
        <v>2</v>
      </c>
      <c r="Z98" s="2">
        <v>4</v>
      </c>
      <c r="AF98" s="2">
        <f t="shared" si="10"/>
        <v>6</v>
      </c>
      <c r="AG98" s="2">
        <f t="shared" si="11"/>
        <v>1</v>
      </c>
      <c r="AH98" s="2">
        <f t="shared" si="12"/>
        <v>4</v>
      </c>
      <c r="AI98" s="2">
        <f t="shared" si="13"/>
        <v>0</v>
      </c>
      <c r="AJ98" s="2">
        <f t="shared" si="14"/>
        <v>0</v>
      </c>
      <c r="AK98" s="2">
        <f t="shared" si="15"/>
        <v>0</v>
      </c>
      <c r="AL98" s="2">
        <f t="shared" si="16"/>
        <v>0</v>
      </c>
      <c r="AM98" s="2">
        <f t="shared" si="17"/>
        <v>0</v>
      </c>
      <c r="AP98" s="2">
        <v>5</v>
      </c>
      <c r="AS98" s="309">
        <v>5</v>
      </c>
      <c r="AW98" s="310"/>
      <c r="BC98" s="218">
        <v>5</v>
      </c>
      <c r="BH98" s="2">
        <v>515537</v>
      </c>
      <c r="BI98" s="2">
        <v>170973</v>
      </c>
      <c r="BJ98" s="2" t="s">
        <v>498</v>
      </c>
      <c r="BL98" s="2" t="s">
        <v>140</v>
      </c>
      <c r="BM98" s="2" t="s">
        <v>140</v>
      </c>
    </row>
    <row r="99" spans="1:72" x14ac:dyDescent="0.25">
      <c r="A99" s="2" t="s">
        <v>770</v>
      </c>
      <c r="B99" s="2" t="s">
        <v>382</v>
      </c>
      <c r="D99" s="4">
        <v>42201</v>
      </c>
      <c r="E99" s="4">
        <v>43297</v>
      </c>
      <c r="F99" s="4">
        <v>43255</v>
      </c>
      <c r="H99" s="2" t="s">
        <v>218</v>
      </c>
      <c r="I99" s="2" t="s">
        <v>254</v>
      </c>
      <c r="K99" s="2" t="s">
        <v>771</v>
      </c>
      <c r="L99" s="2" t="s">
        <v>772</v>
      </c>
      <c r="O99" s="2">
        <v>1</v>
      </c>
      <c r="W99" s="2">
        <f t="shared" si="9"/>
        <v>1</v>
      </c>
      <c r="AB99" s="2">
        <v>2</v>
      </c>
      <c r="AF99" s="2">
        <f t="shared" si="10"/>
        <v>2</v>
      </c>
      <c r="AG99" s="2">
        <f t="shared" si="11"/>
        <v>0</v>
      </c>
      <c r="AH99" s="2">
        <f t="shared" si="12"/>
        <v>-1</v>
      </c>
      <c r="AI99" s="2">
        <f t="shared" si="13"/>
        <v>0</v>
      </c>
      <c r="AJ99" s="2">
        <f t="shared" si="14"/>
        <v>2</v>
      </c>
      <c r="AK99" s="2">
        <f t="shared" si="15"/>
        <v>0</v>
      </c>
      <c r="AL99" s="2">
        <f t="shared" si="16"/>
        <v>0</v>
      </c>
      <c r="AM99" s="2">
        <f t="shared" si="17"/>
        <v>0</v>
      </c>
      <c r="AP99" s="2">
        <v>1</v>
      </c>
      <c r="AS99" s="309">
        <v>1</v>
      </c>
      <c r="AW99" s="310"/>
      <c r="BC99" s="218">
        <v>1</v>
      </c>
      <c r="BH99" s="2">
        <v>512819</v>
      </c>
      <c r="BI99" s="2">
        <v>173657</v>
      </c>
      <c r="BJ99" s="2" t="s">
        <v>397</v>
      </c>
      <c r="BL99" s="2" t="s">
        <v>160</v>
      </c>
    </row>
    <row r="100" spans="1:72" x14ac:dyDescent="0.25">
      <c r="A100" s="2" t="s">
        <v>773</v>
      </c>
      <c r="B100" s="2" t="s">
        <v>404</v>
      </c>
      <c r="C100" s="2" t="s">
        <v>228</v>
      </c>
      <c r="D100" s="4">
        <v>42236</v>
      </c>
      <c r="E100" s="4">
        <v>43066</v>
      </c>
      <c r="F100" s="4">
        <v>42916</v>
      </c>
      <c r="H100" s="2" t="s">
        <v>218</v>
      </c>
      <c r="I100" s="2" t="s">
        <v>254</v>
      </c>
      <c r="K100" s="2" t="s">
        <v>774</v>
      </c>
      <c r="L100" s="2" t="s">
        <v>775</v>
      </c>
      <c r="M100" s="2" t="s">
        <v>776</v>
      </c>
      <c r="W100" s="2">
        <f t="shared" si="9"/>
        <v>0</v>
      </c>
      <c r="X100" s="2" t="s">
        <v>385</v>
      </c>
      <c r="Y100" s="2">
        <v>1</v>
      </c>
      <c r="Z100" s="2">
        <v>5</v>
      </c>
      <c r="AF100" s="2">
        <f t="shared" si="10"/>
        <v>6</v>
      </c>
      <c r="AG100" s="2">
        <f t="shared" si="11"/>
        <v>1</v>
      </c>
      <c r="AH100" s="2">
        <f t="shared" si="12"/>
        <v>5</v>
      </c>
      <c r="AI100" s="2">
        <f t="shared" si="13"/>
        <v>0</v>
      </c>
      <c r="AJ100" s="2">
        <f t="shared" si="14"/>
        <v>0</v>
      </c>
      <c r="AK100" s="2">
        <f t="shared" si="15"/>
        <v>0</v>
      </c>
      <c r="AL100" s="2">
        <f t="shared" si="16"/>
        <v>0</v>
      </c>
      <c r="AM100" s="2">
        <f t="shared" si="17"/>
        <v>0</v>
      </c>
      <c r="AP100" s="2">
        <v>6</v>
      </c>
      <c r="AS100" s="309">
        <v>6</v>
      </c>
      <c r="AW100" s="310"/>
      <c r="BC100" s="218">
        <v>6</v>
      </c>
      <c r="BH100" s="2">
        <v>515206</v>
      </c>
      <c r="BI100" s="2">
        <v>173341</v>
      </c>
      <c r="BJ100" s="2" t="s">
        <v>503</v>
      </c>
      <c r="BL100" s="2" t="s">
        <v>165</v>
      </c>
    </row>
    <row r="101" spans="1:72" x14ac:dyDescent="0.25">
      <c r="A101" s="2" t="s">
        <v>777</v>
      </c>
      <c r="B101" s="2" t="s">
        <v>539</v>
      </c>
      <c r="D101" s="4">
        <v>42479</v>
      </c>
      <c r="E101" s="4">
        <v>43574</v>
      </c>
      <c r="F101" s="4">
        <v>42552</v>
      </c>
      <c r="H101" s="2" t="s">
        <v>218</v>
      </c>
      <c r="I101" s="2" t="s">
        <v>254</v>
      </c>
      <c r="K101" s="2" t="s">
        <v>778</v>
      </c>
      <c r="L101" s="2" t="s">
        <v>779</v>
      </c>
      <c r="Q101" s="2">
        <v>1</v>
      </c>
      <c r="W101" s="2">
        <f t="shared" si="9"/>
        <v>1</v>
      </c>
      <c r="AB101" s="2">
        <v>2</v>
      </c>
      <c r="AF101" s="2">
        <f t="shared" si="10"/>
        <v>2</v>
      </c>
      <c r="AG101" s="2">
        <f t="shared" si="11"/>
        <v>0</v>
      </c>
      <c r="AH101" s="2">
        <f t="shared" si="12"/>
        <v>0</v>
      </c>
      <c r="AI101" s="2">
        <f t="shared" si="13"/>
        <v>0</v>
      </c>
      <c r="AJ101" s="2">
        <f t="shared" si="14"/>
        <v>1</v>
      </c>
      <c r="AK101" s="2">
        <f t="shared" si="15"/>
        <v>0</v>
      </c>
      <c r="AL101" s="2">
        <f t="shared" si="16"/>
        <v>0</v>
      </c>
      <c r="AM101" s="2">
        <f t="shared" si="17"/>
        <v>0</v>
      </c>
      <c r="AP101" s="2">
        <v>1</v>
      </c>
      <c r="AS101" s="309">
        <v>1</v>
      </c>
      <c r="AW101" s="310"/>
      <c r="BC101" s="218">
        <v>1</v>
      </c>
      <c r="BH101" s="2">
        <v>520343</v>
      </c>
      <c r="BI101" s="2">
        <v>175141</v>
      </c>
      <c r="BJ101" s="2" t="s">
        <v>481</v>
      </c>
      <c r="BL101" s="2" t="s">
        <v>137</v>
      </c>
    </row>
    <row r="102" spans="1:72" x14ac:dyDescent="0.25">
      <c r="A102" s="2" t="s">
        <v>780</v>
      </c>
      <c r="B102" s="2" t="s">
        <v>382</v>
      </c>
      <c r="D102" s="4">
        <v>42565</v>
      </c>
      <c r="E102" s="4">
        <v>43660</v>
      </c>
      <c r="F102" s="4">
        <v>43617</v>
      </c>
      <c r="H102" s="2" t="s">
        <v>218</v>
      </c>
      <c r="I102" s="2" t="s">
        <v>254</v>
      </c>
      <c r="K102" s="2" t="s">
        <v>781</v>
      </c>
      <c r="L102" s="2" t="s">
        <v>782</v>
      </c>
      <c r="O102" s="2">
        <v>1</v>
      </c>
      <c r="W102" s="2">
        <f t="shared" si="9"/>
        <v>1</v>
      </c>
      <c r="AA102" s="2">
        <v>1</v>
      </c>
      <c r="AF102" s="2">
        <f t="shared" si="10"/>
        <v>1</v>
      </c>
      <c r="AG102" s="2">
        <f t="shared" si="11"/>
        <v>0</v>
      </c>
      <c r="AH102" s="2">
        <f t="shared" si="12"/>
        <v>-1</v>
      </c>
      <c r="AI102" s="2">
        <f t="shared" si="13"/>
        <v>1</v>
      </c>
      <c r="AJ102" s="2">
        <f t="shared" si="14"/>
        <v>0</v>
      </c>
      <c r="AK102" s="2">
        <f t="shared" si="15"/>
        <v>0</v>
      </c>
      <c r="AL102" s="2">
        <f t="shared" si="16"/>
        <v>0</v>
      </c>
      <c r="AM102" s="2">
        <f t="shared" si="17"/>
        <v>0</v>
      </c>
      <c r="AP102" s="2">
        <v>0</v>
      </c>
      <c r="AS102" s="309">
        <v>0</v>
      </c>
      <c r="AW102" s="310"/>
      <c r="BC102" s="218">
        <v>0</v>
      </c>
      <c r="BH102" s="2">
        <v>516355</v>
      </c>
      <c r="BI102" s="2">
        <v>173076</v>
      </c>
      <c r="BJ102" s="2" t="s">
        <v>456</v>
      </c>
      <c r="BL102" s="2" t="s">
        <v>167</v>
      </c>
      <c r="BN102" s="2" t="s">
        <v>139</v>
      </c>
      <c r="BS102" s="240" t="s">
        <v>148</v>
      </c>
      <c r="BT102" s="2" t="s">
        <v>783</v>
      </c>
    </row>
    <row r="103" spans="1:72" x14ac:dyDescent="0.25">
      <c r="A103" s="2" t="s">
        <v>784</v>
      </c>
      <c r="B103" s="2" t="s">
        <v>404</v>
      </c>
      <c r="D103" s="4">
        <v>42565</v>
      </c>
      <c r="E103" s="4">
        <v>43660</v>
      </c>
      <c r="F103" s="4">
        <v>43656</v>
      </c>
      <c r="H103" s="2" t="s">
        <v>218</v>
      </c>
      <c r="I103" s="2" t="s">
        <v>254</v>
      </c>
      <c r="K103" s="2" t="s">
        <v>785</v>
      </c>
      <c r="L103" s="2" t="s">
        <v>786</v>
      </c>
      <c r="W103" s="2">
        <f t="shared" si="9"/>
        <v>0</v>
      </c>
      <c r="Y103" s="2">
        <v>9</v>
      </c>
      <c r="AF103" s="2">
        <f t="shared" si="10"/>
        <v>9</v>
      </c>
      <c r="AG103" s="2">
        <f t="shared" si="11"/>
        <v>9</v>
      </c>
      <c r="AH103" s="2">
        <f t="shared" si="12"/>
        <v>0</v>
      </c>
      <c r="AI103" s="2">
        <f t="shared" si="13"/>
        <v>0</v>
      </c>
      <c r="AJ103" s="2">
        <f t="shared" si="14"/>
        <v>0</v>
      </c>
      <c r="AK103" s="2">
        <f t="shared" si="15"/>
        <v>0</v>
      </c>
      <c r="AL103" s="2">
        <f t="shared" si="16"/>
        <v>0</v>
      </c>
      <c r="AM103" s="2">
        <f t="shared" si="17"/>
        <v>0</v>
      </c>
      <c r="AP103" s="2">
        <v>9</v>
      </c>
      <c r="AS103" s="309"/>
      <c r="AT103" s="180">
        <v>4.5</v>
      </c>
      <c r="AU103" s="180">
        <v>4.5</v>
      </c>
      <c r="AW103" s="310"/>
      <c r="BC103" s="218">
        <v>9</v>
      </c>
      <c r="BH103" s="2">
        <v>517924</v>
      </c>
      <c r="BI103" s="2">
        <v>174891</v>
      </c>
      <c r="BJ103" s="2" t="s">
        <v>401</v>
      </c>
      <c r="BL103" s="2" t="s">
        <v>164</v>
      </c>
      <c r="BM103" s="2" t="s">
        <v>138</v>
      </c>
      <c r="BS103" s="240" t="s">
        <v>148</v>
      </c>
      <c r="BT103" s="2" t="s">
        <v>402</v>
      </c>
    </row>
    <row r="104" spans="1:72" x14ac:dyDescent="0.25">
      <c r="A104" s="2" t="s">
        <v>787</v>
      </c>
      <c r="B104" s="2" t="s">
        <v>434</v>
      </c>
      <c r="D104" s="4">
        <v>42599</v>
      </c>
      <c r="E104" s="4">
        <v>43694</v>
      </c>
      <c r="F104" s="4">
        <v>43479</v>
      </c>
      <c r="H104" s="2" t="s">
        <v>218</v>
      </c>
      <c r="I104" s="2" t="s">
        <v>254</v>
      </c>
      <c r="K104" s="2" t="s">
        <v>788</v>
      </c>
      <c r="L104" s="2" t="s">
        <v>789</v>
      </c>
      <c r="N104" s="2">
        <v>2</v>
      </c>
      <c r="O104" s="2">
        <v>2</v>
      </c>
      <c r="P104" s="2">
        <v>1</v>
      </c>
      <c r="W104" s="2">
        <f t="shared" si="9"/>
        <v>5</v>
      </c>
      <c r="Y104" s="2">
        <v>1</v>
      </c>
      <c r="AB104" s="2">
        <v>1</v>
      </c>
      <c r="AF104" s="2">
        <f t="shared" si="10"/>
        <v>2</v>
      </c>
      <c r="AG104" s="2">
        <f t="shared" si="11"/>
        <v>-1</v>
      </c>
      <c r="AH104" s="2">
        <f t="shared" si="12"/>
        <v>-2</v>
      </c>
      <c r="AI104" s="2">
        <f t="shared" si="13"/>
        <v>-1</v>
      </c>
      <c r="AJ104" s="2">
        <f t="shared" si="14"/>
        <v>1</v>
      </c>
      <c r="AK104" s="2">
        <f t="shared" si="15"/>
        <v>0</v>
      </c>
      <c r="AL104" s="2">
        <f t="shared" si="16"/>
        <v>0</v>
      </c>
      <c r="AM104" s="2">
        <f t="shared" si="17"/>
        <v>0</v>
      </c>
      <c r="AP104" s="2">
        <v>-3</v>
      </c>
      <c r="AS104" s="309">
        <v>-3</v>
      </c>
      <c r="AW104" s="310"/>
      <c r="BC104" s="218">
        <v>-3</v>
      </c>
      <c r="BH104" s="2">
        <v>518294</v>
      </c>
      <c r="BI104" s="2">
        <v>174078</v>
      </c>
      <c r="BJ104" s="2" t="s">
        <v>411</v>
      </c>
      <c r="BL104" s="2" t="s">
        <v>156</v>
      </c>
      <c r="BN104" s="2" t="s">
        <v>139</v>
      </c>
      <c r="BS104" s="240" t="s">
        <v>148</v>
      </c>
      <c r="BT104" s="2" t="s">
        <v>665</v>
      </c>
    </row>
    <row r="105" spans="1:72" x14ac:dyDescent="0.25">
      <c r="A105" s="2" t="s">
        <v>790</v>
      </c>
      <c r="B105" s="2" t="s">
        <v>404</v>
      </c>
      <c r="D105" s="4">
        <v>42650</v>
      </c>
      <c r="E105" s="4">
        <v>43745</v>
      </c>
      <c r="F105" s="4">
        <v>43160</v>
      </c>
      <c r="H105" s="2" t="s">
        <v>218</v>
      </c>
      <c r="I105" s="2" t="s">
        <v>254</v>
      </c>
      <c r="K105" s="2" t="s">
        <v>791</v>
      </c>
      <c r="L105" s="2" t="s">
        <v>792</v>
      </c>
      <c r="M105" s="2" t="s">
        <v>390</v>
      </c>
      <c r="W105" s="2">
        <f t="shared" si="9"/>
        <v>0</v>
      </c>
      <c r="Z105" s="2">
        <v>6</v>
      </c>
      <c r="AF105" s="2">
        <f t="shared" si="10"/>
        <v>6</v>
      </c>
      <c r="AG105" s="2">
        <f t="shared" si="11"/>
        <v>0</v>
      </c>
      <c r="AH105" s="2">
        <f t="shared" si="12"/>
        <v>6</v>
      </c>
      <c r="AI105" s="2">
        <f t="shared" si="13"/>
        <v>0</v>
      </c>
      <c r="AJ105" s="2">
        <f t="shared" si="14"/>
        <v>0</v>
      </c>
      <c r="AK105" s="2">
        <f t="shared" si="15"/>
        <v>0</v>
      </c>
      <c r="AL105" s="2">
        <f t="shared" si="16"/>
        <v>0</v>
      </c>
      <c r="AM105" s="2">
        <f t="shared" si="17"/>
        <v>0</v>
      </c>
      <c r="AP105" s="2">
        <v>6</v>
      </c>
      <c r="AS105" s="309"/>
      <c r="AT105" s="180">
        <v>6</v>
      </c>
      <c r="AW105" s="310"/>
      <c r="BC105" s="218">
        <v>6</v>
      </c>
      <c r="BH105" s="2">
        <v>516013</v>
      </c>
      <c r="BI105" s="2">
        <v>171023</v>
      </c>
      <c r="BJ105" s="2" t="s">
        <v>498</v>
      </c>
      <c r="BL105" s="2" t="s">
        <v>140</v>
      </c>
      <c r="BS105" s="240" t="s">
        <v>148</v>
      </c>
      <c r="BT105" s="2" t="s">
        <v>573</v>
      </c>
    </row>
    <row r="106" spans="1:72" x14ac:dyDescent="0.25">
      <c r="A106" s="2" t="s">
        <v>793</v>
      </c>
      <c r="B106" s="2" t="s">
        <v>382</v>
      </c>
      <c r="D106" s="4">
        <v>42677</v>
      </c>
      <c r="E106" s="4">
        <v>43772</v>
      </c>
      <c r="F106" s="4">
        <v>42807</v>
      </c>
      <c r="H106" s="2" t="s">
        <v>218</v>
      </c>
      <c r="I106" s="2" t="s">
        <v>254</v>
      </c>
      <c r="K106" s="2" t="s">
        <v>794</v>
      </c>
      <c r="L106" s="2" t="s">
        <v>795</v>
      </c>
      <c r="W106" s="2">
        <f t="shared" si="9"/>
        <v>0</v>
      </c>
      <c r="X106" s="2" t="s">
        <v>299</v>
      </c>
      <c r="Y106" s="5">
        <v>38</v>
      </c>
      <c r="Z106" s="5">
        <v>68</v>
      </c>
      <c r="AA106" s="5">
        <v>32</v>
      </c>
      <c r="AB106" s="5">
        <v>15</v>
      </c>
      <c r="AF106" s="2">
        <f t="shared" si="10"/>
        <v>153</v>
      </c>
      <c r="AG106" s="2">
        <f t="shared" si="11"/>
        <v>38</v>
      </c>
      <c r="AH106" s="2">
        <f t="shared" si="12"/>
        <v>68</v>
      </c>
      <c r="AI106" s="2">
        <f t="shared" si="13"/>
        <v>32</v>
      </c>
      <c r="AJ106" s="2">
        <f t="shared" si="14"/>
        <v>15</v>
      </c>
      <c r="AK106" s="2">
        <f t="shared" si="15"/>
        <v>0</v>
      </c>
      <c r="AL106" s="2">
        <f t="shared" si="16"/>
        <v>0</v>
      </c>
      <c r="AM106" s="2">
        <f t="shared" si="17"/>
        <v>0</v>
      </c>
      <c r="AP106" s="2">
        <v>153</v>
      </c>
      <c r="AQ106" s="180" t="s">
        <v>299</v>
      </c>
      <c r="AS106" s="309"/>
      <c r="AU106" s="245">
        <v>51</v>
      </c>
      <c r="AV106" s="245">
        <v>51</v>
      </c>
      <c r="AW106" s="311">
        <v>51</v>
      </c>
      <c r="BC106" s="218">
        <v>153</v>
      </c>
      <c r="BH106" s="2">
        <v>515304</v>
      </c>
      <c r="BI106" s="2">
        <v>173889</v>
      </c>
      <c r="BJ106" s="2" t="s">
        <v>386</v>
      </c>
      <c r="BL106" s="2" t="s">
        <v>176</v>
      </c>
    </row>
    <row r="107" spans="1:72" x14ac:dyDescent="0.25">
      <c r="A107" s="2" t="s">
        <v>793</v>
      </c>
      <c r="B107" s="2" t="s">
        <v>382</v>
      </c>
      <c r="D107" s="4">
        <v>42677</v>
      </c>
      <c r="E107" s="4">
        <v>43772</v>
      </c>
      <c r="F107" s="4">
        <v>42807</v>
      </c>
      <c r="H107" s="2" t="s">
        <v>218</v>
      </c>
      <c r="I107" s="2" t="s">
        <v>250</v>
      </c>
      <c r="K107" s="2" t="s">
        <v>794</v>
      </c>
      <c r="L107" s="2" t="s">
        <v>795</v>
      </c>
      <c r="W107" s="2">
        <f t="shared" si="9"/>
        <v>0</v>
      </c>
      <c r="X107" s="2" t="s">
        <v>299</v>
      </c>
      <c r="Y107" s="5">
        <v>3</v>
      </c>
      <c r="Z107" s="5">
        <v>11</v>
      </c>
      <c r="AA107" s="5">
        <v>5</v>
      </c>
      <c r="AB107" s="5">
        <v>3</v>
      </c>
      <c r="AF107" s="2">
        <f t="shared" si="10"/>
        <v>22</v>
      </c>
      <c r="AG107" s="2">
        <f t="shared" si="11"/>
        <v>3</v>
      </c>
      <c r="AH107" s="2">
        <f t="shared" si="12"/>
        <v>11</v>
      </c>
      <c r="AI107" s="2">
        <f t="shared" si="13"/>
        <v>5</v>
      </c>
      <c r="AJ107" s="2">
        <f t="shared" si="14"/>
        <v>3</v>
      </c>
      <c r="AK107" s="2">
        <f t="shared" si="15"/>
        <v>0</v>
      </c>
      <c r="AL107" s="2">
        <f t="shared" si="16"/>
        <v>0</v>
      </c>
      <c r="AM107" s="2">
        <f t="shared" si="17"/>
        <v>0</v>
      </c>
      <c r="AP107" s="2">
        <v>22</v>
      </c>
      <c r="AQ107" s="180" t="s">
        <v>299</v>
      </c>
      <c r="AS107" s="309"/>
      <c r="AU107" s="245">
        <v>7.333333333333333</v>
      </c>
      <c r="AV107" s="245">
        <v>7.333333333333333</v>
      </c>
      <c r="AW107" s="311">
        <v>7.333333333333333</v>
      </c>
      <c r="BC107" s="218">
        <v>22</v>
      </c>
      <c r="BH107" s="2">
        <v>515304</v>
      </c>
      <c r="BI107" s="2">
        <v>173889</v>
      </c>
      <c r="BJ107" s="2" t="s">
        <v>386</v>
      </c>
      <c r="BL107" s="2" t="s">
        <v>176</v>
      </c>
    </row>
    <row r="108" spans="1:72" x14ac:dyDescent="0.25">
      <c r="A108" s="2" t="s">
        <v>793</v>
      </c>
      <c r="B108" s="2" t="s">
        <v>382</v>
      </c>
      <c r="D108" s="4">
        <v>42677</v>
      </c>
      <c r="E108" s="4">
        <v>43772</v>
      </c>
      <c r="F108" s="4">
        <v>42807</v>
      </c>
      <c r="H108" s="2" t="s">
        <v>218</v>
      </c>
      <c r="I108" s="4" t="s">
        <v>187</v>
      </c>
      <c r="K108" s="2" t="s">
        <v>794</v>
      </c>
      <c r="L108" s="2" t="s">
        <v>795</v>
      </c>
      <c r="W108" s="2">
        <f t="shared" si="9"/>
        <v>0</v>
      </c>
      <c r="X108" s="2" t="s">
        <v>299</v>
      </c>
      <c r="Y108" s="5">
        <v>4</v>
      </c>
      <c r="Z108" s="5">
        <v>1</v>
      </c>
      <c r="AA108" s="5"/>
      <c r="AB108" s="5"/>
      <c r="AF108" s="2">
        <f t="shared" si="10"/>
        <v>5</v>
      </c>
      <c r="AG108" s="2">
        <f t="shared" si="11"/>
        <v>4</v>
      </c>
      <c r="AH108" s="2">
        <f t="shared" si="12"/>
        <v>1</v>
      </c>
      <c r="AI108" s="2">
        <f t="shared" si="13"/>
        <v>0</v>
      </c>
      <c r="AJ108" s="2">
        <f t="shared" si="14"/>
        <v>0</v>
      </c>
      <c r="AK108" s="2">
        <f t="shared" si="15"/>
        <v>0</v>
      </c>
      <c r="AL108" s="2">
        <f t="shared" si="16"/>
        <v>0</v>
      </c>
      <c r="AM108" s="2">
        <f t="shared" si="17"/>
        <v>0</v>
      </c>
      <c r="AP108" s="2">
        <v>5</v>
      </c>
      <c r="AQ108" s="180" t="s">
        <v>299</v>
      </c>
      <c r="AS108" s="309"/>
      <c r="AU108" s="245">
        <v>1.6666666666666667</v>
      </c>
      <c r="AV108" s="245">
        <v>1.6666666666666667</v>
      </c>
      <c r="AW108" s="311">
        <v>1.6666666666666667</v>
      </c>
      <c r="BC108" s="218">
        <v>5</v>
      </c>
      <c r="BH108" s="2">
        <v>515304</v>
      </c>
      <c r="BI108" s="2">
        <v>173889</v>
      </c>
      <c r="BJ108" s="2" t="s">
        <v>386</v>
      </c>
      <c r="BL108" s="2" t="s">
        <v>176</v>
      </c>
    </row>
    <row r="109" spans="1:72" x14ac:dyDescent="0.25">
      <c r="A109" s="2" t="s">
        <v>796</v>
      </c>
      <c r="B109" s="2" t="s">
        <v>382</v>
      </c>
      <c r="D109" s="4">
        <v>42789</v>
      </c>
      <c r="E109" s="4">
        <v>43884</v>
      </c>
      <c r="F109" s="4">
        <v>43880</v>
      </c>
      <c r="H109" s="2" t="s">
        <v>218</v>
      </c>
      <c r="I109" s="2" t="s">
        <v>254</v>
      </c>
      <c r="K109" s="2" t="s">
        <v>797</v>
      </c>
      <c r="L109" s="2" t="s">
        <v>798</v>
      </c>
      <c r="W109" s="2">
        <f t="shared" si="9"/>
        <v>0</v>
      </c>
      <c r="Y109" s="2">
        <v>4</v>
      </c>
      <c r="Z109" s="2">
        <v>2</v>
      </c>
      <c r="AF109" s="2">
        <f t="shared" si="10"/>
        <v>6</v>
      </c>
      <c r="AG109" s="2">
        <f t="shared" si="11"/>
        <v>4</v>
      </c>
      <c r="AH109" s="2">
        <f t="shared" si="12"/>
        <v>2</v>
      </c>
      <c r="AI109" s="2">
        <f t="shared" si="13"/>
        <v>0</v>
      </c>
      <c r="AJ109" s="2">
        <f t="shared" si="14"/>
        <v>0</v>
      </c>
      <c r="AK109" s="2">
        <f t="shared" si="15"/>
        <v>0</v>
      </c>
      <c r="AL109" s="2">
        <f t="shared" si="16"/>
        <v>0</v>
      </c>
      <c r="AM109" s="2">
        <f t="shared" si="17"/>
        <v>0</v>
      </c>
      <c r="AP109" s="2">
        <v>6</v>
      </c>
      <c r="AS109" s="309"/>
      <c r="AT109" s="180">
        <v>6</v>
      </c>
      <c r="AW109" s="310"/>
      <c r="BC109" s="218">
        <v>6</v>
      </c>
      <c r="BH109" s="2">
        <v>519126</v>
      </c>
      <c r="BI109" s="2">
        <v>176420</v>
      </c>
      <c r="BJ109" s="2" t="s">
        <v>428</v>
      </c>
      <c r="BL109" s="2" t="s">
        <v>161</v>
      </c>
      <c r="BO109" s="2" t="s">
        <v>141</v>
      </c>
      <c r="BP109" s="2" t="s">
        <v>799</v>
      </c>
      <c r="BS109" s="240" t="s">
        <v>148</v>
      </c>
      <c r="BT109" s="2" t="s">
        <v>468</v>
      </c>
    </row>
    <row r="110" spans="1:72" x14ac:dyDescent="0.25">
      <c r="A110" s="2" t="s">
        <v>800</v>
      </c>
      <c r="B110" s="2" t="s">
        <v>382</v>
      </c>
      <c r="D110" s="4">
        <v>42801</v>
      </c>
      <c r="E110" s="4">
        <v>43897</v>
      </c>
      <c r="F110" s="4">
        <v>43891</v>
      </c>
      <c r="H110" s="2" t="s">
        <v>218</v>
      </c>
      <c r="I110" s="2" t="s">
        <v>254</v>
      </c>
      <c r="K110" s="2" t="s">
        <v>801</v>
      </c>
      <c r="L110" s="2" t="s">
        <v>802</v>
      </c>
      <c r="W110" s="2">
        <f t="shared" si="9"/>
        <v>0</v>
      </c>
      <c r="X110" s="2" t="s">
        <v>385</v>
      </c>
      <c r="AA110" s="2">
        <v>1</v>
      </c>
      <c r="AF110" s="2">
        <f t="shared" si="10"/>
        <v>1</v>
      </c>
      <c r="AG110" s="2">
        <f t="shared" si="11"/>
        <v>0</v>
      </c>
      <c r="AH110" s="2">
        <f t="shared" si="12"/>
        <v>0</v>
      </c>
      <c r="AI110" s="2">
        <f t="shared" si="13"/>
        <v>1</v>
      </c>
      <c r="AJ110" s="2">
        <f t="shared" si="14"/>
        <v>0</v>
      </c>
      <c r="AK110" s="2">
        <f t="shared" si="15"/>
        <v>0</v>
      </c>
      <c r="AL110" s="2">
        <f t="shared" si="16"/>
        <v>0</v>
      </c>
      <c r="AM110" s="2">
        <f t="shared" si="17"/>
        <v>0</v>
      </c>
      <c r="AP110" s="2">
        <v>1</v>
      </c>
      <c r="AS110" s="309">
        <v>0</v>
      </c>
      <c r="AT110" s="180">
        <v>1</v>
      </c>
      <c r="AW110" s="310"/>
      <c r="BC110" s="218">
        <v>1</v>
      </c>
      <c r="BH110" s="2">
        <v>513432</v>
      </c>
      <c r="BI110" s="2">
        <v>173849</v>
      </c>
      <c r="BJ110" s="2" t="s">
        <v>622</v>
      </c>
      <c r="BL110" s="2" t="s">
        <v>144</v>
      </c>
    </row>
    <row r="111" spans="1:72" x14ac:dyDescent="0.25">
      <c r="A111" s="2" t="s">
        <v>803</v>
      </c>
      <c r="B111" s="2" t="s">
        <v>382</v>
      </c>
      <c r="D111" s="4">
        <v>42821</v>
      </c>
      <c r="E111" s="4">
        <v>43917</v>
      </c>
      <c r="F111" s="4">
        <v>42979</v>
      </c>
      <c r="H111" s="2" t="s">
        <v>218</v>
      </c>
      <c r="I111" s="2" t="s">
        <v>254</v>
      </c>
      <c r="K111" s="2" t="s">
        <v>804</v>
      </c>
      <c r="L111" s="2" t="s">
        <v>805</v>
      </c>
      <c r="M111" s="2" t="s">
        <v>806</v>
      </c>
      <c r="P111" s="2">
        <v>1</v>
      </c>
      <c r="W111" s="2">
        <f t="shared" si="9"/>
        <v>1</v>
      </c>
      <c r="AB111" s="2">
        <v>1</v>
      </c>
      <c r="AF111" s="2">
        <f t="shared" si="10"/>
        <v>1</v>
      </c>
      <c r="AG111" s="2">
        <f t="shared" si="11"/>
        <v>0</v>
      </c>
      <c r="AH111" s="2">
        <f t="shared" si="12"/>
        <v>0</v>
      </c>
      <c r="AI111" s="2">
        <f t="shared" si="13"/>
        <v>-1</v>
      </c>
      <c r="AJ111" s="2">
        <f t="shared" si="14"/>
        <v>1</v>
      </c>
      <c r="AK111" s="2">
        <f t="shared" si="15"/>
        <v>0</v>
      </c>
      <c r="AL111" s="2">
        <f t="shared" si="16"/>
        <v>0</v>
      </c>
      <c r="AM111" s="2">
        <f t="shared" si="17"/>
        <v>0</v>
      </c>
      <c r="AP111" s="2">
        <v>0</v>
      </c>
      <c r="AS111" s="309">
        <v>0</v>
      </c>
      <c r="AW111" s="310"/>
      <c r="BC111" s="218">
        <v>0</v>
      </c>
      <c r="BH111" s="2">
        <v>514468</v>
      </c>
      <c r="BI111" s="2">
        <v>172144</v>
      </c>
      <c r="BJ111" s="2" t="s">
        <v>463</v>
      </c>
      <c r="BL111" s="2" t="s">
        <v>168</v>
      </c>
    </row>
    <row r="112" spans="1:72" x14ac:dyDescent="0.25">
      <c r="A112" s="2" t="s">
        <v>807</v>
      </c>
      <c r="B112" s="2" t="s">
        <v>382</v>
      </c>
      <c r="D112" s="4">
        <v>42885</v>
      </c>
      <c r="E112" s="4">
        <v>43981</v>
      </c>
      <c r="F112" s="4">
        <v>43556</v>
      </c>
      <c r="H112" s="2" t="s">
        <v>218</v>
      </c>
      <c r="I112" s="2" t="s">
        <v>254</v>
      </c>
      <c r="K112" s="2" t="s">
        <v>808</v>
      </c>
      <c r="L112" s="2" t="s">
        <v>809</v>
      </c>
      <c r="M112" s="2" t="s">
        <v>810</v>
      </c>
      <c r="N112" s="2">
        <v>1</v>
      </c>
      <c r="W112" s="2">
        <f t="shared" si="9"/>
        <v>1</v>
      </c>
      <c r="X112" s="2" t="s">
        <v>385</v>
      </c>
      <c r="AA112" s="2">
        <v>1</v>
      </c>
      <c r="AF112" s="2">
        <f t="shared" si="10"/>
        <v>1</v>
      </c>
      <c r="AG112" s="2">
        <f t="shared" si="11"/>
        <v>-1</v>
      </c>
      <c r="AH112" s="2">
        <f t="shared" si="12"/>
        <v>0</v>
      </c>
      <c r="AI112" s="2">
        <f t="shared" si="13"/>
        <v>1</v>
      </c>
      <c r="AJ112" s="2">
        <f t="shared" si="14"/>
        <v>0</v>
      </c>
      <c r="AK112" s="2">
        <f t="shared" si="15"/>
        <v>0</v>
      </c>
      <c r="AL112" s="2">
        <f t="shared" si="16"/>
        <v>0</v>
      </c>
      <c r="AM112" s="2">
        <f t="shared" si="17"/>
        <v>0</v>
      </c>
      <c r="AP112" s="2">
        <v>0</v>
      </c>
      <c r="AS112" s="309">
        <v>0</v>
      </c>
      <c r="AW112" s="310"/>
      <c r="BC112" s="218">
        <v>0</v>
      </c>
      <c r="BH112" s="2">
        <v>521779</v>
      </c>
      <c r="BI112" s="2">
        <v>176827</v>
      </c>
      <c r="BJ112" s="2" t="s">
        <v>418</v>
      </c>
      <c r="BL112" s="2" t="s">
        <v>154</v>
      </c>
    </row>
    <row r="113" spans="1:72" ht="15" customHeight="1" x14ac:dyDescent="0.25">
      <c r="A113" s="2" t="s">
        <v>811</v>
      </c>
      <c r="B113" s="2" t="s">
        <v>382</v>
      </c>
      <c r="D113" s="4">
        <v>42972</v>
      </c>
      <c r="E113" s="4">
        <v>44292</v>
      </c>
      <c r="F113" s="4">
        <v>43435</v>
      </c>
      <c r="G113" s="3">
        <v>44327</v>
      </c>
      <c r="H113" s="2" t="s">
        <v>218</v>
      </c>
      <c r="I113" s="2" t="s">
        <v>254</v>
      </c>
      <c r="K113" s="2" t="s">
        <v>812</v>
      </c>
      <c r="L113" s="2" t="s">
        <v>813</v>
      </c>
      <c r="M113" s="2" t="s">
        <v>814</v>
      </c>
      <c r="R113" s="2">
        <v>1</v>
      </c>
      <c r="W113" s="2">
        <f t="shared" si="9"/>
        <v>1</v>
      </c>
      <c r="X113" s="2" t="s">
        <v>385</v>
      </c>
      <c r="AD113" s="2">
        <v>1</v>
      </c>
      <c r="AF113" s="2">
        <f t="shared" si="10"/>
        <v>1</v>
      </c>
      <c r="AG113" s="2">
        <f t="shared" si="11"/>
        <v>0</v>
      </c>
      <c r="AH113" s="2">
        <f t="shared" si="12"/>
        <v>0</v>
      </c>
      <c r="AI113" s="2">
        <f t="shared" si="13"/>
        <v>0</v>
      </c>
      <c r="AJ113" s="2">
        <f t="shared" si="14"/>
        <v>0</v>
      </c>
      <c r="AK113" s="2">
        <f t="shared" si="15"/>
        <v>-1</v>
      </c>
      <c r="AL113" s="2">
        <f t="shared" si="16"/>
        <v>1</v>
      </c>
      <c r="AM113" s="2">
        <f t="shared" si="17"/>
        <v>0</v>
      </c>
      <c r="AP113" s="2">
        <v>0</v>
      </c>
      <c r="AS113" s="309">
        <v>0</v>
      </c>
      <c r="AW113" s="310"/>
      <c r="BC113" s="218">
        <v>0</v>
      </c>
      <c r="BH113" s="2">
        <v>520119</v>
      </c>
      <c r="BI113" s="2">
        <v>174521</v>
      </c>
      <c r="BJ113" s="2" t="s">
        <v>481</v>
      </c>
      <c r="BL113" s="2" t="s">
        <v>137</v>
      </c>
      <c r="BS113" s="240" t="s">
        <v>148</v>
      </c>
      <c r="BT113" s="2" t="s">
        <v>815</v>
      </c>
    </row>
    <row r="114" spans="1:72" x14ac:dyDescent="0.25">
      <c r="A114" s="2" t="s">
        <v>816</v>
      </c>
      <c r="B114" s="2" t="s">
        <v>382</v>
      </c>
      <c r="D114" s="4">
        <v>42986</v>
      </c>
      <c r="E114" s="4">
        <v>44082</v>
      </c>
      <c r="F114" s="4">
        <v>43554</v>
      </c>
      <c r="H114" s="2" t="s">
        <v>218</v>
      </c>
      <c r="I114" s="2" t="s">
        <v>254</v>
      </c>
      <c r="K114" s="2" t="s">
        <v>817</v>
      </c>
      <c r="L114" s="2" t="s">
        <v>818</v>
      </c>
      <c r="M114" s="2" t="s">
        <v>819</v>
      </c>
      <c r="W114" s="2">
        <f t="shared" si="9"/>
        <v>0</v>
      </c>
      <c r="X114" s="2" t="s">
        <v>385</v>
      </c>
      <c r="Y114" s="2">
        <v>9</v>
      </c>
      <c r="Z114" s="2">
        <v>7</v>
      </c>
      <c r="AA114" s="2">
        <v>4</v>
      </c>
      <c r="AF114" s="2">
        <f t="shared" si="10"/>
        <v>20</v>
      </c>
      <c r="AG114" s="2">
        <f t="shared" si="11"/>
        <v>9</v>
      </c>
      <c r="AH114" s="2">
        <f t="shared" si="12"/>
        <v>7</v>
      </c>
      <c r="AI114" s="2">
        <f t="shared" si="13"/>
        <v>4</v>
      </c>
      <c r="AJ114" s="2">
        <f t="shared" si="14"/>
        <v>0</v>
      </c>
      <c r="AK114" s="2">
        <f t="shared" si="15"/>
        <v>0</v>
      </c>
      <c r="AL114" s="2">
        <f t="shared" si="16"/>
        <v>0</v>
      </c>
      <c r="AM114" s="2">
        <f t="shared" si="17"/>
        <v>0</v>
      </c>
      <c r="AP114" s="2">
        <v>20</v>
      </c>
      <c r="AQ114" s="180" t="s">
        <v>299</v>
      </c>
      <c r="AS114" s="309"/>
      <c r="AT114" s="180">
        <v>20</v>
      </c>
      <c r="AW114" s="310"/>
      <c r="BC114" s="218">
        <v>20</v>
      </c>
      <c r="BH114" s="2">
        <v>519012</v>
      </c>
      <c r="BI114" s="2">
        <v>175761</v>
      </c>
      <c r="BJ114" s="2" t="s">
        <v>428</v>
      </c>
      <c r="BL114" s="2" t="s">
        <v>161</v>
      </c>
    </row>
    <row r="115" spans="1:72" x14ac:dyDescent="0.25">
      <c r="A115" s="2" t="s">
        <v>820</v>
      </c>
      <c r="B115" s="2" t="s">
        <v>404</v>
      </c>
      <c r="C115" s="2" t="s">
        <v>228</v>
      </c>
      <c r="D115" s="4">
        <v>43005</v>
      </c>
      <c r="E115" s="4">
        <v>44354</v>
      </c>
      <c r="F115" s="3">
        <v>44286</v>
      </c>
      <c r="H115" s="2" t="s">
        <v>218</v>
      </c>
      <c r="I115" s="2" t="s">
        <v>254</v>
      </c>
      <c r="K115" s="2" t="s">
        <v>821</v>
      </c>
      <c r="L115" s="2" t="s">
        <v>822</v>
      </c>
      <c r="M115" s="2" t="s">
        <v>823</v>
      </c>
      <c r="W115" s="2">
        <f t="shared" si="9"/>
        <v>0</v>
      </c>
      <c r="X115" s="2" t="s">
        <v>385</v>
      </c>
      <c r="Y115" s="2">
        <v>1</v>
      </c>
      <c r="AF115" s="2">
        <f t="shared" si="10"/>
        <v>1</v>
      </c>
      <c r="AG115" s="2">
        <f t="shared" si="11"/>
        <v>1</v>
      </c>
      <c r="AH115" s="2">
        <f t="shared" si="12"/>
        <v>0</v>
      </c>
      <c r="AI115" s="2">
        <f t="shared" si="13"/>
        <v>0</v>
      </c>
      <c r="AJ115" s="2">
        <f t="shared" si="14"/>
        <v>0</v>
      </c>
      <c r="AK115" s="2">
        <f t="shared" si="15"/>
        <v>0</v>
      </c>
      <c r="AL115" s="2">
        <f t="shared" si="16"/>
        <v>0</v>
      </c>
      <c r="AM115" s="2">
        <f t="shared" si="17"/>
        <v>0</v>
      </c>
      <c r="AP115" s="2">
        <v>1</v>
      </c>
      <c r="AS115" s="309"/>
      <c r="AT115" s="180">
        <v>1</v>
      </c>
      <c r="AW115" s="310"/>
      <c r="BC115" s="218">
        <v>1</v>
      </c>
      <c r="BH115" s="2">
        <v>516215</v>
      </c>
      <c r="BI115" s="2">
        <v>171077</v>
      </c>
      <c r="BJ115" s="2" t="s">
        <v>498</v>
      </c>
      <c r="BL115" s="2" t="s">
        <v>140</v>
      </c>
      <c r="BM115" s="2" t="s">
        <v>140</v>
      </c>
    </row>
    <row r="116" spans="1:72" x14ac:dyDescent="0.25">
      <c r="A116" s="2" t="s">
        <v>824</v>
      </c>
      <c r="B116" s="2" t="s">
        <v>404</v>
      </c>
      <c r="C116" s="2" t="s">
        <v>228</v>
      </c>
      <c r="D116" s="4">
        <v>43005</v>
      </c>
      <c r="E116" s="4">
        <v>44354</v>
      </c>
      <c r="F116" s="3">
        <v>44286</v>
      </c>
      <c r="H116" s="2" t="s">
        <v>218</v>
      </c>
      <c r="I116" s="2" t="s">
        <v>254</v>
      </c>
      <c r="K116" s="2" t="s">
        <v>825</v>
      </c>
      <c r="L116" s="2" t="s">
        <v>826</v>
      </c>
      <c r="M116" s="2" t="s">
        <v>823</v>
      </c>
      <c r="W116" s="2">
        <f t="shared" si="9"/>
        <v>0</v>
      </c>
      <c r="X116" s="2" t="s">
        <v>385</v>
      </c>
      <c r="Y116" s="2">
        <v>2</v>
      </c>
      <c r="AF116" s="2">
        <f t="shared" si="10"/>
        <v>2</v>
      </c>
      <c r="AG116" s="2">
        <f t="shared" si="11"/>
        <v>2</v>
      </c>
      <c r="AH116" s="2">
        <f t="shared" si="12"/>
        <v>0</v>
      </c>
      <c r="AI116" s="2">
        <f t="shared" si="13"/>
        <v>0</v>
      </c>
      <c r="AJ116" s="2">
        <f t="shared" si="14"/>
        <v>0</v>
      </c>
      <c r="AK116" s="2">
        <f t="shared" si="15"/>
        <v>0</v>
      </c>
      <c r="AL116" s="2">
        <f t="shared" si="16"/>
        <v>0</v>
      </c>
      <c r="AM116" s="2">
        <f t="shared" si="17"/>
        <v>0</v>
      </c>
      <c r="AP116" s="2">
        <v>2</v>
      </c>
      <c r="AS116" s="309"/>
      <c r="AT116" s="180">
        <v>2</v>
      </c>
      <c r="AW116" s="310"/>
      <c r="BC116" s="218">
        <v>2</v>
      </c>
      <c r="BH116" s="2">
        <v>516224</v>
      </c>
      <c r="BI116" s="2">
        <v>171078</v>
      </c>
      <c r="BJ116" s="2" t="s">
        <v>498</v>
      </c>
      <c r="BL116" s="2" t="s">
        <v>140</v>
      </c>
      <c r="BM116" s="2" t="s">
        <v>140</v>
      </c>
    </row>
    <row r="117" spans="1:72" x14ac:dyDescent="0.25">
      <c r="A117" s="2" t="s">
        <v>827</v>
      </c>
      <c r="B117" s="2" t="s">
        <v>382</v>
      </c>
      <c r="D117" s="4">
        <v>43018</v>
      </c>
      <c r="E117" s="4">
        <v>44114</v>
      </c>
      <c r="F117" s="4">
        <v>43801</v>
      </c>
      <c r="H117" s="2" t="s">
        <v>218</v>
      </c>
      <c r="I117" s="2" t="s">
        <v>187</v>
      </c>
      <c r="K117" s="2" t="s">
        <v>828</v>
      </c>
      <c r="L117" s="2" t="s">
        <v>829</v>
      </c>
      <c r="M117" s="2" t="s">
        <v>572</v>
      </c>
      <c r="W117" s="2">
        <f t="shared" si="9"/>
        <v>0</v>
      </c>
      <c r="X117" s="2" t="s">
        <v>299</v>
      </c>
      <c r="Y117" s="2">
        <v>11</v>
      </c>
      <c r="Z117" s="2">
        <v>11</v>
      </c>
      <c r="AF117" s="2">
        <f t="shared" si="10"/>
        <v>22</v>
      </c>
      <c r="AG117" s="2">
        <f t="shared" si="11"/>
        <v>11</v>
      </c>
      <c r="AH117" s="2">
        <f t="shared" si="12"/>
        <v>11</v>
      </c>
      <c r="AI117" s="2">
        <f t="shared" si="13"/>
        <v>0</v>
      </c>
      <c r="AJ117" s="2">
        <f t="shared" si="14"/>
        <v>0</v>
      </c>
      <c r="AK117" s="2">
        <f t="shared" si="15"/>
        <v>0</v>
      </c>
      <c r="AL117" s="2">
        <f t="shared" si="16"/>
        <v>0</v>
      </c>
      <c r="AM117" s="2">
        <f t="shared" si="17"/>
        <v>0</v>
      </c>
      <c r="AP117" s="2">
        <v>22</v>
      </c>
      <c r="AQ117" s="180" t="s">
        <v>299</v>
      </c>
      <c r="AS117" s="309">
        <v>22</v>
      </c>
      <c r="AW117" s="310"/>
      <c r="BC117" s="218">
        <v>22</v>
      </c>
      <c r="BH117" s="2">
        <v>515918</v>
      </c>
      <c r="BI117" s="2">
        <v>171031</v>
      </c>
      <c r="BJ117" s="2" t="s">
        <v>498</v>
      </c>
      <c r="BL117" s="2" t="s">
        <v>140</v>
      </c>
      <c r="BM117" s="2" t="s">
        <v>140</v>
      </c>
    </row>
    <row r="118" spans="1:72" x14ac:dyDescent="0.25">
      <c r="A118" s="2" t="s">
        <v>830</v>
      </c>
      <c r="B118" s="2" t="s">
        <v>382</v>
      </c>
      <c r="D118" s="4">
        <v>43035</v>
      </c>
      <c r="E118" s="4">
        <v>44131</v>
      </c>
      <c r="F118" s="3">
        <v>44130</v>
      </c>
      <c r="H118" s="2" t="s">
        <v>218</v>
      </c>
      <c r="I118" s="2" t="s">
        <v>254</v>
      </c>
      <c r="K118" s="2" t="s">
        <v>831</v>
      </c>
      <c r="L118" s="2" t="s">
        <v>832</v>
      </c>
      <c r="M118" s="2" t="s">
        <v>833</v>
      </c>
      <c r="W118" s="2">
        <f t="shared" si="9"/>
        <v>0</v>
      </c>
      <c r="X118" s="2" t="s">
        <v>385</v>
      </c>
      <c r="Y118" s="2">
        <v>1</v>
      </c>
      <c r="AF118" s="2">
        <f t="shared" si="10"/>
        <v>1</v>
      </c>
      <c r="AG118" s="2">
        <f t="shared" si="11"/>
        <v>1</v>
      </c>
      <c r="AH118" s="2">
        <f t="shared" si="12"/>
        <v>0</v>
      </c>
      <c r="AI118" s="2">
        <f t="shared" si="13"/>
        <v>0</v>
      </c>
      <c r="AJ118" s="2">
        <f t="shared" si="14"/>
        <v>0</v>
      </c>
      <c r="AK118" s="2">
        <f t="shared" si="15"/>
        <v>0</v>
      </c>
      <c r="AL118" s="2">
        <f t="shared" si="16"/>
        <v>0</v>
      </c>
      <c r="AM118" s="2">
        <f t="shared" si="17"/>
        <v>0</v>
      </c>
      <c r="AP118" s="2">
        <v>1</v>
      </c>
      <c r="AS118" s="309">
        <v>1</v>
      </c>
      <c r="AW118" s="310"/>
      <c r="BC118" s="218">
        <v>1</v>
      </c>
      <c r="BH118" s="2">
        <v>520624</v>
      </c>
      <c r="BI118" s="2">
        <v>175780</v>
      </c>
      <c r="BJ118" s="2" t="s">
        <v>449</v>
      </c>
      <c r="BK118" s="2" t="s">
        <v>147</v>
      </c>
      <c r="BL118" s="2" t="s">
        <v>175</v>
      </c>
      <c r="BS118" s="240" t="s">
        <v>148</v>
      </c>
      <c r="BT118" s="2" t="s">
        <v>644</v>
      </c>
    </row>
    <row r="119" spans="1:72" x14ac:dyDescent="0.25">
      <c r="A119" s="2" t="s">
        <v>834</v>
      </c>
      <c r="B119" s="2" t="s">
        <v>434</v>
      </c>
      <c r="D119" s="4">
        <v>43038</v>
      </c>
      <c r="E119" s="4">
        <v>44134</v>
      </c>
      <c r="F119" s="4">
        <v>43840</v>
      </c>
      <c r="H119" s="2" t="s">
        <v>218</v>
      </c>
      <c r="I119" s="2" t="s">
        <v>254</v>
      </c>
      <c r="K119" s="2" t="s">
        <v>835</v>
      </c>
      <c r="L119" s="2" t="s">
        <v>836</v>
      </c>
      <c r="M119" s="2" t="s">
        <v>837</v>
      </c>
      <c r="P119" s="2">
        <v>2</v>
      </c>
      <c r="W119" s="2">
        <f t="shared" si="9"/>
        <v>2</v>
      </c>
      <c r="X119" s="2" t="s">
        <v>385</v>
      </c>
      <c r="AB119" s="2">
        <v>1</v>
      </c>
      <c r="AF119" s="2">
        <f t="shared" si="10"/>
        <v>1</v>
      </c>
      <c r="AG119" s="2">
        <f t="shared" si="11"/>
        <v>0</v>
      </c>
      <c r="AH119" s="2">
        <f t="shared" si="12"/>
        <v>0</v>
      </c>
      <c r="AI119" s="2">
        <f t="shared" si="13"/>
        <v>-2</v>
      </c>
      <c r="AJ119" s="2">
        <f t="shared" si="14"/>
        <v>1</v>
      </c>
      <c r="AK119" s="2">
        <f t="shared" si="15"/>
        <v>0</v>
      </c>
      <c r="AL119" s="2">
        <f t="shared" si="16"/>
        <v>0</v>
      </c>
      <c r="AM119" s="2">
        <f t="shared" si="17"/>
        <v>0</v>
      </c>
      <c r="AP119" s="2">
        <v>-1</v>
      </c>
      <c r="AS119" s="309">
        <v>-1</v>
      </c>
      <c r="AW119" s="310"/>
      <c r="BC119" s="218">
        <v>-1</v>
      </c>
      <c r="BH119" s="2">
        <v>514501</v>
      </c>
      <c r="BI119" s="2">
        <v>170687</v>
      </c>
      <c r="BJ119" s="2" t="s">
        <v>391</v>
      </c>
      <c r="BL119" s="2" t="s">
        <v>174</v>
      </c>
      <c r="BS119" s="240" t="s">
        <v>148</v>
      </c>
      <c r="BT119" s="2" t="s">
        <v>838</v>
      </c>
    </row>
    <row r="120" spans="1:72" x14ac:dyDescent="0.25">
      <c r="A120" s="2" t="s">
        <v>839</v>
      </c>
      <c r="B120" s="2" t="s">
        <v>404</v>
      </c>
      <c r="D120" s="4">
        <v>43048</v>
      </c>
      <c r="E120" s="4">
        <v>44144</v>
      </c>
      <c r="F120" s="4">
        <v>43347</v>
      </c>
      <c r="H120" s="2" t="s">
        <v>218</v>
      </c>
      <c r="I120" s="2" t="s">
        <v>254</v>
      </c>
      <c r="K120" s="2" t="s">
        <v>840</v>
      </c>
      <c r="L120" s="2" t="s">
        <v>841</v>
      </c>
      <c r="M120" s="2" t="s">
        <v>642</v>
      </c>
      <c r="W120" s="2">
        <f t="shared" si="9"/>
        <v>0</v>
      </c>
      <c r="X120" s="2" t="s">
        <v>385</v>
      </c>
      <c r="Y120" s="2">
        <v>1</v>
      </c>
      <c r="AF120" s="2">
        <f t="shared" si="10"/>
        <v>1</v>
      </c>
      <c r="AG120" s="2">
        <f t="shared" si="11"/>
        <v>1</v>
      </c>
      <c r="AH120" s="2">
        <f t="shared" si="12"/>
        <v>0</v>
      </c>
      <c r="AI120" s="2">
        <f t="shared" si="13"/>
        <v>0</v>
      </c>
      <c r="AJ120" s="2">
        <f t="shared" si="14"/>
        <v>0</v>
      </c>
      <c r="AK120" s="2">
        <f t="shared" si="15"/>
        <v>0</v>
      </c>
      <c r="AL120" s="2">
        <f t="shared" si="16"/>
        <v>0</v>
      </c>
      <c r="AM120" s="2">
        <f t="shared" si="17"/>
        <v>0</v>
      </c>
      <c r="AP120" s="2">
        <v>1</v>
      </c>
      <c r="AS120" s="309">
        <v>1</v>
      </c>
      <c r="AW120" s="310"/>
      <c r="BC120" s="218">
        <v>1</v>
      </c>
      <c r="BH120" s="2">
        <v>521310</v>
      </c>
      <c r="BI120" s="2">
        <v>175864</v>
      </c>
      <c r="BJ120" s="2" t="s">
        <v>449</v>
      </c>
      <c r="BL120" s="2" t="s">
        <v>175</v>
      </c>
      <c r="BO120" s="2" t="s">
        <v>141</v>
      </c>
      <c r="BP120" s="2" t="s">
        <v>842</v>
      </c>
      <c r="BS120" s="240" t="s">
        <v>148</v>
      </c>
      <c r="BT120" s="2" t="s">
        <v>644</v>
      </c>
    </row>
    <row r="121" spans="1:72" x14ac:dyDescent="0.25">
      <c r="A121" s="2" t="s">
        <v>843</v>
      </c>
      <c r="B121" s="2" t="s">
        <v>382</v>
      </c>
      <c r="D121" s="4">
        <v>43056</v>
      </c>
      <c r="E121" s="4">
        <v>44204</v>
      </c>
      <c r="F121" s="4">
        <v>44203</v>
      </c>
      <c r="H121" s="2" t="s">
        <v>218</v>
      </c>
      <c r="I121" s="2" t="s">
        <v>254</v>
      </c>
      <c r="K121" s="2" t="s">
        <v>844</v>
      </c>
      <c r="L121" s="2" t="s">
        <v>845</v>
      </c>
      <c r="M121" s="2" t="s">
        <v>390</v>
      </c>
      <c r="W121" s="2">
        <f t="shared" si="9"/>
        <v>0</v>
      </c>
      <c r="X121" s="2" t="s">
        <v>385</v>
      </c>
      <c r="AB121" s="2">
        <v>1</v>
      </c>
      <c r="AF121" s="2">
        <f t="shared" si="10"/>
        <v>1</v>
      </c>
      <c r="AG121" s="2">
        <f t="shared" si="11"/>
        <v>0</v>
      </c>
      <c r="AH121" s="2">
        <f t="shared" si="12"/>
        <v>0</v>
      </c>
      <c r="AI121" s="2">
        <f t="shared" si="13"/>
        <v>0</v>
      </c>
      <c r="AJ121" s="2">
        <f t="shared" si="14"/>
        <v>1</v>
      </c>
      <c r="AK121" s="2">
        <f t="shared" si="15"/>
        <v>0</v>
      </c>
      <c r="AL121" s="2">
        <f t="shared" si="16"/>
        <v>0</v>
      </c>
      <c r="AM121" s="2">
        <f t="shared" si="17"/>
        <v>0</v>
      </c>
      <c r="AP121" s="2">
        <v>1</v>
      </c>
      <c r="AS121" s="309">
        <v>1</v>
      </c>
      <c r="AW121" s="310"/>
      <c r="BC121" s="218">
        <v>1</v>
      </c>
      <c r="BH121" s="2">
        <v>516399</v>
      </c>
      <c r="BI121" s="2">
        <v>171470</v>
      </c>
      <c r="BJ121" s="2" t="s">
        <v>498</v>
      </c>
      <c r="BL121" s="2" t="s">
        <v>140</v>
      </c>
    </row>
    <row r="122" spans="1:72" x14ac:dyDescent="0.25">
      <c r="A122" s="2" t="s">
        <v>846</v>
      </c>
      <c r="B122" s="2" t="s">
        <v>382</v>
      </c>
      <c r="D122" s="4">
        <v>43069</v>
      </c>
      <c r="E122" s="4">
        <v>44165</v>
      </c>
      <c r="F122" s="4">
        <v>43344</v>
      </c>
      <c r="H122" s="2" t="s">
        <v>218</v>
      </c>
      <c r="I122" s="2" t="s">
        <v>254</v>
      </c>
      <c r="K122" s="2" t="s">
        <v>847</v>
      </c>
      <c r="L122" s="2" t="s">
        <v>848</v>
      </c>
      <c r="M122" s="2" t="s">
        <v>849</v>
      </c>
      <c r="W122" s="2">
        <f t="shared" si="9"/>
        <v>0</v>
      </c>
      <c r="X122" s="2" t="s">
        <v>385</v>
      </c>
      <c r="Z122" s="2">
        <v>1</v>
      </c>
      <c r="AF122" s="2">
        <f t="shared" si="10"/>
        <v>1</v>
      </c>
      <c r="AG122" s="2">
        <f t="shared" si="11"/>
        <v>0</v>
      </c>
      <c r="AH122" s="2">
        <f t="shared" si="12"/>
        <v>1</v>
      </c>
      <c r="AI122" s="2">
        <f t="shared" si="13"/>
        <v>0</v>
      </c>
      <c r="AJ122" s="2">
        <f t="shared" si="14"/>
        <v>0</v>
      </c>
      <c r="AK122" s="2">
        <f t="shared" si="15"/>
        <v>0</v>
      </c>
      <c r="AL122" s="2">
        <f t="shared" si="16"/>
        <v>0</v>
      </c>
      <c r="AM122" s="2">
        <f t="shared" si="17"/>
        <v>0</v>
      </c>
      <c r="AP122" s="2">
        <v>1</v>
      </c>
      <c r="AS122" s="309">
        <v>1</v>
      </c>
      <c r="AW122" s="310"/>
      <c r="BC122" s="218">
        <v>1</v>
      </c>
      <c r="BH122" s="2">
        <v>516115</v>
      </c>
      <c r="BI122" s="2">
        <v>173199</v>
      </c>
      <c r="BJ122" s="2" t="s">
        <v>456</v>
      </c>
      <c r="BL122" s="2" t="s">
        <v>167</v>
      </c>
      <c r="BM122" s="2" t="s">
        <v>142</v>
      </c>
    </row>
    <row r="123" spans="1:72" x14ac:dyDescent="0.25">
      <c r="A123" s="2" t="s">
        <v>850</v>
      </c>
      <c r="B123" s="2" t="s">
        <v>404</v>
      </c>
      <c r="C123" s="2" t="s">
        <v>228</v>
      </c>
      <c r="D123" s="4">
        <v>43097</v>
      </c>
      <c r="E123" s="4">
        <v>44193</v>
      </c>
      <c r="F123" s="3">
        <v>44166</v>
      </c>
      <c r="H123" s="2" t="s">
        <v>218</v>
      </c>
      <c r="I123" s="2" t="s">
        <v>254</v>
      </c>
      <c r="K123" s="2" t="s">
        <v>851</v>
      </c>
      <c r="L123" s="2" t="s">
        <v>852</v>
      </c>
      <c r="M123" s="2" t="s">
        <v>853</v>
      </c>
      <c r="W123" s="2">
        <f t="shared" si="9"/>
        <v>0</v>
      </c>
      <c r="X123" s="2" t="s">
        <v>385</v>
      </c>
      <c r="AA123" s="2">
        <v>1</v>
      </c>
      <c r="AF123" s="2">
        <f t="shared" si="10"/>
        <v>1</v>
      </c>
      <c r="AG123" s="2">
        <f t="shared" si="11"/>
        <v>0</v>
      </c>
      <c r="AH123" s="2">
        <f t="shared" si="12"/>
        <v>0</v>
      </c>
      <c r="AI123" s="2">
        <f t="shared" si="13"/>
        <v>1</v>
      </c>
      <c r="AJ123" s="2">
        <f t="shared" si="14"/>
        <v>0</v>
      </c>
      <c r="AK123" s="2">
        <f t="shared" si="15"/>
        <v>0</v>
      </c>
      <c r="AL123" s="2">
        <f t="shared" si="16"/>
        <v>0</v>
      </c>
      <c r="AM123" s="2">
        <f t="shared" si="17"/>
        <v>0</v>
      </c>
      <c r="AP123" s="2">
        <v>1</v>
      </c>
      <c r="AS123" s="309">
        <v>1</v>
      </c>
      <c r="AW123" s="310"/>
      <c r="BC123" s="218">
        <v>1</v>
      </c>
      <c r="BH123" s="2">
        <v>515625</v>
      </c>
      <c r="BI123" s="2">
        <v>170998</v>
      </c>
      <c r="BJ123" s="2" t="s">
        <v>498</v>
      </c>
      <c r="BL123" s="2" t="s">
        <v>140</v>
      </c>
      <c r="BM123" s="2" t="s">
        <v>140</v>
      </c>
    </row>
    <row r="124" spans="1:72" x14ac:dyDescent="0.25">
      <c r="A124" s="2" t="s">
        <v>854</v>
      </c>
      <c r="B124" s="2" t="s">
        <v>539</v>
      </c>
      <c r="D124" s="4">
        <v>43125</v>
      </c>
      <c r="E124" s="4">
        <v>44221</v>
      </c>
      <c r="F124" s="4">
        <v>44216</v>
      </c>
      <c r="H124" s="2" t="s">
        <v>218</v>
      </c>
      <c r="I124" s="2" t="s">
        <v>254</v>
      </c>
      <c r="K124" s="2" t="s">
        <v>855</v>
      </c>
      <c r="L124" s="2" t="s">
        <v>856</v>
      </c>
      <c r="M124" s="2" t="s">
        <v>857</v>
      </c>
      <c r="W124" s="2">
        <f t="shared" si="9"/>
        <v>0</v>
      </c>
      <c r="X124" s="2" t="s">
        <v>385</v>
      </c>
      <c r="Y124" s="2">
        <v>1</v>
      </c>
      <c r="Z124" s="2">
        <v>2</v>
      </c>
      <c r="AF124" s="2">
        <f t="shared" si="10"/>
        <v>3</v>
      </c>
      <c r="AG124" s="2">
        <f t="shared" si="11"/>
        <v>1</v>
      </c>
      <c r="AH124" s="2">
        <f t="shared" si="12"/>
        <v>2</v>
      </c>
      <c r="AI124" s="2">
        <f t="shared" si="13"/>
        <v>0</v>
      </c>
      <c r="AJ124" s="2">
        <f t="shared" si="14"/>
        <v>0</v>
      </c>
      <c r="AK124" s="2">
        <f t="shared" si="15"/>
        <v>0</v>
      </c>
      <c r="AL124" s="2">
        <f t="shared" si="16"/>
        <v>0</v>
      </c>
      <c r="AM124" s="2">
        <f t="shared" si="17"/>
        <v>0</v>
      </c>
      <c r="AP124" s="2">
        <v>3</v>
      </c>
      <c r="AS124" s="309"/>
      <c r="AT124" s="180">
        <v>3</v>
      </c>
      <c r="AW124" s="310"/>
      <c r="BC124" s="218">
        <v>3</v>
      </c>
      <c r="BH124" s="2">
        <v>518831</v>
      </c>
      <c r="BI124" s="2">
        <v>175436</v>
      </c>
      <c r="BJ124" s="2" t="s">
        <v>407</v>
      </c>
      <c r="BL124" s="2" t="s">
        <v>163</v>
      </c>
    </row>
    <row r="125" spans="1:72" x14ac:dyDescent="0.25">
      <c r="A125" s="2" t="s">
        <v>858</v>
      </c>
      <c r="B125" s="2" t="s">
        <v>382</v>
      </c>
      <c r="D125" s="4">
        <v>43174</v>
      </c>
      <c r="E125" s="4">
        <v>44270</v>
      </c>
      <c r="F125" s="4">
        <v>43955</v>
      </c>
      <c r="H125" s="2" t="s">
        <v>218</v>
      </c>
      <c r="I125" s="2" t="s">
        <v>254</v>
      </c>
      <c r="K125" s="2" t="s">
        <v>859</v>
      </c>
      <c r="L125" s="2" t="s">
        <v>860</v>
      </c>
      <c r="M125" s="2" t="s">
        <v>861</v>
      </c>
      <c r="W125" s="2">
        <f t="shared" si="9"/>
        <v>0</v>
      </c>
      <c r="X125" s="2" t="s">
        <v>385</v>
      </c>
      <c r="AB125" s="2">
        <v>1</v>
      </c>
      <c r="AF125" s="2">
        <f t="shared" si="10"/>
        <v>1</v>
      </c>
      <c r="AG125" s="2">
        <f t="shared" si="11"/>
        <v>0</v>
      </c>
      <c r="AH125" s="2">
        <f t="shared" si="12"/>
        <v>0</v>
      </c>
      <c r="AI125" s="2">
        <f t="shared" si="13"/>
        <v>0</v>
      </c>
      <c r="AJ125" s="2">
        <f t="shared" si="14"/>
        <v>1</v>
      </c>
      <c r="AK125" s="2">
        <f t="shared" si="15"/>
        <v>0</v>
      </c>
      <c r="AL125" s="2">
        <f t="shared" si="16"/>
        <v>0</v>
      </c>
      <c r="AM125" s="2">
        <f t="shared" si="17"/>
        <v>0</v>
      </c>
      <c r="AP125" s="2">
        <v>1</v>
      </c>
      <c r="AS125" s="309">
        <v>1</v>
      </c>
      <c r="AW125" s="310"/>
      <c r="BC125" s="218">
        <v>1</v>
      </c>
      <c r="BH125" s="2">
        <v>516426</v>
      </c>
      <c r="BI125" s="2">
        <v>173349</v>
      </c>
      <c r="BJ125" s="2" t="s">
        <v>456</v>
      </c>
      <c r="BL125" s="2" t="s">
        <v>167</v>
      </c>
      <c r="BM125" s="2" t="s">
        <v>142</v>
      </c>
      <c r="BS125" s="240" t="s">
        <v>148</v>
      </c>
      <c r="BT125" s="2" t="s">
        <v>783</v>
      </c>
    </row>
    <row r="126" spans="1:72" x14ac:dyDescent="0.25">
      <c r="A126" s="2" t="s">
        <v>862</v>
      </c>
      <c r="B126" s="2" t="s">
        <v>382</v>
      </c>
      <c r="D126" s="4">
        <v>43181</v>
      </c>
      <c r="E126" s="4">
        <v>44278</v>
      </c>
      <c r="F126" s="4">
        <v>44230</v>
      </c>
      <c r="H126" s="2" t="s">
        <v>218</v>
      </c>
      <c r="I126" s="2" t="s">
        <v>254</v>
      </c>
      <c r="K126" s="2" t="s">
        <v>863</v>
      </c>
      <c r="L126" s="2" t="s">
        <v>864</v>
      </c>
      <c r="M126" s="2" t="s">
        <v>865</v>
      </c>
      <c r="W126" s="2">
        <f t="shared" si="9"/>
        <v>0</v>
      </c>
      <c r="X126" s="2" t="s">
        <v>385</v>
      </c>
      <c r="Z126" s="2">
        <v>4</v>
      </c>
      <c r="AF126" s="2">
        <f t="shared" si="10"/>
        <v>4</v>
      </c>
      <c r="AG126" s="2">
        <f t="shared" si="11"/>
        <v>0</v>
      </c>
      <c r="AH126" s="2">
        <f t="shared" si="12"/>
        <v>4</v>
      </c>
      <c r="AI126" s="2">
        <f t="shared" si="13"/>
        <v>0</v>
      </c>
      <c r="AJ126" s="2">
        <f t="shared" si="14"/>
        <v>0</v>
      </c>
      <c r="AK126" s="2">
        <f t="shared" si="15"/>
        <v>0</v>
      </c>
      <c r="AL126" s="2">
        <f t="shared" si="16"/>
        <v>0</v>
      </c>
      <c r="AM126" s="2">
        <f t="shared" si="17"/>
        <v>0</v>
      </c>
      <c r="AP126" s="2">
        <v>4</v>
      </c>
      <c r="AS126" s="309"/>
      <c r="AT126" s="180">
        <v>4</v>
      </c>
      <c r="AW126" s="310"/>
      <c r="BC126" s="218">
        <v>4</v>
      </c>
      <c r="BH126" s="2">
        <v>514687</v>
      </c>
      <c r="BI126" s="2">
        <v>171290</v>
      </c>
      <c r="BJ126" s="2" t="s">
        <v>391</v>
      </c>
      <c r="BL126" s="2" t="s">
        <v>174</v>
      </c>
    </row>
    <row r="127" spans="1:72" x14ac:dyDescent="0.25">
      <c r="A127" s="2" t="s">
        <v>866</v>
      </c>
      <c r="B127" s="2" t="s">
        <v>382</v>
      </c>
      <c r="D127" s="4">
        <v>43193</v>
      </c>
      <c r="E127" s="4">
        <v>44289</v>
      </c>
      <c r="F127" s="4">
        <v>43525</v>
      </c>
      <c r="H127" s="2" t="s">
        <v>218</v>
      </c>
      <c r="I127" s="2" t="s">
        <v>254</v>
      </c>
      <c r="K127" s="2" t="s">
        <v>867</v>
      </c>
      <c r="L127" s="2" t="s">
        <v>868</v>
      </c>
      <c r="M127" s="2" t="s">
        <v>869</v>
      </c>
      <c r="P127" s="2">
        <v>2</v>
      </c>
      <c r="W127" s="2">
        <f t="shared" si="9"/>
        <v>2</v>
      </c>
      <c r="X127" s="2" t="s">
        <v>385</v>
      </c>
      <c r="AB127" s="2">
        <v>2</v>
      </c>
      <c r="AF127" s="2">
        <f t="shared" si="10"/>
        <v>2</v>
      </c>
      <c r="AG127" s="2">
        <f t="shared" si="11"/>
        <v>0</v>
      </c>
      <c r="AH127" s="2">
        <f t="shared" si="12"/>
        <v>0</v>
      </c>
      <c r="AI127" s="2">
        <f t="shared" si="13"/>
        <v>-2</v>
      </c>
      <c r="AJ127" s="2">
        <f t="shared" si="14"/>
        <v>2</v>
      </c>
      <c r="AK127" s="2">
        <f t="shared" si="15"/>
        <v>0</v>
      </c>
      <c r="AL127" s="2">
        <f t="shared" si="16"/>
        <v>0</v>
      </c>
      <c r="AM127" s="2">
        <f t="shared" si="17"/>
        <v>0</v>
      </c>
      <c r="AP127" s="2">
        <v>0</v>
      </c>
      <c r="AS127" s="309">
        <v>0</v>
      </c>
      <c r="AW127" s="310"/>
      <c r="BC127" s="218">
        <v>0</v>
      </c>
      <c r="BH127" s="2">
        <v>522357</v>
      </c>
      <c r="BI127" s="2">
        <v>175528</v>
      </c>
      <c r="BJ127" s="2" t="s">
        <v>449</v>
      </c>
      <c r="BL127" s="2" t="s">
        <v>175</v>
      </c>
    </row>
    <row r="128" spans="1:72" x14ac:dyDescent="0.25">
      <c r="A128" s="2" t="s">
        <v>870</v>
      </c>
      <c r="B128" s="2" t="s">
        <v>382</v>
      </c>
      <c r="D128" s="4">
        <v>43203</v>
      </c>
      <c r="E128" s="4">
        <v>44299</v>
      </c>
      <c r="F128" s="4">
        <v>43434</v>
      </c>
      <c r="H128" s="2" t="s">
        <v>218</v>
      </c>
      <c r="I128" s="2" t="s">
        <v>254</v>
      </c>
      <c r="K128" s="2" t="s">
        <v>871</v>
      </c>
      <c r="L128" s="2" t="s">
        <v>872</v>
      </c>
      <c r="M128" s="2" t="s">
        <v>873</v>
      </c>
      <c r="P128" s="2">
        <v>1</v>
      </c>
      <c r="W128" s="2">
        <f t="shared" si="9"/>
        <v>1</v>
      </c>
      <c r="X128" s="2" t="s">
        <v>385</v>
      </c>
      <c r="AC128" s="2">
        <v>1</v>
      </c>
      <c r="AF128" s="2">
        <f t="shared" si="10"/>
        <v>1</v>
      </c>
      <c r="AG128" s="2">
        <f t="shared" si="11"/>
        <v>0</v>
      </c>
      <c r="AH128" s="2">
        <f t="shared" si="12"/>
        <v>0</v>
      </c>
      <c r="AI128" s="2">
        <f t="shared" si="13"/>
        <v>-1</v>
      </c>
      <c r="AJ128" s="2">
        <f t="shared" si="14"/>
        <v>0</v>
      </c>
      <c r="AK128" s="2">
        <f t="shared" si="15"/>
        <v>1</v>
      </c>
      <c r="AL128" s="2">
        <f t="shared" si="16"/>
        <v>0</v>
      </c>
      <c r="AM128" s="2">
        <f t="shared" si="17"/>
        <v>0</v>
      </c>
      <c r="AP128" s="2">
        <v>0</v>
      </c>
      <c r="AS128" s="309">
        <v>0</v>
      </c>
      <c r="AW128" s="310"/>
      <c r="BC128" s="218">
        <v>0</v>
      </c>
      <c r="BH128" s="2">
        <v>517655</v>
      </c>
      <c r="BI128" s="2">
        <v>172610</v>
      </c>
      <c r="BJ128" s="2" t="s">
        <v>411</v>
      </c>
      <c r="BL128" s="2" t="s">
        <v>156</v>
      </c>
    </row>
    <row r="129" spans="1:72" x14ac:dyDescent="0.25">
      <c r="A129" s="2" t="s">
        <v>874</v>
      </c>
      <c r="B129" s="2" t="s">
        <v>404</v>
      </c>
      <c r="D129" s="4">
        <v>43214</v>
      </c>
      <c r="E129" s="4">
        <v>44310</v>
      </c>
      <c r="F129" s="4">
        <v>43741</v>
      </c>
      <c r="H129" s="2" t="s">
        <v>218</v>
      </c>
      <c r="I129" s="2" t="s">
        <v>254</v>
      </c>
      <c r="K129" s="2" t="s">
        <v>875</v>
      </c>
      <c r="L129" s="2" t="s">
        <v>876</v>
      </c>
      <c r="M129" s="2" t="s">
        <v>877</v>
      </c>
      <c r="W129" s="2">
        <f t="shared" si="9"/>
        <v>0</v>
      </c>
      <c r="X129" s="2" t="s">
        <v>385</v>
      </c>
      <c r="Y129" s="2">
        <v>1</v>
      </c>
      <c r="AF129" s="2">
        <f t="shared" si="10"/>
        <v>1</v>
      </c>
      <c r="AG129" s="2">
        <f t="shared" si="11"/>
        <v>1</v>
      </c>
      <c r="AH129" s="2">
        <f t="shared" si="12"/>
        <v>0</v>
      </c>
      <c r="AI129" s="2">
        <f t="shared" si="13"/>
        <v>0</v>
      </c>
      <c r="AJ129" s="2">
        <f t="shared" si="14"/>
        <v>0</v>
      </c>
      <c r="AK129" s="2">
        <f t="shared" si="15"/>
        <v>0</v>
      </c>
      <c r="AL129" s="2">
        <f t="shared" si="16"/>
        <v>0</v>
      </c>
      <c r="AM129" s="2">
        <f t="shared" si="17"/>
        <v>0</v>
      </c>
      <c r="AP129" s="2">
        <v>1</v>
      </c>
      <c r="AS129" s="309">
        <v>1</v>
      </c>
      <c r="AW129" s="310"/>
      <c r="BC129" s="218">
        <v>1</v>
      </c>
      <c r="BH129" s="2">
        <v>515313</v>
      </c>
      <c r="BI129" s="2">
        <v>173179</v>
      </c>
      <c r="BJ129" s="2" t="s">
        <v>503</v>
      </c>
      <c r="BL129" s="2" t="s">
        <v>165</v>
      </c>
    </row>
    <row r="130" spans="1:72" x14ac:dyDescent="0.25">
      <c r="A130" s="2" t="s">
        <v>878</v>
      </c>
      <c r="B130" s="2" t="s">
        <v>382</v>
      </c>
      <c r="D130" s="4">
        <v>43215</v>
      </c>
      <c r="E130" s="4">
        <v>44311</v>
      </c>
      <c r="F130" s="4">
        <v>44270</v>
      </c>
      <c r="H130" s="2" t="s">
        <v>218</v>
      </c>
      <c r="I130" s="2" t="s">
        <v>254</v>
      </c>
      <c r="K130" s="2" t="s">
        <v>879</v>
      </c>
      <c r="L130" s="2" t="s">
        <v>880</v>
      </c>
      <c r="M130" s="2" t="s">
        <v>881</v>
      </c>
      <c r="W130" s="2">
        <f t="shared" ref="W130:W193" si="18">SUM(N130:V130)</f>
        <v>0</v>
      </c>
      <c r="X130" s="2" t="s">
        <v>385</v>
      </c>
      <c r="AA130" s="2">
        <v>1</v>
      </c>
      <c r="AF130" s="2">
        <f t="shared" ref="AF130:AF193" si="19">SUM(Y130:AE130)</f>
        <v>1</v>
      </c>
      <c r="AG130" s="2">
        <f t="shared" ref="AG130:AG193" si="20">Y130-N130</f>
        <v>0</v>
      </c>
      <c r="AH130" s="2">
        <f t="shared" ref="AH130:AH193" si="21">Z130-O130</f>
        <v>0</v>
      </c>
      <c r="AI130" s="2">
        <f t="shared" ref="AI130:AI193" si="22">AA130-P130</f>
        <v>1</v>
      </c>
      <c r="AJ130" s="2">
        <f t="shared" ref="AJ130:AJ193" si="23">AB130-Q130</f>
        <v>0</v>
      </c>
      <c r="AK130" s="2">
        <f t="shared" ref="AK130:AK193" si="24">AC130-R130</f>
        <v>0</v>
      </c>
      <c r="AL130" s="2">
        <f t="shared" ref="AL130:AL193" si="25">AD130-S130</f>
        <v>0</v>
      </c>
      <c r="AM130" s="2">
        <f t="shared" ref="AM130:AM193" si="26">AE130-T130</f>
        <v>0</v>
      </c>
      <c r="AP130" s="2">
        <v>1</v>
      </c>
      <c r="AS130" s="309">
        <v>1</v>
      </c>
      <c r="AW130" s="310"/>
      <c r="BC130" s="218">
        <v>1</v>
      </c>
      <c r="BH130" s="2">
        <v>517808</v>
      </c>
      <c r="BI130" s="2">
        <v>173353</v>
      </c>
      <c r="BJ130" s="2" t="s">
        <v>411</v>
      </c>
      <c r="BL130" s="2" t="s">
        <v>156</v>
      </c>
      <c r="BN130" s="2" t="s">
        <v>139</v>
      </c>
      <c r="BR130" s="2" t="s">
        <v>882</v>
      </c>
      <c r="BS130" s="240" t="s">
        <v>148</v>
      </c>
      <c r="BT130" s="2" t="s">
        <v>883</v>
      </c>
    </row>
    <row r="131" spans="1:72" x14ac:dyDescent="0.25">
      <c r="A131" s="2" t="s">
        <v>884</v>
      </c>
      <c r="B131" s="2" t="s">
        <v>382</v>
      </c>
      <c r="D131" s="4">
        <v>43290</v>
      </c>
      <c r="E131" s="4">
        <v>44386</v>
      </c>
      <c r="F131" s="3">
        <v>44228</v>
      </c>
      <c r="H131" s="2" t="s">
        <v>218</v>
      </c>
      <c r="I131" s="2" t="s">
        <v>254</v>
      </c>
      <c r="K131" s="2" t="s">
        <v>885</v>
      </c>
      <c r="L131" s="2" t="s">
        <v>886</v>
      </c>
      <c r="M131" s="2" t="s">
        <v>887</v>
      </c>
      <c r="P131" s="2">
        <v>1</v>
      </c>
      <c r="W131" s="2">
        <f t="shared" si="18"/>
        <v>1</v>
      </c>
      <c r="X131" s="2" t="s">
        <v>385</v>
      </c>
      <c r="Y131" s="2">
        <v>6</v>
      </c>
      <c r="Z131" s="2">
        <v>3</v>
      </c>
      <c r="AF131" s="2">
        <f t="shared" si="19"/>
        <v>9</v>
      </c>
      <c r="AG131" s="2">
        <f t="shared" si="20"/>
        <v>6</v>
      </c>
      <c r="AH131" s="2">
        <f t="shared" si="21"/>
        <v>3</v>
      </c>
      <c r="AI131" s="2">
        <f t="shared" si="22"/>
        <v>-1</v>
      </c>
      <c r="AJ131" s="2">
        <f t="shared" si="23"/>
        <v>0</v>
      </c>
      <c r="AK131" s="2">
        <f t="shared" si="24"/>
        <v>0</v>
      </c>
      <c r="AL131" s="2">
        <f t="shared" si="25"/>
        <v>0</v>
      </c>
      <c r="AM131" s="2">
        <f t="shared" si="26"/>
        <v>0</v>
      </c>
      <c r="AP131" s="2">
        <v>8</v>
      </c>
      <c r="AS131" s="309"/>
      <c r="AT131" s="180">
        <v>8</v>
      </c>
      <c r="AW131" s="310"/>
      <c r="BC131" s="218">
        <v>8</v>
      </c>
      <c r="BH131" s="2">
        <v>517393</v>
      </c>
      <c r="BI131" s="2">
        <v>169491</v>
      </c>
      <c r="BJ131" s="2" t="s">
        <v>443</v>
      </c>
      <c r="BL131" s="2" t="s">
        <v>159</v>
      </c>
      <c r="BS131" s="240" t="s">
        <v>148</v>
      </c>
      <c r="BT131" s="2" t="s">
        <v>444</v>
      </c>
    </row>
    <row r="132" spans="1:72" x14ac:dyDescent="0.25">
      <c r="A132" s="2" t="s">
        <v>888</v>
      </c>
      <c r="B132" s="2" t="s">
        <v>539</v>
      </c>
      <c r="D132" s="4">
        <v>43334</v>
      </c>
      <c r="E132" s="4">
        <v>44430</v>
      </c>
      <c r="F132" s="4">
        <v>44089</v>
      </c>
      <c r="H132" s="2" t="s">
        <v>218</v>
      </c>
      <c r="I132" s="2" t="s">
        <v>254</v>
      </c>
      <c r="K132" s="2" t="s">
        <v>889</v>
      </c>
      <c r="L132" s="2" t="s">
        <v>890</v>
      </c>
      <c r="M132" s="2" t="s">
        <v>837</v>
      </c>
      <c r="N132" s="2">
        <v>1</v>
      </c>
      <c r="O132" s="2">
        <v>2</v>
      </c>
      <c r="W132" s="2">
        <f t="shared" si="18"/>
        <v>3</v>
      </c>
      <c r="X132" s="2" t="s">
        <v>385</v>
      </c>
      <c r="Y132" s="2">
        <v>5</v>
      </c>
      <c r="Z132" s="2">
        <v>5</v>
      </c>
      <c r="AF132" s="2">
        <f t="shared" si="19"/>
        <v>10</v>
      </c>
      <c r="AG132" s="2">
        <f t="shared" si="20"/>
        <v>4</v>
      </c>
      <c r="AH132" s="2">
        <f t="shared" si="21"/>
        <v>3</v>
      </c>
      <c r="AI132" s="2">
        <f t="shared" si="22"/>
        <v>0</v>
      </c>
      <c r="AJ132" s="2">
        <f t="shared" si="23"/>
        <v>0</v>
      </c>
      <c r="AK132" s="2">
        <f t="shared" si="24"/>
        <v>0</v>
      </c>
      <c r="AL132" s="2">
        <f t="shared" si="25"/>
        <v>0</v>
      </c>
      <c r="AM132" s="2">
        <f t="shared" si="26"/>
        <v>0</v>
      </c>
      <c r="AP132" s="2">
        <v>7</v>
      </c>
      <c r="AQ132" s="180" t="s">
        <v>299</v>
      </c>
      <c r="AS132" s="309">
        <v>7</v>
      </c>
      <c r="AW132" s="310"/>
      <c r="BC132" s="218">
        <v>7</v>
      </c>
      <c r="BH132" s="2">
        <v>514440</v>
      </c>
      <c r="BI132" s="2">
        <v>171238</v>
      </c>
      <c r="BJ132" s="2" t="s">
        <v>391</v>
      </c>
      <c r="BL132" s="2" t="s">
        <v>174</v>
      </c>
      <c r="BO132" s="2" t="s">
        <v>141</v>
      </c>
      <c r="BP132" s="2" t="s">
        <v>560</v>
      </c>
      <c r="BS132" s="240" t="s">
        <v>148</v>
      </c>
      <c r="BT132" s="2" t="s">
        <v>561</v>
      </c>
    </row>
    <row r="133" spans="1:72" x14ac:dyDescent="0.25">
      <c r="A133" s="2" t="s">
        <v>891</v>
      </c>
      <c r="B133" s="2" t="s">
        <v>404</v>
      </c>
      <c r="D133" s="4">
        <v>43368</v>
      </c>
      <c r="E133" s="4">
        <v>44464</v>
      </c>
      <c r="F133" s="4">
        <v>43739</v>
      </c>
      <c r="H133" s="2" t="s">
        <v>218</v>
      </c>
      <c r="I133" s="2" t="s">
        <v>254</v>
      </c>
      <c r="K133" s="2" t="s">
        <v>892</v>
      </c>
      <c r="L133" s="2" t="s">
        <v>893</v>
      </c>
      <c r="M133" s="2" t="s">
        <v>894</v>
      </c>
      <c r="P133" s="2">
        <v>1</v>
      </c>
      <c r="W133" s="2">
        <f t="shared" si="18"/>
        <v>1</v>
      </c>
      <c r="X133" s="2" t="s">
        <v>385</v>
      </c>
      <c r="Z133" s="2">
        <v>1</v>
      </c>
      <c r="AF133" s="2">
        <f t="shared" si="19"/>
        <v>1</v>
      </c>
      <c r="AG133" s="2">
        <f t="shared" si="20"/>
        <v>0</v>
      </c>
      <c r="AH133" s="2">
        <f t="shared" si="21"/>
        <v>1</v>
      </c>
      <c r="AI133" s="2">
        <f t="shared" si="22"/>
        <v>-1</v>
      </c>
      <c r="AJ133" s="2">
        <f t="shared" si="23"/>
        <v>0</v>
      </c>
      <c r="AK133" s="2">
        <f t="shared" si="24"/>
        <v>0</v>
      </c>
      <c r="AL133" s="2">
        <f t="shared" si="25"/>
        <v>0</v>
      </c>
      <c r="AM133" s="2">
        <f t="shared" si="26"/>
        <v>0</v>
      </c>
      <c r="AP133" s="2">
        <v>0</v>
      </c>
      <c r="AS133" s="309">
        <v>0</v>
      </c>
      <c r="AW133" s="310"/>
      <c r="BC133" s="218">
        <v>0</v>
      </c>
      <c r="BH133" s="2">
        <v>514005</v>
      </c>
      <c r="BI133" s="2">
        <v>169556</v>
      </c>
      <c r="BJ133" s="2" t="s">
        <v>512</v>
      </c>
      <c r="BL133" s="2" t="s">
        <v>157</v>
      </c>
      <c r="BO133" s="2" t="s">
        <v>141</v>
      </c>
      <c r="BP133" s="2" t="s">
        <v>895</v>
      </c>
      <c r="BS133" s="240" t="s">
        <v>148</v>
      </c>
      <c r="BT133" s="2" t="s">
        <v>896</v>
      </c>
    </row>
    <row r="134" spans="1:72" x14ac:dyDescent="0.25">
      <c r="A134" s="2" t="s">
        <v>897</v>
      </c>
      <c r="B134" s="2" t="s">
        <v>382</v>
      </c>
      <c r="D134" s="4">
        <v>43377</v>
      </c>
      <c r="E134" s="4">
        <v>44473</v>
      </c>
      <c r="F134" s="4">
        <v>44005</v>
      </c>
      <c r="H134" s="2" t="s">
        <v>218</v>
      </c>
      <c r="I134" s="2" t="s">
        <v>254</v>
      </c>
      <c r="K134" s="2" t="s">
        <v>898</v>
      </c>
      <c r="L134" s="2" t="s">
        <v>899</v>
      </c>
      <c r="M134" s="2" t="s">
        <v>900</v>
      </c>
      <c r="Q134" s="2">
        <v>1</v>
      </c>
      <c r="W134" s="2">
        <f t="shared" si="18"/>
        <v>1</v>
      </c>
      <c r="X134" s="2" t="s">
        <v>385</v>
      </c>
      <c r="AB134" s="2">
        <v>1</v>
      </c>
      <c r="AF134" s="2">
        <f t="shared" si="19"/>
        <v>1</v>
      </c>
      <c r="AG134" s="2">
        <f t="shared" si="20"/>
        <v>0</v>
      </c>
      <c r="AH134" s="2">
        <f t="shared" si="21"/>
        <v>0</v>
      </c>
      <c r="AI134" s="2">
        <f t="shared" si="22"/>
        <v>0</v>
      </c>
      <c r="AJ134" s="2">
        <f t="shared" si="23"/>
        <v>0</v>
      </c>
      <c r="AK134" s="2">
        <f t="shared" si="24"/>
        <v>0</v>
      </c>
      <c r="AL134" s="2">
        <f t="shared" si="25"/>
        <v>0</v>
      </c>
      <c r="AM134" s="2">
        <f t="shared" si="26"/>
        <v>0</v>
      </c>
      <c r="AP134" s="2">
        <v>0</v>
      </c>
      <c r="AS134" s="309">
        <v>0</v>
      </c>
      <c r="AW134" s="310"/>
      <c r="BC134" s="218">
        <v>0</v>
      </c>
      <c r="BH134" s="2">
        <v>518695</v>
      </c>
      <c r="BI134" s="2">
        <v>174476</v>
      </c>
      <c r="BJ134" s="2" t="s">
        <v>401</v>
      </c>
      <c r="BL134" s="2" t="s">
        <v>164</v>
      </c>
    </row>
    <row r="135" spans="1:72" x14ac:dyDescent="0.25">
      <c r="A135" s="2" t="s">
        <v>901</v>
      </c>
      <c r="B135" s="2" t="s">
        <v>382</v>
      </c>
      <c r="D135" s="4">
        <v>43384</v>
      </c>
      <c r="E135" s="4">
        <v>44480</v>
      </c>
      <c r="F135" s="4">
        <v>43752</v>
      </c>
      <c r="H135" s="2" t="s">
        <v>218</v>
      </c>
      <c r="I135" s="2" t="s">
        <v>301</v>
      </c>
      <c r="K135" s="2" t="s">
        <v>902</v>
      </c>
      <c r="L135" s="2" t="s">
        <v>903</v>
      </c>
      <c r="M135" s="2" t="s">
        <v>904</v>
      </c>
      <c r="N135" s="2">
        <v>29</v>
      </c>
      <c r="O135" s="2">
        <v>1</v>
      </c>
      <c r="W135" s="2">
        <f t="shared" si="18"/>
        <v>30</v>
      </c>
      <c r="X135" s="2" t="s">
        <v>299</v>
      </c>
      <c r="Y135" s="2">
        <v>24</v>
      </c>
      <c r="AF135" s="2">
        <f t="shared" si="19"/>
        <v>24</v>
      </c>
      <c r="AG135" s="2">
        <f t="shared" si="20"/>
        <v>-5</v>
      </c>
      <c r="AH135" s="2">
        <f t="shared" si="21"/>
        <v>-1</v>
      </c>
      <c r="AI135" s="2">
        <f t="shared" si="22"/>
        <v>0</v>
      </c>
      <c r="AJ135" s="2">
        <f t="shared" si="23"/>
        <v>0</v>
      </c>
      <c r="AK135" s="2">
        <f t="shared" si="24"/>
        <v>0</v>
      </c>
      <c r="AL135" s="2">
        <f t="shared" si="25"/>
        <v>0</v>
      </c>
      <c r="AM135" s="2">
        <f t="shared" si="26"/>
        <v>0</v>
      </c>
      <c r="AP135" s="2">
        <v>-6</v>
      </c>
      <c r="AQ135" s="180" t="s">
        <v>299</v>
      </c>
      <c r="AS135" s="309"/>
      <c r="AT135" s="180">
        <v>-6</v>
      </c>
      <c r="AW135" s="310"/>
      <c r="BC135" s="218">
        <v>-6</v>
      </c>
      <c r="BE135" s="2" t="s">
        <v>299</v>
      </c>
      <c r="BF135" s="2" t="s">
        <v>299</v>
      </c>
      <c r="BH135" s="2">
        <v>513257</v>
      </c>
      <c r="BI135" s="2">
        <v>174057</v>
      </c>
      <c r="BJ135" s="2" t="s">
        <v>622</v>
      </c>
      <c r="BL135" s="2" t="s">
        <v>144</v>
      </c>
    </row>
    <row r="136" spans="1:72" x14ac:dyDescent="0.25">
      <c r="A136" s="2" t="s">
        <v>905</v>
      </c>
      <c r="B136" s="2" t="s">
        <v>382</v>
      </c>
      <c r="D136" s="4">
        <v>43385</v>
      </c>
      <c r="E136" s="4">
        <v>44550</v>
      </c>
      <c r="F136" s="3">
        <v>44075</v>
      </c>
      <c r="H136" s="2" t="s">
        <v>218</v>
      </c>
      <c r="I136" s="2" t="s">
        <v>254</v>
      </c>
      <c r="K136" s="2" t="s">
        <v>906</v>
      </c>
      <c r="L136" s="2" t="s">
        <v>907</v>
      </c>
      <c r="M136" s="2" t="s">
        <v>908</v>
      </c>
      <c r="W136" s="2">
        <f t="shared" si="18"/>
        <v>0</v>
      </c>
      <c r="X136" s="2" t="s">
        <v>385</v>
      </c>
      <c r="Y136" s="2">
        <v>1</v>
      </c>
      <c r="AF136" s="2">
        <f t="shared" si="19"/>
        <v>1</v>
      </c>
      <c r="AG136" s="2">
        <f t="shared" si="20"/>
        <v>1</v>
      </c>
      <c r="AH136" s="2">
        <f t="shared" si="21"/>
        <v>0</v>
      </c>
      <c r="AI136" s="2">
        <f t="shared" si="22"/>
        <v>0</v>
      </c>
      <c r="AJ136" s="2">
        <f t="shared" si="23"/>
        <v>0</v>
      </c>
      <c r="AK136" s="2">
        <f t="shared" si="24"/>
        <v>0</v>
      </c>
      <c r="AL136" s="2">
        <f t="shared" si="25"/>
        <v>0</v>
      </c>
      <c r="AM136" s="2">
        <f t="shared" si="26"/>
        <v>0</v>
      </c>
      <c r="AP136" s="2">
        <v>1</v>
      </c>
      <c r="AS136" s="309">
        <v>1</v>
      </c>
      <c r="AW136" s="310"/>
      <c r="BC136" s="218">
        <v>1</v>
      </c>
      <c r="BH136" s="2">
        <v>517388</v>
      </c>
      <c r="BI136" s="2">
        <v>170706</v>
      </c>
      <c r="BJ136" s="2" t="s">
        <v>443</v>
      </c>
      <c r="BK136" s="2" t="s">
        <v>147</v>
      </c>
      <c r="BL136" s="2" t="s">
        <v>159</v>
      </c>
    </row>
    <row r="137" spans="1:72" x14ac:dyDescent="0.25">
      <c r="A137" s="2" t="s">
        <v>909</v>
      </c>
      <c r="B137" s="2" t="s">
        <v>434</v>
      </c>
      <c r="D137" s="4">
        <v>43439</v>
      </c>
      <c r="E137" s="4">
        <v>44535</v>
      </c>
      <c r="F137" s="4">
        <v>43780</v>
      </c>
      <c r="H137" s="2" t="s">
        <v>218</v>
      </c>
      <c r="I137" s="2" t="s">
        <v>254</v>
      </c>
      <c r="K137" s="2" t="s">
        <v>910</v>
      </c>
      <c r="L137" s="2" t="s">
        <v>911</v>
      </c>
      <c r="M137" s="2" t="s">
        <v>912</v>
      </c>
      <c r="Q137" s="2">
        <v>1</v>
      </c>
      <c r="W137" s="2">
        <f t="shared" si="18"/>
        <v>1</v>
      </c>
      <c r="X137" s="2" t="s">
        <v>385</v>
      </c>
      <c r="Y137" s="2">
        <v>1</v>
      </c>
      <c r="AA137" s="2">
        <v>1</v>
      </c>
      <c r="AF137" s="2">
        <f t="shared" si="19"/>
        <v>2</v>
      </c>
      <c r="AG137" s="2">
        <f t="shared" si="20"/>
        <v>1</v>
      </c>
      <c r="AH137" s="2">
        <f t="shared" si="21"/>
        <v>0</v>
      </c>
      <c r="AI137" s="2">
        <f t="shared" si="22"/>
        <v>1</v>
      </c>
      <c r="AJ137" s="2">
        <f t="shared" si="23"/>
        <v>-1</v>
      </c>
      <c r="AK137" s="2">
        <f t="shared" si="24"/>
        <v>0</v>
      </c>
      <c r="AL137" s="2">
        <f t="shared" si="25"/>
        <v>0</v>
      </c>
      <c r="AM137" s="2">
        <f t="shared" si="26"/>
        <v>0</v>
      </c>
      <c r="AP137" s="2">
        <v>1</v>
      </c>
      <c r="AS137" s="309">
        <v>1</v>
      </c>
      <c r="AW137" s="310"/>
      <c r="BC137" s="218">
        <v>1</v>
      </c>
      <c r="BH137" s="2">
        <v>520283</v>
      </c>
      <c r="BI137" s="2">
        <v>175305</v>
      </c>
      <c r="BJ137" s="2" t="s">
        <v>481</v>
      </c>
      <c r="BL137" s="2" t="s">
        <v>137</v>
      </c>
      <c r="BM137" s="2" t="s">
        <v>137</v>
      </c>
    </row>
    <row r="138" spans="1:72" x14ac:dyDescent="0.25">
      <c r="A138" s="2" t="s">
        <v>913</v>
      </c>
      <c r="B138" s="2" t="s">
        <v>404</v>
      </c>
      <c r="D138" s="4">
        <v>43455</v>
      </c>
      <c r="E138" s="4">
        <v>44551</v>
      </c>
      <c r="F138" s="3">
        <v>44075</v>
      </c>
      <c r="H138" s="2" t="s">
        <v>218</v>
      </c>
      <c r="I138" s="2" t="s">
        <v>254</v>
      </c>
      <c r="K138" s="2" t="s">
        <v>914</v>
      </c>
      <c r="L138" s="2" t="s">
        <v>915</v>
      </c>
      <c r="M138" s="2" t="s">
        <v>916</v>
      </c>
      <c r="N138" s="2">
        <v>1</v>
      </c>
      <c r="W138" s="2">
        <f t="shared" si="18"/>
        <v>1</v>
      </c>
      <c r="X138" s="2" t="s">
        <v>385</v>
      </c>
      <c r="Y138" s="2">
        <v>2</v>
      </c>
      <c r="AF138" s="2">
        <f t="shared" si="19"/>
        <v>2</v>
      </c>
      <c r="AG138" s="2">
        <f t="shared" si="20"/>
        <v>1</v>
      </c>
      <c r="AH138" s="2">
        <f t="shared" si="21"/>
        <v>0</v>
      </c>
      <c r="AI138" s="2">
        <f t="shared" si="22"/>
        <v>0</v>
      </c>
      <c r="AJ138" s="2">
        <f t="shared" si="23"/>
        <v>0</v>
      </c>
      <c r="AK138" s="2">
        <f t="shared" si="24"/>
        <v>0</v>
      </c>
      <c r="AL138" s="2">
        <f t="shared" si="25"/>
        <v>0</v>
      </c>
      <c r="AM138" s="2">
        <f t="shared" si="26"/>
        <v>0</v>
      </c>
      <c r="AP138" s="2">
        <v>1</v>
      </c>
      <c r="AS138" s="309">
        <v>1</v>
      </c>
      <c r="AW138" s="310"/>
      <c r="BC138" s="218">
        <v>1</v>
      </c>
      <c r="BH138" s="2">
        <v>518862</v>
      </c>
      <c r="BI138" s="2">
        <v>175562</v>
      </c>
      <c r="BJ138" s="2" t="s">
        <v>407</v>
      </c>
      <c r="BL138" s="2" t="s">
        <v>163</v>
      </c>
    </row>
    <row r="139" spans="1:72" x14ac:dyDescent="0.25">
      <c r="A139" s="2" t="s">
        <v>917</v>
      </c>
      <c r="B139" s="2" t="s">
        <v>404</v>
      </c>
      <c r="C139" s="2" t="s">
        <v>228</v>
      </c>
      <c r="D139" s="4">
        <v>43462</v>
      </c>
      <c r="E139" s="4">
        <v>44558</v>
      </c>
      <c r="F139" s="3">
        <v>44256</v>
      </c>
      <c r="H139" s="2" t="s">
        <v>218</v>
      </c>
      <c r="I139" s="2" t="s">
        <v>254</v>
      </c>
      <c r="K139" s="2" t="s">
        <v>918</v>
      </c>
      <c r="L139" s="2" t="s">
        <v>919</v>
      </c>
      <c r="M139" s="2" t="s">
        <v>634</v>
      </c>
      <c r="W139" s="2">
        <f t="shared" si="18"/>
        <v>0</v>
      </c>
      <c r="X139" s="2" t="s">
        <v>385</v>
      </c>
      <c r="Y139" s="2">
        <v>1</v>
      </c>
      <c r="AF139" s="2">
        <f t="shared" si="19"/>
        <v>1</v>
      </c>
      <c r="AG139" s="2">
        <f t="shared" si="20"/>
        <v>1</v>
      </c>
      <c r="AH139" s="2">
        <f t="shared" si="21"/>
        <v>0</v>
      </c>
      <c r="AI139" s="2">
        <f t="shared" si="22"/>
        <v>0</v>
      </c>
      <c r="AJ139" s="2">
        <f t="shared" si="23"/>
        <v>0</v>
      </c>
      <c r="AK139" s="2">
        <f t="shared" si="24"/>
        <v>0</v>
      </c>
      <c r="AL139" s="2">
        <f t="shared" si="25"/>
        <v>0</v>
      </c>
      <c r="AM139" s="2">
        <f t="shared" si="26"/>
        <v>0</v>
      </c>
      <c r="AP139" s="2">
        <v>1</v>
      </c>
      <c r="AS139" s="309">
        <v>1</v>
      </c>
      <c r="AW139" s="310"/>
      <c r="BC139" s="218">
        <v>1</v>
      </c>
      <c r="BH139" s="2">
        <v>515394</v>
      </c>
      <c r="BI139" s="2">
        <v>171656</v>
      </c>
      <c r="BJ139" s="2" t="s">
        <v>391</v>
      </c>
      <c r="BL139" s="2" t="s">
        <v>174</v>
      </c>
    </row>
    <row r="140" spans="1:72" x14ac:dyDescent="0.25">
      <c r="A140" s="2" t="s">
        <v>920</v>
      </c>
      <c r="B140" s="2" t="s">
        <v>404</v>
      </c>
      <c r="C140" s="2" t="s">
        <v>228</v>
      </c>
      <c r="D140" s="4">
        <v>43483</v>
      </c>
      <c r="E140" s="4">
        <v>44579</v>
      </c>
      <c r="F140" s="4">
        <v>43784</v>
      </c>
      <c r="G140" s="3">
        <v>44393</v>
      </c>
      <c r="H140" s="2" t="s">
        <v>218</v>
      </c>
      <c r="I140" s="2" t="s">
        <v>254</v>
      </c>
      <c r="K140" s="2" t="s">
        <v>921</v>
      </c>
      <c r="L140" s="2" t="s">
        <v>922</v>
      </c>
      <c r="M140" s="2" t="s">
        <v>923</v>
      </c>
      <c r="W140" s="2">
        <f t="shared" si="18"/>
        <v>0</v>
      </c>
      <c r="X140" s="2" t="s">
        <v>385</v>
      </c>
      <c r="Y140" s="2">
        <v>7</v>
      </c>
      <c r="Z140" s="2">
        <v>1</v>
      </c>
      <c r="AF140" s="2">
        <f t="shared" si="19"/>
        <v>8</v>
      </c>
      <c r="AG140" s="2">
        <f t="shared" si="20"/>
        <v>7</v>
      </c>
      <c r="AH140" s="2">
        <f t="shared" si="21"/>
        <v>1</v>
      </c>
      <c r="AI140" s="2">
        <f t="shared" si="22"/>
        <v>0</v>
      </c>
      <c r="AJ140" s="2">
        <f t="shared" si="23"/>
        <v>0</v>
      </c>
      <c r="AK140" s="2">
        <f t="shared" si="24"/>
        <v>0</v>
      </c>
      <c r="AL140" s="2">
        <f t="shared" si="25"/>
        <v>0</v>
      </c>
      <c r="AM140" s="2">
        <f t="shared" si="26"/>
        <v>0</v>
      </c>
      <c r="AP140" s="2">
        <v>8</v>
      </c>
      <c r="AS140" s="309">
        <v>8</v>
      </c>
      <c r="AW140" s="310"/>
      <c r="BC140" s="218">
        <v>8</v>
      </c>
      <c r="BH140" s="2">
        <v>517565</v>
      </c>
      <c r="BI140" s="2">
        <v>169582</v>
      </c>
      <c r="BJ140" s="2" t="s">
        <v>443</v>
      </c>
      <c r="BL140" s="2" t="s">
        <v>159</v>
      </c>
      <c r="BO140" s="2" t="s">
        <v>141</v>
      </c>
      <c r="BP140" s="2" t="s">
        <v>159</v>
      </c>
      <c r="BS140" s="240" t="s">
        <v>148</v>
      </c>
      <c r="BT140" s="2" t="s">
        <v>444</v>
      </c>
    </row>
    <row r="141" spans="1:72" x14ac:dyDescent="0.25">
      <c r="A141" s="2" t="s">
        <v>924</v>
      </c>
      <c r="B141" s="2" t="s">
        <v>404</v>
      </c>
      <c r="D141" s="4">
        <v>43532</v>
      </c>
      <c r="E141" s="4">
        <v>44628</v>
      </c>
      <c r="F141" s="4">
        <v>43553</v>
      </c>
      <c r="H141" s="2" t="s">
        <v>218</v>
      </c>
      <c r="I141" s="2" t="s">
        <v>254</v>
      </c>
      <c r="K141" s="2" t="s">
        <v>925</v>
      </c>
      <c r="L141" s="2" t="s">
        <v>926</v>
      </c>
      <c r="M141" s="2" t="s">
        <v>572</v>
      </c>
      <c r="W141" s="2">
        <f t="shared" si="18"/>
        <v>0</v>
      </c>
      <c r="X141" s="2" t="s">
        <v>385</v>
      </c>
      <c r="AA141" s="2">
        <v>1</v>
      </c>
      <c r="AF141" s="2">
        <f t="shared" si="19"/>
        <v>1</v>
      </c>
      <c r="AG141" s="2">
        <f t="shared" si="20"/>
        <v>0</v>
      </c>
      <c r="AH141" s="2">
        <f t="shared" si="21"/>
        <v>0</v>
      </c>
      <c r="AI141" s="2">
        <f t="shared" si="22"/>
        <v>1</v>
      </c>
      <c r="AJ141" s="2">
        <f t="shared" si="23"/>
        <v>0</v>
      </c>
      <c r="AK141" s="2">
        <f t="shared" si="24"/>
        <v>0</v>
      </c>
      <c r="AL141" s="2">
        <f t="shared" si="25"/>
        <v>0</v>
      </c>
      <c r="AM141" s="2">
        <f t="shared" si="26"/>
        <v>0</v>
      </c>
      <c r="AP141" s="2">
        <v>1</v>
      </c>
      <c r="AS141" s="309">
        <v>1</v>
      </c>
      <c r="AW141" s="310"/>
      <c r="BC141" s="218">
        <v>1</v>
      </c>
      <c r="BH141" s="2">
        <v>516022</v>
      </c>
      <c r="BI141" s="2">
        <v>171099</v>
      </c>
      <c r="BJ141" s="2" t="s">
        <v>498</v>
      </c>
      <c r="BL141" s="2" t="s">
        <v>140</v>
      </c>
      <c r="BM141" s="2" t="s">
        <v>140</v>
      </c>
      <c r="BS141" s="240" t="s">
        <v>148</v>
      </c>
      <c r="BT141" s="2" t="s">
        <v>573</v>
      </c>
    </row>
    <row r="142" spans="1:72" x14ac:dyDescent="0.25">
      <c r="A142" s="2" t="s">
        <v>927</v>
      </c>
      <c r="B142" s="2" t="s">
        <v>404</v>
      </c>
      <c r="C142" s="2" t="s">
        <v>228</v>
      </c>
      <c r="D142" s="4">
        <v>43536</v>
      </c>
      <c r="E142" s="4">
        <v>44633</v>
      </c>
      <c r="F142" s="4">
        <v>43556</v>
      </c>
      <c r="G142" s="3">
        <v>44321</v>
      </c>
      <c r="H142" s="2" t="s">
        <v>218</v>
      </c>
      <c r="I142" s="2" t="s">
        <v>254</v>
      </c>
      <c r="K142" s="2" t="s">
        <v>928</v>
      </c>
      <c r="L142" s="2" t="s">
        <v>929</v>
      </c>
      <c r="M142" s="2" t="s">
        <v>930</v>
      </c>
      <c r="W142" s="2">
        <f t="shared" si="18"/>
        <v>0</v>
      </c>
      <c r="X142" s="2" t="s">
        <v>385</v>
      </c>
      <c r="Y142" s="2">
        <v>3</v>
      </c>
      <c r="Z142" s="2">
        <v>1</v>
      </c>
      <c r="AF142" s="2">
        <f t="shared" si="19"/>
        <v>4</v>
      </c>
      <c r="AG142" s="2">
        <f t="shared" si="20"/>
        <v>3</v>
      </c>
      <c r="AH142" s="2">
        <f t="shared" si="21"/>
        <v>1</v>
      </c>
      <c r="AI142" s="2">
        <f t="shared" si="22"/>
        <v>0</v>
      </c>
      <c r="AJ142" s="2">
        <f t="shared" si="23"/>
        <v>0</v>
      </c>
      <c r="AK142" s="2">
        <f t="shared" si="24"/>
        <v>0</v>
      </c>
      <c r="AL142" s="2">
        <f t="shared" si="25"/>
        <v>0</v>
      </c>
      <c r="AM142" s="2">
        <f t="shared" si="26"/>
        <v>0</v>
      </c>
      <c r="AP142" s="2">
        <v>4</v>
      </c>
      <c r="AS142" s="309">
        <v>4</v>
      </c>
      <c r="AW142" s="310"/>
      <c r="BC142" s="218">
        <v>4</v>
      </c>
      <c r="BH142" s="2">
        <v>515383</v>
      </c>
      <c r="BI142" s="2">
        <v>173139</v>
      </c>
      <c r="BJ142" s="2" t="s">
        <v>503</v>
      </c>
      <c r="BL142" s="2" t="s">
        <v>165</v>
      </c>
    </row>
    <row r="143" spans="1:72" x14ac:dyDescent="0.25">
      <c r="A143" s="2" t="s">
        <v>931</v>
      </c>
      <c r="B143" s="2" t="s">
        <v>404</v>
      </c>
      <c r="C143" s="2" t="s">
        <v>228</v>
      </c>
      <c r="D143" s="4">
        <v>43543</v>
      </c>
      <c r="E143" s="4">
        <v>44639</v>
      </c>
      <c r="F143" s="3">
        <v>44013</v>
      </c>
      <c r="H143" s="2" t="s">
        <v>218</v>
      </c>
      <c r="I143" s="2" t="s">
        <v>254</v>
      </c>
      <c r="K143" s="2" t="s">
        <v>932</v>
      </c>
      <c r="L143" s="2" t="s">
        <v>933</v>
      </c>
      <c r="M143" s="2" t="s">
        <v>934</v>
      </c>
      <c r="W143" s="2">
        <f t="shared" si="18"/>
        <v>0</v>
      </c>
      <c r="X143" s="2" t="s">
        <v>385</v>
      </c>
      <c r="Z143" s="2">
        <v>2</v>
      </c>
      <c r="AF143" s="2">
        <f t="shared" si="19"/>
        <v>2</v>
      </c>
      <c r="AG143" s="2">
        <f t="shared" si="20"/>
        <v>0</v>
      </c>
      <c r="AH143" s="2">
        <f t="shared" si="21"/>
        <v>2</v>
      </c>
      <c r="AI143" s="2">
        <f t="shared" si="22"/>
        <v>0</v>
      </c>
      <c r="AJ143" s="2">
        <f t="shared" si="23"/>
        <v>0</v>
      </c>
      <c r="AK143" s="2">
        <f t="shared" si="24"/>
        <v>0</v>
      </c>
      <c r="AL143" s="2">
        <f t="shared" si="25"/>
        <v>0</v>
      </c>
      <c r="AM143" s="2">
        <f t="shared" si="26"/>
        <v>0</v>
      </c>
      <c r="AP143" s="2">
        <v>2</v>
      </c>
      <c r="AS143" s="309"/>
      <c r="AT143" s="180">
        <v>2</v>
      </c>
      <c r="AW143" s="310"/>
      <c r="BC143" s="218">
        <v>2</v>
      </c>
      <c r="BH143" s="2">
        <v>522531</v>
      </c>
      <c r="BI143" s="2">
        <v>177884</v>
      </c>
      <c r="BJ143" s="2" t="s">
        <v>418</v>
      </c>
      <c r="BL143" s="2" t="s">
        <v>154</v>
      </c>
      <c r="BS143" s="240" t="s">
        <v>148</v>
      </c>
      <c r="BT143" s="2" t="s">
        <v>419</v>
      </c>
    </row>
    <row r="144" spans="1:72" x14ac:dyDescent="0.25">
      <c r="A144" s="2" t="s">
        <v>935</v>
      </c>
      <c r="B144" s="2" t="s">
        <v>404</v>
      </c>
      <c r="D144" s="4">
        <v>43550</v>
      </c>
      <c r="E144" s="4">
        <v>44646</v>
      </c>
      <c r="F144" s="4">
        <v>43843</v>
      </c>
      <c r="H144" s="2" t="s">
        <v>218</v>
      </c>
      <c r="I144" s="2" t="s">
        <v>254</v>
      </c>
      <c r="K144" s="2" t="s">
        <v>936</v>
      </c>
      <c r="L144" s="2" t="s">
        <v>937</v>
      </c>
      <c r="M144" s="2" t="s">
        <v>938</v>
      </c>
      <c r="W144" s="2">
        <f t="shared" si="18"/>
        <v>0</v>
      </c>
      <c r="X144" s="2" t="s">
        <v>385</v>
      </c>
      <c r="AC144" s="2">
        <v>2</v>
      </c>
      <c r="AF144" s="2">
        <f t="shared" si="19"/>
        <v>2</v>
      </c>
      <c r="AG144" s="2">
        <f t="shared" si="20"/>
        <v>0</v>
      </c>
      <c r="AH144" s="2">
        <f t="shared" si="21"/>
        <v>0</v>
      </c>
      <c r="AI144" s="2">
        <f t="shared" si="22"/>
        <v>0</v>
      </c>
      <c r="AJ144" s="2">
        <f t="shared" si="23"/>
        <v>0</v>
      </c>
      <c r="AK144" s="2">
        <f t="shared" si="24"/>
        <v>2</v>
      </c>
      <c r="AL144" s="2">
        <f t="shared" si="25"/>
        <v>0</v>
      </c>
      <c r="AM144" s="2">
        <f t="shared" si="26"/>
        <v>0</v>
      </c>
      <c r="AP144" s="2">
        <v>2</v>
      </c>
      <c r="AS144" s="309"/>
      <c r="AT144" s="180">
        <v>2</v>
      </c>
      <c r="AW144" s="310"/>
      <c r="BC144" s="218">
        <v>2</v>
      </c>
      <c r="BH144" s="2">
        <v>513264</v>
      </c>
      <c r="BI144" s="2">
        <v>169738</v>
      </c>
      <c r="BJ144" s="2" t="s">
        <v>512</v>
      </c>
      <c r="BL144" s="2" t="s">
        <v>157</v>
      </c>
    </row>
    <row r="145" spans="1:72" x14ac:dyDescent="0.25">
      <c r="A145" s="2" t="s">
        <v>939</v>
      </c>
      <c r="B145" s="2" t="s">
        <v>404</v>
      </c>
      <c r="D145" s="4">
        <v>43661</v>
      </c>
      <c r="E145" s="4">
        <v>44757</v>
      </c>
      <c r="F145" s="4">
        <v>44249</v>
      </c>
      <c r="H145" s="2" t="s">
        <v>218</v>
      </c>
      <c r="I145" s="2" t="s">
        <v>250</v>
      </c>
      <c r="K145" s="2" t="s">
        <v>940</v>
      </c>
      <c r="L145" s="2" t="s">
        <v>941</v>
      </c>
      <c r="M145" s="2" t="s">
        <v>942</v>
      </c>
      <c r="W145" s="2">
        <f t="shared" si="18"/>
        <v>0</v>
      </c>
      <c r="X145" s="2" t="s">
        <v>299</v>
      </c>
      <c r="Z145" s="2">
        <v>7</v>
      </c>
      <c r="AA145" s="2">
        <v>3</v>
      </c>
      <c r="AB145" s="2">
        <v>1</v>
      </c>
      <c r="AF145" s="2">
        <f t="shared" si="19"/>
        <v>11</v>
      </c>
      <c r="AG145" s="2">
        <f t="shared" si="20"/>
        <v>0</v>
      </c>
      <c r="AH145" s="2">
        <f t="shared" si="21"/>
        <v>7</v>
      </c>
      <c r="AI145" s="2">
        <f t="shared" si="22"/>
        <v>3</v>
      </c>
      <c r="AJ145" s="2">
        <f t="shared" si="23"/>
        <v>1</v>
      </c>
      <c r="AK145" s="2">
        <f t="shared" si="24"/>
        <v>0</v>
      </c>
      <c r="AL145" s="2">
        <f t="shared" si="25"/>
        <v>0</v>
      </c>
      <c r="AM145" s="2">
        <f t="shared" si="26"/>
        <v>0</v>
      </c>
      <c r="AP145" s="2">
        <v>11</v>
      </c>
      <c r="AQ145" s="180" t="s">
        <v>299</v>
      </c>
      <c r="AS145" s="309"/>
      <c r="AT145" s="180">
        <v>5.5</v>
      </c>
      <c r="AU145" s="180">
        <v>5.5</v>
      </c>
      <c r="AW145" s="310"/>
      <c r="BC145" s="218">
        <v>11</v>
      </c>
      <c r="BH145" s="2">
        <v>518144</v>
      </c>
      <c r="BI145" s="2">
        <v>175553</v>
      </c>
      <c r="BJ145" s="2" t="s">
        <v>407</v>
      </c>
      <c r="BL145" s="2" t="s">
        <v>163</v>
      </c>
      <c r="BS145" s="240" t="s">
        <v>148</v>
      </c>
      <c r="BT145" s="2" t="s">
        <v>943</v>
      </c>
    </row>
    <row r="146" spans="1:72" x14ac:dyDescent="0.25">
      <c r="A146" s="2" t="s">
        <v>939</v>
      </c>
      <c r="B146" s="2" t="s">
        <v>404</v>
      </c>
      <c r="D146" s="4">
        <v>43661</v>
      </c>
      <c r="E146" s="4">
        <v>44757</v>
      </c>
      <c r="F146" s="4">
        <v>44249</v>
      </c>
      <c r="H146" s="2" t="s">
        <v>218</v>
      </c>
      <c r="I146" s="2" t="s">
        <v>187</v>
      </c>
      <c r="K146" s="2" t="s">
        <v>940</v>
      </c>
      <c r="L146" s="2" t="s">
        <v>941</v>
      </c>
      <c r="M146" s="2" t="s">
        <v>942</v>
      </c>
      <c r="W146" s="2">
        <f t="shared" si="18"/>
        <v>0</v>
      </c>
      <c r="X146" s="2" t="s">
        <v>299</v>
      </c>
      <c r="Y146" s="2">
        <v>4</v>
      </c>
      <c r="AF146" s="2">
        <f t="shared" si="19"/>
        <v>4</v>
      </c>
      <c r="AG146" s="2">
        <f t="shared" si="20"/>
        <v>4</v>
      </c>
      <c r="AH146" s="2">
        <f t="shared" si="21"/>
        <v>0</v>
      </c>
      <c r="AI146" s="2">
        <f t="shared" si="22"/>
        <v>0</v>
      </c>
      <c r="AJ146" s="2">
        <f t="shared" si="23"/>
        <v>0</v>
      </c>
      <c r="AK146" s="2">
        <f t="shared" si="24"/>
        <v>0</v>
      </c>
      <c r="AL146" s="2">
        <f t="shared" si="25"/>
        <v>0</v>
      </c>
      <c r="AM146" s="2">
        <f t="shared" si="26"/>
        <v>0</v>
      </c>
      <c r="AP146" s="2">
        <v>4</v>
      </c>
      <c r="AQ146" s="180" t="s">
        <v>299</v>
      </c>
      <c r="AS146" s="309"/>
      <c r="AT146" s="180">
        <v>2</v>
      </c>
      <c r="AU146" s="180">
        <v>2</v>
      </c>
      <c r="AW146" s="310"/>
      <c r="BC146" s="218">
        <v>4</v>
      </c>
      <c r="BH146" s="2">
        <v>518144</v>
      </c>
      <c r="BI146" s="2">
        <v>175553</v>
      </c>
      <c r="BJ146" s="2" t="s">
        <v>407</v>
      </c>
      <c r="BL146" s="2" t="s">
        <v>163</v>
      </c>
      <c r="BS146" s="240" t="s">
        <v>148</v>
      </c>
      <c r="BT146" s="2" t="s">
        <v>943</v>
      </c>
    </row>
    <row r="147" spans="1:72" x14ac:dyDescent="0.25">
      <c r="A147" s="2" t="s">
        <v>939</v>
      </c>
      <c r="B147" s="2" t="s">
        <v>404</v>
      </c>
      <c r="D147" s="4">
        <v>43661</v>
      </c>
      <c r="E147" s="4">
        <v>44757</v>
      </c>
      <c r="F147" s="4">
        <v>44249</v>
      </c>
      <c r="H147" s="2" t="s">
        <v>218</v>
      </c>
      <c r="I147" s="2" t="s">
        <v>254</v>
      </c>
      <c r="K147" s="2" t="s">
        <v>940</v>
      </c>
      <c r="L147" s="2" t="s">
        <v>941</v>
      </c>
      <c r="M147" s="2" t="s">
        <v>942</v>
      </c>
      <c r="W147" s="2">
        <f t="shared" si="18"/>
        <v>0</v>
      </c>
      <c r="X147" s="2" t="s">
        <v>385</v>
      </c>
      <c r="Y147" s="2">
        <v>22</v>
      </c>
      <c r="Z147" s="2">
        <v>30</v>
      </c>
      <c r="AA147" s="2">
        <v>2</v>
      </c>
      <c r="AB147" s="2">
        <v>2</v>
      </c>
      <c r="AF147" s="2">
        <f t="shared" si="19"/>
        <v>56</v>
      </c>
      <c r="AG147" s="2">
        <f t="shared" si="20"/>
        <v>22</v>
      </c>
      <c r="AH147" s="2">
        <f t="shared" si="21"/>
        <v>30</v>
      </c>
      <c r="AI147" s="2">
        <f t="shared" si="22"/>
        <v>2</v>
      </c>
      <c r="AJ147" s="2">
        <f t="shared" si="23"/>
        <v>2</v>
      </c>
      <c r="AK147" s="2">
        <f t="shared" si="24"/>
        <v>0</v>
      </c>
      <c r="AL147" s="2">
        <f t="shared" si="25"/>
        <v>0</v>
      </c>
      <c r="AM147" s="2">
        <f t="shared" si="26"/>
        <v>0</v>
      </c>
      <c r="AP147" s="2">
        <v>56</v>
      </c>
      <c r="AQ147" s="180" t="s">
        <v>299</v>
      </c>
      <c r="AS147" s="309"/>
      <c r="AT147" s="180">
        <v>28</v>
      </c>
      <c r="AU147" s="180">
        <v>28</v>
      </c>
      <c r="AW147" s="310"/>
      <c r="BC147" s="218">
        <v>56</v>
      </c>
      <c r="BH147" s="2">
        <v>518144</v>
      </c>
      <c r="BI147" s="2">
        <v>175553</v>
      </c>
      <c r="BJ147" s="2" t="s">
        <v>407</v>
      </c>
      <c r="BL147" s="2" t="s">
        <v>163</v>
      </c>
      <c r="BS147" s="240" t="s">
        <v>148</v>
      </c>
      <c r="BT147" s="2" t="s">
        <v>943</v>
      </c>
    </row>
    <row r="148" spans="1:72" x14ac:dyDescent="0.25">
      <c r="A148" s="2" t="s">
        <v>944</v>
      </c>
      <c r="B148" s="2" t="s">
        <v>382</v>
      </c>
      <c r="D148" s="4">
        <v>43671</v>
      </c>
      <c r="E148" s="4">
        <v>44767</v>
      </c>
      <c r="F148" s="4">
        <v>44224</v>
      </c>
      <c r="H148" s="2" t="s">
        <v>218</v>
      </c>
      <c r="I148" s="2" t="s">
        <v>254</v>
      </c>
      <c r="K148" s="2" t="s">
        <v>945</v>
      </c>
      <c r="L148" s="2" t="s">
        <v>946</v>
      </c>
      <c r="M148" s="2" t="s">
        <v>947</v>
      </c>
      <c r="W148" s="2">
        <f t="shared" si="18"/>
        <v>0</v>
      </c>
      <c r="X148" s="2" t="s">
        <v>385</v>
      </c>
      <c r="AA148" s="2">
        <v>1</v>
      </c>
      <c r="AF148" s="2">
        <f t="shared" si="19"/>
        <v>1</v>
      </c>
      <c r="AG148" s="2">
        <f t="shared" si="20"/>
        <v>0</v>
      </c>
      <c r="AH148" s="2">
        <f t="shared" si="21"/>
        <v>0</v>
      </c>
      <c r="AI148" s="2">
        <f t="shared" si="22"/>
        <v>1</v>
      </c>
      <c r="AJ148" s="2">
        <f t="shared" si="23"/>
        <v>0</v>
      </c>
      <c r="AK148" s="2">
        <f t="shared" si="24"/>
        <v>0</v>
      </c>
      <c r="AL148" s="2">
        <f t="shared" si="25"/>
        <v>0</v>
      </c>
      <c r="AM148" s="2">
        <f t="shared" si="26"/>
        <v>0</v>
      </c>
      <c r="AP148" s="2">
        <v>1</v>
      </c>
      <c r="AS148" s="309">
        <v>1</v>
      </c>
      <c r="AW148" s="310"/>
      <c r="BC148" s="218">
        <v>1</v>
      </c>
      <c r="BH148" s="2">
        <v>521611</v>
      </c>
      <c r="BI148" s="2">
        <v>175705</v>
      </c>
      <c r="BJ148" s="2" t="s">
        <v>449</v>
      </c>
      <c r="BL148" s="2" t="s">
        <v>175</v>
      </c>
    </row>
    <row r="149" spans="1:72" x14ac:dyDescent="0.25">
      <c r="A149" s="2" t="s">
        <v>948</v>
      </c>
      <c r="B149" s="2" t="s">
        <v>434</v>
      </c>
      <c r="D149" s="4">
        <v>43679</v>
      </c>
      <c r="E149" s="4">
        <v>44775</v>
      </c>
      <c r="F149" s="4">
        <v>43872</v>
      </c>
      <c r="H149" s="2" t="s">
        <v>218</v>
      </c>
      <c r="I149" s="2" t="s">
        <v>254</v>
      </c>
      <c r="K149" s="2" t="s">
        <v>949</v>
      </c>
      <c r="L149" s="2" t="s">
        <v>950</v>
      </c>
      <c r="M149" s="2" t="s">
        <v>887</v>
      </c>
      <c r="V149" s="2">
        <v>1</v>
      </c>
      <c r="W149" s="2">
        <f t="shared" si="18"/>
        <v>1</v>
      </c>
      <c r="X149" s="2" t="s">
        <v>385</v>
      </c>
      <c r="Y149" s="2">
        <v>4</v>
      </c>
      <c r="Z149" s="2">
        <v>3</v>
      </c>
      <c r="AF149" s="2">
        <f t="shared" si="19"/>
        <v>7</v>
      </c>
      <c r="AG149" s="2">
        <f t="shared" si="20"/>
        <v>4</v>
      </c>
      <c r="AH149" s="2">
        <f t="shared" si="21"/>
        <v>3</v>
      </c>
      <c r="AI149" s="2">
        <f t="shared" si="22"/>
        <v>0</v>
      </c>
      <c r="AJ149" s="2">
        <f t="shared" si="23"/>
        <v>0</v>
      </c>
      <c r="AK149" s="2">
        <f t="shared" si="24"/>
        <v>0</v>
      </c>
      <c r="AL149" s="2">
        <f t="shared" si="25"/>
        <v>0</v>
      </c>
      <c r="AM149" s="2">
        <f t="shared" si="26"/>
        <v>0</v>
      </c>
      <c r="AO149" s="2">
        <v>-1</v>
      </c>
      <c r="AP149" s="2">
        <v>6</v>
      </c>
      <c r="AS149" s="309">
        <v>6</v>
      </c>
      <c r="AW149" s="310"/>
      <c r="BC149" s="218">
        <v>6</v>
      </c>
      <c r="BH149" s="2">
        <v>517453</v>
      </c>
      <c r="BI149" s="2">
        <v>169423</v>
      </c>
      <c r="BJ149" s="2" t="s">
        <v>443</v>
      </c>
      <c r="BL149" s="2" t="s">
        <v>159</v>
      </c>
      <c r="BO149" s="2" t="s">
        <v>141</v>
      </c>
      <c r="BP149" s="2" t="s">
        <v>159</v>
      </c>
      <c r="BS149" s="240" t="s">
        <v>148</v>
      </c>
      <c r="BT149" s="2" t="s">
        <v>444</v>
      </c>
    </row>
    <row r="150" spans="1:72" x14ac:dyDescent="0.25">
      <c r="A150" s="2" t="s">
        <v>951</v>
      </c>
      <c r="B150" s="2" t="s">
        <v>382</v>
      </c>
      <c r="D150" s="4">
        <v>43690</v>
      </c>
      <c r="E150" s="4">
        <v>44786</v>
      </c>
      <c r="F150" s="3">
        <v>44286</v>
      </c>
      <c r="H150" s="2" t="s">
        <v>218</v>
      </c>
      <c r="I150" s="2" t="s">
        <v>250</v>
      </c>
      <c r="K150" s="2" t="s">
        <v>952</v>
      </c>
      <c r="L150" s="2" t="s">
        <v>953</v>
      </c>
      <c r="M150" s="2" t="s">
        <v>390</v>
      </c>
      <c r="W150" s="2">
        <f t="shared" si="18"/>
        <v>0</v>
      </c>
      <c r="X150" s="2" t="s">
        <v>299</v>
      </c>
      <c r="AA150" s="2">
        <v>3</v>
      </c>
      <c r="AB150" s="2">
        <v>2</v>
      </c>
      <c r="AF150" s="2">
        <f t="shared" si="19"/>
        <v>5</v>
      </c>
      <c r="AG150" s="2">
        <f t="shared" si="20"/>
        <v>0</v>
      </c>
      <c r="AH150" s="2">
        <f t="shared" si="21"/>
        <v>0</v>
      </c>
      <c r="AI150" s="2">
        <f t="shared" si="22"/>
        <v>3</v>
      </c>
      <c r="AJ150" s="2">
        <f t="shared" si="23"/>
        <v>2</v>
      </c>
      <c r="AK150" s="2">
        <f t="shared" si="24"/>
        <v>0</v>
      </c>
      <c r="AL150" s="2">
        <f t="shared" si="25"/>
        <v>0</v>
      </c>
      <c r="AM150" s="2">
        <f t="shared" si="26"/>
        <v>0</v>
      </c>
      <c r="AP150" s="2">
        <v>5</v>
      </c>
      <c r="AS150" s="309"/>
      <c r="AT150" s="180">
        <v>5</v>
      </c>
      <c r="AW150" s="310"/>
      <c r="BC150" s="218">
        <v>5</v>
      </c>
      <c r="BH150" s="2">
        <v>517328</v>
      </c>
      <c r="BI150" s="2">
        <v>170954</v>
      </c>
      <c r="BJ150" s="2" t="s">
        <v>443</v>
      </c>
      <c r="BL150" s="2" t="s">
        <v>159</v>
      </c>
    </row>
    <row r="151" spans="1:72" x14ac:dyDescent="0.25">
      <c r="A151" s="2" t="s">
        <v>954</v>
      </c>
      <c r="B151" s="2" t="s">
        <v>382</v>
      </c>
      <c r="D151" s="4">
        <v>43690</v>
      </c>
      <c r="E151" s="4">
        <v>44786</v>
      </c>
      <c r="F151" s="3">
        <v>44286</v>
      </c>
      <c r="H151" s="2" t="s">
        <v>218</v>
      </c>
      <c r="I151" s="2" t="s">
        <v>250</v>
      </c>
      <c r="K151" s="2" t="s">
        <v>955</v>
      </c>
      <c r="L151" s="2" t="s">
        <v>956</v>
      </c>
      <c r="M151" s="2" t="s">
        <v>390</v>
      </c>
      <c r="W151" s="2">
        <f t="shared" si="18"/>
        <v>0</v>
      </c>
      <c r="X151" s="2" t="s">
        <v>299</v>
      </c>
      <c r="AB151" s="2">
        <v>2</v>
      </c>
      <c r="AF151" s="2">
        <f t="shared" si="19"/>
        <v>2</v>
      </c>
      <c r="AG151" s="2">
        <f t="shared" si="20"/>
        <v>0</v>
      </c>
      <c r="AH151" s="2">
        <f t="shared" si="21"/>
        <v>0</v>
      </c>
      <c r="AI151" s="2">
        <f t="shared" si="22"/>
        <v>0</v>
      </c>
      <c r="AJ151" s="2">
        <f t="shared" si="23"/>
        <v>2</v>
      </c>
      <c r="AK151" s="2">
        <f t="shared" si="24"/>
        <v>0</v>
      </c>
      <c r="AL151" s="2">
        <f t="shared" si="25"/>
        <v>0</v>
      </c>
      <c r="AM151" s="2">
        <f t="shared" si="26"/>
        <v>0</v>
      </c>
      <c r="AP151" s="2">
        <v>2</v>
      </c>
      <c r="AS151" s="309"/>
      <c r="AT151" s="180">
        <v>2</v>
      </c>
      <c r="AW151" s="310"/>
      <c r="BC151" s="218">
        <v>2</v>
      </c>
      <c r="BH151" s="2">
        <v>517351</v>
      </c>
      <c r="BI151" s="2">
        <v>170884</v>
      </c>
      <c r="BJ151" s="2" t="s">
        <v>443</v>
      </c>
      <c r="BL151" s="2" t="s">
        <v>159</v>
      </c>
    </row>
    <row r="152" spans="1:72" x14ac:dyDescent="0.25">
      <c r="A152" s="2" t="s">
        <v>957</v>
      </c>
      <c r="B152" s="2" t="s">
        <v>434</v>
      </c>
      <c r="D152" s="4">
        <v>43698</v>
      </c>
      <c r="E152" s="4">
        <v>44794</v>
      </c>
      <c r="F152" s="4">
        <v>43773</v>
      </c>
      <c r="H152" s="2" t="s">
        <v>218</v>
      </c>
      <c r="I152" s="2" t="s">
        <v>254</v>
      </c>
      <c r="K152" s="2" t="s">
        <v>958</v>
      </c>
      <c r="L152" s="2" t="s">
        <v>959</v>
      </c>
      <c r="M152" s="2" t="s">
        <v>960</v>
      </c>
      <c r="N152" s="2">
        <v>1</v>
      </c>
      <c r="O152" s="2">
        <v>1</v>
      </c>
      <c r="W152" s="2">
        <f t="shared" si="18"/>
        <v>2</v>
      </c>
      <c r="X152" s="2" t="s">
        <v>385</v>
      </c>
      <c r="AC152" s="2">
        <v>1</v>
      </c>
      <c r="AF152" s="2">
        <f t="shared" si="19"/>
        <v>1</v>
      </c>
      <c r="AG152" s="2">
        <f t="shared" si="20"/>
        <v>-1</v>
      </c>
      <c r="AH152" s="2">
        <f t="shared" si="21"/>
        <v>-1</v>
      </c>
      <c r="AI152" s="2">
        <f t="shared" si="22"/>
        <v>0</v>
      </c>
      <c r="AJ152" s="2">
        <f t="shared" si="23"/>
        <v>0</v>
      </c>
      <c r="AK152" s="2">
        <f t="shared" si="24"/>
        <v>1</v>
      </c>
      <c r="AL152" s="2">
        <f t="shared" si="25"/>
        <v>0</v>
      </c>
      <c r="AM152" s="2">
        <f t="shared" si="26"/>
        <v>0</v>
      </c>
      <c r="AP152" s="2">
        <v>-1</v>
      </c>
      <c r="AS152" s="309">
        <v>-1</v>
      </c>
      <c r="AW152" s="310"/>
      <c r="BC152" s="218">
        <v>-1</v>
      </c>
      <c r="BH152" s="2">
        <v>518458</v>
      </c>
      <c r="BI152" s="2">
        <v>175501</v>
      </c>
      <c r="BJ152" s="2" t="s">
        <v>407</v>
      </c>
      <c r="BL152" s="2" t="s">
        <v>163</v>
      </c>
    </row>
    <row r="153" spans="1:72" x14ac:dyDescent="0.25">
      <c r="A153" s="2" t="s">
        <v>961</v>
      </c>
      <c r="B153" s="2" t="s">
        <v>404</v>
      </c>
      <c r="C153" s="2" t="s">
        <v>228</v>
      </c>
      <c r="D153" s="4">
        <v>43706</v>
      </c>
      <c r="E153" s="4">
        <v>44802</v>
      </c>
      <c r="F153" s="3">
        <v>44075</v>
      </c>
      <c r="H153" s="2" t="s">
        <v>218</v>
      </c>
      <c r="I153" s="2" t="s">
        <v>254</v>
      </c>
      <c r="K153" s="2" t="s">
        <v>962</v>
      </c>
      <c r="L153" s="2" t="s">
        <v>963</v>
      </c>
      <c r="M153" s="2" t="s">
        <v>964</v>
      </c>
      <c r="W153" s="2">
        <f t="shared" si="18"/>
        <v>0</v>
      </c>
      <c r="X153" s="2" t="s">
        <v>385</v>
      </c>
      <c r="Z153" s="2">
        <v>1</v>
      </c>
      <c r="AF153" s="2">
        <f t="shared" si="19"/>
        <v>1</v>
      </c>
      <c r="AG153" s="2">
        <f t="shared" si="20"/>
        <v>0</v>
      </c>
      <c r="AH153" s="2">
        <f t="shared" si="21"/>
        <v>1</v>
      </c>
      <c r="AI153" s="2">
        <f t="shared" si="22"/>
        <v>0</v>
      </c>
      <c r="AJ153" s="2">
        <f t="shared" si="23"/>
        <v>0</v>
      </c>
      <c r="AK153" s="2">
        <f t="shared" si="24"/>
        <v>0</v>
      </c>
      <c r="AL153" s="2">
        <f t="shared" si="25"/>
        <v>0</v>
      </c>
      <c r="AM153" s="2">
        <f t="shared" si="26"/>
        <v>0</v>
      </c>
      <c r="AP153" s="2">
        <v>1</v>
      </c>
      <c r="AS153" s="309">
        <v>1</v>
      </c>
      <c r="AW153" s="310"/>
      <c r="BC153" s="218">
        <v>1</v>
      </c>
      <c r="BH153" s="2">
        <v>514191</v>
      </c>
      <c r="BI153" s="2">
        <v>170734</v>
      </c>
      <c r="BJ153" s="2" t="s">
        <v>391</v>
      </c>
      <c r="BL153" s="2" t="s">
        <v>174</v>
      </c>
      <c r="BO153" s="2" t="s">
        <v>141</v>
      </c>
      <c r="BP153" s="2" t="s">
        <v>560</v>
      </c>
    </row>
    <row r="154" spans="1:72" x14ac:dyDescent="0.25">
      <c r="A154" s="2" t="s">
        <v>965</v>
      </c>
      <c r="B154" s="2" t="s">
        <v>434</v>
      </c>
      <c r="D154" s="4">
        <v>43731</v>
      </c>
      <c r="E154" s="4">
        <v>44827</v>
      </c>
      <c r="F154" s="3">
        <v>43952</v>
      </c>
      <c r="G154" s="3">
        <v>44361</v>
      </c>
      <c r="H154" s="2" t="s">
        <v>218</v>
      </c>
      <c r="I154" s="2" t="s">
        <v>254</v>
      </c>
      <c r="K154" s="2" t="s">
        <v>966</v>
      </c>
      <c r="L154" s="2" t="s">
        <v>967</v>
      </c>
      <c r="M154" s="2" t="s">
        <v>968</v>
      </c>
      <c r="N154" s="2">
        <v>1</v>
      </c>
      <c r="Q154" s="2">
        <v>1</v>
      </c>
      <c r="W154" s="2">
        <f t="shared" si="18"/>
        <v>2</v>
      </c>
      <c r="X154" s="2" t="s">
        <v>385</v>
      </c>
      <c r="AD154" s="2">
        <v>1</v>
      </c>
      <c r="AF154" s="2">
        <f t="shared" si="19"/>
        <v>1</v>
      </c>
      <c r="AG154" s="2">
        <f t="shared" si="20"/>
        <v>-1</v>
      </c>
      <c r="AH154" s="2">
        <f t="shared" si="21"/>
        <v>0</v>
      </c>
      <c r="AI154" s="2">
        <f t="shared" si="22"/>
        <v>0</v>
      </c>
      <c r="AJ154" s="2">
        <f t="shared" si="23"/>
        <v>-1</v>
      </c>
      <c r="AK154" s="2">
        <f t="shared" si="24"/>
        <v>0</v>
      </c>
      <c r="AL154" s="2">
        <f t="shared" si="25"/>
        <v>1</v>
      </c>
      <c r="AM154" s="2">
        <f t="shared" si="26"/>
        <v>0</v>
      </c>
      <c r="AP154" s="2">
        <v>-1</v>
      </c>
      <c r="AS154" s="309">
        <v>-1</v>
      </c>
      <c r="AW154" s="310"/>
      <c r="BC154" s="218">
        <v>-1</v>
      </c>
      <c r="BH154" s="2">
        <v>521753</v>
      </c>
      <c r="BI154" s="2">
        <v>176604</v>
      </c>
      <c r="BJ154" s="2" t="s">
        <v>418</v>
      </c>
      <c r="BL154" s="2" t="s">
        <v>154</v>
      </c>
    </row>
    <row r="155" spans="1:72" x14ac:dyDescent="0.25">
      <c r="A155" s="2" t="s">
        <v>969</v>
      </c>
      <c r="B155" s="2" t="s">
        <v>404</v>
      </c>
      <c r="C155" s="2" t="s">
        <v>228</v>
      </c>
      <c r="D155" s="4">
        <v>43738</v>
      </c>
      <c r="E155" s="4">
        <v>44834</v>
      </c>
      <c r="F155" s="4">
        <v>43878</v>
      </c>
      <c r="H155" s="2" t="s">
        <v>218</v>
      </c>
      <c r="I155" s="2" t="s">
        <v>254</v>
      </c>
      <c r="K155" s="2" t="s">
        <v>970</v>
      </c>
      <c r="L155" s="2" t="s">
        <v>971</v>
      </c>
      <c r="M155" s="2" t="s">
        <v>972</v>
      </c>
      <c r="W155" s="2">
        <f t="shared" si="18"/>
        <v>0</v>
      </c>
      <c r="X155" s="2" t="s">
        <v>385</v>
      </c>
      <c r="Z155" s="2">
        <v>4</v>
      </c>
      <c r="AF155" s="2">
        <f t="shared" si="19"/>
        <v>4</v>
      </c>
      <c r="AG155" s="2">
        <f t="shared" si="20"/>
        <v>0</v>
      </c>
      <c r="AH155" s="2">
        <f t="shared" si="21"/>
        <v>4</v>
      </c>
      <c r="AI155" s="2">
        <f t="shared" si="22"/>
        <v>0</v>
      </c>
      <c r="AJ155" s="2">
        <f t="shared" si="23"/>
        <v>0</v>
      </c>
      <c r="AK155" s="2">
        <f t="shared" si="24"/>
        <v>0</v>
      </c>
      <c r="AL155" s="2">
        <f t="shared" si="25"/>
        <v>0</v>
      </c>
      <c r="AM155" s="2">
        <f t="shared" si="26"/>
        <v>0</v>
      </c>
      <c r="AP155" s="2">
        <v>4</v>
      </c>
      <c r="AS155" s="309">
        <v>4</v>
      </c>
      <c r="AW155" s="310"/>
      <c r="BC155" s="218">
        <v>4</v>
      </c>
      <c r="BH155" s="2">
        <v>516843</v>
      </c>
      <c r="BI155" s="2">
        <v>174266</v>
      </c>
      <c r="BJ155" s="2" t="s">
        <v>386</v>
      </c>
      <c r="BL155" s="2" t="s">
        <v>176</v>
      </c>
      <c r="BO155" s="2" t="s">
        <v>141</v>
      </c>
      <c r="BP155" s="2" t="s">
        <v>973</v>
      </c>
      <c r="BS155" s="240" t="s">
        <v>148</v>
      </c>
      <c r="BT155" s="2" t="s">
        <v>974</v>
      </c>
    </row>
    <row r="156" spans="1:72" x14ac:dyDescent="0.25">
      <c r="A156" s="2" t="s">
        <v>975</v>
      </c>
      <c r="B156" s="2" t="s">
        <v>382</v>
      </c>
      <c r="D156" s="4">
        <v>43749</v>
      </c>
      <c r="E156" s="4">
        <v>44845</v>
      </c>
      <c r="F156" s="4">
        <v>43754</v>
      </c>
      <c r="H156" s="2" t="s">
        <v>218</v>
      </c>
      <c r="I156" s="2" t="s">
        <v>254</v>
      </c>
      <c r="K156" s="2" t="s">
        <v>976</v>
      </c>
      <c r="L156" s="2" t="s">
        <v>977</v>
      </c>
      <c r="W156" s="2">
        <f t="shared" si="18"/>
        <v>0</v>
      </c>
      <c r="X156" s="2" t="s">
        <v>385</v>
      </c>
      <c r="Z156" s="2">
        <v>2</v>
      </c>
      <c r="AA156" s="2">
        <v>5</v>
      </c>
      <c r="AD156" s="2">
        <v>2</v>
      </c>
      <c r="AF156" s="2">
        <f t="shared" si="19"/>
        <v>9</v>
      </c>
      <c r="AG156" s="2">
        <f t="shared" si="20"/>
        <v>0</v>
      </c>
      <c r="AH156" s="2">
        <f t="shared" si="21"/>
        <v>2</v>
      </c>
      <c r="AI156" s="2">
        <f t="shared" si="22"/>
        <v>5</v>
      </c>
      <c r="AJ156" s="2">
        <f t="shared" si="23"/>
        <v>0</v>
      </c>
      <c r="AK156" s="2">
        <f t="shared" si="24"/>
        <v>0</v>
      </c>
      <c r="AL156" s="2">
        <f t="shared" si="25"/>
        <v>2</v>
      </c>
      <c r="AM156" s="2">
        <f t="shared" si="26"/>
        <v>0</v>
      </c>
      <c r="AP156" s="2">
        <v>9</v>
      </c>
      <c r="AS156" s="309">
        <v>9</v>
      </c>
      <c r="AW156" s="310"/>
      <c r="BC156" s="218">
        <v>9</v>
      </c>
      <c r="BH156" s="2">
        <v>518559</v>
      </c>
      <c r="BI156" s="2">
        <v>174698</v>
      </c>
      <c r="BJ156" s="2" t="s">
        <v>401</v>
      </c>
      <c r="BL156" s="2" t="s">
        <v>164</v>
      </c>
      <c r="BS156" s="240" t="s">
        <v>148</v>
      </c>
      <c r="BT156" s="2" t="s">
        <v>438</v>
      </c>
    </row>
    <row r="157" spans="1:72" s="242" customFormat="1" x14ac:dyDescent="0.25">
      <c r="A157" s="2" t="s">
        <v>978</v>
      </c>
      <c r="B157" s="2" t="s">
        <v>382</v>
      </c>
      <c r="C157" s="2"/>
      <c r="D157" s="4">
        <v>43754</v>
      </c>
      <c r="E157" s="4">
        <v>44850</v>
      </c>
      <c r="F157" s="3">
        <v>44278</v>
      </c>
      <c r="G157" s="2"/>
      <c r="H157" s="2" t="s">
        <v>218</v>
      </c>
      <c r="I157" s="2" t="s">
        <v>254</v>
      </c>
      <c r="J157" s="2"/>
      <c r="K157" s="2" t="s">
        <v>979</v>
      </c>
      <c r="L157" s="2" t="s">
        <v>980</v>
      </c>
      <c r="M157" s="2" t="s">
        <v>981</v>
      </c>
      <c r="N157" s="2"/>
      <c r="O157" s="2">
        <v>2</v>
      </c>
      <c r="P157" s="2">
        <v>1</v>
      </c>
      <c r="Q157" s="2"/>
      <c r="R157" s="2"/>
      <c r="S157" s="2"/>
      <c r="T157" s="2"/>
      <c r="U157" s="2"/>
      <c r="V157" s="2"/>
      <c r="W157" s="2">
        <f t="shared" si="18"/>
        <v>3</v>
      </c>
      <c r="X157" s="2" t="s">
        <v>385</v>
      </c>
      <c r="Y157" s="2"/>
      <c r="Z157" s="2"/>
      <c r="AA157" s="2"/>
      <c r="AB157" s="2">
        <v>3</v>
      </c>
      <c r="AC157" s="2"/>
      <c r="AD157" s="2"/>
      <c r="AE157" s="2"/>
      <c r="AF157" s="2">
        <f t="shared" si="19"/>
        <v>3</v>
      </c>
      <c r="AG157" s="2">
        <f t="shared" si="20"/>
        <v>0</v>
      </c>
      <c r="AH157" s="2">
        <f t="shared" si="21"/>
        <v>-2</v>
      </c>
      <c r="AI157" s="2">
        <f t="shared" si="22"/>
        <v>-1</v>
      </c>
      <c r="AJ157" s="2">
        <f t="shared" si="23"/>
        <v>3</v>
      </c>
      <c r="AK157" s="2">
        <f t="shared" si="24"/>
        <v>0</v>
      </c>
      <c r="AL157" s="2">
        <f t="shared" si="25"/>
        <v>0</v>
      </c>
      <c r="AM157" s="2">
        <f t="shared" si="26"/>
        <v>0</v>
      </c>
      <c r="AN157" s="2"/>
      <c r="AO157" s="2"/>
      <c r="AP157" s="2">
        <v>0</v>
      </c>
      <c r="AQ157" s="180"/>
      <c r="AR157" s="2"/>
      <c r="AS157" s="309">
        <v>0</v>
      </c>
      <c r="AT157" s="180"/>
      <c r="AU157" s="180"/>
      <c r="AV157" s="180"/>
      <c r="AW157" s="310"/>
      <c r="AX157" s="2"/>
      <c r="AY157" s="2"/>
      <c r="AZ157" s="2"/>
      <c r="BA157" s="2"/>
      <c r="BB157" s="2"/>
      <c r="BC157" s="218">
        <v>0</v>
      </c>
      <c r="BD157" s="2"/>
      <c r="BE157" s="2"/>
      <c r="BF157" s="2"/>
      <c r="BG157" s="2"/>
      <c r="BH157" s="2">
        <v>518209</v>
      </c>
      <c r="BI157" s="2">
        <v>174625</v>
      </c>
      <c r="BJ157" s="2" t="s">
        <v>401</v>
      </c>
      <c r="BK157" s="2"/>
      <c r="BL157" s="2" t="s">
        <v>164</v>
      </c>
      <c r="BM157" s="2"/>
      <c r="BN157" s="2"/>
      <c r="BO157" s="2"/>
      <c r="BP157" s="2"/>
      <c r="BQ157" s="2"/>
      <c r="BR157" s="2"/>
      <c r="BS157" s="240" t="s">
        <v>148</v>
      </c>
      <c r="BT157" s="2" t="s">
        <v>438</v>
      </c>
    </row>
    <row r="158" spans="1:72" x14ac:dyDescent="0.25">
      <c r="A158" s="2" t="s">
        <v>982</v>
      </c>
      <c r="B158" s="2" t="s">
        <v>404</v>
      </c>
      <c r="C158" s="2" t="s">
        <v>228</v>
      </c>
      <c r="D158" s="4">
        <v>43774</v>
      </c>
      <c r="E158" s="4">
        <v>44747</v>
      </c>
      <c r="F158" s="3">
        <v>43971</v>
      </c>
      <c r="H158" s="2" t="s">
        <v>218</v>
      </c>
      <c r="I158" s="2" t="s">
        <v>254</v>
      </c>
      <c r="K158" s="2" t="s">
        <v>983</v>
      </c>
      <c r="L158" s="2" t="s">
        <v>984</v>
      </c>
      <c r="M158" s="2" t="s">
        <v>985</v>
      </c>
      <c r="W158" s="2">
        <f t="shared" si="18"/>
        <v>0</v>
      </c>
      <c r="X158" s="2" t="s">
        <v>385</v>
      </c>
      <c r="AA158" s="2">
        <v>1</v>
      </c>
      <c r="AF158" s="2">
        <f t="shared" si="19"/>
        <v>1</v>
      </c>
      <c r="AG158" s="2">
        <f t="shared" si="20"/>
        <v>0</v>
      </c>
      <c r="AH158" s="2">
        <f t="shared" si="21"/>
        <v>0</v>
      </c>
      <c r="AI158" s="2">
        <f t="shared" si="22"/>
        <v>1</v>
      </c>
      <c r="AJ158" s="2">
        <f t="shared" si="23"/>
        <v>0</v>
      </c>
      <c r="AK158" s="2">
        <f t="shared" si="24"/>
        <v>0</v>
      </c>
      <c r="AL158" s="2">
        <f t="shared" si="25"/>
        <v>0</v>
      </c>
      <c r="AM158" s="2">
        <f t="shared" si="26"/>
        <v>0</v>
      </c>
      <c r="AP158" s="2">
        <v>1</v>
      </c>
      <c r="AS158" s="309">
        <v>1</v>
      </c>
      <c r="AW158" s="310"/>
      <c r="BC158" s="218">
        <v>1</v>
      </c>
      <c r="BH158" s="2">
        <v>521408</v>
      </c>
      <c r="BI158" s="2">
        <v>175714</v>
      </c>
      <c r="BJ158" s="2" t="s">
        <v>449</v>
      </c>
      <c r="BL158" s="2" t="s">
        <v>175</v>
      </c>
      <c r="BS158" s="240" t="s">
        <v>148</v>
      </c>
      <c r="BT158" s="2" t="s">
        <v>986</v>
      </c>
    </row>
    <row r="159" spans="1:72" x14ac:dyDescent="0.25">
      <c r="A159" s="2" t="s">
        <v>987</v>
      </c>
      <c r="B159" s="2" t="s">
        <v>382</v>
      </c>
      <c r="D159" s="4">
        <v>43780</v>
      </c>
      <c r="E159" s="4">
        <v>44876</v>
      </c>
      <c r="F159" s="4">
        <v>43935</v>
      </c>
      <c r="H159" s="2" t="s">
        <v>218</v>
      </c>
      <c r="I159" s="2" t="s">
        <v>254</v>
      </c>
      <c r="K159" s="2" t="s">
        <v>988</v>
      </c>
      <c r="L159" s="2" t="s">
        <v>989</v>
      </c>
      <c r="M159" s="2" t="s">
        <v>990</v>
      </c>
      <c r="R159" s="2">
        <v>1</v>
      </c>
      <c r="W159" s="2">
        <f t="shared" si="18"/>
        <v>1</v>
      </c>
      <c r="X159" s="2" t="s">
        <v>385</v>
      </c>
      <c r="AC159" s="2">
        <v>1</v>
      </c>
      <c r="AF159" s="2">
        <f t="shared" si="19"/>
        <v>1</v>
      </c>
      <c r="AG159" s="2">
        <f t="shared" si="20"/>
        <v>0</v>
      </c>
      <c r="AH159" s="2">
        <f t="shared" si="21"/>
        <v>0</v>
      </c>
      <c r="AI159" s="2">
        <f t="shared" si="22"/>
        <v>0</v>
      </c>
      <c r="AJ159" s="2">
        <f t="shared" si="23"/>
        <v>0</v>
      </c>
      <c r="AK159" s="2">
        <f t="shared" si="24"/>
        <v>0</v>
      </c>
      <c r="AL159" s="2">
        <f t="shared" si="25"/>
        <v>0</v>
      </c>
      <c r="AM159" s="2">
        <f t="shared" si="26"/>
        <v>0</v>
      </c>
      <c r="AP159" s="2">
        <v>0</v>
      </c>
      <c r="AS159" s="309">
        <v>0</v>
      </c>
      <c r="AW159" s="310"/>
      <c r="BC159" s="218">
        <v>0</v>
      </c>
      <c r="BH159" s="2">
        <v>519487</v>
      </c>
      <c r="BI159" s="2">
        <v>176661</v>
      </c>
      <c r="BJ159" s="2" t="s">
        <v>428</v>
      </c>
      <c r="BL159" s="2" t="s">
        <v>161</v>
      </c>
    </row>
    <row r="160" spans="1:72" x14ac:dyDescent="0.25">
      <c r="A160" s="2" t="s">
        <v>991</v>
      </c>
      <c r="B160" s="2" t="s">
        <v>382</v>
      </c>
      <c r="D160" s="4">
        <v>43804</v>
      </c>
      <c r="E160" s="4">
        <v>44900</v>
      </c>
      <c r="F160" s="3">
        <v>44286</v>
      </c>
      <c r="H160" s="243" t="s">
        <v>218</v>
      </c>
      <c r="I160" s="2" t="s">
        <v>254</v>
      </c>
      <c r="K160" s="2" t="s">
        <v>992</v>
      </c>
      <c r="L160" s="2" t="s">
        <v>993</v>
      </c>
      <c r="M160" s="2" t="s">
        <v>994</v>
      </c>
      <c r="W160" s="2">
        <f t="shared" si="18"/>
        <v>0</v>
      </c>
      <c r="X160" s="2" t="s">
        <v>385</v>
      </c>
      <c r="AA160" s="2">
        <v>1</v>
      </c>
      <c r="AF160" s="2">
        <f t="shared" si="19"/>
        <v>1</v>
      </c>
      <c r="AG160" s="2">
        <f t="shared" si="20"/>
        <v>0</v>
      </c>
      <c r="AH160" s="2">
        <f t="shared" si="21"/>
        <v>0</v>
      </c>
      <c r="AI160" s="2">
        <f t="shared" si="22"/>
        <v>1</v>
      </c>
      <c r="AJ160" s="2">
        <f t="shared" si="23"/>
        <v>0</v>
      </c>
      <c r="AK160" s="2">
        <f t="shared" si="24"/>
        <v>0</v>
      </c>
      <c r="AL160" s="2">
        <f t="shared" si="25"/>
        <v>0</v>
      </c>
      <c r="AM160" s="2">
        <f t="shared" si="26"/>
        <v>0</v>
      </c>
      <c r="AP160" s="2">
        <v>1</v>
      </c>
      <c r="AS160" s="309">
        <v>1</v>
      </c>
      <c r="AW160" s="310"/>
      <c r="BC160" s="218">
        <v>1</v>
      </c>
      <c r="BH160" s="2">
        <v>515414</v>
      </c>
      <c r="BI160" s="2">
        <v>172536</v>
      </c>
      <c r="BJ160" s="2" t="s">
        <v>503</v>
      </c>
      <c r="BK160" s="2" t="s">
        <v>147</v>
      </c>
      <c r="BL160" s="2" t="s">
        <v>165</v>
      </c>
      <c r="BS160" s="240" t="s">
        <v>148</v>
      </c>
      <c r="BT160" s="2" t="s">
        <v>995</v>
      </c>
    </row>
    <row r="161" spans="1:72" x14ac:dyDescent="0.25">
      <c r="A161" s="2" t="s">
        <v>681</v>
      </c>
      <c r="B161" s="2" t="s">
        <v>394</v>
      </c>
      <c r="D161" s="4">
        <v>43811</v>
      </c>
      <c r="E161" s="4">
        <v>44907</v>
      </c>
      <c r="F161" s="4">
        <v>43920</v>
      </c>
      <c r="H161" s="2" t="s">
        <v>218</v>
      </c>
      <c r="I161" s="2" t="s">
        <v>250</v>
      </c>
      <c r="K161" s="2" t="s">
        <v>682</v>
      </c>
      <c r="L161" s="2" t="s">
        <v>996</v>
      </c>
      <c r="M161" s="2" t="s">
        <v>684</v>
      </c>
      <c r="W161" s="2">
        <f t="shared" si="18"/>
        <v>0</v>
      </c>
      <c r="X161" s="2" t="s">
        <v>299</v>
      </c>
      <c r="Y161" s="2">
        <v>3</v>
      </c>
      <c r="Z161" s="2">
        <v>3</v>
      </c>
      <c r="AF161" s="2">
        <f t="shared" si="19"/>
        <v>6</v>
      </c>
      <c r="AG161" s="2">
        <f t="shared" si="20"/>
        <v>3</v>
      </c>
      <c r="AH161" s="2">
        <f t="shared" si="21"/>
        <v>3</v>
      </c>
      <c r="AI161" s="2">
        <f t="shared" si="22"/>
        <v>0</v>
      </c>
      <c r="AJ161" s="2">
        <f t="shared" si="23"/>
        <v>0</v>
      </c>
      <c r="AK161" s="2">
        <f t="shared" si="24"/>
        <v>0</v>
      </c>
      <c r="AL161" s="2">
        <f t="shared" si="25"/>
        <v>0</v>
      </c>
      <c r="AM161" s="2">
        <f t="shared" si="26"/>
        <v>0</v>
      </c>
      <c r="AP161" s="2">
        <v>6</v>
      </c>
      <c r="AQ161" s="180" t="s">
        <v>299</v>
      </c>
      <c r="AS161" s="309"/>
      <c r="AV161" s="180">
        <v>6</v>
      </c>
      <c r="AW161" s="310"/>
      <c r="BC161" s="218">
        <v>6</v>
      </c>
      <c r="BH161" s="2">
        <v>517598</v>
      </c>
      <c r="BI161" s="2">
        <v>169722</v>
      </c>
      <c r="BJ161" s="2" t="s">
        <v>443</v>
      </c>
      <c r="BL161" s="2" t="s">
        <v>159</v>
      </c>
      <c r="BS161" s="240" t="s">
        <v>148</v>
      </c>
      <c r="BT161" s="2" t="s">
        <v>444</v>
      </c>
    </row>
    <row r="162" spans="1:72" x14ac:dyDescent="0.25">
      <c r="A162" s="2" t="s">
        <v>681</v>
      </c>
      <c r="B162" s="2" t="s">
        <v>394</v>
      </c>
      <c r="D162" s="4">
        <v>43811</v>
      </c>
      <c r="E162" s="4">
        <v>44907</v>
      </c>
      <c r="F162" s="4">
        <v>43920</v>
      </c>
      <c r="H162" s="2" t="s">
        <v>218</v>
      </c>
      <c r="I162" s="2" t="s">
        <v>254</v>
      </c>
      <c r="K162" s="2" t="s">
        <v>682</v>
      </c>
      <c r="L162" s="244" t="s">
        <v>997</v>
      </c>
      <c r="M162" s="2" t="s">
        <v>684</v>
      </c>
      <c r="N162" s="2">
        <v>7</v>
      </c>
      <c r="P162" s="2">
        <v>1</v>
      </c>
      <c r="W162" s="2">
        <f t="shared" si="18"/>
        <v>8</v>
      </c>
      <c r="X162" s="2" t="s">
        <v>385</v>
      </c>
      <c r="Y162" s="2">
        <v>2</v>
      </c>
      <c r="Z162" s="2">
        <v>4</v>
      </c>
      <c r="AF162" s="2">
        <f t="shared" si="19"/>
        <v>6</v>
      </c>
      <c r="AG162" s="2">
        <f t="shared" si="20"/>
        <v>-5</v>
      </c>
      <c r="AH162" s="2">
        <f t="shared" si="21"/>
        <v>4</v>
      </c>
      <c r="AI162" s="2">
        <f t="shared" si="22"/>
        <v>-1</v>
      </c>
      <c r="AJ162" s="2">
        <f t="shared" si="23"/>
        <v>0</v>
      </c>
      <c r="AK162" s="2">
        <f t="shared" si="24"/>
        <v>0</v>
      </c>
      <c r="AL162" s="2">
        <f t="shared" si="25"/>
        <v>0</v>
      </c>
      <c r="AM162" s="2">
        <f t="shared" si="26"/>
        <v>0</v>
      </c>
      <c r="AP162" s="2">
        <v>-2</v>
      </c>
      <c r="AQ162" s="180" t="s">
        <v>299</v>
      </c>
      <c r="AS162" s="309">
        <v>-2</v>
      </c>
      <c r="AW162" s="310"/>
      <c r="BC162" s="218">
        <v>-2</v>
      </c>
      <c r="BH162" s="2">
        <v>517598</v>
      </c>
      <c r="BI162" s="2">
        <v>169722</v>
      </c>
      <c r="BJ162" s="2" t="s">
        <v>443</v>
      </c>
      <c r="BL162" s="2" t="s">
        <v>159</v>
      </c>
      <c r="BS162" s="240" t="s">
        <v>148</v>
      </c>
      <c r="BT162" s="2" t="s">
        <v>444</v>
      </c>
    </row>
    <row r="163" spans="1:72" x14ac:dyDescent="0.25">
      <c r="A163" s="2" t="s">
        <v>681</v>
      </c>
      <c r="B163" s="2" t="s">
        <v>394</v>
      </c>
      <c r="C163" s="2" t="s">
        <v>998</v>
      </c>
      <c r="D163" s="4">
        <v>43811</v>
      </c>
      <c r="E163" s="4">
        <v>44907</v>
      </c>
      <c r="F163" s="4">
        <v>43920</v>
      </c>
      <c r="H163" s="2" t="s">
        <v>218</v>
      </c>
      <c r="I163" s="2" t="s">
        <v>254</v>
      </c>
      <c r="K163" s="2" t="s">
        <v>682</v>
      </c>
      <c r="L163" s="2" t="s">
        <v>999</v>
      </c>
      <c r="M163" s="2" t="s">
        <v>684</v>
      </c>
      <c r="W163" s="2">
        <f t="shared" si="18"/>
        <v>0</v>
      </c>
      <c r="X163" s="2" t="s">
        <v>385</v>
      </c>
      <c r="Y163" s="2">
        <v>4</v>
      </c>
      <c r="Z163" s="2">
        <v>23</v>
      </c>
      <c r="AA163" s="2">
        <v>1</v>
      </c>
      <c r="AF163" s="2">
        <f t="shared" si="19"/>
        <v>28</v>
      </c>
      <c r="AG163" s="2">
        <f t="shared" si="20"/>
        <v>4</v>
      </c>
      <c r="AH163" s="2">
        <f t="shared" si="21"/>
        <v>23</v>
      </c>
      <c r="AI163" s="2">
        <f t="shared" si="22"/>
        <v>1</v>
      </c>
      <c r="AJ163" s="2">
        <f t="shared" si="23"/>
        <v>0</v>
      </c>
      <c r="AK163" s="2">
        <f t="shared" si="24"/>
        <v>0</v>
      </c>
      <c r="AL163" s="2">
        <f t="shared" si="25"/>
        <v>0</v>
      </c>
      <c r="AM163" s="2">
        <f t="shared" si="26"/>
        <v>0</v>
      </c>
      <c r="AP163" s="2">
        <v>28</v>
      </c>
      <c r="AQ163" s="180" t="s">
        <v>299</v>
      </c>
      <c r="AS163" s="309">
        <v>28</v>
      </c>
      <c r="AW163" s="310"/>
      <c r="BC163" s="218">
        <v>28</v>
      </c>
      <c r="BE163" s="2" t="s">
        <v>299</v>
      </c>
      <c r="BH163" s="2">
        <v>517598</v>
      </c>
      <c r="BI163" s="2">
        <v>169722</v>
      </c>
      <c r="BJ163" s="2" t="s">
        <v>443</v>
      </c>
      <c r="BL163" s="2" t="s">
        <v>159</v>
      </c>
      <c r="BS163" s="240" t="s">
        <v>148</v>
      </c>
      <c r="BT163" s="2" t="s">
        <v>444</v>
      </c>
    </row>
    <row r="164" spans="1:72" x14ac:dyDescent="0.25">
      <c r="A164" s="2" t="s">
        <v>1000</v>
      </c>
      <c r="B164" s="2" t="s">
        <v>539</v>
      </c>
      <c r="D164" s="4">
        <v>43861</v>
      </c>
      <c r="E164" s="4">
        <v>44960</v>
      </c>
      <c r="F164" s="3">
        <v>43891</v>
      </c>
      <c r="G164" s="3"/>
      <c r="H164" s="2" t="s">
        <v>218</v>
      </c>
      <c r="I164" s="2" t="s">
        <v>254</v>
      </c>
      <c r="K164" s="2" t="s">
        <v>1001</v>
      </c>
      <c r="L164" s="2" t="s">
        <v>1002</v>
      </c>
      <c r="M164" s="2" t="s">
        <v>1003</v>
      </c>
      <c r="W164" s="2">
        <f t="shared" si="18"/>
        <v>0</v>
      </c>
      <c r="X164" s="2" t="s">
        <v>385</v>
      </c>
      <c r="Y164" s="2">
        <v>1</v>
      </c>
      <c r="AF164" s="2">
        <f t="shared" si="19"/>
        <v>1</v>
      </c>
      <c r="AG164" s="2">
        <f t="shared" si="20"/>
        <v>1</v>
      </c>
      <c r="AH164" s="2">
        <f t="shared" si="21"/>
        <v>0</v>
      </c>
      <c r="AI164" s="2">
        <f t="shared" si="22"/>
        <v>0</v>
      </c>
      <c r="AJ164" s="2">
        <f t="shared" si="23"/>
        <v>0</v>
      </c>
      <c r="AK164" s="2">
        <f t="shared" si="24"/>
        <v>0</v>
      </c>
      <c r="AL164" s="2">
        <f t="shared" si="25"/>
        <v>0</v>
      </c>
      <c r="AM164" s="2">
        <f t="shared" si="26"/>
        <v>0</v>
      </c>
      <c r="AP164" s="2">
        <v>1</v>
      </c>
      <c r="AS164" s="309">
        <v>1</v>
      </c>
      <c r="AW164" s="310"/>
      <c r="BC164" s="218">
        <v>1</v>
      </c>
      <c r="BH164" s="2">
        <v>519131</v>
      </c>
      <c r="BI164" s="2">
        <v>176452</v>
      </c>
      <c r="BJ164" s="2" t="s">
        <v>428</v>
      </c>
      <c r="BL164" s="2" t="s">
        <v>161</v>
      </c>
      <c r="BO164" s="2" t="s">
        <v>141</v>
      </c>
      <c r="BP164" s="2" t="s">
        <v>799</v>
      </c>
    </row>
    <row r="165" spans="1:72" x14ac:dyDescent="0.25">
      <c r="A165" s="2" t="s">
        <v>1004</v>
      </c>
      <c r="B165" s="2" t="s">
        <v>404</v>
      </c>
      <c r="C165" s="2" t="s">
        <v>228</v>
      </c>
      <c r="D165" s="4">
        <v>43867</v>
      </c>
      <c r="E165" s="4">
        <v>44963</v>
      </c>
      <c r="F165" s="4">
        <v>43871</v>
      </c>
      <c r="G165" s="3">
        <v>44352</v>
      </c>
      <c r="H165" s="2" t="s">
        <v>218</v>
      </c>
      <c r="I165" s="2" t="s">
        <v>254</v>
      </c>
      <c r="K165" s="2" t="s">
        <v>1005</v>
      </c>
      <c r="L165" s="2" t="s">
        <v>1006</v>
      </c>
      <c r="M165" s="2" t="s">
        <v>1007</v>
      </c>
      <c r="W165" s="2">
        <f t="shared" si="18"/>
        <v>0</v>
      </c>
      <c r="X165" s="2" t="s">
        <v>385</v>
      </c>
      <c r="Y165" s="2">
        <v>2</v>
      </c>
      <c r="AF165" s="2">
        <f t="shared" si="19"/>
        <v>2</v>
      </c>
      <c r="AG165" s="2">
        <f t="shared" si="20"/>
        <v>2</v>
      </c>
      <c r="AH165" s="2">
        <f t="shared" si="21"/>
        <v>0</v>
      </c>
      <c r="AI165" s="2">
        <f t="shared" si="22"/>
        <v>0</v>
      </c>
      <c r="AJ165" s="2">
        <f t="shared" si="23"/>
        <v>0</v>
      </c>
      <c r="AK165" s="2">
        <f t="shared" si="24"/>
        <v>0</v>
      </c>
      <c r="AL165" s="2">
        <f t="shared" si="25"/>
        <v>0</v>
      </c>
      <c r="AM165" s="2">
        <f t="shared" si="26"/>
        <v>0</v>
      </c>
      <c r="AP165" s="2">
        <v>2</v>
      </c>
      <c r="AS165" s="309">
        <v>2</v>
      </c>
      <c r="AW165" s="310"/>
      <c r="BC165" s="218">
        <v>2</v>
      </c>
      <c r="BH165" s="2">
        <v>520890</v>
      </c>
      <c r="BI165" s="2">
        <v>175755</v>
      </c>
      <c r="BJ165" s="2" t="s">
        <v>449</v>
      </c>
      <c r="BL165" s="2" t="s">
        <v>175</v>
      </c>
    </row>
    <row r="166" spans="1:72" x14ac:dyDescent="0.25">
      <c r="A166" s="2" t="s">
        <v>1008</v>
      </c>
      <c r="B166" s="2" t="s">
        <v>382</v>
      </c>
      <c r="D166" s="4">
        <v>43901</v>
      </c>
      <c r="E166" s="4">
        <v>44996</v>
      </c>
      <c r="F166" s="3">
        <v>44286</v>
      </c>
      <c r="H166" s="2" t="s">
        <v>218</v>
      </c>
      <c r="I166" s="2" t="s">
        <v>254</v>
      </c>
      <c r="K166" s="2" t="s">
        <v>1009</v>
      </c>
      <c r="L166" s="2" t="s">
        <v>1010</v>
      </c>
      <c r="M166" s="2" t="s">
        <v>1011</v>
      </c>
      <c r="Q166" s="2">
        <v>1</v>
      </c>
      <c r="W166" s="2">
        <f t="shared" si="18"/>
        <v>1</v>
      </c>
      <c r="X166" s="2" t="s">
        <v>385</v>
      </c>
      <c r="AC166" s="2">
        <v>1</v>
      </c>
      <c r="AF166" s="2">
        <f t="shared" si="19"/>
        <v>1</v>
      </c>
      <c r="AG166" s="2">
        <f t="shared" si="20"/>
        <v>0</v>
      </c>
      <c r="AH166" s="2">
        <f t="shared" si="21"/>
        <v>0</v>
      </c>
      <c r="AI166" s="2">
        <f t="shared" si="22"/>
        <v>0</v>
      </c>
      <c r="AJ166" s="2">
        <f t="shared" si="23"/>
        <v>-1</v>
      </c>
      <c r="AK166" s="2">
        <f t="shared" si="24"/>
        <v>1</v>
      </c>
      <c r="AL166" s="2">
        <f t="shared" si="25"/>
        <v>0</v>
      </c>
      <c r="AM166" s="2">
        <f t="shared" si="26"/>
        <v>0</v>
      </c>
      <c r="AP166" s="2">
        <v>0</v>
      </c>
      <c r="AS166" s="309">
        <v>0</v>
      </c>
      <c r="AW166" s="310"/>
      <c r="BC166" s="218">
        <v>0</v>
      </c>
      <c r="BH166" s="2">
        <v>517948</v>
      </c>
      <c r="BI166" s="2">
        <v>172696</v>
      </c>
      <c r="BJ166" s="2" t="s">
        <v>411</v>
      </c>
      <c r="BL166" s="2" t="s">
        <v>156</v>
      </c>
    </row>
    <row r="167" spans="1:72" x14ac:dyDescent="0.25">
      <c r="A167" s="2" t="s">
        <v>1012</v>
      </c>
      <c r="B167" s="2" t="s">
        <v>394</v>
      </c>
      <c r="D167" s="4">
        <v>43910</v>
      </c>
      <c r="E167" s="4">
        <v>45005</v>
      </c>
      <c r="F167" s="4">
        <v>44105</v>
      </c>
      <c r="H167" s="2" t="s">
        <v>218</v>
      </c>
      <c r="I167" s="2" t="s">
        <v>254</v>
      </c>
      <c r="K167" s="2" t="s">
        <v>1013</v>
      </c>
      <c r="L167" s="2" t="s">
        <v>1014</v>
      </c>
      <c r="M167" s="2" t="s">
        <v>1015</v>
      </c>
      <c r="P167" s="2">
        <v>1</v>
      </c>
      <c r="W167" s="2">
        <f t="shared" si="18"/>
        <v>1</v>
      </c>
      <c r="X167" s="2" t="s">
        <v>385</v>
      </c>
      <c r="Z167" s="2">
        <v>2</v>
      </c>
      <c r="AF167" s="2">
        <f t="shared" si="19"/>
        <v>2</v>
      </c>
      <c r="AG167" s="2">
        <f t="shared" si="20"/>
        <v>0</v>
      </c>
      <c r="AH167" s="2">
        <f t="shared" si="21"/>
        <v>2</v>
      </c>
      <c r="AI167" s="2">
        <f t="shared" si="22"/>
        <v>-1</v>
      </c>
      <c r="AJ167" s="2">
        <f t="shared" si="23"/>
        <v>0</v>
      </c>
      <c r="AK167" s="2">
        <f t="shared" si="24"/>
        <v>0</v>
      </c>
      <c r="AL167" s="2">
        <f t="shared" si="25"/>
        <v>0</v>
      </c>
      <c r="AM167" s="2">
        <f t="shared" si="26"/>
        <v>0</v>
      </c>
      <c r="AP167" s="2">
        <v>1</v>
      </c>
      <c r="AS167" s="309">
        <v>1</v>
      </c>
      <c r="AW167" s="310"/>
      <c r="BC167" s="218">
        <v>1</v>
      </c>
      <c r="BH167" s="2">
        <v>517949</v>
      </c>
      <c r="BI167" s="2">
        <v>174506</v>
      </c>
      <c r="BJ167" s="2" t="s">
        <v>401</v>
      </c>
      <c r="BL167" s="2" t="s">
        <v>164</v>
      </c>
      <c r="BM167" s="2" t="s">
        <v>138</v>
      </c>
      <c r="BS167" s="240" t="s">
        <v>148</v>
      </c>
      <c r="BT167" s="2" t="s">
        <v>665</v>
      </c>
    </row>
    <row r="168" spans="1:72" x14ac:dyDescent="0.25">
      <c r="A168" s="2" t="s">
        <v>1016</v>
      </c>
      <c r="B168" s="2" t="s">
        <v>382</v>
      </c>
      <c r="D168" s="4">
        <v>43916</v>
      </c>
      <c r="E168" s="4">
        <v>44551</v>
      </c>
      <c r="F168" s="3">
        <v>44256</v>
      </c>
      <c r="H168" s="2" t="s">
        <v>218</v>
      </c>
      <c r="I168" s="2" t="s">
        <v>254</v>
      </c>
      <c r="K168" s="2" t="s">
        <v>1017</v>
      </c>
      <c r="L168" s="2" t="s">
        <v>1018</v>
      </c>
      <c r="M168" s="2" t="s">
        <v>1019</v>
      </c>
      <c r="P168" s="2">
        <v>1</v>
      </c>
      <c r="W168" s="2">
        <f t="shared" si="18"/>
        <v>1</v>
      </c>
      <c r="X168" s="2" t="s">
        <v>385</v>
      </c>
      <c r="AB168" s="2">
        <v>1</v>
      </c>
      <c r="AF168" s="2">
        <f t="shared" si="19"/>
        <v>1</v>
      </c>
      <c r="AG168" s="2">
        <f t="shared" si="20"/>
        <v>0</v>
      </c>
      <c r="AH168" s="2">
        <f t="shared" si="21"/>
        <v>0</v>
      </c>
      <c r="AI168" s="2">
        <f t="shared" si="22"/>
        <v>-1</v>
      </c>
      <c r="AJ168" s="2">
        <f t="shared" si="23"/>
        <v>1</v>
      </c>
      <c r="AK168" s="2">
        <f t="shared" si="24"/>
        <v>0</v>
      </c>
      <c r="AL168" s="2">
        <f t="shared" si="25"/>
        <v>0</v>
      </c>
      <c r="AM168" s="2">
        <f t="shared" si="26"/>
        <v>0</v>
      </c>
      <c r="AP168" s="2">
        <v>0</v>
      </c>
      <c r="AS168" s="309">
        <v>0</v>
      </c>
      <c r="AW168" s="310"/>
      <c r="BC168" s="218">
        <v>0</v>
      </c>
      <c r="BH168" s="2">
        <v>521893</v>
      </c>
      <c r="BI168" s="2">
        <v>177129</v>
      </c>
      <c r="BJ168" s="2" t="s">
        <v>418</v>
      </c>
      <c r="BL168" s="2" t="s">
        <v>154</v>
      </c>
    </row>
    <row r="169" spans="1:72" x14ac:dyDescent="0.25">
      <c r="A169" s="2" t="s">
        <v>1020</v>
      </c>
      <c r="B169" s="2" t="s">
        <v>382</v>
      </c>
      <c r="D169" s="4">
        <v>43922</v>
      </c>
      <c r="E169" s="4">
        <v>45017</v>
      </c>
      <c r="F169" s="3">
        <v>44013</v>
      </c>
      <c r="H169" s="2" t="s">
        <v>218</v>
      </c>
      <c r="I169" s="2" t="s">
        <v>254</v>
      </c>
      <c r="K169" s="2" t="s">
        <v>1021</v>
      </c>
      <c r="L169" s="2" t="s">
        <v>1022</v>
      </c>
      <c r="M169" s="2" t="s">
        <v>1023</v>
      </c>
      <c r="Q169" s="2">
        <v>1</v>
      </c>
      <c r="W169" s="2">
        <f t="shared" si="18"/>
        <v>1</v>
      </c>
      <c r="X169" s="2" t="s">
        <v>385</v>
      </c>
      <c r="AB169" s="2">
        <v>1</v>
      </c>
      <c r="AF169" s="2">
        <f t="shared" si="19"/>
        <v>1</v>
      </c>
      <c r="AG169" s="2">
        <f t="shared" si="20"/>
        <v>0</v>
      </c>
      <c r="AH169" s="2">
        <f t="shared" si="21"/>
        <v>0</v>
      </c>
      <c r="AI169" s="2">
        <f t="shared" si="22"/>
        <v>0</v>
      </c>
      <c r="AJ169" s="2">
        <f t="shared" si="23"/>
        <v>0</v>
      </c>
      <c r="AK169" s="2">
        <f t="shared" si="24"/>
        <v>0</v>
      </c>
      <c r="AL169" s="2">
        <f t="shared" si="25"/>
        <v>0</v>
      </c>
      <c r="AM169" s="2">
        <f t="shared" si="26"/>
        <v>0</v>
      </c>
      <c r="AP169" s="2">
        <v>0</v>
      </c>
      <c r="AS169" s="309">
        <v>0</v>
      </c>
      <c r="AW169" s="310"/>
      <c r="BC169" s="218">
        <v>0</v>
      </c>
      <c r="BH169" s="2">
        <v>516359</v>
      </c>
      <c r="BI169" s="2">
        <v>171323</v>
      </c>
      <c r="BJ169" s="2" t="s">
        <v>498</v>
      </c>
      <c r="BL169" s="2" t="s">
        <v>140</v>
      </c>
    </row>
    <row r="170" spans="1:72" x14ac:dyDescent="0.25">
      <c r="A170" s="2" t="s">
        <v>1024</v>
      </c>
      <c r="B170" s="2" t="s">
        <v>404</v>
      </c>
      <c r="C170" s="2" t="s">
        <v>228</v>
      </c>
      <c r="D170" s="4">
        <v>43922</v>
      </c>
      <c r="E170" s="4">
        <v>45017</v>
      </c>
      <c r="F170" s="3">
        <v>44075</v>
      </c>
      <c r="H170" s="2" t="s">
        <v>218</v>
      </c>
      <c r="I170" s="2" t="s">
        <v>254</v>
      </c>
      <c r="K170" s="2" t="s">
        <v>1025</v>
      </c>
      <c r="L170" s="2" t="s">
        <v>1026</v>
      </c>
      <c r="M170" s="2" t="s">
        <v>1027</v>
      </c>
      <c r="W170" s="2">
        <f t="shared" si="18"/>
        <v>0</v>
      </c>
      <c r="X170" s="2" t="s">
        <v>385</v>
      </c>
      <c r="AB170" s="2">
        <v>1</v>
      </c>
      <c r="AF170" s="2">
        <f t="shared" si="19"/>
        <v>1</v>
      </c>
      <c r="AG170" s="2">
        <f t="shared" si="20"/>
        <v>0</v>
      </c>
      <c r="AH170" s="2">
        <f t="shared" si="21"/>
        <v>0</v>
      </c>
      <c r="AI170" s="2">
        <f t="shared" si="22"/>
        <v>0</v>
      </c>
      <c r="AJ170" s="2">
        <f t="shared" si="23"/>
        <v>1</v>
      </c>
      <c r="AK170" s="2">
        <f t="shared" si="24"/>
        <v>0</v>
      </c>
      <c r="AL170" s="2">
        <f t="shared" si="25"/>
        <v>0</v>
      </c>
      <c r="AM170" s="2">
        <f t="shared" si="26"/>
        <v>0</v>
      </c>
      <c r="AP170" s="2">
        <v>1</v>
      </c>
      <c r="AS170" s="309">
        <v>1</v>
      </c>
      <c r="AW170" s="310"/>
      <c r="BC170" s="218">
        <v>1</v>
      </c>
      <c r="BH170" s="2">
        <v>521854</v>
      </c>
      <c r="BI170" s="2">
        <v>176284</v>
      </c>
      <c r="BJ170" s="2" t="s">
        <v>449</v>
      </c>
      <c r="BL170" s="2" t="s">
        <v>175</v>
      </c>
      <c r="BS170" s="240" t="s">
        <v>148</v>
      </c>
      <c r="BT170" s="2" t="s">
        <v>451</v>
      </c>
    </row>
    <row r="171" spans="1:72" ht="15" customHeight="1" x14ac:dyDescent="0.25">
      <c r="A171" s="2" t="s">
        <v>1028</v>
      </c>
      <c r="B171" s="2" t="s">
        <v>404</v>
      </c>
      <c r="D171" s="4">
        <v>43942</v>
      </c>
      <c r="E171" s="4">
        <v>45037</v>
      </c>
      <c r="F171" s="4">
        <v>43971</v>
      </c>
      <c r="H171" s="2" t="s">
        <v>218</v>
      </c>
      <c r="I171" s="2" t="s">
        <v>254</v>
      </c>
      <c r="K171" s="2" t="s">
        <v>1029</v>
      </c>
      <c r="L171" s="2" t="s">
        <v>1030</v>
      </c>
      <c r="M171" s="2" t="s">
        <v>1031</v>
      </c>
      <c r="W171" s="2">
        <f t="shared" si="18"/>
        <v>0</v>
      </c>
      <c r="X171" s="2" t="s">
        <v>385</v>
      </c>
      <c r="Y171" s="2">
        <v>4</v>
      </c>
      <c r="Z171" s="2">
        <v>2</v>
      </c>
      <c r="AF171" s="2">
        <f t="shared" si="19"/>
        <v>6</v>
      </c>
      <c r="AG171" s="2">
        <f t="shared" si="20"/>
        <v>4</v>
      </c>
      <c r="AH171" s="2">
        <f t="shared" si="21"/>
        <v>2</v>
      </c>
      <c r="AI171" s="2">
        <f t="shared" si="22"/>
        <v>0</v>
      </c>
      <c r="AJ171" s="2">
        <f t="shared" si="23"/>
        <v>0</v>
      </c>
      <c r="AK171" s="2">
        <f t="shared" si="24"/>
        <v>0</v>
      </c>
      <c r="AL171" s="2">
        <f t="shared" si="25"/>
        <v>0</v>
      </c>
      <c r="AM171" s="2">
        <f t="shared" si="26"/>
        <v>0</v>
      </c>
      <c r="AP171" s="2">
        <v>6</v>
      </c>
      <c r="AS171" s="309">
        <v>6</v>
      </c>
      <c r="AW171" s="310"/>
      <c r="BC171" s="218">
        <v>6</v>
      </c>
      <c r="BH171" s="2">
        <v>520601</v>
      </c>
      <c r="BI171" s="2">
        <v>175400</v>
      </c>
      <c r="BJ171" s="2" t="s">
        <v>481</v>
      </c>
      <c r="BL171" s="2" t="s">
        <v>137</v>
      </c>
      <c r="BM171" s="2" t="s">
        <v>137</v>
      </c>
    </row>
    <row r="172" spans="1:72" x14ac:dyDescent="0.25">
      <c r="A172" s="2" t="s">
        <v>1032</v>
      </c>
      <c r="B172" s="2" t="s">
        <v>434</v>
      </c>
      <c r="D172" s="4">
        <v>43951</v>
      </c>
      <c r="E172" s="4">
        <v>45046</v>
      </c>
      <c r="F172" s="3">
        <v>44046</v>
      </c>
      <c r="H172" s="2" t="s">
        <v>218</v>
      </c>
      <c r="I172" s="2" t="s">
        <v>254</v>
      </c>
      <c r="K172" s="2" t="s">
        <v>1033</v>
      </c>
      <c r="L172" s="2" t="s">
        <v>1034</v>
      </c>
      <c r="M172" s="2" t="s">
        <v>1035</v>
      </c>
      <c r="N172" s="2">
        <v>4</v>
      </c>
      <c r="W172" s="2">
        <f t="shared" si="18"/>
        <v>4</v>
      </c>
      <c r="X172" s="2" t="s">
        <v>385</v>
      </c>
      <c r="AA172" s="2">
        <v>1</v>
      </c>
      <c r="AF172" s="2">
        <f t="shared" si="19"/>
        <v>1</v>
      </c>
      <c r="AG172" s="2">
        <f t="shared" si="20"/>
        <v>-4</v>
      </c>
      <c r="AH172" s="2">
        <f t="shared" si="21"/>
        <v>0</v>
      </c>
      <c r="AI172" s="2">
        <f t="shared" si="22"/>
        <v>1</v>
      </c>
      <c r="AJ172" s="2">
        <f t="shared" si="23"/>
        <v>0</v>
      </c>
      <c r="AK172" s="2">
        <f t="shared" si="24"/>
        <v>0</v>
      </c>
      <c r="AL172" s="2">
        <f t="shared" si="25"/>
        <v>0</v>
      </c>
      <c r="AM172" s="2">
        <f t="shared" si="26"/>
        <v>0</v>
      </c>
      <c r="AP172" s="2">
        <v>-3</v>
      </c>
      <c r="AS172" s="309">
        <v>-3</v>
      </c>
      <c r="AW172" s="310"/>
      <c r="BC172" s="218">
        <v>-3</v>
      </c>
      <c r="BH172" s="2">
        <v>520722</v>
      </c>
      <c r="BI172" s="2">
        <v>175144</v>
      </c>
      <c r="BJ172" s="2" t="s">
        <v>481</v>
      </c>
      <c r="BL172" s="2" t="s">
        <v>137</v>
      </c>
    </row>
    <row r="173" spans="1:72" x14ac:dyDescent="0.25">
      <c r="A173" s="2" t="s">
        <v>1036</v>
      </c>
      <c r="B173" s="2" t="s">
        <v>539</v>
      </c>
      <c r="D173" s="4">
        <v>43957</v>
      </c>
      <c r="E173" s="4">
        <v>45052</v>
      </c>
      <c r="F173" s="4">
        <v>44256</v>
      </c>
      <c r="H173" s="2" t="s">
        <v>218</v>
      </c>
      <c r="I173" s="2" t="s">
        <v>254</v>
      </c>
      <c r="K173" s="2" t="s">
        <v>1037</v>
      </c>
      <c r="L173" s="2" t="s">
        <v>1038</v>
      </c>
      <c r="M173" s="2" t="s">
        <v>1039</v>
      </c>
      <c r="O173" s="2">
        <v>1</v>
      </c>
      <c r="R173" s="2">
        <v>1</v>
      </c>
      <c r="W173" s="2">
        <f t="shared" si="18"/>
        <v>2</v>
      </c>
      <c r="X173" s="2" t="s">
        <v>385</v>
      </c>
      <c r="AC173" s="2">
        <v>1</v>
      </c>
      <c r="AF173" s="2">
        <f t="shared" si="19"/>
        <v>1</v>
      </c>
      <c r="AG173" s="2">
        <f t="shared" si="20"/>
        <v>0</v>
      </c>
      <c r="AH173" s="2">
        <f t="shared" si="21"/>
        <v>-1</v>
      </c>
      <c r="AI173" s="2">
        <f t="shared" si="22"/>
        <v>0</v>
      </c>
      <c r="AJ173" s="2">
        <f t="shared" si="23"/>
        <v>0</v>
      </c>
      <c r="AK173" s="2">
        <f t="shared" si="24"/>
        <v>0</v>
      </c>
      <c r="AL173" s="2">
        <f t="shared" si="25"/>
        <v>0</v>
      </c>
      <c r="AM173" s="2">
        <f t="shared" si="26"/>
        <v>0</v>
      </c>
      <c r="AP173" s="2">
        <v>-1</v>
      </c>
      <c r="AS173" s="309">
        <v>-1</v>
      </c>
      <c r="AW173" s="310"/>
      <c r="BC173" s="218">
        <v>-1</v>
      </c>
      <c r="BH173" s="2">
        <v>518373</v>
      </c>
      <c r="BI173" s="2">
        <v>174608</v>
      </c>
      <c r="BJ173" s="2" t="s">
        <v>401</v>
      </c>
      <c r="BL173" s="2" t="s">
        <v>164</v>
      </c>
      <c r="BS173" s="240" t="s">
        <v>148</v>
      </c>
      <c r="BT173" s="2" t="s">
        <v>438</v>
      </c>
    </row>
    <row r="174" spans="1:72" x14ac:dyDescent="0.25">
      <c r="A174" s="2" t="s">
        <v>1040</v>
      </c>
      <c r="B174" s="2" t="s">
        <v>404</v>
      </c>
      <c r="D174" s="4">
        <v>43958</v>
      </c>
      <c r="E174" s="4">
        <v>45053</v>
      </c>
      <c r="F174" s="3">
        <v>44286</v>
      </c>
      <c r="H174" s="2" t="s">
        <v>218</v>
      </c>
      <c r="I174" s="2" t="s">
        <v>254</v>
      </c>
      <c r="K174" s="2" t="s">
        <v>1041</v>
      </c>
      <c r="L174" s="2" t="s">
        <v>1042</v>
      </c>
      <c r="M174" s="2" t="s">
        <v>1043</v>
      </c>
      <c r="W174" s="2">
        <f t="shared" si="18"/>
        <v>0</v>
      </c>
      <c r="X174" s="2" t="s">
        <v>385</v>
      </c>
      <c r="AA174" s="2">
        <v>5</v>
      </c>
      <c r="AF174" s="2">
        <f t="shared" si="19"/>
        <v>5</v>
      </c>
      <c r="AG174" s="2">
        <f t="shared" si="20"/>
        <v>0</v>
      </c>
      <c r="AH174" s="2">
        <f t="shared" si="21"/>
        <v>0</v>
      </c>
      <c r="AI174" s="2">
        <f t="shared" si="22"/>
        <v>5</v>
      </c>
      <c r="AJ174" s="2">
        <f t="shared" si="23"/>
        <v>0</v>
      </c>
      <c r="AK174" s="2">
        <f t="shared" si="24"/>
        <v>0</v>
      </c>
      <c r="AL174" s="2">
        <f t="shared" si="25"/>
        <v>0</v>
      </c>
      <c r="AM174" s="2">
        <f t="shared" si="26"/>
        <v>0</v>
      </c>
      <c r="AP174" s="2">
        <v>5</v>
      </c>
      <c r="AS174" s="309"/>
      <c r="AT174" s="180">
        <v>2.5</v>
      </c>
      <c r="AU174" s="180">
        <v>2.5</v>
      </c>
      <c r="AW174" s="310"/>
      <c r="BC174" s="218">
        <v>5</v>
      </c>
      <c r="BH174" s="2">
        <v>515028</v>
      </c>
      <c r="BI174" s="2">
        <v>172768</v>
      </c>
      <c r="BJ174" s="2" t="s">
        <v>463</v>
      </c>
      <c r="BL174" s="2" t="s">
        <v>168</v>
      </c>
    </row>
    <row r="175" spans="1:72" x14ac:dyDescent="0.25">
      <c r="A175" s="2" t="s">
        <v>1044</v>
      </c>
      <c r="B175" s="2" t="s">
        <v>382</v>
      </c>
      <c r="D175" s="4">
        <v>43990</v>
      </c>
      <c r="E175" s="4">
        <v>45085</v>
      </c>
      <c r="F175" s="3">
        <v>44228</v>
      </c>
      <c r="H175" s="2" t="s">
        <v>218</v>
      </c>
      <c r="I175" s="2" t="s">
        <v>254</v>
      </c>
      <c r="K175" s="2" t="s">
        <v>1045</v>
      </c>
      <c r="L175" s="2" t="s">
        <v>1046</v>
      </c>
      <c r="M175" s="2" t="s">
        <v>1047</v>
      </c>
      <c r="O175" s="2">
        <v>1</v>
      </c>
      <c r="W175" s="2">
        <f t="shared" si="18"/>
        <v>1</v>
      </c>
      <c r="X175" s="2" t="s">
        <v>385</v>
      </c>
      <c r="AA175" s="2">
        <v>1</v>
      </c>
      <c r="AF175" s="2">
        <f t="shared" si="19"/>
        <v>1</v>
      </c>
      <c r="AG175" s="2">
        <f t="shared" si="20"/>
        <v>0</v>
      </c>
      <c r="AH175" s="2">
        <f t="shared" si="21"/>
        <v>-1</v>
      </c>
      <c r="AI175" s="2">
        <f t="shared" si="22"/>
        <v>1</v>
      </c>
      <c r="AJ175" s="2">
        <f t="shared" si="23"/>
        <v>0</v>
      </c>
      <c r="AK175" s="2">
        <f t="shared" si="24"/>
        <v>0</v>
      </c>
      <c r="AL175" s="2">
        <f t="shared" si="25"/>
        <v>0</v>
      </c>
      <c r="AM175" s="2">
        <f t="shared" si="26"/>
        <v>0</v>
      </c>
      <c r="AP175" s="2">
        <v>0</v>
      </c>
      <c r="AS175" s="309">
        <v>0</v>
      </c>
      <c r="AW175" s="310"/>
      <c r="BC175" s="218">
        <v>0</v>
      </c>
      <c r="BH175" s="2">
        <v>513897</v>
      </c>
      <c r="BI175" s="2">
        <v>171526</v>
      </c>
      <c r="BJ175" s="2" t="s">
        <v>391</v>
      </c>
      <c r="BL175" s="2" t="s">
        <v>174</v>
      </c>
    </row>
    <row r="176" spans="1:72" x14ac:dyDescent="0.25">
      <c r="A176" s="2" t="s">
        <v>1048</v>
      </c>
      <c r="B176" s="2" t="s">
        <v>434</v>
      </c>
      <c r="D176" s="4">
        <v>43990</v>
      </c>
      <c r="E176" s="4">
        <v>45088</v>
      </c>
      <c r="F176" s="3">
        <v>44043</v>
      </c>
      <c r="G176" s="3"/>
      <c r="H176" s="2" t="s">
        <v>218</v>
      </c>
      <c r="I176" s="2" t="s">
        <v>254</v>
      </c>
      <c r="K176" s="2" t="s">
        <v>1049</v>
      </c>
      <c r="L176" s="2" t="s">
        <v>1050</v>
      </c>
      <c r="M176" s="2" t="s">
        <v>1051</v>
      </c>
      <c r="P176" s="2">
        <v>1</v>
      </c>
      <c r="W176" s="2">
        <f t="shared" si="18"/>
        <v>1</v>
      </c>
      <c r="X176" s="2" t="s">
        <v>385</v>
      </c>
      <c r="Z176" s="2">
        <v>2</v>
      </c>
      <c r="AF176" s="2">
        <f t="shared" si="19"/>
        <v>2</v>
      </c>
      <c r="AG176" s="2">
        <f t="shared" si="20"/>
        <v>0</v>
      </c>
      <c r="AH176" s="2">
        <f t="shared" si="21"/>
        <v>2</v>
      </c>
      <c r="AI176" s="2">
        <f t="shared" si="22"/>
        <v>-1</v>
      </c>
      <c r="AJ176" s="2">
        <f t="shared" si="23"/>
        <v>0</v>
      </c>
      <c r="AK176" s="2">
        <f t="shared" si="24"/>
        <v>0</v>
      </c>
      <c r="AL176" s="2">
        <f t="shared" si="25"/>
        <v>0</v>
      </c>
      <c r="AM176" s="2">
        <f t="shared" si="26"/>
        <v>0</v>
      </c>
      <c r="AP176" s="2">
        <v>1</v>
      </c>
      <c r="AS176" s="309">
        <v>1</v>
      </c>
      <c r="AW176" s="310"/>
      <c r="BC176" s="218">
        <v>1</v>
      </c>
      <c r="BH176" s="2">
        <v>516190</v>
      </c>
      <c r="BI176" s="2">
        <v>173118</v>
      </c>
      <c r="BJ176" s="2" t="s">
        <v>456</v>
      </c>
      <c r="BL176" s="2" t="s">
        <v>167</v>
      </c>
      <c r="BM176" s="2" t="s">
        <v>142</v>
      </c>
      <c r="BS176" s="240" t="s">
        <v>148</v>
      </c>
      <c r="BT176" s="2" t="s">
        <v>783</v>
      </c>
    </row>
    <row r="177" spans="1:72" x14ac:dyDescent="0.25">
      <c r="A177" s="2" t="s">
        <v>1052</v>
      </c>
      <c r="B177" s="2" t="s">
        <v>382</v>
      </c>
      <c r="D177" s="4">
        <v>43991</v>
      </c>
      <c r="E177" s="4">
        <v>45087</v>
      </c>
      <c r="F177" s="3">
        <v>44286</v>
      </c>
      <c r="H177" s="2" t="s">
        <v>218</v>
      </c>
      <c r="I177" s="2" t="s">
        <v>254</v>
      </c>
      <c r="K177" s="2" t="s">
        <v>1053</v>
      </c>
      <c r="L177" s="2" t="s">
        <v>1054</v>
      </c>
      <c r="M177" s="2" t="s">
        <v>1055</v>
      </c>
      <c r="O177" s="2">
        <v>1</v>
      </c>
      <c r="W177" s="2">
        <f t="shared" si="18"/>
        <v>1</v>
      </c>
      <c r="X177" s="2" t="s">
        <v>385</v>
      </c>
      <c r="AC177" s="2">
        <v>2</v>
      </c>
      <c r="AF177" s="2">
        <f t="shared" si="19"/>
        <v>2</v>
      </c>
      <c r="AG177" s="2">
        <f t="shared" si="20"/>
        <v>0</v>
      </c>
      <c r="AH177" s="2">
        <f t="shared" si="21"/>
        <v>-1</v>
      </c>
      <c r="AI177" s="2">
        <f t="shared" si="22"/>
        <v>0</v>
      </c>
      <c r="AJ177" s="2">
        <f t="shared" si="23"/>
        <v>0</v>
      </c>
      <c r="AK177" s="2">
        <f t="shared" si="24"/>
        <v>2</v>
      </c>
      <c r="AL177" s="2">
        <f t="shared" si="25"/>
        <v>0</v>
      </c>
      <c r="AM177" s="2">
        <f t="shared" si="26"/>
        <v>0</v>
      </c>
      <c r="AP177" s="2">
        <v>1</v>
      </c>
      <c r="AS177" s="309">
        <v>1</v>
      </c>
      <c r="AW177" s="310"/>
      <c r="BC177" s="218">
        <v>1</v>
      </c>
      <c r="BH177" s="2">
        <v>514203</v>
      </c>
      <c r="BI177" s="2">
        <v>169911</v>
      </c>
      <c r="BJ177" s="2" t="s">
        <v>512</v>
      </c>
      <c r="BL177" s="2" t="s">
        <v>157</v>
      </c>
      <c r="BS177" s="240" t="s">
        <v>148</v>
      </c>
      <c r="BT177" s="2" t="s">
        <v>896</v>
      </c>
    </row>
    <row r="178" spans="1:72" x14ac:dyDescent="0.25">
      <c r="A178" s="2" t="s">
        <v>1056</v>
      </c>
      <c r="B178" s="2" t="s">
        <v>382</v>
      </c>
      <c r="D178" s="4">
        <v>44020</v>
      </c>
      <c r="E178" s="4">
        <v>45115</v>
      </c>
      <c r="F178" s="4">
        <v>44082</v>
      </c>
      <c r="H178" s="2" t="s">
        <v>218</v>
      </c>
      <c r="I178" s="2" t="s">
        <v>254</v>
      </c>
      <c r="K178" s="2" t="s">
        <v>1057</v>
      </c>
      <c r="L178" s="2" t="s">
        <v>1058</v>
      </c>
      <c r="M178" s="2" t="s">
        <v>1059</v>
      </c>
      <c r="W178" s="2">
        <f t="shared" si="18"/>
        <v>0</v>
      </c>
      <c r="X178" s="2" t="s">
        <v>385</v>
      </c>
      <c r="Z178" s="2">
        <v>1</v>
      </c>
      <c r="AF178" s="2">
        <f t="shared" si="19"/>
        <v>1</v>
      </c>
      <c r="AG178" s="2">
        <f t="shared" si="20"/>
        <v>0</v>
      </c>
      <c r="AH178" s="2">
        <f t="shared" si="21"/>
        <v>1</v>
      </c>
      <c r="AI178" s="2">
        <f t="shared" si="22"/>
        <v>0</v>
      </c>
      <c r="AJ178" s="2">
        <f t="shared" si="23"/>
        <v>0</v>
      </c>
      <c r="AK178" s="2">
        <f t="shared" si="24"/>
        <v>0</v>
      </c>
      <c r="AL178" s="2">
        <f t="shared" si="25"/>
        <v>0</v>
      </c>
      <c r="AM178" s="2">
        <f t="shared" si="26"/>
        <v>0</v>
      </c>
      <c r="AP178" s="2">
        <v>1</v>
      </c>
      <c r="AS178" s="309">
        <v>1</v>
      </c>
      <c r="AW178" s="310"/>
      <c r="BC178" s="218">
        <v>1</v>
      </c>
      <c r="BH178" s="2">
        <v>521729</v>
      </c>
      <c r="BI178" s="2">
        <v>176011</v>
      </c>
      <c r="BJ178" s="2" t="s">
        <v>449</v>
      </c>
      <c r="BL178" s="2" t="s">
        <v>175</v>
      </c>
      <c r="BS178" s="240" t="s">
        <v>148</v>
      </c>
      <c r="BT178" s="2" t="s">
        <v>1060</v>
      </c>
    </row>
    <row r="179" spans="1:72" x14ac:dyDescent="0.25">
      <c r="A179" s="2" t="s">
        <v>1061</v>
      </c>
      <c r="B179" s="2" t="s">
        <v>404</v>
      </c>
      <c r="C179" s="2" t="s">
        <v>228</v>
      </c>
      <c r="D179" s="4">
        <v>44029</v>
      </c>
      <c r="E179" s="4">
        <v>45124</v>
      </c>
      <c r="F179" s="3">
        <v>43945</v>
      </c>
      <c r="H179" s="2" t="s">
        <v>218</v>
      </c>
      <c r="I179" s="2" t="s">
        <v>254</v>
      </c>
      <c r="K179" s="2" t="s">
        <v>1062</v>
      </c>
      <c r="L179" s="2" t="s">
        <v>1030</v>
      </c>
      <c r="M179" s="2" t="s">
        <v>1031</v>
      </c>
      <c r="W179" s="2">
        <f t="shared" si="18"/>
        <v>0</v>
      </c>
      <c r="Y179" s="2">
        <v>1</v>
      </c>
      <c r="AF179" s="2">
        <f t="shared" si="19"/>
        <v>1</v>
      </c>
      <c r="AG179" s="2">
        <f t="shared" si="20"/>
        <v>1</v>
      </c>
      <c r="AH179" s="2">
        <f t="shared" si="21"/>
        <v>0</v>
      </c>
      <c r="AI179" s="2">
        <f t="shared" si="22"/>
        <v>0</v>
      </c>
      <c r="AJ179" s="2">
        <f t="shared" si="23"/>
        <v>0</v>
      </c>
      <c r="AK179" s="2">
        <f t="shared" si="24"/>
        <v>0</v>
      </c>
      <c r="AL179" s="2">
        <f t="shared" si="25"/>
        <v>0</v>
      </c>
      <c r="AM179" s="2">
        <f t="shared" si="26"/>
        <v>0</v>
      </c>
      <c r="AP179" s="2">
        <v>1</v>
      </c>
      <c r="AS179" s="309">
        <v>1</v>
      </c>
      <c r="AW179" s="310"/>
      <c r="BC179" s="218">
        <v>1</v>
      </c>
      <c r="BH179" s="2">
        <v>520601</v>
      </c>
      <c r="BI179" s="2">
        <v>175400</v>
      </c>
      <c r="BJ179" s="2" t="s">
        <v>481</v>
      </c>
      <c r="BL179" s="2" t="s">
        <v>137</v>
      </c>
      <c r="BM179" s="2" t="s">
        <v>137</v>
      </c>
    </row>
    <row r="180" spans="1:72" x14ac:dyDescent="0.25">
      <c r="A180" s="2" t="s">
        <v>1063</v>
      </c>
      <c r="B180" s="2" t="s">
        <v>382</v>
      </c>
      <c r="D180" s="4">
        <v>44032</v>
      </c>
      <c r="E180" s="4">
        <v>45127</v>
      </c>
      <c r="F180" s="3">
        <v>44228</v>
      </c>
      <c r="H180" s="2" t="s">
        <v>218</v>
      </c>
      <c r="I180" s="2" t="s">
        <v>254</v>
      </c>
      <c r="K180" s="2" t="s">
        <v>1064</v>
      </c>
      <c r="L180" s="2" t="s">
        <v>1065</v>
      </c>
      <c r="M180" s="2" t="s">
        <v>1066</v>
      </c>
      <c r="S180" s="2">
        <v>1</v>
      </c>
      <c r="W180" s="2">
        <f t="shared" si="18"/>
        <v>1</v>
      </c>
      <c r="AC180" s="2">
        <v>1</v>
      </c>
      <c r="AF180" s="2">
        <f t="shared" si="19"/>
        <v>1</v>
      </c>
      <c r="AG180" s="2">
        <f t="shared" si="20"/>
        <v>0</v>
      </c>
      <c r="AH180" s="2">
        <f t="shared" si="21"/>
        <v>0</v>
      </c>
      <c r="AI180" s="2">
        <f t="shared" si="22"/>
        <v>0</v>
      </c>
      <c r="AJ180" s="2">
        <f t="shared" si="23"/>
        <v>0</v>
      </c>
      <c r="AK180" s="2">
        <f t="shared" si="24"/>
        <v>1</v>
      </c>
      <c r="AL180" s="2">
        <f t="shared" si="25"/>
        <v>-1</v>
      </c>
      <c r="AM180" s="2">
        <f t="shared" si="26"/>
        <v>0</v>
      </c>
      <c r="AP180" s="2">
        <v>0</v>
      </c>
      <c r="AS180" s="309">
        <v>0</v>
      </c>
      <c r="AW180" s="310"/>
      <c r="BC180" s="218">
        <v>0</v>
      </c>
      <c r="BH180" s="2">
        <v>521978</v>
      </c>
      <c r="BI180" s="2">
        <v>176841</v>
      </c>
      <c r="BJ180" s="2" t="s">
        <v>418</v>
      </c>
      <c r="BL180" s="2" t="s">
        <v>154</v>
      </c>
    </row>
    <row r="181" spans="1:72" x14ac:dyDescent="0.25">
      <c r="A181" s="2" t="s">
        <v>1067</v>
      </c>
      <c r="B181" s="2" t="s">
        <v>404</v>
      </c>
      <c r="D181" s="4">
        <v>44043</v>
      </c>
      <c r="E181" s="4">
        <v>45138</v>
      </c>
      <c r="F181" s="4">
        <v>44105</v>
      </c>
      <c r="H181" s="2" t="s">
        <v>218</v>
      </c>
      <c r="I181" s="2" t="s">
        <v>254</v>
      </c>
      <c r="K181" s="2" t="s">
        <v>1068</v>
      </c>
      <c r="L181" s="2" t="s">
        <v>1069</v>
      </c>
      <c r="M181" s="2" t="s">
        <v>1070</v>
      </c>
      <c r="O181" s="2">
        <v>1</v>
      </c>
      <c r="W181" s="2">
        <f t="shared" si="18"/>
        <v>1</v>
      </c>
      <c r="X181" s="2" t="s">
        <v>385</v>
      </c>
      <c r="Y181" s="2">
        <v>2</v>
      </c>
      <c r="Z181" s="2">
        <v>1</v>
      </c>
      <c r="AF181" s="2">
        <f t="shared" si="19"/>
        <v>3</v>
      </c>
      <c r="AG181" s="2">
        <f t="shared" si="20"/>
        <v>2</v>
      </c>
      <c r="AH181" s="2">
        <f t="shared" si="21"/>
        <v>0</v>
      </c>
      <c r="AI181" s="2">
        <f t="shared" si="22"/>
        <v>0</v>
      </c>
      <c r="AJ181" s="2">
        <f t="shared" si="23"/>
        <v>0</v>
      </c>
      <c r="AK181" s="2">
        <f t="shared" si="24"/>
        <v>0</v>
      </c>
      <c r="AL181" s="2">
        <f t="shared" si="25"/>
        <v>0</v>
      </c>
      <c r="AM181" s="2">
        <f t="shared" si="26"/>
        <v>0</v>
      </c>
      <c r="AP181" s="2">
        <v>2</v>
      </c>
      <c r="AS181" s="309">
        <v>2</v>
      </c>
      <c r="AW181" s="310"/>
      <c r="BC181" s="218">
        <v>2</v>
      </c>
      <c r="BH181" s="2">
        <v>516334</v>
      </c>
      <c r="BI181" s="2">
        <v>173358</v>
      </c>
      <c r="BJ181" s="2" t="s">
        <v>456</v>
      </c>
      <c r="BL181" s="2" t="s">
        <v>167</v>
      </c>
      <c r="BM181" s="2" t="s">
        <v>142</v>
      </c>
      <c r="BS181" s="240" t="s">
        <v>148</v>
      </c>
      <c r="BT181" s="2" t="s">
        <v>783</v>
      </c>
    </row>
    <row r="182" spans="1:72" x14ac:dyDescent="0.25">
      <c r="A182" s="2" t="s">
        <v>1071</v>
      </c>
      <c r="B182" s="2" t="s">
        <v>404</v>
      </c>
      <c r="D182" s="4">
        <v>44048</v>
      </c>
      <c r="E182" s="4">
        <v>45143</v>
      </c>
      <c r="F182" s="4">
        <v>43913</v>
      </c>
      <c r="H182" s="2" t="s">
        <v>218</v>
      </c>
      <c r="I182" s="2" t="s">
        <v>254</v>
      </c>
      <c r="K182" s="2" t="s">
        <v>1072</v>
      </c>
      <c r="L182" s="2" t="s">
        <v>1073</v>
      </c>
      <c r="M182" s="2" t="s">
        <v>1074</v>
      </c>
      <c r="N182" s="2">
        <v>2</v>
      </c>
      <c r="W182" s="2">
        <f t="shared" si="18"/>
        <v>2</v>
      </c>
      <c r="X182" s="2" t="s">
        <v>385</v>
      </c>
      <c r="AA182" s="2">
        <v>2</v>
      </c>
      <c r="AF182" s="2">
        <f t="shared" si="19"/>
        <v>2</v>
      </c>
      <c r="AG182" s="2">
        <f t="shared" si="20"/>
        <v>-2</v>
      </c>
      <c r="AH182" s="2">
        <f t="shared" si="21"/>
        <v>0</v>
      </c>
      <c r="AI182" s="2">
        <f t="shared" si="22"/>
        <v>2</v>
      </c>
      <c r="AJ182" s="2">
        <f t="shared" si="23"/>
        <v>0</v>
      </c>
      <c r="AK182" s="2">
        <f t="shared" si="24"/>
        <v>0</v>
      </c>
      <c r="AL182" s="2">
        <f t="shared" si="25"/>
        <v>0</v>
      </c>
      <c r="AM182" s="2">
        <f t="shared" si="26"/>
        <v>0</v>
      </c>
      <c r="AP182" s="2">
        <v>0</v>
      </c>
      <c r="AS182" s="309">
        <v>0</v>
      </c>
      <c r="AW182" s="310"/>
      <c r="BC182" s="218">
        <v>0</v>
      </c>
      <c r="BH182" s="2">
        <v>522192</v>
      </c>
      <c r="BI182" s="2">
        <v>177628</v>
      </c>
      <c r="BJ182" s="2" t="s">
        <v>418</v>
      </c>
      <c r="BK182" s="2" t="s">
        <v>147</v>
      </c>
      <c r="BL182" s="2" t="s">
        <v>154</v>
      </c>
    </row>
    <row r="183" spans="1:72" x14ac:dyDescent="0.25">
      <c r="A183" s="2" t="s">
        <v>1075</v>
      </c>
      <c r="B183" s="2" t="s">
        <v>382</v>
      </c>
      <c r="D183" s="4">
        <v>44053</v>
      </c>
      <c r="E183" s="4">
        <v>45148</v>
      </c>
      <c r="F183" s="3">
        <v>44286</v>
      </c>
      <c r="H183" s="2" t="s">
        <v>218</v>
      </c>
      <c r="I183" s="2" t="s">
        <v>254</v>
      </c>
      <c r="K183" s="2" t="s">
        <v>1076</v>
      </c>
      <c r="L183" s="2" t="s">
        <v>1077</v>
      </c>
      <c r="M183" s="2" t="s">
        <v>1078</v>
      </c>
      <c r="W183" s="2">
        <f t="shared" si="18"/>
        <v>0</v>
      </c>
      <c r="Y183" s="2">
        <v>1</v>
      </c>
      <c r="AF183" s="2">
        <f t="shared" si="19"/>
        <v>1</v>
      </c>
      <c r="AG183" s="2">
        <f t="shared" si="20"/>
        <v>1</v>
      </c>
      <c r="AH183" s="2">
        <f t="shared" si="21"/>
        <v>0</v>
      </c>
      <c r="AI183" s="2">
        <f t="shared" si="22"/>
        <v>0</v>
      </c>
      <c r="AJ183" s="2">
        <f t="shared" si="23"/>
        <v>0</v>
      </c>
      <c r="AK183" s="2">
        <f t="shared" si="24"/>
        <v>0</v>
      </c>
      <c r="AL183" s="2">
        <f t="shared" si="25"/>
        <v>0</v>
      </c>
      <c r="AM183" s="2">
        <f t="shared" si="26"/>
        <v>0</v>
      </c>
      <c r="AP183" s="2">
        <v>1</v>
      </c>
      <c r="AS183" s="309">
        <v>1</v>
      </c>
      <c r="AW183" s="310"/>
      <c r="BC183" s="218">
        <v>1</v>
      </c>
      <c r="BH183" s="2">
        <v>516812</v>
      </c>
      <c r="BI183" s="2">
        <v>170692</v>
      </c>
      <c r="BJ183" s="2" t="s">
        <v>443</v>
      </c>
      <c r="BL183" s="2" t="s">
        <v>159</v>
      </c>
    </row>
    <row r="184" spans="1:72" x14ac:dyDescent="0.25">
      <c r="A184" s="2" t="s">
        <v>1079</v>
      </c>
      <c r="B184" s="2" t="s">
        <v>434</v>
      </c>
      <c r="D184" s="4">
        <v>44076</v>
      </c>
      <c r="E184" s="4">
        <v>45171</v>
      </c>
      <c r="F184" s="4">
        <v>44160</v>
      </c>
      <c r="G184" s="3">
        <v>44330</v>
      </c>
      <c r="H184" s="2" t="s">
        <v>218</v>
      </c>
      <c r="I184" s="2" t="s">
        <v>254</v>
      </c>
      <c r="K184" s="2" t="s">
        <v>1080</v>
      </c>
      <c r="L184" s="2" t="s">
        <v>1081</v>
      </c>
      <c r="M184" s="2" t="s">
        <v>1082</v>
      </c>
      <c r="Q184" s="2">
        <v>1</v>
      </c>
      <c r="W184" s="2">
        <f t="shared" si="18"/>
        <v>1</v>
      </c>
      <c r="X184" s="2" t="s">
        <v>385</v>
      </c>
      <c r="Y184" s="2">
        <v>3</v>
      </c>
      <c r="AF184" s="2">
        <f t="shared" si="19"/>
        <v>3</v>
      </c>
      <c r="AG184" s="2">
        <f t="shared" si="20"/>
        <v>3</v>
      </c>
      <c r="AH184" s="2">
        <f t="shared" si="21"/>
        <v>0</v>
      </c>
      <c r="AI184" s="2">
        <f t="shared" si="22"/>
        <v>0</v>
      </c>
      <c r="AJ184" s="2">
        <f t="shared" si="23"/>
        <v>-1</v>
      </c>
      <c r="AK184" s="2">
        <f t="shared" si="24"/>
        <v>0</v>
      </c>
      <c r="AL184" s="2">
        <f t="shared" si="25"/>
        <v>0</v>
      </c>
      <c r="AM184" s="2">
        <f t="shared" si="26"/>
        <v>0</v>
      </c>
      <c r="AP184" s="2">
        <v>2</v>
      </c>
      <c r="AS184" s="309">
        <v>2</v>
      </c>
      <c r="AW184" s="310"/>
      <c r="BC184" s="218">
        <v>2</v>
      </c>
      <c r="BH184" s="2">
        <v>515578</v>
      </c>
      <c r="BI184" s="2">
        <v>171697</v>
      </c>
      <c r="BJ184" s="2" t="s">
        <v>498</v>
      </c>
      <c r="BL184" s="2" t="s">
        <v>140</v>
      </c>
      <c r="BO184" s="2" t="s">
        <v>141</v>
      </c>
      <c r="BP184" s="2" t="s">
        <v>1083</v>
      </c>
    </row>
    <row r="185" spans="1:72" x14ac:dyDescent="0.25">
      <c r="A185" s="2" t="s">
        <v>1084</v>
      </c>
      <c r="B185" s="2" t="s">
        <v>394</v>
      </c>
      <c r="D185" s="4">
        <v>44126</v>
      </c>
      <c r="E185" s="4">
        <v>45221</v>
      </c>
      <c r="F185" s="4">
        <v>43983</v>
      </c>
      <c r="G185" s="3"/>
      <c r="H185" s="2" t="s">
        <v>218</v>
      </c>
      <c r="I185" s="2" t="s">
        <v>254</v>
      </c>
      <c r="K185" s="2" t="s">
        <v>1085</v>
      </c>
      <c r="L185" s="2" t="s">
        <v>1086</v>
      </c>
      <c r="M185" s="2" t="s">
        <v>1087</v>
      </c>
      <c r="W185" s="2">
        <f t="shared" si="18"/>
        <v>0</v>
      </c>
      <c r="X185" s="2" t="s">
        <v>385</v>
      </c>
      <c r="Y185" s="2">
        <v>1</v>
      </c>
      <c r="AF185" s="2">
        <f t="shared" si="19"/>
        <v>1</v>
      </c>
      <c r="AG185" s="2">
        <f t="shared" si="20"/>
        <v>1</v>
      </c>
      <c r="AH185" s="2">
        <f t="shared" si="21"/>
        <v>0</v>
      </c>
      <c r="AI185" s="2">
        <f t="shared" si="22"/>
        <v>0</v>
      </c>
      <c r="AJ185" s="2">
        <f t="shared" si="23"/>
        <v>0</v>
      </c>
      <c r="AK185" s="2">
        <f t="shared" si="24"/>
        <v>0</v>
      </c>
      <c r="AL185" s="2">
        <f t="shared" si="25"/>
        <v>0</v>
      </c>
      <c r="AM185" s="2">
        <f t="shared" si="26"/>
        <v>0</v>
      </c>
      <c r="AP185" s="2">
        <v>1</v>
      </c>
      <c r="AS185" s="309">
        <v>1</v>
      </c>
      <c r="AW185" s="310"/>
      <c r="BC185" s="218">
        <v>1</v>
      </c>
      <c r="BH185" s="2">
        <v>518536</v>
      </c>
      <c r="BI185" s="2">
        <v>175085</v>
      </c>
      <c r="BJ185" s="2" t="s">
        <v>401</v>
      </c>
      <c r="BL185" s="2" t="s">
        <v>164</v>
      </c>
      <c r="BO185" s="2" t="s">
        <v>141</v>
      </c>
      <c r="BP185" s="2" t="s">
        <v>1088</v>
      </c>
      <c r="BS185" s="240" t="s">
        <v>148</v>
      </c>
      <c r="BT185" s="2" t="s">
        <v>476</v>
      </c>
    </row>
    <row r="186" spans="1:72" x14ac:dyDescent="0.25">
      <c r="A186" s="2" t="s">
        <v>1089</v>
      </c>
      <c r="B186" s="2" t="s">
        <v>404</v>
      </c>
      <c r="D186" s="4">
        <v>44148</v>
      </c>
      <c r="E186" s="4">
        <v>45243</v>
      </c>
      <c r="F186" s="3">
        <v>44197</v>
      </c>
      <c r="H186" s="2" t="s">
        <v>218</v>
      </c>
      <c r="I186" s="2" t="s">
        <v>254</v>
      </c>
      <c r="K186" s="2" t="s">
        <v>1090</v>
      </c>
      <c r="L186" s="2" t="s">
        <v>1091</v>
      </c>
      <c r="M186" s="2" t="s">
        <v>1092</v>
      </c>
      <c r="W186" s="2">
        <f t="shared" si="18"/>
        <v>0</v>
      </c>
      <c r="X186" s="2" t="s">
        <v>385</v>
      </c>
      <c r="Y186" s="2">
        <v>1</v>
      </c>
      <c r="AF186" s="2">
        <f t="shared" si="19"/>
        <v>1</v>
      </c>
      <c r="AG186" s="2">
        <f t="shared" si="20"/>
        <v>1</v>
      </c>
      <c r="AH186" s="2">
        <f t="shared" si="21"/>
        <v>0</v>
      </c>
      <c r="AI186" s="2">
        <f t="shared" si="22"/>
        <v>0</v>
      </c>
      <c r="AJ186" s="2">
        <f t="shared" si="23"/>
        <v>0</v>
      </c>
      <c r="AK186" s="2">
        <f t="shared" si="24"/>
        <v>0</v>
      </c>
      <c r="AL186" s="2">
        <f t="shared" si="25"/>
        <v>0</v>
      </c>
      <c r="AM186" s="2">
        <f t="shared" si="26"/>
        <v>0</v>
      </c>
      <c r="AP186" s="2">
        <v>1</v>
      </c>
      <c r="AS186" s="309">
        <v>1</v>
      </c>
      <c r="AW186" s="310"/>
      <c r="BC186" s="218">
        <v>1</v>
      </c>
      <c r="BH186" s="2">
        <v>516178</v>
      </c>
      <c r="BI186" s="2">
        <v>173202</v>
      </c>
      <c r="BJ186" s="2" t="s">
        <v>456</v>
      </c>
      <c r="BL186" s="2" t="s">
        <v>167</v>
      </c>
      <c r="BM186" s="2" t="s">
        <v>142</v>
      </c>
      <c r="BS186" s="240" t="s">
        <v>148</v>
      </c>
      <c r="BT186" s="2" t="s">
        <v>1093</v>
      </c>
    </row>
    <row r="187" spans="1:72" x14ac:dyDescent="0.25">
      <c r="A187" s="2" t="s">
        <v>1094</v>
      </c>
      <c r="B187" s="2" t="s">
        <v>404</v>
      </c>
      <c r="C187" s="2" t="s">
        <v>228</v>
      </c>
      <c r="D187" s="4">
        <v>44182</v>
      </c>
      <c r="E187" s="4">
        <v>45277</v>
      </c>
      <c r="F187" s="3">
        <v>44286</v>
      </c>
      <c r="H187" s="2" t="s">
        <v>218</v>
      </c>
      <c r="I187" s="2" t="s">
        <v>254</v>
      </c>
      <c r="K187" s="2" t="s">
        <v>1095</v>
      </c>
      <c r="L187" s="2" t="s">
        <v>1096</v>
      </c>
      <c r="M187" s="2" t="s">
        <v>1097</v>
      </c>
      <c r="W187" s="2">
        <f t="shared" si="18"/>
        <v>0</v>
      </c>
      <c r="X187" s="2" t="s">
        <v>385</v>
      </c>
      <c r="Y187" s="2">
        <v>14</v>
      </c>
      <c r="AF187" s="2">
        <f t="shared" si="19"/>
        <v>14</v>
      </c>
      <c r="AG187" s="2">
        <f t="shared" si="20"/>
        <v>14</v>
      </c>
      <c r="AH187" s="2">
        <f t="shared" si="21"/>
        <v>0</v>
      </c>
      <c r="AI187" s="2">
        <f t="shared" si="22"/>
        <v>0</v>
      </c>
      <c r="AJ187" s="2">
        <f t="shared" si="23"/>
        <v>0</v>
      </c>
      <c r="AK187" s="2">
        <f t="shared" si="24"/>
        <v>0</v>
      </c>
      <c r="AL187" s="2">
        <f t="shared" si="25"/>
        <v>0</v>
      </c>
      <c r="AM187" s="2">
        <f t="shared" si="26"/>
        <v>0</v>
      </c>
      <c r="AP187" s="2">
        <v>14</v>
      </c>
      <c r="AQ187" s="180" t="s">
        <v>299</v>
      </c>
      <c r="AS187" s="309">
        <v>14</v>
      </c>
      <c r="AW187" s="310"/>
      <c r="BC187" s="218">
        <v>14</v>
      </c>
      <c r="BH187" s="2">
        <v>514145</v>
      </c>
      <c r="BI187" s="2">
        <v>169627</v>
      </c>
      <c r="BJ187" s="2" t="s">
        <v>512</v>
      </c>
      <c r="BL187" s="2" t="s">
        <v>157</v>
      </c>
      <c r="BS187" s="240" t="s">
        <v>148</v>
      </c>
      <c r="BT187" s="2" t="s">
        <v>896</v>
      </c>
    </row>
    <row r="188" spans="1:72" x14ac:dyDescent="0.25">
      <c r="A188" s="2" t="s">
        <v>1098</v>
      </c>
      <c r="B188" s="2" t="s">
        <v>382</v>
      </c>
      <c r="D188" s="4">
        <v>44186</v>
      </c>
      <c r="E188" s="4">
        <v>44963</v>
      </c>
      <c r="F188" s="4">
        <v>44095</v>
      </c>
      <c r="H188" s="2" t="s">
        <v>218</v>
      </c>
      <c r="I188" s="2" t="s">
        <v>254</v>
      </c>
      <c r="K188" s="2" t="s">
        <v>1099</v>
      </c>
      <c r="L188" s="2" t="s">
        <v>1100</v>
      </c>
      <c r="M188" s="2" t="s">
        <v>819</v>
      </c>
      <c r="W188" s="2">
        <f t="shared" si="18"/>
        <v>0</v>
      </c>
      <c r="X188" s="2" t="s">
        <v>385</v>
      </c>
      <c r="Y188" s="2">
        <v>5</v>
      </c>
      <c r="Z188" s="2">
        <v>3</v>
      </c>
      <c r="AF188" s="2">
        <f t="shared" si="19"/>
        <v>8</v>
      </c>
      <c r="AG188" s="2">
        <f t="shared" si="20"/>
        <v>5</v>
      </c>
      <c r="AH188" s="2">
        <f t="shared" si="21"/>
        <v>3</v>
      </c>
      <c r="AI188" s="2">
        <f t="shared" si="22"/>
        <v>0</v>
      </c>
      <c r="AJ188" s="2">
        <f t="shared" si="23"/>
        <v>0</v>
      </c>
      <c r="AK188" s="2">
        <f t="shared" si="24"/>
        <v>0</v>
      </c>
      <c r="AL188" s="2">
        <f t="shared" si="25"/>
        <v>0</v>
      </c>
      <c r="AM188" s="2">
        <f t="shared" si="26"/>
        <v>0</v>
      </c>
      <c r="AP188" s="2">
        <v>8</v>
      </c>
      <c r="AS188" s="309"/>
      <c r="AT188" s="180">
        <v>8</v>
      </c>
      <c r="AW188" s="310"/>
      <c r="BC188" s="218">
        <v>8</v>
      </c>
      <c r="BH188" s="2">
        <v>519026</v>
      </c>
      <c r="BI188" s="2">
        <v>175926</v>
      </c>
      <c r="BJ188" s="2" t="s">
        <v>428</v>
      </c>
      <c r="BL188" s="2" t="s">
        <v>161</v>
      </c>
    </row>
    <row r="189" spans="1:72" x14ac:dyDescent="0.25">
      <c r="A189" s="2" t="s">
        <v>1101</v>
      </c>
      <c r="B189" s="2" t="s">
        <v>434</v>
      </c>
      <c r="D189" s="4">
        <v>44242</v>
      </c>
      <c r="E189" s="4">
        <v>45337</v>
      </c>
      <c r="F189" s="3">
        <v>44256</v>
      </c>
      <c r="H189" s="2" t="s">
        <v>218</v>
      </c>
      <c r="I189" s="2" t="s">
        <v>254</v>
      </c>
      <c r="K189" s="2" t="s">
        <v>1102</v>
      </c>
      <c r="L189" s="2" t="s">
        <v>1103</v>
      </c>
      <c r="M189" s="2" t="s">
        <v>1104</v>
      </c>
      <c r="S189" s="2">
        <v>1</v>
      </c>
      <c r="W189" s="2">
        <f t="shared" si="18"/>
        <v>1</v>
      </c>
      <c r="X189" s="2" t="s">
        <v>385</v>
      </c>
      <c r="Z189" s="2">
        <v>1</v>
      </c>
      <c r="AA189" s="2">
        <v>1</v>
      </c>
      <c r="AF189" s="2">
        <f t="shared" si="19"/>
        <v>2</v>
      </c>
      <c r="AG189" s="2">
        <f t="shared" si="20"/>
        <v>0</v>
      </c>
      <c r="AH189" s="2">
        <f t="shared" si="21"/>
        <v>1</v>
      </c>
      <c r="AI189" s="2">
        <f t="shared" si="22"/>
        <v>1</v>
      </c>
      <c r="AJ189" s="2">
        <f t="shared" si="23"/>
        <v>0</v>
      </c>
      <c r="AK189" s="2">
        <f t="shared" si="24"/>
        <v>0</v>
      </c>
      <c r="AL189" s="2">
        <f t="shared" si="25"/>
        <v>-1</v>
      </c>
      <c r="AM189" s="2">
        <f t="shared" si="26"/>
        <v>0</v>
      </c>
      <c r="AP189" s="2">
        <v>1</v>
      </c>
      <c r="AS189" s="309">
        <v>1</v>
      </c>
      <c r="AW189" s="310"/>
      <c r="BC189" s="218">
        <v>1</v>
      </c>
      <c r="BH189" s="2">
        <v>513178</v>
      </c>
      <c r="BI189" s="2">
        <v>170142</v>
      </c>
      <c r="BJ189" s="2" t="s">
        <v>512</v>
      </c>
      <c r="BL189" s="2" t="s">
        <v>157</v>
      </c>
    </row>
    <row r="190" spans="1:72" x14ac:dyDescent="0.25">
      <c r="A190" s="2" t="s">
        <v>1105</v>
      </c>
      <c r="B190" s="2" t="s">
        <v>404</v>
      </c>
      <c r="C190" s="2" t="s">
        <v>228</v>
      </c>
      <c r="D190" s="4">
        <v>44243</v>
      </c>
      <c r="E190" s="4">
        <v>45338</v>
      </c>
      <c r="F190" s="3">
        <v>44228</v>
      </c>
      <c r="H190" s="2" t="s">
        <v>218</v>
      </c>
      <c r="I190" s="2" t="s">
        <v>254</v>
      </c>
      <c r="K190" s="2" t="s">
        <v>1106</v>
      </c>
      <c r="L190" s="2" t="s">
        <v>1107</v>
      </c>
      <c r="M190" s="2" t="s">
        <v>1108</v>
      </c>
      <c r="W190" s="2">
        <f t="shared" si="18"/>
        <v>0</v>
      </c>
      <c r="X190" s="2" t="s">
        <v>385</v>
      </c>
      <c r="Z190" s="2">
        <v>1</v>
      </c>
      <c r="AF190" s="2">
        <f t="shared" si="19"/>
        <v>1</v>
      </c>
      <c r="AG190" s="2">
        <f t="shared" si="20"/>
        <v>0</v>
      </c>
      <c r="AH190" s="2">
        <f t="shared" si="21"/>
        <v>1</v>
      </c>
      <c r="AI190" s="2">
        <f t="shared" si="22"/>
        <v>0</v>
      </c>
      <c r="AJ190" s="2">
        <f t="shared" si="23"/>
        <v>0</v>
      </c>
      <c r="AK190" s="2">
        <f t="shared" si="24"/>
        <v>0</v>
      </c>
      <c r="AL190" s="2">
        <f t="shared" si="25"/>
        <v>0</v>
      </c>
      <c r="AM190" s="2">
        <f t="shared" si="26"/>
        <v>0</v>
      </c>
      <c r="AP190" s="2">
        <v>1</v>
      </c>
      <c r="AS190" s="309">
        <v>1</v>
      </c>
      <c r="AW190" s="310"/>
      <c r="BC190" s="218">
        <v>1</v>
      </c>
      <c r="BH190" s="2">
        <v>518619</v>
      </c>
      <c r="BI190" s="2">
        <v>175475</v>
      </c>
      <c r="BJ190" s="2" t="s">
        <v>407</v>
      </c>
      <c r="BL190" s="2" t="s">
        <v>163</v>
      </c>
    </row>
    <row r="191" spans="1:72" x14ac:dyDescent="0.25">
      <c r="A191" s="2" t="s">
        <v>1109</v>
      </c>
      <c r="B191" s="2" t="s">
        <v>382</v>
      </c>
      <c r="D191" s="4">
        <v>44251</v>
      </c>
      <c r="E191" s="4">
        <v>45346</v>
      </c>
      <c r="F191" s="3">
        <v>44286</v>
      </c>
      <c r="H191" s="2" t="s">
        <v>218</v>
      </c>
      <c r="I191" s="2" t="s">
        <v>254</v>
      </c>
      <c r="K191" s="2" t="s">
        <v>1110</v>
      </c>
      <c r="L191" s="2" t="s">
        <v>1111</v>
      </c>
      <c r="M191" s="2" t="s">
        <v>1112</v>
      </c>
      <c r="W191" s="2">
        <f t="shared" si="18"/>
        <v>0</v>
      </c>
      <c r="X191" s="2" t="s">
        <v>385</v>
      </c>
      <c r="AB191" s="2">
        <v>1</v>
      </c>
      <c r="AF191" s="2">
        <f t="shared" si="19"/>
        <v>1</v>
      </c>
      <c r="AG191" s="2">
        <f t="shared" si="20"/>
        <v>0</v>
      </c>
      <c r="AH191" s="2">
        <f t="shared" si="21"/>
        <v>0</v>
      </c>
      <c r="AI191" s="2">
        <f t="shared" si="22"/>
        <v>0</v>
      </c>
      <c r="AJ191" s="2">
        <f t="shared" si="23"/>
        <v>1</v>
      </c>
      <c r="AK191" s="2">
        <f t="shared" si="24"/>
        <v>0</v>
      </c>
      <c r="AL191" s="2">
        <f t="shared" si="25"/>
        <v>0</v>
      </c>
      <c r="AM191" s="2">
        <f t="shared" si="26"/>
        <v>0</v>
      </c>
      <c r="AP191" s="2">
        <v>1</v>
      </c>
      <c r="AS191" s="309">
        <v>1</v>
      </c>
      <c r="AW191" s="310"/>
      <c r="BC191" s="218">
        <v>1</v>
      </c>
      <c r="BH191" s="2">
        <v>513900</v>
      </c>
      <c r="BI191" s="2">
        <v>174312</v>
      </c>
      <c r="BJ191" s="2" t="s">
        <v>622</v>
      </c>
      <c r="BL191" s="2" t="s">
        <v>144</v>
      </c>
    </row>
    <row r="192" spans="1:72" x14ac:dyDescent="0.25">
      <c r="A192" s="2" t="s">
        <v>1113</v>
      </c>
      <c r="B192" s="2" t="s">
        <v>404</v>
      </c>
      <c r="D192" s="4">
        <v>44272</v>
      </c>
      <c r="E192" s="4">
        <v>45369</v>
      </c>
      <c r="F192" s="3">
        <v>44166</v>
      </c>
      <c r="H192" s="2" t="s">
        <v>218</v>
      </c>
      <c r="I192" s="2" t="s">
        <v>254</v>
      </c>
      <c r="K192" s="2" t="s">
        <v>1114</v>
      </c>
      <c r="L192" s="2" t="s">
        <v>1115</v>
      </c>
      <c r="M192" s="2" t="s">
        <v>853</v>
      </c>
      <c r="W192" s="2">
        <f t="shared" si="18"/>
        <v>0</v>
      </c>
      <c r="X192" s="2" t="s">
        <v>385</v>
      </c>
      <c r="Y192" s="2">
        <v>1</v>
      </c>
      <c r="Z192" s="2">
        <v>1</v>
      </c>
      <c r="AF192" s="2">
        <f t="shared" si="19"/>
        <v>2</v>
      </c>
      <c r="AG192" s="2">
        <f t="shared" si="20"/>
        <v>1</v>
      </c>
      <c r="AH192" s="2">
        <f t="shared" si="21"/>
        <v>1</v>
      </c>
      <c r="AI192" s="2">
        <f t="shared" si="22"/>
        <v>0</v>
      </c>
      <c r="AJ192" s="2">
        <f t="shared" si="23"/>
        <v>0</v>
      </c>
      <c r="AK192" s="2">
        <f t="shared" si="24"/>
        <v>0</v>
      </c>
      <c r="AL192" s="2">
        <f t="shared" si="25"/>
        <v>0</v>
      </c>
      <c r="AM192" s="2">
        <f t="shared" si="26"/>
        <v>0</v>
      </c>
      <c r="AP192" s="2">
        <v>2</v>
      </c>
      <c r="AS192" s="309">
        <v>2</v>
      </c>
      <c r="AW192" s="310"/>
      <c r="BC192" s="218">
        <v>2</v>
      </c>
      <c r="BH192" s="2">
        <v>515617</v>
      </c>
      <c r="BI192" s="2">
        <v>170997</v>
      </c>
      <c r="BJ192" s="2" t="s">
        <v>498</v>
      </c>
      <c r="BL192" s="2" t="s">
        <v>140</v>
      </c>
      <c r="BM192" s="2" t="s">
        <v>140</v>
      </c>
    </row>
    <row r="193" spans="1:72" x14ac:dyDescent="0.25">
      <c r="A193" s="2" t="s">
        <v>1116</v>
      </c>
      <c r="B193" s="2" t="s">
        <v>382</v>
      </c>
      <c r="D193" s="4">
        <v>42885</v>
      </c>
      <c r="E193" s="4">
        <v>44302</v>
      </c>
      <c r="H193" s="2" t="s">
        <v>224</v>
      </c>
      <c r="I193" s="2" t="s">
        <v>254</v>
      </c>
      <c r="K193" s="2" t="s">
        <v>1117</v>
      </c>
      <c r="L193" s="2" t="s">
        <v>1118</v>
      </c>
      <c r="M193" s="2" t="s">
        <v>390</v>
      </c>
      <c r="W193" s="2">
        <f t="shared" si="18"/>
        <v>0</v>
      </c>
      <c r="X193" s="2" t="s">
        <v>385</v>
      </c>
      <c r="AA193" s="2">
        <v>2</v>
      </c>
      <c r="AF193" s="2">
        <f t="shared" si="19"/>
        <v>2</v>
      </c>
      <c r="AG193" s="2">
        <f t="shared" si="20"/>
        <v>0</v>
      </c>
      <c r="AH193" s="2">
        <f t="shared" si="21"/>
        <v>0</v>
      </c>
      <c r="AI193" s="2">
        <f t="shared" si="22"/>
        <v>2</v>
      </c>
      <c r="AJ193" s="2">
        <f t="shared" si="23"/>
        <v>0</v>
      </c>
      <c r="AK193" s="2">
        <f t="shared" si="24"/>
        <v>0</v>
      </c>
      <c r="AL193" s="2">
        <f t="shared" si="25"/>
        <v>0</v>
      </c>
      <c r="AM193" s="2">
        <f t="shared" si="26"/>
        <v>0</v>
      </c>
      <c r="AP193" s="2">
        <v>2</v>
      </c>
      <c r="AS193" s="309"/>
      <c r="AT193" s="180">
        <v>0.5</v>
      </c>
      <c r="AU193" s="180">
        <v>0.5</v>
      </c>
      <c r="AV193" s="180">
        <v>0.5</v>
      </c>
      <c r="AW193" s="310">
        <v>0.5</v>
      </c>
      <c r="BC193" s="218">
        <v>2</v>
      </c>
      <c r="BH193" s="2">
        <v>516905</v>
      </c>
      <c r="BI193" s="2">
        <v>170733</v>
      </c>
      <c r="BJ193" s="2" t="s">
        <v>443</v>
      </c>
      <c r="BL193" s="2" t="s">
        <v>159</v>
      </c>
    </row>
    <row r="194" spans="1:72" x14ac:dyDescent="0.25">
      <c r="A194" s="2" t="s">
        <v>1119</v>
      </c>
      <c r="B194" s="2" t="s">
        <v>434</v>
      </c>
      <c r="D194" s="4">
        <v>42978</v>
      </c>
      <c r="E194" s="4">
        <v>44074</v>
      </c>
      <c r="H194" s="2" t="s">
        <v>224</v>
      </c>
      <c r="I194" s="2" t="s">
        <v>254</v>
      </c>
      <c r="K194" s="2" t="s">
        <v>1120</v>
      </c>
      <c r="L194" s="2" t="s">
        <v>1121</v>
      </c>
      <c r="M194" s="2" t="s">
        <v>1122</v>
      </c>
      <c r="Q194" s="2">
        <v>1</v>
      </c>
      <c r="W194" s="2">
        <f t="shared" ref="W194:W247" si="27">SUM(N194:V194)</f>
        <v>1</v>
      </c>
      <c r="X194" s="2" t="s">
        <v>385</v>
      </c>
      <c r="Z194" s="2">
        <v>2</v>
      </c>
      <c r="AF194" s="2">
        <f t="shared" ref="AF194:AF257" si="28">SUM(Y194:AE194)</f>
        <v>2</v>
      </c>
      <c r="AG194" s="2">
        <f t="shared" ref="AG194:AG247" si="29">Y194-N194</f>
        <v>0</v>
      </c>
      <c r="AH194" s="2">
        <f t="shared" ref="AH194:AH247" si="30">Z194-O194</f>
        <v>2</v>
      </c>
      <c r="AI194" s="2">
        <f t="shared" ref="AI194:AI247" si="31">AA194-P194</f>
        <v>0</v>
      </c>
      <c r="AJ194" s="2">
        <f t="shared" ref="AJ194:AJ247" si="32">AB194-Q194</f>
        <v>-1</v>
      </c>
      <c r="AK194" s="2">
        <f t="shared" ref="AK194:AK247" si="33">AC194-R194</f>
        <v>0</v>
      </c>
      <c r="AL194" s="2">
        <f t="shared" ref="AL194:AL247" si="34">AD194-S194</f>
        <v>0</v>
      </c>
      <c r="AM194" s="2">
        <f t="shared" ref="AM194:AM247" si="35">AE194-T194</f>
        <v>0</v>
      </c>
      <c r="AP194" s="2">
        <v>1</v>
      </c>
      <c r="AS194" s="309">
        <v>0.25</v>
      </c>
      <c r="AT194" s="180">
        <v>0.25</v>
      </c>
      <c r="AU194" s="180">
        <v>0.25</v>
      </c>
      <c r="AV194" s="180">
        <v>0.25</v>
      </c>
      <c r="AW194" s="310"/>
      <c r="BC194" s="218">
        <v>1</v>
      </c>
      <c r="BH194" s="2">
        <v>519014</v>
      </c>
      <c r="BI194" s="2">
        <v>175279</v>
      </c>
      <c r="BJ194" s="2" t="s">
        <v>407</v>
      </c>
      <c r="BL194" s="2" t="s">
        <v>163</v>
      </c>
    </row>
    <row r="195" spans="1:72" x14ac:dyDescent="0.25">
      <c r="A195" s="2" t="s">
        <v>1123</v>
      </c>
      <c r="B195" s="2" t="s">
        <v>394</v>
      </c>
      <c r="C195" s="4"/>
      <c r="D195" s="4">
        <v>42983</v>
      </c>
      <c r="E195" s="3">
        <v>44317</v>
      </c>
      <c r="F195" s="3">
        <v>44312</v>
      </c>
      <c r="G195" s="4"/>
      <c r="H195" s="2" t="s">
        <v>224</v>
      </c>
      <c r="I195" s="2" t="s">
        <v>254</v>
      </c>
      <c r="J195" s="180"/>
      <c r="K195" s="2" t="s">
        <v>1124</v>
      </c>
      <c r="L195" s="2" t="s">
        <v>1125</v>
      </c>
      <c r="M195" s="2" t="s">
        <v>1126</v>
      </c>
      <c r="W195" s="2">
        <f t="shared" si="27"/>
        <v>0</v>
      </c>
      <c r="X195" s="2" t="s">
        <v>385</v>
      </c>
      <c r="Y195" s="2">
        <v>4</v>
      </c>
      <c r="Z195" s="2">
        <v>12</v>
      </c>
      <c r="AA195" s="2">
        <v>10</v>
      </c>
      <c r="AB195" s="2">
        <v>2</v>
      </c>
      <c r="AF195" s="2">
        <f t="shared" si="28"/>
        <v>28</v>
      </c>
      <c r="AG195" s="2">
        <f t="shared" si="29"/>
        <v>4</v>
      </c>
      <c r="AH195" s="2">
        <f t="shared" si="30"/>
        <v>12</v>
      </c>
      <c r="AI195" s="2">
        <f t="shared" si="31"/>
        <v>10</v>
      </c>
      <c r="AJ195" s="2">
        <f t="shared" si="32"/>
        <v>2</v>
      </c>
      <c r="AK195" s="2">
        <f t="shared" si="33"/>
        <v>0</v>
      </c>
      <c r="AL195" s="2">
        <f t="shared" si="34"/>
        <v>0</v>
      </c>
      <c r="AM195" s="2">
        <f t="shared" si="35"/>
        <v>0</v>
      </c>
      <c r="AP195" s="2">
        <v>28</v>
      </c>
      <c r="AQ195" s="180" t="s">
        <v>299</v>
      </c>
      <c r="AS195" s="309"/>
      <c r="AT195" s="180">
        <v>7</v>
      </c>
      <c r="AU195" s="180">
        <v>7</v>
      </c>
      <c r="AV195" s="180">
        <v>7</v>
      </c>
      <c r="AW195" s="310">
        <v>7</v>
      </c>
      <c r="BC195" s="218">
        <v>28</v>
      </c>
      <c r="BH195" s="2">
        <v>513766</v>
      </c>
      <c r="BI195" s="2">
        <v>169736</v>
      </c>
      <c r="BJ195" s="2" t="s">
        <v>512</v>
      </c>
      <c r="BL195" s="2" t="s">
        <v>157</v>
      </c>
    </row>
    <row r="196" spans="1:72" x14ac:dyDescent="0.25">
      <c r="A196" s="2" t="s">
        <v>1127</v>
      </c>
      <c r="B196" s="2" t="s">
        <v>382</v>
      </c>
      <c r="D196" s="4">
        <v>43070</v>
      </c>
      <c r="E196" s="4">
        <v>44166</v>
      </c>
      <c r="H196" s="2" t="s">
        <v>224</v>
      </c>
      <c r="I196" s="2" t="s">
        <v>254</v>
      </c>
      <c r="K196" s="2" t="s">
        <v>1128</v>
      </c>
      <c r="L196" s="2" t="s">
        <v>1129</v>
      </c>
      <c r="M196" s="2" t="s">
        <v>1130</v>
      </c>
      <c r="Q196" s="2">
        <v>1</v>
      </c>
      <c r="W196" s="2">
        <f t="shared" si="27"/>
        <v>1</v>
      </c>
      <c r="X196" s="2" t="s">
        <v>385</v>
      </c>
      <c r="AB196" s="2">
        <v>2</v>
      </c>
      <c r="AF196" s="2">
        <f t="shared" si="28"/>
        <v>2</v>
      </c>
      <c r="AG196" s="2">
        <f t="shared" si="29"/>
        <v>0</v>
      </c>
      <c r="AH196" s="2">
        <f t="shared" si="30"/>
        <v>0</v>
      </c>
      <c r="AI196" s="2">
        <f t="shared" si="31"/>
        <v>0</v>
      </c>
      <c r="AJ196" s="2">
        <f t="shared" si="32"/>
        <v>1</v>
      </c>
      <c r="AK196" s="2">
        <f t="shared" si="33"/>
        <v>0</v>
      </c>
      <c r="AL196" s="2">
        <f t="shared" si="34"/>
        <v>0</v>
      </c>
      <c r="AM196" s="2">
        <f t="shared" si="35"/>
        <v>0</v>
      </c>
      <c r="AP196" s="2">
        <v>1</v>
      </c>
      <c r="AS196" s="309"/>
      <c r="AT196" s="180">
        <v>0.25</v>
      </c>
      <c r="AU196" s="180">
        <v>0.25</v>
      </c>
      <c r="AV196" s="180">
        <v>0.25</v>
      </c>
      <c r="AW196" s="310">
        <v>0.25</v>
      </c>
      <c r="BC196" s="218">
        <v>1</v>
      </c>
      <c r="BH196" s="2">
        <v>514058</v>
      </c>
      <c r="BI196" s="2">
        <v>174409</v>
      </c>
      <c r="BJ196" s="2" t="s">
        <v>622</v>
      </c>
      <c r="BK196" s="2" t="s">
        <v>147</v>
      </c>
      <c r="BL196" s="2" t="s">
        <v>144</v>
      </c>
    </row>
    <row r="197" spans="1:72" x14ac:dyDescent="0.25">
      <c r="A197" s="2" t="s">
        <v>1131</v>
      </c>
      <c r="B197" s="2" t="s">
        <v>404</v>
      </c>
      <c r="C197" s="2" t="s">
        <v>228</v>
      </c>
      <c r="D197" s="4">
        <v>43080</v>
      </c>
      <c r="E197" s="4">
        <v>44176</v>
      </c>
      <c r="H197" s="2" t="s">
        <v>224</v>
      </c>
      <c r="I197" s="2" t="s">
        <v>254</v>
      </c>
      <c r="K197" s="2" t="s">
        <v>1132</v>
      </c>
      <c r="L197" s="2" t="s">
        <v>1133</v>
      </c>
      <c r="M197" s="2" t="s">
        <v>1134</v>
      </c>
      <c r="W197" s="2">
        <f t="shared" si="27"/>
        <v>0</v>
      </c>
      <c r="X197" s="2" t="s">
        <v>385</v>
      </c>
      <c r="Z197" s="2">
        <v>1</v>
      </c>
      <c r="AA197" s="2">
        <v>1</v>
      </c>
      <c r="AF197" s="2">
        <f t="shared" si="28"/>
        <v>2</v>
      </c>
      <c r="AG197" s="2">
        <f t="shared" si="29"/>
        <v>0</v>
      </c>
      <c r="AH197" s="2">
        <f t="shared" si="30"/>
        <v>1</v>
      </c>
      <c r="AI197" s="2">
        <f t="shared" si="31"/>
        <v>1</v>
      </c>
      <c r="AJ197" s="2">
        <f t="shared" si="32"/>
        <v>0</v>
      </c>
      <c r="AK197" s="2">
        <f t="shared" si="33"/>
        <v>0</v>
      </c>
      <c r="AL197" s="2">
        <f t="shared" si="34"/>
        <v>0</v>
      </c>
      <c r="AM197" s="2">
        <f t="shared" si="35"/>
        <v>0</v>
      </c>
      <c r="AP197" s="2">
        <v>2</v>
      </c>
      <c r="AS197" s="309">
        <v>0.5</v>
      </c>
      <c r="AT197" s="180">
        <v>0.5</v>
      </c>
      <c r="AU197" s="180">
        <v>0.5</v>
      </c>
      <c r="AV197" s="180">
        <v>0.5</v>
      </c>
      <c r="AW197" s="310"/>
      <c r="BC197" s="218">
        <v>2</v>
      </c>
      <c r="BH197" s="2">
        <v>515664</v>
      </c>
      <c r="BI197" s="2">
        <v>171121</v>
      </c>
      <c r="BJ197" s="2" t="s">
        <v>498</v>
      </c>
      <c r="BL197" s="2" t="s">
        <v>140</v>
      </c>
      <c r="BS197" s="240" t="s">
        <v>148</v>
      </c>
      <c r="BT197" s="2" t="s">
        <v>1135</v>
      </c>
    </row>
    <row r="198" spans="1:72" x14ac:dyDescent="0.25">
      <c r="A198" s="2" t="s">
        <v>1136</v>
      </c>
      <c r="B198" s="2" t="s">
        <v>434</v>
      </c>
      <c r="D198" s="4">
        <v>43089</v>
      </c>
      <c r="E198" s="4">
        <v>44185</v>
      </c>
      <c r="H198" s="2" t="s">
        <v>224</v>
      </c>
      <c r="I198" s="2" t="s">
        <v>254</v>
      </c>
      <c r="K198" s="2" t="s">
        <v>1137</v>
      </c>
      <c r="L198" s="2" t="s">
        <v>1138</v>
      </c>
      <c r="M198" s="2" t="s">
        <v>1139</v>
      </c>
      <c r="P198" s="2">
        <v>1</v>
      </c>
      <c r="W198" s="2">
        <f t="shared" si="27"/>
        <v>1</v>
      </c>
      <c r="X198" s="2" t="s">
        <v>385</v>
      </c>
      <c r="Y198" s="2">
        <v>4</v>
      </c>
      <c r="AF198" s="2">
        <f t="shared" si="28"/>
        <v>4</v>
      </c>
      <c r="AG198" s="2">
        <f t="shared" si="29"/>
        <v>4</v>
      </c>
      <c r="AH198" s="2">
        <f t="shared" si="30"/>
        <v>0</v>
      </c>
      <c r="AI198" s="2">
        <f t="shared" si="31"/>
        <v>-1</v>
      </c>
      <c r="AJ198" s="2">
        <f t="shared" si="32"/>
        <v>0</v>
      </c>
      <c r="AK198" s="2">
        <f t="shared" si="33"/>
        <v>0</v>
      </c>
      <c r="AL198" s="2">
        <f t="shared" si="34"/>
        <v>0</v>
      </c>
      <c r="AM198" s="2">
        <f t="shared" si="35"/>
        <v>0</v>
      </c>
      <c r="AP198" s="2">
        <v>3</v>
      </c>
      <c r="AS198" s="309">
        <v>0.75</v>
      </c>
      <c r="AT198" s="180">
        <v>0.75</v>
      </c>
      <c r="AU198" s="180">
        <v>0.75</v>
      </c>
      <c r="AV198" s="180">
        <v>0.75</v>
      </c>
      <c r="AW198" s="310"/>
      <c r="BC198" s="218">
        <v>3</v>
      </c>
      <c r="BH198" s="2">
        <v>514558</v>
      </c>
      <c r="BI198" s="2">
        <v>171264</v>
      </c>
      <c r="BJ198" s="2" t="s">
        <v>391</v>
      </c>
      <c r="BL198" s="2" t="s">
        <v>174</v>
      </c>
      <c r="BO198" s="2" t="s">
        <v>141</v>
      </c>
      <c r="BP198" s="2" t="s">
        <v>560</v>
      </c>
    </row>
    <row r="199" spans="1:72" x14ac:dyDescent="0.25">
      <c r="A199" s="2" t="s">
        <v>1140</v>
      </c>
      <c r="B199" s="2" t="s">
        <v>404</v>
      </c>
      <c r="C199" s="2" t="s">
        <v>228</v>
      </c>
      <c r="D199" s="4">
        <v>43091</v>
      </c>
      <c r="E199" s="4">
        <v>44187</v>
      </c>
      <c r="H199" s="2" t="s">
        <v>224</v>
      </c>
      <c r="I199" s="2" t="s">
        <v>254</v>
      </c>
      <c r="K199" s="2" t="s">
        <v>1141</v>
      </c>
      <c r="L199" s="2" t="s">
        <v>1142</v>
      </c>
      <c r="M199" s="2" t="s">
        <v>652</v>
      </c>
      <c r="W199" s="2">
        <f t="shared" si="27"/>
        <v>0</v>
      </c>
      <c r="X199" s="2" t="s">
        <v>385</v>
      </c>
      <c r="Y199" s="2">
        <v>6</v>
      </c>
      <c r="AF199" s="2">
        <f t="shared" si="28"/>
        <v>6</v>
      </c>
      <c r="AG199" s="2">
        <f t="shared" si="29"/>
        <v>6</v>
      </c>
      <c r="AH199" s="2">
        <f t="shared" si="30"/>
        <v>0</v>
      </c>
      <c r="AI199" s="2">
        <f t="shared" si="31"/>
        <v>0</v>
      </c>
      <c r="AJ199" s="2">
        <f t="shared" si="32"/>
        <v>0</v>
      </c>
      <c r="AK199" s="2">
        <f t="shared" si="33"/>
        <v>0</v>
      </c>
      <c r="AL199" s="2">
        <f t="shared" si="34"/>
        <v>0</v>
      </c>
      <c r="AM199" s="2">
        <f t="shared" si="35"/>
        <v>0</v>
      </c>
      <c r="AP199" s="2">
        <v>6</v>
      </c>
      <c r="AS199" s="309">
        <v>1.5</v>
      </c>
      <c r="AT199" s="180">
        <v>1.5</v>
      </c>
      <c r="AU199" s="180">
        <v>1.5</v>
      </c>
      <c r="AV199" s="180">
        <v>1.5</v>
      </c>
      <c r="AW199" s="310"/>
      <c r="BC199" s="218">
        <v>6</v>
      </c>
      <c r="BH199" s="2">
        <v>520442</v>
      </c>
      <c r="BI199" s="2">
        <v>175588</v>
      </c>
      <c r="BJ199" s="2" t="s">
        <v>481</v>
      </c>
      <c r="BL199" s="2" t="s">
        <v>137</v>
      </c>
      <c r="BS199" s="240" t="s">
        <v>148</v>
      </c>
      <c r="BT199" s="2" t="s">
        <v>490</v>
      </c>
    </row>
    <row r="200" spans="1:72" x14ac:dyDescent="0.25">
      <c r="A200" s="2" t="s">
        <v>1143</v>
      </c>
      <c r="B200" s="2" t="s">
        <v>404</v>
      </c>
      <c r="D200" s="4">
        <v>43119</v>
      </c>
      <c r="E200" s="4">
        <v>44215</v>
      </c>
      <c r="H200" s="2" t="s">
        <v>224</v>
      </c>
      <c r="I200" s="2" t="s">
        <v>254</v>
      </c>
      <c r="K200" s="2" t="s">
        <v>1144</v>
      </c>
      <c r="L200" s="2" t="s">
        <v>1145</v>
      </c>
      <c r="M200" s="2" t="s">
        <v>1146</v>
      </c>
      <c r="W200" s="2">
        <f t="shared" si="27"/>
        <v>0</v>
      </c>
      <c r="X200" s="2" t="s">
        <v>385</v>
      </c>
      <c r="Y200" s="2">
        <v>2</v>
      </c>
      <c r="AF200" s="2">
        <f t="shared" si="28"/>
        <v>2</v>
      </c>
      <c r="AG200" s="2">
        <f t="shared" si="29"/>
        <v>2</v>
      </c>
      <c r="AH200" s="2">
        <f t="shared" si="30"/>
        <v>0</v>
      </c>
      <c r="AI200" s="2">
        <f t="shared" si="31"/>
        <v>0</v>
      </c>
      <c r="AJ200" s="2">
        <f t="shared" si="32"/>
        <v>0</v>
      </c>
      <c r="AK200" s="2">
        <f t="shared" si="33"/>
        <v>0</v>
      </c>
      <c r="AL200" s="2">
        <f t="shared" si="34"/>
        <v>0</v>
      </c>
      <c r="AM200" s="2">
        <f t="shared" si="35"/>
        <v>0</v>
      </c>
      <c r="AP200" s="2">
        <v>2</v>
      </c>
      <c r="AS200" s="309">
        <v>0.5</v>
      </c>
      <c r="AT200" s="180">
        <v>0.5</v>
      </c>
      <c r="AU200" s="180">
        <v>0.5</v>
      </c>
      <c r="AV200" s="180">
        <v>0.5</v>
      </c>
      <c r="AW200" s="310"/>
      <c r="BC200" s="218">
        <v>2</v>
      </c>
      <c r="BH200" s="2">
        <v>516126</v>
      </c>
      <c r="BI200" s="2">
        <v>173185</v>
      </c>
      <c r="BJ200" s="2" t="s">
        <v>456</v>
      </c>
      <c r="BL200" s="2" t="s">
        <v>167</v>
      </c>
      <c r="BM200" s="2" t="s">
        <v>142</v>
      </c>
    </row>
    <row r="201" spans="1:72" x14ac:dyDescent="0.25">
      <c r="A201" s="2" t="s">
        <v>1147</v>
      </c>
      <c r="B201" s="2" t="s">
        <v>404</v>
      </c>
      <c r="C201" s="2" t="s">
        <v>228</v>
      </c>
      <c r="D201" s="4">
        <v>43136</v>
      </c>
      <c r="E201" s="4">
        <v>44232</v>
      </c>
      <c r="H201" s="2" t="s">
        <v>224</v>
      </c>
      <c r="I201" s="2" t="s">
        <v>254</v>
      </c>
      <c r="K201" s="2" t="s">
        <v>1148</v>
      </c>
      <c r="L201" s="2" t="s">
        <v>1133</v>
      </c>
      <c r="M201" s="2" t="s">
        <v>1134</v>
      </c>
      <c r="W201" s="2">
        <f t="shared" si="27"/>
        <v>0</v>
      </c>
      <c r="X201" s="2" t="s">
        <v>385</v>
      </c>
      <c r="Z201" s="2">
        <v>1</v>
      </c>
      <c r="AF201" s="2">
        <f t="shared" si="28"/>
        <v>1</v>
      </c>
      <c r="AG201" s="2">
        <f t="shared" si="29"/>
        <v>0</v>
      </c>
      <c r="AH201" s="2">
        <f t="shared" si="30"/>
        <v>1</v>
      </c>
      <c r="AI201" s="2">
        <f t="shared" si="31"/>
        <v>0</v>
      </c>
      <c r="AJ201" s="2">
        <f t="shared" si="32"/>
        <v>0</v>
      </c>
      <c r="AK201" s="2">
        <f t="shared" si="33"/>
        <v>0</v>
      </c>
      <c r="AL201" s="2">
        <f t="shared" si="34"/>
        <v>0</v>
      </c>
      <c r="AM201" s="2">
        <f t="shared" si="35"/>
        <v>0</v>
      </c>
      <c r="AP201" s="2">
        <v>1</v>
      </c>
      <c r="AS201" s="309">
        <v>0.25</v>
      </c>
      <c r="AT201" s="180">
        <v>0.25</v>
      </c>
      <c r="AU201" s="180">
        <v>0.25</v>
      </c>
      <c r="AV201" s="180">
        <v>0.25</v>
      </c>
      <c r="AW201" s="310"/>
      <c r="BC201" s="218">
        <v>1</v>
      </c>
      <c r="BH201" s="2">
        <v>515664</v>
      </c>
      <c r="BI201" s="2">
        <v>171121</v>
      </c>
      <c r="BJ201" s="2" t="s">
        <v>498</v>
      </c>
      <c r="BL201" s="2" t="s">
        <v>140</v>
      </c>
      <c r="BS201" s="240" t="s">
        <v>148</v>
      </c>
      <c r="BT201" s="2" t="s">
        <v>1135</v>
      </c>
    </row>
    <row r="202" spans="1:72" s="242" customFormat="1" x14ac:dyDescent="0.25">
      <c r="A202" s="2" t="s">
        <v>1149</v>
      </c>
      <c r="B202" s="2" t="s">
        <v>404</v>
      </c>
      <c r="C202" s="2" t="s">
        <v>228</v>
      </c>
      <c r="D202" s="4">
        <v>43207</v>
      </c>
      <c r="E202" s="4">
        <v>44333</v>
      </c>
      <c r="F202" s="2"/>
      <c r="G202" s="2"/>
      <c r="H202" s="2" t="s">
        <v>224</v>
      </c>
      <c r="I202" s="2" t="s">
        <v>254</v>
      </c>
      <c r="J202" s="2"/>
      <c r="K202" s="2" t="s">
        <v>1150</v>
      </c>
      <c r="L202" s="2" t="s">
        <v>1151</v>
      </c>
      <c r="M202" s="2" t="s">
        <v>1152</v>
      </c>
      <c r="N202" s="2"/>
      <c r="O202" s="2"/>
      <c r="P202" s="2"/>
      <c r="Q202" s="2"/>
      <c r="R202" s="2"/>
      <c r="S202" s="2"/>
      <c r="T202" s="2"/>
      <c r="U202" s="2"/>
      <c r="V202" s="2"/>
      <c r="W202" s="2">
        <f t="shared" si="27"/>
        <v>0</v>
      </c>
      <c r="X202" s="2" t="s">
        <v>385</v>
      </c>
      <c r="Y202" s="2"/>
      <c r="Z202" s="2">
        <v>2</v>
      </c>
      <c r="AA202" s="2"/>
      <c r="AB202" s="2"/>
      <c r="AC202" s="2"/>
      <c r="AD202" s="2"/>
      <c r="AE202" s="2"/>
      <c r="AF202" s="2">
        <f t="shared" si="28"/>
        <v>2</v>
      </c>
      <c r="AG202" s="2">
        <f t="shared" si="29"/>
        <v>0</v>
      </c>
      <c r="AH202" s="2">
        <f t="shared" si="30"/>
        <v>2</v>
      </c>
      <c r="AI202" s="2">
        <f t="shared" si="31"/>
        <v>0</v>
      </c>
      <c r="AJ202" s="2">
        <f t="shared" si="32"/>
        <v>0</v>
      </c>
      <c r="AK202" s="2">
        <f t="shared" si="33"/>
        <v>0</v>
      </c>
      <c r="AL202" s="2">
        <f t="shared" si="34"/>
        <v>0</v>
      </c>
      <c r="AM202" s="2">
        <f t="shared" si="35"/>
        <v>0</v>
      </c>
      <c r="AN202" s="2"/>
      <c r="AO202" s="2"/>
      <c r="AP202" s="2">
        <v>2</v>
      </c>
      <c r="AQ202" s="180"/>
      <c r="AR202" s="2"/>
      <c r="AS202" s="309">
        <v>0.5</v>
      </c>
      <c r="AT202" s="180">
        <v>0.5</v>
      </c>
      <c r="AU202" s="180">
        <v>0.5</v>
      </c>
      <c r="AV202" s="180">
        <v>0.5</v>
      </c>
      <c r="AW202" s="310"/>
      <c r="AX202" s="2"/>
      <c r="AY202" s="2"/>
      <c r="AZ202" s="2"/>
      <c r="BA202" s="2"/>
      <c r="BB202" s="2"/>
      <c r="BC202" s="218">
        <v>2</v>
      </c>
      <c r="BD202" s="2"/>
      <c r="BE202" s="2"/>
      <c r="BF202" s="2"/>
      <c r="BG202" s="2"/>
      <c r="BH202" s="2">
        <v>514188</v>
      </c>
      <c r="BI202" s="2">
        <v>170550</v>
      </c>
      <c r="BJ202" s="2" t="s">
        <v>391</v>
      </c>
      <c r="BK202" s="2"/>
      <c r="BL202" s="2" t="s">
        <v>174</v>
      </c>
      <c r="BM202" s="2"/>
      <c r="BN202" s="2"/>
      <c r="BO202" s="2"/>
      <c r="BP202" s="2"/>
      <c r="BQ202" s="2"/>
      <c r="BR202" s="2"/>
      <c r="BS202" s="240" t="s">
        <v>148</v>
      </c>
      <c r="BT202" s="2" t="s">
        <v>561</v>
      </c>
    </row>
    <row r="203" spans="1:72" x14ac:dyDescent="0.25">
      <c r="A203" s="2" t="s">
        <v>1153</v>
      </c>
      <c r="B203" s="2" t="s">
        <v>382</v>
      </c>
      <c r="D203" s="4">
        <v>43213</v>
      </c>
      <c r="E203" s="4">
        <v>44309</v>
      </c>
      <c r="H203" s="2" t="s">
        <v>224</v>
      </c>
      <c r="I203" s="2" t="s">
        <v>254</v>
      </c>
      <c r="K203" s="2" t="s">
        <v>1154</v>
      </c>
      <c r="L203" s="2" t="s">
        <v>1155</v>
      </c>
      <c r="M203" s="2" t="s">
        <v>1156</v>
      </c>
      <c r="W203" s="2">
        <f t="shared" si="27"/>
        <v>0</v>
      </c>
      <c r="X203" s="2" t="s">
        <v>385</v>
      </c>
      <c r="AA203" s="2">
        <v>6</v>
      </c>
      <c r="AF203" s="2">
        <f t="shared" si="28"/>
        <v>6</v>
      </c>
      <c r="AG203" s="2">
        <f t="shared" si="29"/>
        <v>0</v>
      </c>
      <c r="AH203" s="2">
        <f t="shared" si="30"/>
        <v>0</v>
      </c>
      <c r="AI203" s="2">
        <f t="shared" si="31"/>
        <v>6</v>
      </c>
      <c r="AJ203" s="2">
        <f t="shared" si="32"/>
        <v>0</v>
      </c>
      <c r="AK203" s="2">
        <f t="shared" si="33"/>
        <v>0</v>
      </c>
      <c r="AL203" s="2">
        <f t="shared" si="34"/>
        <v>0</v>
      </c>
      <c r="AM203" s="2">
        <f t="shared" si="35"/>
        <v>0</v>
      </c>
      <c r="AP203" s="2">
        <v>6</v>
      </c>
      <c r="AS203" s="309"/>
      <c r="AT203" s="180">
        <v>1.5</v>
      </c>
      <c r="AU203" s="180">
        <v>1.5</v>
      </c>
      <c r="AV203" s="180">
        <v>1.5</v>
      </c>
      <c r="AW203" s="310">
        <v>1.5</v>
      </c>
      <c r="BC203" s="218">
        <v>6</v>
      </c>
      <c r="BH203" s="2">
        <v>513825</v>
      </c>
      <c r="BI203" s="2">
        <v>169567</v>
      </c>
      <c r="BJ203" s="2" t="s">
        <v>512</v>
      </c>
      <c r="BL203" s="2" t="s">
        <v>157</v>
      </c>
      <c r="BS203" s="240" t="s">
        <v>148</v>
      </c>
      <c r="BT203" s="2" t="s">
        <v>896</v>
      </c>
    </row>
    <row r="204" spans="1:72" x14ac:dyDescent="0.25">
      <c r="A204" s="2" t="s">
        <v>1157</v>
      </c>
      <c r="B204" s="2" t="s">
        <v>382</v>
      </c>
      <c r="D204" s="4">
        <v>43216</v>
      </c>
      <c r="E204" s="4">
        <v>44312</v>
      </c>
      <c r="H204" s="2" t="s">
        <v>224</v>
      </c>
      <c r="I204" s="2" t="s">
        <v>254</v>
      </c>
      <c r="K204" s="2" t="s">
        <v>1158</v>
      </c>
      <c r="L204" s="2" t="s">
        <v>1159</v>
      </c>
      <c r="M204" s="2" t="s">
        <v>1160</v>
      </c>
      <c r="Q204" s="2">
        <v>1</v>
      </c>
      <c r="W204" s="2">
        <f t="shared" si="27"/>
        <v>1</v>
      </c>
      <c r="X204" s="2" t="s">
        <v>385</v>
      </c>
      <c r="AC204" s="2">
        <v>1</v>
      </c>
      <c r="AF204" s="2">
        <f t="shared" si="28"/>
        <v>1</v>
      </c>
      <c r="AG204" s="2">
        <f t="shared" si="29"/>
        <v>0</v>
      </c>
      <c r="AH204" s="2">
        <f t="shared" si="30"/>
        <v>0</v>
      </c>
      <c r="AI204" s="2">
        <f t="shared" si="31"/>
        <v>0</v>
      </c>
      <c r="AJ204" s="2">
        <f t="shared" si="32"/>
        <v>-1</v>
      </c>
      <c r="AK204" s="2">
        <f t="shared" si="33"/>
        <v>1</v>
      </c>
      <c r="AL204" s="2">
        <f t="shared" si="34"/>
        <v>0</v>
      </c>
      <c r="AM204" s="2">
        <f t="shared" si="35"/>
        <v>0</v>
      </c>
      <c r="AP204" s="2">
        <v>0</v>
      </c>
      <c r="AS204" s="309"/>
      <c r="AT204" s="180">
        <v>0</v>
      </c>
      <c r="AU204" s="180">
        <v>0</v>
      </c>
      <c r="AV204" s="180">
        <v>0</v>
      </c>
      <c r="AW204" s="310">
        <v>0</v>
      </c>
      <c r="BC204" s="218">
        <v>0</v>
      </c>
      <c r="BH204" s="2">
        <v>512725</v>
      </c>
      <c r="BI204" s="2">
        <v>170606</v>
      </c>
      <c r="BJ204" s="2" t="s">
        <v>533</v>
      </c>
      <c r="BL204" s="2" t="s">
        <v>158</v>
      </c>
    </row>
    <row r="205" spans="1:72" x14ac:dyDescent="0.25">
      <c r="A205" s="2" t="s">
        <v>1161</v>
      </c>
      <c r="B205" s="2" t="s">
        <v>394</v>
      </c>
      <c r="D205" s="4">
        <v>43230</v>
      </c>
      <c r="E205" s="4">
        <v>44326</v>
      </c>
      <c r="H205" s="2" t="s">
        <v>224</v>
      </c>
      <c r="I205" s="2" t="s">
        <v>254</v>
      </c>
      <c r="K205" s="2" t="s">
        <v>1162</v>
      </c>
      <c r="L205" s="2" t="s">
        <v>1163</v>
      </c>
      <c r="M205" s="2" t="s">
        <v>656</v>
      </c>
      <c r="W205" s="2">
        <f t="shared" si="27"/>
        <v>0</v>
      </c>
      <c r="X205" s="2" t="s">
        <v>385</v>
      </c>
      <c r="Y205" s="2">
        <v>1</v>
      </c>
      <c r="AF205" s="2">
        <f t="shared" si="28"/>
        <v>1</v>
      </c>
      <c r="AG205" s="2">
        <f t="shared" si="29"/>
        <v>1</v>
      </c>
      <c r="AH205" s="2">
        <f t="shared" si="30"/>
        <v>0</v>
      </c>
      <c r="AI205" s="2">
        <f t="shared" si="31"/>
        <v>0</v>
      </c>
      <c r="AJ205" s="2">
        <f t="shared" si="32"/>
        <v>0</v>
      </c>
      <c r="AK205" s="2">
        <f t="shared" si="33"/>
        <v>0</v>
      </c>
      <c r="AL205" s="2">
        <f t="shared" si="34"/>
        <v>0</v>
      </c>
      <c r="AM205" s="2">
        <f t="shared" si="35"/>
        <v>0</v>
      </c>
      <c r="AP205" s="2">
        <v>1</v>
      </c>
      <c r="AS205" s="309"/>
      <c r="AT205" s="180">
        <v>0.25</v>
      </c>
      <c r="AU205" s="180">
        <v>0.25</v>
      </c>
      <c r="AV205" s="180">
        <v>0.25</v>
      </c>
      <c r="AW205" s="310">
        <v>0.25</v>
      </c>
      <c r="BC205" s="218">
        <v>1</v>
      </c>
      <c r="BH205" s="2">
        <v>518955</v>
      </c>
      <c r="BI205" s="2">
        <v>177124</v>
      </c>
      <c r="BJ205" s="2" t="s">
        <v>428</v>
      </c>
      <c r="BL205" s="2" t="s">
        <v>161</v>
      </c>
      <c r="BS205" s="240" t="s">
        <v>148</v>
      </c>
      <c r="BT205" s="2" t="s">
        <v>429</v>
      </c>
    </row>
    <row r="206" spans="1:72" x14ac:dyDescent="0.25">
      <c r="A206" s="2" t="s">
        <v>1164</v>
      </c>
      <c r="B206" s="2" t="s">
        <v>404</v>
      </c>
      <c r="C206" s="2" t="s">
        <v>228</v>
      </c>
      <c r="D206" s="4">
        <v>43242</v>
      </c>
      <c r="E206" s="4">
        <v>44338</v>
      </c>
      <c r="H206" s="2" t="s">
        <v>224</v>
      </c>
      <c r="I206" s="2" t="s">
        <v>254</v>
      </c>
      <c r="K206" s="2" t="s">
        <v>1165</v>
      </c>
      <c r="L206" s="2" t="s">
        <v>1166</v>
      </c>
      <c r="M206" s="2" t="s">
        <v>652</v>
      </c>
      <c r="W206" s="2">
        <f t="shared" si="27"/>
        <v>0</v>
      </c>
      <c r="X206" s="2" t="s">
        <v>385</v>
      </c>
      <c r="AA206" s="2">
        <v>5</v>
      </c>
      <c r="AF206" s="2">
        <f t="shared" si="28"/>
        <v>5</v>
      </c>
      <c r="AG206" s="2">
        <f t="shared" si="29"/>
        <v>0</v>
      </c>
      <c r="AH206" s="2">
        <f t="shared" si="30"/>
        <v>0</v>
      </c>
      <c r="AI206" s="2">
        <f t="shared" si="31"/>
        <v>5</v>
      </c>
      <c r="AJ206" s="2">
        <f t="shared" si="32"/>
        <v>0</v>
      </c>
      <c r="AK206" s="2">
        <f t="shared" si="33"/>
        <v>0</v>
      </c>
      <c r="AL206" s="2">
        <f t="shared" si="34"/>
        <v>0</v>
      </c>
      <c r="AM206" s="2">
        <f t="shared" si="35"/>
        <v>0</v>
      </c>
      <c r="AP206" s="2">
        <v>5</v>
      </c>
      <c r="AS206" s="309"/>
      <c r="AT206" s="180">
        <v>1.25</v>
      </c>
      <c r="AU206" s="180">
        <v>1.25</v>
      </c>
      <c r="AV206" s="180">
        <v>1.25</v>
      </c>
      <c r="AW206" s="310">
        <v>1.25</v>
      </c>
      <c r="BC206" s="218">
        <v>5</v>
      </c>
      <c r="BH206" s="2">
        <v>520397</v>
      </c>
      <c r="BI206" s="2">
        <v>175552</v>
      </c>
      <c r="BJ206" s="2" t="s">
        <v>481</v>
      </c>
      <c r="BL206" s="2" t="s">
        <v>137</v>
      </c>
      <c r="BM206" s="2" t="s">
        <v>137</v>
      </c>
    </row>
    <row r="207" spans="1:72" x14ac:dyDescent="0.25">
      <c r="A207" s="2" t="s">
        <v>1167</v>
      </c>
      <c r="B207" s="2" t="s">
        <v>382</v>
      </c>
      <c r="D207" s="4">
        <v>43251</v>
      </c>
      <c r="E207" s="4">
        <v>44347</v>
      </c>
      <c r="H207" s="2" t="s">
        <v>224</v>
      </c>
      <c r="I207" s="2" t="s">
        <v>254</v>
      </c>
      <c r="K207" s="2" t="s">
        <v>1168</v>
      </c>
      <c r="L207" s="2" t="s">
        <v>1169</v>
      </c>
      <c r="M207" s="2" t="s">
        <v>721</v>
      </c>
      <c r="N207" s="2">
        <v>2</v>
      </c>
      <c r="O207" s="2">
        <v>1</v>
      </c>
      <c r="W207" s="2">
        <f t="shared" si="27"/>
        <v>3</v>
      </c>
      <c r="X207" s="2" t="s">
        <v>385</v>
      </c>
      <c r="Y207" s="2">
        <v>19</v>
      </c>
      <c r="Z207" s="2">
        <v>17</v>
      </c>
      <c r="AA207" s="2">
        <v>5</v>
      </c>
      <c r="AF207" s="2">
        <f t="shared" si="28"/>
        <v>41</v>
      </c>
      <c r="AG207" s="2">
        <f t="shared" si="29"/>
        <v>17</v>
      </c>
      <c r="AH207" s="2">
        <f t="shared" si="30"/>
        <v>16</v>
      </c>
      <c r="AI207" s="2">
        <f t="shared" si="31"/>
        <v>5</v>
      </c>
      <c r="AJ207" s="2">
        <f t="shared" si="32"/>
        <v>0</v>
      </c>
      <c r="AK207" s="2">
        <f t="shared" si="33"/>
        <v>0</v>
      </c>
      <c r="AL207" s="2">
        <f t="shared" si="34"/>
        <v>0</v>
      </c>
      <c r="AM207" s="2">
        <f t="shared" si="35"/>
        <v>0</v>
      </c>
      <c r="AP207" s="2">
        <v>38</v>
      </c>
      <c r="AQ207" s="180" t="s">
        <v>299</v>
      </c>
      <c r="AS207" s="309"/>
      <c r="AT207" s="180">
        <v>9.5</v>
      </c>
      <c r="AU207" s="180">
        <v>9.5</v>
      </c>
      <c r="AV207" s="180">
        <v>9.5</v>
      </c>
      <c r="AW207" s="310">
        <v>9.5</v>
      </c>
      <c r="BC207" s="218">
        <v>38</v>
      </c>
      <c r="BH207" s="2">
        <v>514240</v>
      </c>
      <c r="BI207" s="2">
        <v>170830</v>
      </c>
      <c r="BJ207" s="2" t="s">
        <v>391</v>
      </c>
      <c r="BL207" s="2" t="s">
        <v>174</v>
      </c>
      <c r="BO207" s="2" t="s">
        <v>141</v>
      </c>
      <c r="BP207" s="2" t="s">
        <v>560</v>
      </c>
      <c r="BS207" s="240" t="s">
        <v>148</v>
      </c>
      <c r="BT207" s="2" t="s">
        <v>561</v>
      </c>
    </row>
    <row r="208" spans="1:72" x14ac:dyDescent="0.25">
      <c r="A208" s="2" t="s">
        <v>1170</v>
      </c>
      <c r="B208" s="2" t="s">
        <v>382</v>
      </c>
      <c r="D208" s="4">
        <v>43251</v>
      </c>
      <c r="E208" s="4">
        <v>44347</v>
      </c>
      <c r="H208" s="2" t="s">
        <v>224</v>
      </c>
      <c r="I208" s="2" t="s">
        <v>254</v>
      </c>
      <c r="K208" s="2" t="s">
        <v>1171</v>
      </c>
      <c r="L208" s="2" t="s">
        <v>1172</v>
      </c>
      <c r="M208" s="2" t="s">
        <v>1173</v>
      </c>
      <c r="Q208" s="2">
        <v>1</v>
      </c>
      <c r="W208" s="2">
        <f t="shared" si="27"/>
        <v>1</v>
      </c>
      <c r="X208" s="2" t="s">
        <v>385</v>
      </c>
      <c r="AB208" s="2">
        <v>1</v>
      </c>
      <c r="AF208" s="2">
        <f t="shared" si="28"/>
        <v>1</v>
      </c>
      <c r="AG208" s="2">
        <f t="shared" si="29"/>
        <v>0</v>
      </c>
      <c r="AH208" s="2">
        <f t="shared" si="30"/>
        <v>0</v>
      </c>
      <c r="AI208" s="2">
        <f t="shared" si="31"/>
        <v>0</v>
      </c>
      <c r="AJ208" s="2">
        <f t="shared" si="32"/>
        <v>0</v>
      </c>
      <c r="AK208" s="2">
        <f t="shared" si="33"/>
        <v>0</v>
      </c>
      <c r="AL208" s="2">
        <f t="shared" si="34"/>
        <v>0</v>
      </c>
      <c r="AM208" s="2">
        <f t="shared" si="35"/>
        <v>0</v>
      </c>
      <c r="AP208" s="2">
        <v>0</v>
      </c>
      <c r="AS208" s="309"/>
      <c r="AT208" s="180">
        <v>0</v>
      </c>
      <c r="AU208" s="180">
        <v>0</v>
      </c>
      <c r="AV208" s="180">
        <v>0</v>
      </c>
      <c r="AW208" s="310">
        <v>0</v>
      </c>
      <c r="BC208" s="218">
        <v>0</v>
      </c>
      <c r="BH208" s="2">
        <v>514952</v>
      </c>
      <c r="BI208" s="2">
        <v>171606</v>
      </c>
      <c r="BJ208" s="2" t="s">
        <v>391</v>
      </c>
      <c r="BL208" s="2" t="s">
        <v>174</v>
      </c>
    </row>
    <row r="209" spans="1:72" x14ac:dyDescent="0.25">
      <c r="A209" s="2" t="s">
        <v>1174</v>
      </c>
      <c r="B209" s="2" t="s">
        <v>394</v>
      </c>
      <c r="D209" s="4">
        <v>43263</v>
      </c>
      <c r="E209" s="4">
        <v>44359</v>
      </c>
      <c r="H209" s="2" t="s">
        <v>224</v>
      </c>
      <c r="I209" s="2" t="s">
        <v>254</v>
      </c>
      <c r="K209" s="2" t="s">
        <v>1175</v>
      </c>
      <c r="L209" s="2" t="s">
        <v>1176</v>
      </c>
      <c r="M209" s="2" t="s">
        <v>1177</v>
      </c>
      <c r="W209" s="2">
        <f t="shared" si="27"/>
        <v>0</v>
      </c>
      <c r="X209" s="2" t="s">
        <v>385</v>
      </c>
      <c r="Y209" s="2">
        <v>3</v>
      </c>
      <c r="Z209" s="2">
        <v>1</v>
      </c>
      <c r="AF209" s="2">
        <f t="shared" si="28"/>
        <v>4</v>
      </c>
      <c r="AG209" s="2">
        <f t="shared" si="29"/>
        <v>3</v>
      </c>
      <c r="AH209" s="2">
        <f t="shared" si="30"/>
        <v>1</v>
      </c>
      <c r="AI209" s="2">
        <f t="shared" si="31"/>
        <v>0</v>
      </c>
      <c r="AJ209" s="2">
        <f t="shared" si="32"/>
        <v>0</v>
      </c>
      <c r="AK209" s="2">
        <f t="shared" si="33"/>
        <v>0</v>
      </c>
      <c r="AL209" s="2">
        <f t="shared" si="34"/>
        <v>0</v>
      </c>
      <c r="AM209" s="2">
        <f t="shared" si="35"/>
        <v>0</v>
      </c>
      <c r="AP209" s="2">
        <v>4</v>
      </c>
      <c r="AS209" s="309"/>
      <c r="AT209" s="180">
        <v>1</v>
      </c>
      <c r="AU209" s="180">
        <v>1</v>
      </c>
      <c r="AV209" s="180">
        <v>1</v>
      </c>
      <c r="AW209" s="310">
        <v>1</v>
      </c>
      <c r="BC209" s="218">
        <v>4</v>
      </c>
      <c r="BH209" s="2">
        <v>517591</v>
      </c>
      <c r="BI209" s="2">
        <v>174434</v>
      </c>
      <c r="BJ209" s="2" t="s">
        <v>456</v>
      </c>
      <c r="BL209" s="2" t="s">
        <v>167</v>
      </c>
      <c r="BO209" s="2" t="s">
        <v>141</v>
      </c>
      <c r="BP209" s="2" t="s">
        <v>1178</v>
      </c>
      <c r="BS209" s="240" t="s">
        <v>148</v>
      </c>
      <c r="BT209" s="2" t="s">
        <v>762</v>
      </c>
    </row>
    <row r="210" spans="1:72" x14ac:dyDescent="0.25">
      <c r="A210" s="2" t="s">
        <v>1179</v>
      </c>
      <c r="B210" s="2" t="s">
        <v>382</v>
      </c>
      <c r="D210" s="4">
        <v>43284</v>
      </c>
      <c r="E210" s="4">
        <v>44380</v>
      </c>
      <c r="H210" s="2" t="s">
        <v>224</v>
      </c>
      <c r="I210" s="2" t="s">
        <v>254</v>
      </c>
      <c r="K210" s="2" t="s">
        <v>1180</v>
      </c>
      <c r="L210" s="2" t="s">
        <v>1181</v>
      </c>
      <c r="M210" s="2" t="s">
        <v>1182</v>
      </c>
      <c r="W210" s="2">
        <f t="shared" si="27"/>
        <v>0</v>
      </c>
      <c r="X210" s="2" t="s">
        <v>385</v>
      </c>
      <c r="Z210" s="2">
        <v>1</v>
      </c>
      <c r="AF210" s="2">
        <f t="shared" si="28"/>
        <v>1</v>
      </c>
      <c r="AG210" s="2">
        <f t="shared" si="29"/>
        <v>0</v>
      </c>
      <c r="AH210" s="2">
        <f t="shared" si="30"/>
        <v>1</v>
      </c>
      <c r="AI210" s="2">
        <f t="shared" si="31"/>
        <v>0</v>
      </c>
      <c r="AJ210" s="2">
        <f t="shared" si="32"/>
        <v>0</v>
      </c>
      <c r="AK210" s="2">
        <f t="shared" si="33"/>
        <v>0</v>
      </c>
      <c r="AL210" s="2">
        <f t="shared" si="34"/>
        <v>0</v>
      </c>
      <c r="AM210" s="2">
        <f t="shared" si="35"/>
        <v>0</v>
      </c>
      <c r="AP210" s="2">
        <v>1</v>
      </c>
      <c r="AS210" s="309"/>
      <c r="AT210" s="180">
        <v>0.25</v>
      </c>
      <c r="AU210" s="180">
        <v>0.25</v>
      </c>
      <c r="AV210" s="180">
        <v>0.25</v>
      </c>
      <c r="AW210" s="310">
        <v>0.25</v>
      </c>
      <c r="BC210" s="218">
        <v>1</v>
      </c>
      <c r="BH210" s="2">
        <v>514174</v>
      </c>
      <c r="BI210" s="2">
        <v>174381</v>
      </c>
      <c r="BJ210" s="2" t="s">
        <v>622</v>
      </c>
      <c r="BL210" s="2" t="s">
        <v>144</v>
      </c>
    </row>
    <row r="211" spans="1:72" x14ac:dyDescent="0.25">
      <c r="A211" s="2" t="s">
        <v>1183</v>
      </c>
      <c r="B211" s="2" t="s">
        <v>404</v>
      </c>
      <c r="D211" s="4">
        <v>43300</v>
      </c>
      <c r="E211" s="4">
        <v>44396</v>
      </c>
      <c r="H211" s="2" t="s">
        <v>224</v>
      </c>
      <c r="I211" s="2" t="s">
        <v>254</v>
      </c>
      <c r="K211" s="2" t="s">
        <v>1184</v>
      </c>
      <c r="L211" s="2" t="s">
        <v>1185</v>
      </c>
      <c r="M211" s="2" t="s">
        <v>1186</v>
      </c>
      <c r="W211" s="2">
        <f t="shared" si="27"/>
        <v>0</v>
      </c>
      <c r="X211" s="2" t="s">
        <v>385</v>
      </c>
      <c r="Z211" s="2">
        <v>2</v>
      </c>
      <c r="AF211" s="2">
        <f t="shared" si="28"/>
        <v>2</v>
      </c>
      <c r="AG211" s="2">
        <f t="shared" si="29"/>
        <v>0</v>
      </c>
      <c r="AH211" s="2">
        <f t="shared" si="30"/>
        <v>2</v>
      </c>
      <c r="AI211" s="2">
        <f t="shared" si="31"/>
        <v>0</v>
      </c>
      <c r="AJ211" s="2">
        <f t="shared" si="32"/>
        <v>0</v>
      </c>
      <c r="AK211" s="2">
        <f t="shared" si="33"/>
        <v>0</v>
      </c>
      <c r="AL211" s="2">
        <f t="shared" si="34"/>
        <v>0</v>
      </c>
      <c r="AM211" s="2">
        <f t="shared" si="35"/>
        <v>0</v>
      </c>
      <c r="AP211" s="2">
        <v>2</v>
      </c>
      <c r="AS211" s="309">
        <v>0.5</v>
      </c>
      <c r="AT211" s="180">
        <v>0.5</v>
      </c>
      <c r="AU211" s="180">
        <v>0.5</v>
      </c>
      <c r="AV211" s="180">
        <v>0.5</v>
      </c>
      <c r="AW211" s="310"/>
      <c r="BC211" s="218">
        <v>2</v>
      </c>
      <c r="BH211" s="2">
        <v>518392</v>
      </c>
      <c r="BI211" s="2">
        <v>175032</v>
      </c>
      <c r="BJ211" s="2" t="s">
        <v>401</v>
      </c>
      <c r="BL211" s="2" t="s">
        <v>164</v>
      </c>
      <c r="BO211" s="2" t="s">
        <v>141</v>
      </c>
      <c r="BP211" s="2" t="s">
        <v>1088</v>
      </c>
      <c r="BS211" s="240" t="s">
        <v>148</v>
      </c>
      <c r="BT211" s="2" t="s">
        <v>476</v>
      </c>
    </row>
    <row r="212" spans="1:72" x14ac:dyDescent="0.25">
      <c r="A212" s="2" t="s">
        <v>1187</v>
      </c>
      <c r="B212" s="2" t="s">
        <v>382</v>
      </c>
      <c r="D212" s="4">
        <v>43307</v>
      </c>
      <c r="E212" s="4">
        <v>44403</v>
      </c>
      <c r="H212" s="2" t="s">
        <v>224</v>
      </c>
      <c r="I212" s="2" t="s">
        <v>254</v>
      </c>
      <c r="K212" s="2" t="s">
        <v>1188</v>
      </c>
      <c r="L212" s="2" t="s">
        <v>1189</v>
      </c>
      <c r="M212" s="2" t="s">
        <v>1190</v>
      </c>
      <c r="W212" s="2">
        <f t="shared" si="27"/>
        <v>0</v>
      </c>
      <c r="X212" s="2" t="s">
        <v>385</v>
      </c>
      <c r="Z212" s="2">
        <v>1</v>
      </c>
      <c r="AA212" s="2">
        <v>1</v>
      </c>
      <c r="AF212" s="2">
        <f t="shared" si="28"/>
        <v>2</v>
      </c>
      <c r="AG212" s="2">
        <f t="shared" si="29"/>
        <v>0</v>
      </c>
      <c r="AH212" s="2">
        <f t="shared" si="30"/>
        <v>1</v>
      </c>
      <c r="AI212" s="2">
        <f t="shared" si="31"/>
        <v>1</v>
      </c>
      <c r="AJ212" s="2">
        <f t="shared" si="32"/>
        <v>0</v>
      </c>
      <c r="AK212" s="2">
        <f t="shared" si="33"/>
        <v>0</v>
      </c>
      <c r="AL212" s="2">
        <f t="shared" si="34"/>
        <v>0</v>
      </c>
      <c r="AM212" s="2">
        <f t="shared" si="35"/>
        <v>0</v>
      </c>
      <c r="AP212" s="2">
        <v>2</v>
      </c>
      <c r="AS212" s="309"/>
      <c r="AT212" s="180">
        <v>0.5</v>
      </c>
      <c r="AU212" s="180">
        <v>0.5</v>
      </c>
      <c r="AV212" s="180">
        <v>0.5</v>
      </c>
      <c r="AW212" s="310">
        <v>0.5</v>
      </c>
      <c r="BC212" s="218">
        <v>2</v>
      </c>
      <c r="BH212" s="2">
        <v>514975</v>
      </c>
      <c r="BI212" s="2">
        <v>171285</v>
      </c>
      <c r="BJ212" s="2" t="s">
        <v>391</v>
      </c>
      <c r="BL212" s="2" t="s">
        <v>174</v>
      </c>
    </row>
    <row r="213" spans="1:72" x14ac:dyDescent="0.25">
      <c r="A213" s="2" t="s">
        <v>1191</v>
      </c>
      <c r="B213" s="2" t="s">
        <v>382</v>
      </c>
      <c r="D213" s="4">
        <v>43322</v>
      </c>
      <c r="E213" s="4">
        <v>44418</v>
      </c>
      <c r="H213" s="2" t="s">
        <v>224</v>
      </c>
      <c r="I213" s="2" t="s">
        <v>254</v>
      </c>
      <c r="K213" s="2" t="s">
        <v>1192</v>
      </c>
      <c r="L213" s="2" t="s">
        <v>1193</v>
      </c>
      <c r="M213" s="2" t="s">
        <v>1194</v>
      </c>
      <c r="Q213" s="2">
        <v>1</v>
      </c>
      <c r="W213" s="2">
        <f t="shared" si="27"/>
        <v>1</v>
      </c>
      <c r="X213" s="2" t="s">
        <v>385</v>
      </c>
      <c r="AB213" s="2">
        <v>1</v>
      </c>
      <c r="AF213" s="2">
        <f t="shared" si="28"/>
        <v>1</v>
      </c>
      <c r="AG213" s="2">
        <f t="shared" si="29"/>
        <v>0</v>
      </c>
      <c r="AH213" s="2">
        <f t="shared" si="30"/>
        <v>0</v>
      </c>
      <c r="AI213" s="2">
        <f t="shared" si="31"/>
        <v>0</v>
      </c>
      <c r="AJ213" s="2">
        <f t="shared" si="32"/>
        <v>0</v>
      </c>
      <c r="AK213" s="2">
        <f t="shared" si="33"/>
        <v>0</v>
      </c>
      <c r="AL213" s="2">
        <f t="shared" si="34"/>
        <v>0</v>
      </c>
      <c r="AM213" s="2">
        <f t="shared" si="35"/>
        <v>0</v>
      </c>
      <c r="AP213" s="2">
        <v>0</v>
      </c>
      <c r="AS213" s="309"/>
      <c r="AT213" s="180">
        <v>0</v>
      </c>
      <c r="AU213" s="180">
        <v>0</v>
      </c>
      <c r="AV213" s="180">
        <v>0</v>
      </c>
      <c r="AW213" s="310">
        <v>0</v>
      </c>
      <c r="BC213" s="218">
        <v>0</v>
      </c>
      <c r="BH213" s="2">
        <v>515299</v>
      </c>
      <c r="BI213" s="2">
        <v>173105</v>
      </c>
      <c r="BJ213" s="2" t="s">
        <v>503</v>
      </c>
      <c r="BL213" s="2" t="s">
        <v>165</v>
      </c>
    </row>
    <row r="214" spans="1:72" x14ac:dyDescent="0.25">
      <c r="A214" s="2" t="s">
        <v>1195</v>
      </c>
      <c r="B214" s="2" t="s">
        <v>404</v>
      </c>
      <c r="C214" s="2" t="s">
        <v>228</v>
      </c>
      <c r="D214" s="4">
        <v>43357</v>
      </c>
      <c r="E214" s="4">
        <v>44453</v>
      </c>
      <c r="H214" s="2" t="s">
        <v>224</v>
      </c>
      <c r="I214" s="2" t="s">
        <v>254</v>
      </c>
      <c r="K214" s="2" t="s">
        <v>1196</v>
      </c>
      <c r="L214" s="2" t="s">
        <v>1197</v>
      </c>
      <c r="M214" s="2" t="s">
        <v>1198</v>
      </c>
      <c r="W214" s="2">
        <f t="shared" si="27"/>
        <v>0</v>
      </c>
      <c r="X214" s="2" t="s">
        <v>385</v>
      </c>
      <c r="Y214" s="2">
        <v>3</v>
      </c>
      <c r="AF214" s="2">
        <f t="shared" si="28"/>
        <v>3</v>
      </c>
      <c r="AG214" s="2">
        <f t="shared" si="29"/>
        <v>3</v>
      </c>
      <c r="AH214" s="2">
        <f t="shared" si="30"/>
        <v>0</v>
      </c>
      <c r="AI214" s="2">
        <f t="shared" si="31"/>
        <v>0</v>
      </c>
      <c r="AJ214" s="2">
        <f t="shared" si="32"/>
        <v>0</v>
      </c>
      <c r="AK214" s="2">
        <f t="shared" si="33"/>
        <v>0</v>
      </c>
      <c r="AL214" s="2">
        <f t="shared" si="34"/>
        <v>0</v>
      </c>
      <c r="AM214" s="2">
        <f t="shared" si="35"/>
        <v>0</v>
      </c>
      <c r="AP214" s="2">
        <v>3</v>
      </c>
      <c r="AS214" s="309">
        <v>0.75</v>
      </c>
      <c r="AT214" s="180">
        <v>0.75</v>
      </c>
      <c r="AU214" s="180">
        <v>0.75</v>
      </c>
      <c r="AV214" s="180">
        <v>0.75</v>
      </c>
      <c r="AW214" s="310"/>
      <c r="BC214" s="218">
        <v>3</v>
      </c>
      <c r="BH214" s="2">
        <v>516288</v>
      </c>
      <c r="BI214" s="2">
        <v>171091</v>
      </c>
      <c r="BJ214" s="2" t="s">
        <v>498</v>
      </c>
      <c r="BL214" s="2" t="s">
        <v>140</v>
      </c>
      <c r="BM214" s="2" t="s">
        <v>140</v>
      </c>
    </row>
    <row r="215" spans="1:72" x14ac:dyDescent="0.25">
      <c r="A215" s="2" t="s">
        <v>1199</v>
      </c>
      <c r="B215" s="2" t="s">
        <v>382</v>
      </c>
      <c r="D215" s="4">
        <v>43376</v>
      </c>
      <c r="E215" s="4">
        <v>44472</v>
      </c>
      <c r="H215" s="2" t="s">
        <v>224</v>
      </c>
      <c r="I215" s="2" t="s">
        <v>254</v>
      </c>
      <c r="K215" s="2" t="s">
        <v>1200</v>
      </c>
      <c r="L215" s="2" t="s">
        <v>1201</v>
      </c>
      <c r="M215" s="2" t="s">
        <v>1202</v>
      </c>
      <c r="W215" s="2">
        <f t="shared" si="27"/>
        <v>0</v>
      </c>
      <c r="X215" s="2" t="s">
        <v>385</v>
      </c>
      <c r="Z215" s="2">
        <v>2</v>
      </c>
      <c r="AF215" s="2">
        <f t="shared" si="28"/>
        <v>2</v>
      </c>
      <c r="AG215" s="2">
        <f t="shared" si="29"/>
        <v>0</v>
      </c>
      <c r="AH215" s="2">
        <f t="shared" si="30"/>
        <v>2</v>
      </c>
      <c r="AI215" s="2">
        <f t="shared" si="31"/>
        <v>0</v>
      </c>
      <c r="AJ215" s="2">
        <f t="shared" si="32"/>
        <v>0</v>
      </c>
      <c r="AK215" s="2">
        <f t="shared" si="33"/>
        <v>0</v>
      </c>
      <c r="AL215" s="2">
        <f t="shared" si="34"/>
        <v>0</v>
      </c>
      <c r="AM215" s="2">
        <f t="shared" si="35"/>
        <v>0</v>
      </c>
      <c r="AP215" s="2">
        <v>2</v>
      </c>
      <c r="AS215" s="309"/>
      <c r="AT215" s="180">
        <v>0.5</v>
      </c>
      <c r="AU215" s="180">
        <v>0.5</v>
      </c>
      <c r="AV215" s="180">
        <v>0.5</v>
      </c>
      <c r="AW215" s="310">
        <v>0.5</v>
      </c>
      <c r="BC215" s="218">
        <v>2</v>
      </c>
      <c r="BH215" s="2">
        <v>518028</v>
      </c>
      <c r="BI215" s="2">
        <v>175050</v>
      </c>
      <c r="BJ215" s="2" t="s">
        <v>401</v>
      </c>
      <c r="BL215" s="2" t="s">
        <v>164</v>
      </c>
      <c r="BM215" s="2" t="s">
        <v>138</v>
      </c>
      <c r="BS215" s="240" t="s">
        <v>148</v>
      </c>
      <c r="BT215" s="2" t="s">
        <v>402</v>
      </c>
    </row>
    <row r="216" spans="1:72" x14ac:dyDescent="0.25">
      <c r="A216" s="2" t="s">
        <v>1203</v>
      </c>
      <c r="B216" s="2" t="s">
        <v>404</v>
      </c>
      <c r="C216" s="2" t="s">
        <v>228</v>
      </c>
      <c r="D216" s="4">
        <v>43381</v>
      </c>
      <c r="E216" s="4">
        <v>44477</v>
      </c>
      <c r="H216" s="2" t="s">
        <v>224</v>
      </c>
      <c r="I216" s="2" t="s">
        <v>254</v>
      </c>
      <c r="K216" s="2" t="s">
        <v>1204</v>
      </c>
      <c r="L216" s="2" t="s">
        <v>1205</v>
      </c>
      <c r="M216" s="2" t="s">
        <v>1206</v>
      </c>
      <c r="W216" s="2">
        <f t="shared" si="27"/>
        <v>0</v>
      </c>
      <c r="X216" s="2" t="s">
        <v>385</v>
      </c>
      <c r="Y216" s="2">
        <v>3</v>
      </c>
      <c r="AF216" s="2">
        <f t="shared" si="28"/>
        <v>3</v>
      </c>
      <c r="AG216" s="2">
        <f t="shared" si="29"/>
        <v>3</v>
      </c>
      <c r="AH216" s="2">
        <f t="shared" si="30"/>
        <v>0</v>
      </c>
      <c r="AI216" s="2">
        <f t="shared" si="31"/>
        <v>0</v>
      </c>
      <c r="AJ216" s="2">
        <f t="shared" si="32"/>
        <v>0</v>
      </c>
      <c r="AK216" s="2">
        <f t="shared" si="33"/>
        <v>0</v>
      </c>
      <c r="AL216" s="2">
        <f t="shared" si="34"/>
        <v>0</v>
      </c>
      <c r="AM216" s="2">
        <f t="shared" si="35"/>
        <v>0</v>
      </c>
      <c r="AP216" s="2">
        <v>3</v>
      </c>
      <c r="AS216" s="309">
        <v>0.75</v>
      </c>
      <c r="AT216" s="180">
        <v>0.75</v>
      </c>
      <c r="AU216" s="180">
        <v>0.75</v>
      </c>
      <c r="AV216" s="180">
        <v>0.75</v>
      </c>
      <c r="AW216" s="310"/>
      <c r="BC216" s="218">
        <v>3</v>
      </c>
      <c r="BH216" s="2">
        <v>519756</v>
      </c>
      <c r="BI216" s="2">
        <v>175319</v>
      </c>
      <c r="BJ216" s="2" t="s">
        <v>481</v>
      </c>
      <c r="BL216" s="2" t="s">
        <v>137</v>
      </c>
    </row>
    <row r="217" spans="1:72" x14ac:dyDescent="0.25">
      <c r="A217" s="2" t="s">
        <v>1207</v>
      </c>
      <c r="B217" s="2" t="s">
        <v>382</v>
      </c>
      <c r="D217" s="4">
        <v>43403</v>
      </c>
      <c r="E217" s="4">
        <v>44499</v>
      </c>
      <c r="H217" s="2" t="s">
        <v>224</v>
      </c>
      <c r="I217" s="2" t="s">
        <v>254</v>
      </c>
      <c r="K217" s="2" t="s">
        <v>1208</v>
      </c>
      <c r="L217" s="2" t="s">
        <v>1209</v>
      </c>
      <c r="M217" s="2" t="s">
        <v>1210</v>
      </c>
      <c r="W217" s="2">
        <f t="shared" si="27"/>
        <v>0</v>
      </c>
      <c r="X217" s="2" t="s">
        <v>385</v>
      </c>
      <c r="AA217" s="2">
        <v>2</v>
      </c>
      <c r="AF217" s="2">
        <f t="shared" si="28"/>
        <v>2</v>
      </c>
      <c r="AG217" s="2">
        <f t="shared" si="29"/>
        <v>0</v>
      </c>
      <c r="AH217" s="2">
        <f t="shared" si="30"/>
        <v>0</v>
      </c>
      <c r="AI217" s="2">
        <f t="shared" si="31"/>
        <v>2</v>
      </c>
      <c r="AJ217" s="2">
        <f t="shared" si="32"/>
        <v>0</v>
      </c>
      <c r="AK217" s="2">
        <f t="shared" si="33"/>
        <v>0</v>
      </c>
      <c r="AL217" s="2">
        <f t="shared" si="34"/>
        <v>0</v>
      </c>
      <c r="AM217" s="2">
        <f t="shared" si="35"/>
        <v>0</v>
      </c>
      <c r="AP217" s="2">
        <v>2</v>
      </c>
      <c r="AS217" s="309"/>
      <c r="AT217" s="180">
        <v>0.5</v>
      </c>
      <c r="AU217" s="180">
        <v>0.5</v>
      </c>
      <c r="AV217" s="180">
        <v>0.5</v>
      </c>
      <c r="AW217" s="310">
        <v>0.5</v>
      </c>
      <c r="BC217" s="218">
        <v>2</v>
      </c>
      <c r="BH217" s="2">
        <v>516182</v>
      </c>
      <c r="BI217" s="2">
        <v>173653</v>
      </c>
      <c r="BJ217" s="2" t="s">
        <v>456</v>
      </c>
      <c r="BL217" s="2" t="s">
        <v>167</v>
      </c>
      <c r="BM217" s="2" t="s">
        <v>142</v>
      </c>
    </row>
    <row r="218" spans="1:72" x14ac:dyDescent="0.25">
      <c r="A218" s="2" t="s">
        <v>1211</v>
      </c>
      <c r="B218" s="2" t="s">
        <v>404</v>
      </c>
      <c r="C218" s="2" t="s">
        <v>228</v>
      </c>
      <c r="D218" s="4">
        <v>43416</v>
      </c>
      <c r="E218" s="4">
        <v>44512</v>
      </c>
      <c r="H218" s="2" t="s">
        <v>224</v>
      </c>
      <c r="I218" s="2" t="s">
        <v>254</v>
      </c>
      <c r="K218" s="2" t="s">
        <v>1212</v>
      </c>
      <c r="L218" s="2" t="s">
        <v>1213</v>
      </c>
      <c r="M218" s="2" t="s">
        <v>1214</v>
      </c>
      <c r="W218" s="2">
        <f t="shared" si="27"/>
        <v>0</v>
      </c>
      <c r="X218" s="2" t="s">
        <v>385</v>
      </c>
      <c r="AA218" s="2">
        <v>1</v>
      </c>
      <c r="AF218" s="2">
        <f t="shared" si="28"/>
        <v>1</v>
      </c>
      <c r="AG218" s="2">
        <f t="shared" si="29"/>
        <v>0</v>
      </c>
      <c r="AH218" s="2">
        <f t="shared" si="30"/>
        <v>0</v>
      </c>
      <c r="AI218" s="2">
        <f t="shared" si="31"/>
        <v>1</v>
      </c>
      <c r="AJ218" s="2">
        <f t="shared" si="32"/>
        <v>0</v>
      </c>
      <c r="AK218" s="2">
        <f t="shared" si="33"/>
        <v>0</v>
      </c>
      <c r="AL218" s="2">
        <f t="shared" si="34"/>
        <v>0</v>
      </c>
      <c r="AM218" s="2">
        <f t="shared" si="35"/>
        <v>0</v>
      </c>
      <c r="AP218" s="2">
        <v>1</v>
      </c>
      <c r="AS218" s="309">
        <v>0.25</v>
      </c>
      <c r="AT218" s="180">
        <v>0.25</v>
      </c>
      <c r="AU218" s="180">
        <v>0.25</v>
      </c>
      <c r="AV218" s="180">
        <v>0.25</v>
      </c>
      <c r="AW218" s="310"/>
      <c r="BC218" s="218">
        <v>1</v>
      </c>
      <c r="BH218" s="2">
        <v>520495</v>
      </c>
      <c r="BI218" s="2">
        <v>175597</v>
      </c>
      <c r="BJ218" s="2" t="s">
        <v>481</v>
      </c>
      <c r="BL218" s="2" t="s">
        <v>137</v>
      </c>
      <c r="BM218" s="2" t="s">
        <v>137</v>
      </c>
      <c r="BS218" s="240" t="s">
        <v>148</v>
      </c>
      <c r="BT218" s="2" t="s">
        <v>490</v>
      </c>
    </row>
    <row r="219" spans="1:72" x14ac:dyDescent="0.25">
      <c r="A219" s="2" t="s">
        <v>1215</v>
      </c>
      <c r="B219" s="2" t="s">
        <v>382</v>
      </c>
      <c r="D219" s="4">
        <v>43419</v>
      </c>
      <c r="E219" s="4">
        <v>44695</v>
      </c>
      <c r="H219" s="2" t="s">
        <v>224</v>
      </c>
      <c r="I219" s="2" t="s">
        <v>254</v>
      </c>
      <c r="K219" s="2" t="s">
        <v>1216</v>
      </c>
      <c r="L219" s="2" t="s">
        <v>1217</v>
      </c>
      <c r="M219" s="2" t="s">
        <v>1218</v>
      </c>
      <c r="W219" s="2">
        <f t="shared" si="27"/>
        <v>0</v>
      </c>
      <c r="X219" s="2" t="s">
        <v>385</v>
      </c>
      <c r="Y219" s="2">
        <v>1</v>
      </c>
      <c r="AF219" s="2">
        <f t="shared" si="28"/>
        <v>1</v>
      </c>
      <c r="AG219" s="2">
        <f t="shared" si="29"/>
        <v>1</v>
      </c>
      <c r="AH219" s="2">
        <f t="shared" si="30"/>
        <v>0</v>
      </c>
      <c r="AI219" s="2">
        <f t="shared" si="31"/>
        <v>0</v>
      </c>
      <c r="AJ219" s="2">
        <f t="shared" si="32"/>
        <v>0</v>
      </c>
      <c r="AK219" s="2">
        <f t="shared" si="33"/>
        <v>0</v>
      </c>
      <c r="AL219" s="2">
        <f t="shared" si="34"/>
        <v>0</v>
      </c>
      <c r="AM219" s="2">
        <f t="shared" si="35"/>
        <v>0</v>
      </c>
      <c r="AP219" s="2">
        <v>1</v>
      </c>
      <c r="AS219" s="309"/>
      <c r="AT219" s="180">
        <v>0.25</v>
      </c>
      <c r="AU219" s="180">
        <v>0.25</v>
      </c>
      <c r="AV219" s="180">
        <v>0.25</v>
      </c>
      <c r="AW219" s="310">
        <v>0.25</v>
      </c>
      <c r="BC219" s="218">
        <v>1</v>
      </c>
      <c r="BH219" s="2">
        <v>516598</v>
      </c>
      <c r="BI219" s="2">
        <v>174330</v>
      </c>
      <c r="BJ219" s="2" t="s">
        <v>386</v>
      </c>
      <c r="BL219" s="2" t="s">
        <v>176</v>
      </c>
    </row>
    <row r="220" spans="1:72" x14ac:dyDescent="0.25">
      <c r="A220" s="2" t="s">
        <v>1219</v>
      </c>
      <c r="B220" s="2" t="s">
        <v>404</v>
      </c>
      <c r="D220" s="4">
        <v>43434</v>
      </c>
      <c r="E220" s="4">
        <v>44639</v>
      </c>
      <c r="H220" s="2" t="s">
        <v>224</v>
      </c>
      <c r="I220" s="2" t="s">
        <v>254</v>
      </c>
      <c r="K220" s="2" t="s">
        <v>1220</v>
      </c>
      <c r="L220" s="2" t="s">
        <v>1221</v>
      </c>
      <c r="M220" s="2" t="s">
        <v>1222</v>
      </c>
      <c r="P220" s="2">
        <v>1</v>
      </c>
      <c r="W220" s="2">
        <f t="shared" si="27"/>
        <v>1</v>
      </c>
      <c r="X220" s="2" t="s">
        <v>385</v>
      </c>
      <c r="Y220" s="2">
        <v>1</v>
      </c>
      <c r="Z220" s="2">
        <v>2</v>
      </c>
      <c r="AF220" s="2">
        <f t="shared" si="28"/>
        <v>3</v>
      </c>
      <c r="AG220" s="2">
        <f t="shared" si="29"/>
        <v>1</v>
      </c>
      <c r="AH220" s="2">
        <f t="shared" si="30"/>
        <v>2</v>
      </c>
      <c r="AI220" s="2">
        <f t="shared" si="31"/>
        <v>-1</v>
      </c>
      <c r="AJ220" s="2">
        <f t="shared" si="32"/>
        <v>0</v>
      </c>
      <c r="AK220" s="2">
        <f t="shared" si="33"/>
        <v>0</v>
      </c>
      <c r="AL220" s="2">
        <f t="shared" si="34"/>
        <v>0</v>
      </c>
      <c r="AM220" s="2">
        <f t="shared" si="35"/>
        <v>0</v>
      </c>
      <c r="AP220" s="2">
        <v>2</v>
      </c>
      <c r="AS220" s="309">
        <v>0.5</v>
      </c>
      <c r="AT220" s="180">
        <v>0.5</v>
      </c>
      <c r="AU220" s="180">
        <v>0.5</v>
      </c>
      <c r="AV220" s="180">
        <v>0.5</v>
      </c>
      <c r="AW220" s="310"/>
      <c r="BC220" s="218">
        <v>2</v>
      </c>
      <c r="BH220" s="2">
        <v>515746</v>
      </c>
      <c r="BI220" s="2">
        <v>173156</v>
      </c>
      <c r="BJ220" s="2" t="s">
        <v>503</v>
      </c>
      <c r="BL220" s="2" t="s">
        <v>165</v>
      </c>
      <c r="BM220" s="2" t="s">
        <v>142</v>
      </c>
    </row>
    <row r="221" spans="1:72" x14ac:dyDescent="0.25">
      <c r="A221" s="2" t="s">
        <v>1223</v>
      </c>
      <c r="B221" s="2" t="s">
        <v>539</v>
      </c>
      <c r="D221" s="4">
        <v>43445</v>
      </c>
      <c r="E221" s="4">
        <v>44541</v>
      </c>
      <c r="H221" s="2" t="s">
        <v>224</v>
      </c>
      <c r="I221" s="2" t="s">
        <v>254</v>
      </c>
      <c r="K221" s="2" t="s">
        <v>1224</v>
      </c>
      <c r="L221" s="2" t="s">
        <v>1225</v>
      </c>
      <c r="M221" s="2" t="s">
        <v>1226</v>
      </c>
      <c r="W221" s="2">
        <f t="shared" si="27"/>
        <v>0</v>
      </c>
      <c r="X221" s="2" t="s">
        <v>385</v>
      </c>
      <c r="Y221" s="2">
        <v>1</v>
      </c>
      <c r="AF221" s="2">
        <f t="shared" si="28"/>
        <v>1</v>
      </c>
      <c r="AG221" s="2">
        <f t="shared" si="29"/>
        <v>1</v>
      </c>
      <c r="AH221" s="2">
        <f t="shared" si="30"/>
        <v>0</v>
      </c>
      <c r="AI221" s="2">
        <f t="shared" si="31"/>
        <v>0</v>
      </c>
      <c r="AJ221" s="2">
        <f t="shared" si="32"/>
        <v>0</v>
      </c>
      <c r="AK221" s="2">
        <f t="shared" si="33"/>
        <v>0</v>
      </c>
      <c r="AL221" s="2">
        <f t="shared" si="34"/>
        <v>0</v>
      </c>
      <c r="AM221" s="2">
        <f t="shared" si="35"/>
        <v>0</v>
      </c>
      <c r="AP221" s="2">
        <v>1</v>
      </c>
      <c r="AS221" s="309">
        <v>0.25</v>
      </c>
      <c r="AT221" s="180">
        <v>0.25</v>
      </c>
      <c r="AU221" s="180">
        <v>0.25</v>
      </c>
      <c r="AV221" s="180">
        <v>0.25</v>
      </c>
      <c r="AW221" s="310"/>
      <c r="BC221" s="218">
        <v>1</v>
      </c>
      <c r="BH221" s="2">
        <v>515913</v>
      </c>
      <c r="BI221" s="2">
        <v>173384</v>
      </c>
      <c r="BJ221" s="2" t="s">
        <v>456</v>
      </c>
      <c r="BL221" s="2" t="s">
        <v>167</v>
      </c>
    </row>
    <row r="222" spans="1:72" x14ac:dyDescent="0.25">
      <c r="A222" s="2" t="s">
        <v>1227</v>
      </c>
      <c r="B222" s="2" t="s">
        <v>382</v>
      </c>
      <c r="D222" s="4">
        <v>43452</v>
      </c>
      <c r="E222" s="4">
        <v>44548</v>
      </c>
      <c r="H222" s="2" t="s">
        <v>224</v>
      </c>
      <c r="I222" s="2" t="s">
        <v>254</v>
      </c>
      <c r="K222" s="2" t="s">
        <v>1228</v>
      </c>
      <c r="L222" s="2" t="s">
        <v>1229</v>
      </c>
      <c r="M222" s="2" t="s">
        <v>1230</v>
      </c>
      <c r="Q222" s="2">
        <v>1</v>
      </c>
      <c r="W222" s="2">
        <f t="shared" si="27"/>
        <v>1</v>
      </c>
      <c r="X222" s="2" t="s">
        <v>385</v>
      </c>
      <c r="AD222" s="2">
        <v>1</v>
      </c>
      <c r="AF222" s="2">
        <f t="shared" si="28"/>
        <v>1</v>
      </c>
      <c r="AG222" s="2">
        <f t="shared" si="29"/>
        <v>0</v>
      </c>
      <c r="AH222" s="2">
        <f t="shared" si="30"/>
        <v>0</v>
      </c>
      <c r="AI222" s="2">
        <f t="shared" si="31"/>
        <v>0</v>
      </c>
      <c r="AJ222" s="2">
        <f t="shared" si="32"/>
        <v>-1</v>
      </c>
      <c r="AK222" s="2">
        <f t="shared" si="33"/>
        <v>0</v>
      </c>
      <c r="AL222" s="2">
        <f t="shared" si="34"/>
        <v>1</v>
      </c>
      <c r="AM222" s="2">
        <f t="shared" si="35"/>
        <v>0</v>
      </c>
      <c r="AP222" s="2">
        <v>0</v>
      </c>
      <c r="AS222" s="309"/>
      <c r="AT222" s="180">
        <v>0</v>
      </c>
      <c r="AU222" s="180">
        <v>0</v>
      </c>
      <c r="AV222" s="180">
        <v>0</v>
      </c>
      <c r="AW222" s="310">
        <v>0</v>
      </c>
      <c r="BC222" s="218">
        <v>0</v>
      </c>
      <c r="BH222" s="2">
        <v>518177</v>
      </c>
      <c r="BI222" s="2">
        <v>173103</v>
      </c>
      <c r="BJ222" s="2" t="s">
        <v>411</v>
      </c>
      <c r="BL222" s="2" t="s">
        <v>156</v>
      </c>
    </row>
    <row r="223" spans="1:72" x14ac:dyDescent="0.25">
      <c r="A223" s="2" t="s">
        <v>1231</v>
      </c>
      <c r="B223" s="2" t="s">
        <v>382</v>
      </c>
      <c r="D223" s="4">
        <v>43455</v>
      </c>
      <c r="E223" s="4">
        <v>44551</v>
      </c>
      <c r="H223" s="2" t="s">
        <v>224</v>
      </c>
      <c r="I223" s="2" t="s">
        <v>254</v>
      </c>
      <c r="K223" s="2" t="s">
        <v>1232</v>
      </c>
      <c r="L223" s="2" t="s">
        <v>1233</v>
      </c>
      <c r="M223" s="2" t="s">
        <v>1234</v>
      </c>
      <c r="W223" s="2">
        <f t="shared" si="27"/>
        <v>0</v>
      </c>
      <c r="X223" s="2" t="s">
        <v>385</v>
      </c>
      <c r="Z223" s="2">
        <v>1</v>
      </c>
      <c r="AF223" s="2">
        <f t="shared" si="28"/>
        <v>1</v>
      </c>
      <c r="AG223" s="2">
        <f t="shared" si="29"/>
        <v>0</v>
      </c>
      <c r="AH223" s="2">
        <f t="shared" si="30"/>
        <v>1</v>
      </c>
      <c r="AI223" s="2">
        <f t="shared" si="31"/>
        <v>0</v>
      </c>
      <c r="AJ223" s="2">
        <f t="shared" si="32"/>
        <v>0</v>
      </c>
      <c r="AK223" s="2">
        <f t="shared" si="33"/>
        <v>0</v>
      </c>
      <c r="AL223" s="2">
        <f t="shared" si="34"/>
        <v>0</v>
      </c>
      <c r="AM223" s="2">
        <f t="shared" si="35"/>
        <v>0</v>
      </c>
      <c r="AP223" s="2">
        <v>1</v>
      </c>
      <c r="AS223" s="309"/>
      <c r="AT223" s="180">
        <v>0.25</v>
      </c>
      <c r="AU223" s="180">
        <v>0.25</v>
      </c>
      <c r="AV223" s="180">
        <v>0.25</v>
      </c>
      <c r="AW223" s="310">
        <v>0.25</v>
      </c>
      <c r="BC223" s="218">
        <v>1</v>
      </c>
      <c r="BH223" s="2">
        <v>521350</v>
      </c>
      <c r="BI223" s="2">
        <v>176123</v>
      </c>
      <c r="BJ223" s="2" t="s">
        <v>449</v>
      </c>
      <c r="BL223" s="2" t="s">
        <v>175</v>
      </c>
      <c r="BN223" s="2" t="s">
        <v>139</v>
      </c>
      <c r="BS223" s="240" t="s">
        <v>148</v>
      </c>
      <c r="BT223" s="2" t="s">
        <v>451</v>
      </c>
    </row>
    <row r="224" spans="1:72" x14ac:dyDescent="0.25">
      <c r="A224" s="2" t="s">
        <v>1235</v>
      </c>
      <c r="B224" s="2" t="s">
        <v>382</v>
      </c>
      <c r="D224" s="4">
        <v>43472</v>
      </c>
      <c r="E224" s="4">
        <v>44568</v>
      </c>
      <c r="H224" s="2" t="s">
        <v>224</v>
      </c>
      <c r="I224" s="2" t="s">
        <v>254</v>
      </c>
      <c r="K224" s="2" t="s">
        <v>1236</v>
      </c>
      <c r="L224" s="2" t="s">
        <v>1237</v>
      </c>
      <c r="M224" s="2" t="s">
        <v>1238</v>
      </c>
      <c r="W224" s="2">
        <f t="shared" si="27"/>
        <v>0</v>
      </c>
      <c r="X224" s="2" t="s">
        <v>385</v>
      </c>
      <c r="Z224" s="2">
        <v>1</v>
      </c>
      <c r="AF224" s="2">
        <f t="shared" si="28"/>
        <v>1</v>
      </c>
      <c r="AG224" s="2">
        <f t="shared" si="29"/>
        <v>0</v>
      </c>
      <c r="AH224" s="2">
        <f t="shared" si="30"/>
        <v>1</v>
      </c>
      <c r="AI224" s="2">
        <f t="shared" si="31"/>
        <v>0</v>
      </c>
      <c r="AJ224" s="2">
        <f t="shared" si="32"/>
        <v>0</v>
      </c>
      <c r="AK224" s="2">
        <f t="shared" si="33"/>
        <v>0</v>
      </c>
      <c r="AL224" s="2">
        <f t="shared" si="34"/>
        <v>0</v>
      </c>
      <c r="AM224" s="2">
        <f t="shared" si="35"/>
        <v>0</v>
      </c>
      <c r="AP224" s="2">
        <v>1</v>
      </c>
      <c r="AS224" s="309"/>
      <c r="AT224" s="180">
        <v>0.25</v>
      </c>
      <c r="AU224" s="180">
        <v>0.25</v>
      </c>
      <c r="AV224" s="180">
        <v>0.25</v>
      </c>
      <c r="AW224" s="310">
        <v>0.25</v>
      </c>
      <c r="BC224" s="218">
        <v>1</v>
      </c>
      <c r="BH224" s="2">
        <v>514703</v>
      </c>
      <c r="BI224" s="2">
        <v>172701</v>
      </c>
      <c r="BJ224" s="2" t="s">
        <v>463</v>
      </c>
      <c r="BL224" s="2" t="s">
        <v>168</v>
      </c>
    </row>
    <row r="225" spans="1:72" x14ac:dyDescent="0.25">
      <c r="A225" s="2" t="s">
        <v>1239</v>
      </c>
      <c r="B225" s="2" t="s">
        <v>382</v>
      </c>
      <c r="D225" s="4">
        <v>43479</v>
      </c>
      <c r="E225" s="4">
        <v>44575</v>
      </c>
      <c r="H225" s="2" t="s">
        <v>224</v>
      </c>
      <c r="I225" s="2" t="s">
        <v>254</v>
      </c>
      <c r="K225" s="2" t="s">
        <v>1240</v>
      </c>
      <c r="L225" s="2" t="s">
        <v>1241</v>
      </c>
      <c r="M225" s="2" t="s">
        <v>1242</v>
      </c>
      <c r="O225" s="2">
        <v>1</v>
      </c>
      <c r="W225" s="2">
        <f t="shared" si="27"/>
        <v>1</v>
      </c>
      <c r="X225" s="2" t="s">
        <v>385</v>
      </c>
      <c r="AC225" s="2">
        <v>1</v>
      </c>
      <c r="AF225" s="2">
        <f t="shared" si="28"/>
        <v>1</v>
      </c>
      <c r="AG225" s="2">
        <f t="shared" si="29"/>
        <v>0</v>
      </c>
      <c r="AH225" s="2">
        <f t="shared" si="30"/>
        <v>-1</v>
      </c>
      <c r="AI225" s="2">
        <f t="shared" si="31"/>
        <v>0</v>
      </c>
      <c r="AJ225" s="2">
        <f t="shared" si="32"/>
        <v>0</v>
      </c>
      <c r="AK225" s="2">
        <f t="shared" si="33"/>
        <v>1</v>
      </c>
      <c r="AL225" s="2">
        <f t="shared" si="34"/>
        <v>0</v>
      </c>
      <c r="AM225" s="2">
        <f t="shared" si="35"/>
        <v>0</v>
      </c>
      <c r="AP225" s="2">
        <v>0</v>
      </c>
      <c r="AS225" s="309"/>
      <c r="AT225" s="180">
        <v>0</v>
      </c>
      <c r="AU225" s="180">
        <v>0</v>
      </c>
      <c r="AV225" s="180">
        <v>0</v>
      </c>
      <c r="AW225" s="310">
        <v>0</v>
      </c>
      <c r="BC225" s="218">
        <v>0</v>
      </c>
      <c r="BH225" s="2">
        <v>516874</v>
      </c>
      <c r="BI225" s="2">
        <v>170756</v>
      </c>
      <c r="BJ225" s="2" t="s">
        <v>443</v>
      </c>
      <c r="BL225" s="2" t="s">
        <v>159</v>
      </c>
    </row>
    <row r="226" spans="1:72" x14ac:dyDescent="0.25">
      <c r="A226" s="2" t="s">
        <v>1243</v>
      </c>
      <c r="B226" s="2" t="s">
        <v>382</v>
      </c>
      <c r="D226" s="4">
        <v>43500</v>
      </c>
      <c r="E226" s="4">
        <v>44596</v>
      </c>
      <c r="H226" s="2" t="s">
        <v>224</v>
      </c>
      <c r="I226" s="2" t="s">
        <v>254</v>
      </c>
      <c r="K226" s="2" t="s">
        <v>1244</v>
      </c>
      <c r="L226" s="2" t="s">
        <v>1166</v>
      </c>
      <c r="M226" s="2" t="s">
        <v>652</v>
      </c>
      <c r="W226" s="2">
        <f t="shared" si="27"/>
        <v>0</v>
      </c>
      <c r="X226" s="2" t="s">
        <v>385</v>
      </c>
      <c r="AA226" s="2">
        <v>3</v>
      </c>
      <c r="AF226" s="2">
        <f t="shared" si="28"/>
        <v>3</v>
      </c>
      <c r="AG226" s="2">
        <f t="shared" si="29"/>
        <v>0</v>
      </c>
      <c r="AH226" s="2">
        <f t="shared" si="30"/>
        <v>0</v>
      </c>
      <c r="AI226" s="2">
        <f t="shared" si="31"/>
        <v>3</v>
      </c>
      <c r="AJ226" s="2">
        <f t="shared" si="32"/>
        <v>0</v>
      </c>
      <c r="AK226" s="2">
        <f t="shared" si="33"/>
        <v>0</v>
      </c>
      <c r="AL226" s="2">
        <f t="shared" si="34"/>
        <v>0</v>
      </c>
      <c r="AM226" s="2">
        <f t="shared" si="35"/>
        <v>0</v>
      </c>
      <c r="AP226" s="2">
        <v>3</v>
      </c>
      <c r="AS226" s="309"/>
      <c r="AT226" s="180">
        <v>0.75</v>
      </c>
      <c r="AU226" s="180">
        <v>0.75</v>
      </c>
      <c r="AV226" s="180">
        <v>0.75</v>
      </c>
      <c r="AW226" s="310">
        <v>0.75</v>
      </c>
      <c r="BC226" s="218">
        <v>3</v>
      </c>
      <c r="BH226" s="2">
        <v>520397</v>
      </c>
      <c r="BI226" s="2">
        <v>175552</v>
      </c>
      <c r="BJ226" s="2" t="s">
        <v>481</v>
      </c>
      <c r="BL226" s="2" t="s">
        <v>137</v>
      </c>
      <c r="BM226" s="2" t="s">
        <v>137</v>
      </c>
    </row>
    <row r="227" spans="1:72" x14ac:dyDescent="0.25">
      <c r="A227" s="2" t="s">
        <v>1245</v>
      </c>
      <c r="B227" s="2" t="s">
        <v>434</v>
      </c>
      <c r="D227" s="4">
        <v>43502</v>
      </c>
      <c r="E227" s="4">
        <v>44598</v>
      </c>
      <c r="H227" s="2" t="s">
        <v>224</v>
      </c>
      <c r="I227" s="2" t="s">
        <v>254</v>
      </c>
      <c r="K227" s="2" t="s">
        <v>1246</v>
      </c>
      <c r="L227" s="2" t="s">
        <v>1247</v>
      </c>
      <c r="M227" s="2" t="s">
        <v>1248</v>
      </c>
      <c r="O227" s="2">
        <v>1</v>
      </c>
      <c r="P227" s="2">
        <v>1</v>
      </c>
      <c r="W227" s="2">
        <f t="shared" si="27"/>
        <v>2</v>
      </c>
      <c r="X227" s="2" t="s">
        <v>385</v>
      </c>
      <c r="Y227" s="2">
        <v>2</v>
      </c>
      <c r="Z227" s="2">
        <v>1</v>
      </c>
      <c r="AA227" s="2">
        <v>1</v>
      </c>
      <c r="AF227" s="2">
        <f t="shared" si="28"/>
        <v>4</v>
      </c>
      <c r="AG227" s="2">
        <f t="shared" si="29"/>
        <v>2</v>
      </c>
      <c r="AH227" s="2">
        <f t="shared" si="30"/>
        <v>0</v>
      </c>
      <c r="AI227" s="2">
        <f t="shared" si="31"/>
        <v>0</v>
      </c>
      <c r="AJ227" s="2">
        <f t="shared" si="32"/>
        <v>0</v>
      </c>
      <c r="AK227" s="2">
        <f t="shared" si="33"/>
        <v>0</v>
      </c>
      <c r="AL227" s="2">
        <f t="shared" si="34"/>
        <v>0</v>
      </c>
      <c r="AM227" s="2">
        <f t="shared" si="35"/>
        <v>0</v>
      </c>
      <c r="AP227" s="2">
        <v>2</v>
      </c>
      <c r="AS227" s="309">
        <v>0.5</v>
      </c>
      <c r="AT227" s="180">
        <v>0.5</v>
      </c>
      <c r="AU227" s="180">
        <v>0.5</v>
      </c>
      <c r="AV227" s="180">
        <v>0.5</v>
      </c>
      <c r="AW227" s="310"/>
      <c r="BC227" s="218">
        <v>2</v>
      </c>
      <c r="BH227" s="2">
        <v>514632</v>
      </c>
      <c r="BI227" s="2">
        <v>171370</v>
      </c>
      <c r="BJ227" s="2" t="s">
        <v>391</v>
      </c>
      <c r="BL227" s="2" t="s">
        <v>174</v>
      </c>
    </row>
    <row r="228" spans="1:72" x14ac:dyDescent="0.25">
      <c r="A228" s="2" t="s">
        <v>1249</v>
      </c>
      <c r="B228" s="2" t="s">
        <v>382</v>
      </c>
      <c r="D228" s="4">
        <v>43508</v>
      </c>
      <c r="E228" s="4">
        <v>44604</v>
      </c>
      <c r="H228" s="2" t="s">
        <v>224</v>
      </c>
      <c r="I228" s="2" t="s">
        <v>254</v>
      </c>
      <c r="K228" s="2" t="s">
        <v>1250</v>
      </c>
      <c r="L228" s="2" t="s">
        <v>1251</v>
      </c>
      <c r="M228" s="2" t="s">
        <v>1252</v>
      </c>
      <c r="S228" s="2">
        <v>1</v>
      </c>
      <c r="W228" s="2">
        <f t="shared" si="27"/>
        <v>1</v>
      </c>
      <c r="X228" s="2" t="s">
        <v>385</v>
      </c>
      <c r="AC228" s="2">
        <v>1</v>
      </c>
      <c r="AF228" s="2">
        <f t="shared" si="28"/>
        <v>1</v>
      </c>
      <c r="AG228" s="2">
        <f t="shared" si="29"/>
        <v>0</v>
      </c>
      <c r="AH228" s="2">
        <f t="shared" si="30"/>
        <v>0</v>
      </c>
      <c r="AI228" s="2">
        <f t="shared" si="31"/>
        <v>0</v>
      </c>
      <c r="AJ228" s="2">
        <f t="shared" si="32"/>
        <v>0</v>
      </c>
      <c r="AK228" s="2">
        <f t="shared" si="33"/>
        <v>1</v>
      </c>
      <c r="AL228" s="2">
        <f t="shared" si="34"/>
        <v>-1</v>
      </c>
      <c r="AM228" s="2">
        <f t="shared" si="35"/>
        <v>0</v>
      </c>
      <c r="AP228" s="2">
        <v>0</v>
      </c>
      <c r="AS228" s="309"/>
      <c r="AT228" s="180">
        <v>0</v>
      </c>
      <c r="AU228" s="180">
        <v>0</v>
      </c>
      <c r="AV228" s="180">
        <v>0</v>
      </c>
      <c r="AW228" s="310">
        <v>0</v>
      </c>
      <c r="BC228" s="218">
        <v>0</v>
      </c>
      <c r="BH228" s="2">
        <v>522063</v>
      </c>
      <c r="BI228" s="2">
        <v>177165</v>
      </c>
      <c r="BJ228" s="2" t="s">
        <v>418</v>
      </c>
      <c r="BL228" s="2" t="s">
        <v>154</v>
      </c>
    </row>
    <row r="229" spans="1:72" x14ac:dyDescent="0.25">
      <c r="A229" s="2" t="s">
        <v>1253</v>
      </c>
      <c r="B229" s="2" t="s">
        <v>434</v>
      </c>
      <c r="D229" s="4">
        <v>43522</v>
      </c>
      <c r="E229" s="4">
        <v>44618</v>
      </c>
      <c r="H229" s="2" t="s">
        <v>224</v>
      </c>
      <c r="I229" s="2" t="s">
        <v>254</v>
      </c>
      <c r="K229" s="2" t="s">
        <v>1254</v>
      </c>
      <c r="L229" s="2" t="s">
        <v>1255</v>
      </c>
      <c r="M229" s="2" t="s">
        <v>1256</v>
      </c>
      <c r="P229" s="2">
        <v>1</v>
      </c>
      <c r="W229" s="2">
        <f t="shared" si="27"/>
        <v>1</v>
      </c>
      <c r="Y229" s="2">
        <v>2</v>
      </c>
      <c r="AF229" s="2">
        <f t="shared" si="28"/>
        <v>2</v>
      </c>
      <c r="AG229" s="2">
        <f t="shared" si="29"/>
        <v>2</v>
      </c>
      <c r="AH229" s="2">
        <f t="shared" si="30"/>
        <v>0</v>
      </c>
      <c r="AI229" s="2">
        <f t="shared" si="31"/>
        <v>-1</v>
      </c>
      <c r="AJ229" s="2">
        <f t="shared" si="32"/>
        <v>0</v>
      </c>
      <c r="AK229" s="2">
        <f t="shared" si="33"/>
        <v>0</v>
      </c>
      <c r="AL229" s="2">
        <f t="shared" si="34"/>
        <v>0</v>
      </c>
      <c r="AM229" s="2">
        <f t="shared" si="35"/>
        <v>0</v>
      </c>
      <c r="AP229" s="2">
        <v>1</v>
      </c>
      <c r="AS229" s="309">
        <v>0.25</v>
      </c>
      <c r="AT229" s="180">
        <v>0.25</v>
      </c>
      <c r="AU229" s="180">
        <v>0.25</v>
      </c>
      <c r="AV229" s="180">
        <v>0.25</v>
      </c>
      <c r="AW229" s="310"/>
      <c r="BC229" s="218">
        <v>1</v>
      </c>
      <c r="BH229" s="2">
        <v>517894</v>
      </c>
      <c r="BI229" s="2">
        <v>174757</v>
      </c>
      <c r="BJ229" s="2" t="s">
        <v>401</v>
      </c>
      <c r="BL229" s="2" t="s">
        <v>164</v>
      </c>
      <c r="BM229" s="2" t="s">
        <v>138</v>
      </c>
      <c r="BS229" s="240" t="s">
        <v>148</v>
      </c>
      <c r="BT229" s="2" t="s">
        <v>402</v>
      </c>
    </row>
    <row r="230" spans="1:72" x14ac:dyDescent="0.25">
      <c r="A230" s="2" t="s">
        <v>1257</v>
      </c>
      <c r="B230" s="2" t="s">
        <v>382</v>
      </c>
      <c r="D230" s="4">
        <v>43542</v>
      </c>
      <c r="E230" s="4">
        <v>44638</v>
      </c>
      <c r="H230" s="2" t="s">
        <v>224</v>
      </c>
      <c r="I230" s="2" t="s">
        <v>254</v>
      </c>
      <c r="K230" s="2" t="s">
        <v>1258</v>
      </c>
      <c r="L230" s="2" t="s">
        <v>1259</v>
      </c>
      <c r="M230" s="2" t="s">
        <v>1260</v>
      </c>
      <c r="Q230" s="2">
        <v>1</v>
      </c>
      <c r="W230" s="2">
        <f t="shared" si="27"/>
        <v>1</v>
      </c>
      <c r="X230" s="2" t="s">
        <v>385</v>
      </c>
      <c r="AC230" s="2">
        <v>1</v>
      </c>
      <c r="AF230" s="2">
        <f t="shared" si="28"/>
        <v>1</v>
      </c>
      <c r="AG230" s="2">
        <f t="shared" si="29"/>
        <v>0</v>
      </c>
      <c r="AH230" s="2">
        <f t="shared" si="30"/>
        <v>0</v>
      </c>
      <c r="AI230" s="2">
        <f t="shared" si="31"/>
        <v>0</v>
      </c>
      <c r="AJ230" s="2">
        <f t="shared" si="32"/>
        <v>-1</v>
      </c>
      <c r="AK230" s="2">
        <f t="shared" si="33"/>
        <v>1</v>
      </c>
      <c r="AL230" s="2">
        <f t="shared" si="34"/>
        <v>0</v>
      </c>
      <c r="AM230" s="2">
        <f t="shared" si="35"/>
        <v>0</v>
      </c>
      <c r="AP230" s="2">
        <v>0</v>
      </c>
      <c r="AS230" s="309"/>
      <c r="AT230" s="180">
        <v>0</v>
      </c>
      <c r="AU230" s="180">
        <v>0</v>
      </c>
      <c r="AV230" s="180">
        <v>0</v>
      </c>
      <c r="AW230" s="310">
        <v>0</v>
      </c>
      <c r="BC230" s="218">
        <v>0</v>
      </c>
      <c r="BH230" s="2">
        <v>521978</v>
      </c>
      <c r="BI230" s="2">
        <v>177062</v>
      </c>
      <c r="BJ230" s="2" t="s">
        <v>418</v>
      </c>
      <c r="BL230" s="2" t="s">
        <v>154</v>
      </c>
    </row>
    <row r="231" spans="1:72" x14ac:dyDescent="0.25">
      <c r="A231" s="2" t="s">
        <v>1261</v>
      </c>
      <c r="B231" s="2" t="s">
        <v>382</v>
      </c>
      <c r="D231" s="4">
        <v>43553</v>
      </c>
      <c r="E231" s="4">
        <v>44652</v>
      </c>
      <c r="H231" s="2" t="s">
        <v>224</v>
      </c>
      <c r="I231" s="2" t="s">
        <v>254</v>
      </c>
      <c r="K231" s="2" t="s">
        <v>1262</v>
      </c>
      <c r="L231" s="2" t="s">
        <v>1263</v>
      </c>
      <c r="M231" s="2" t="s">
        <v>1264</v>
      </c>
      <c r="R231" s="2">
        <v>1</v>
      </c>
      <c r="W231" s="2">
        <f t="shared" si="27"/>
        <v>1</v>
      </c>
      <c r="X231" s="2" t="s">
        <v>385</v>
      </c>
      <c r="AC231" s="2">
        <v>1</v>
      </c>
      <c r="AF231" s="2">
        <f t="shared" si="28"/>
        <v>1</v>
      </c>
      <c r="AG231" s="2">
        <f t="shared" si="29"/>
        <v>0</v>
      </c>
      <c r="AH231" s="2">
        <f t="shared" si="30"/>
        <v>0</v>
      </c>
      <c r="AI231" s="2">
        <f t="shared" si="31"/>
        <v>0</v>
      </c>
      <c r="AJ231" s="2">
        <f t="shared" si="32"/>
        <v>0</v>
      </c>
      <c r="AK231" s="2">
        <f t="shared" si="33"/>
        <v>0</v>
      </c>
      <c r="AL231" s="2">
        <f t="shared" si="34"/>
        <v>0</v>
      </c>
      <c r="AM231" s="2">
        <f t="shared" si="35"/>
        <v>0</v>
      </c>
      <c r="AP231" s="2">
        <v>0</v>
      </c>
      <c r="AS231" s="309"/>
      <c r="AT231" s="180">
        <v>0</v>
      </c>
      <c r="AU231" s="180">
        <v>0</v>
      </c>
      <c r="AV231" s="180">
        <v>0</v>
      </c>
      <c r="AW231" s="310">
        <v>0</v>
      </c>
      <c r="BC231" s="218">
        <v>0</v>
      </c>
      <c r="BH231" s="2">
        <v>513943</v>
      </c>
      <c r="BI231" s="2">
        <v>170016</v>
      </c>
      <c r="BJ231" s="2" t="s">
        <v>512</v>
      </c>
      <c r="BL231" s="2" t="s">
        <v>157</v>
      </c>
    </row>
    <row r="232" spans="1:72" x14ac:dyDescent="0.25">
      <c r="A232" s="2" t="s">
        <v>1265</v>
      </c>
      <c r="B232" s="2" t="s">
        <v>404</v>
      </c>
      <c r="C232" s="2" t="s">
        <v>228</v>
      </c>
      <c r="D232" s="4">
        <v>43592</v>
      </c>
      <c r="E232" s="4">
        <v>44688</v>
      </c>
      <c r="H232" s="2" t="s">
        <v>224</v>
      </c>
      <c r="I232" s="2" t="s">
        <v>254</v>
      </c>
      <c r="K232" s="2" t="s">
        <v>1266</v>
      </c>
      <c r="L232" s="2" t="s">
        <v>1267</v>
      </c>
      <c r="M232" s="2" t="s">
        <v>1268</v>
      </c>
      <c r="W232" s="2">
        <f t="shared" si="27"/>
        <v>0</v>
      </c>
      <c r="X232" s="2" t="s">
        <v>385</v>
      </c>
      <c r="Z232" s="2">
        <v>1</v>
      </c>
      <c r="AF232" s="2">
        <f t="shared" si="28"/>
        <v>1</v>
      </c>
      <c r="AG232" s="2">
        <f t="shared" si="29"/>
        <v>0</v>
      </c>
      <c r="AH232" s="2">
        <f t="shared" si="30"/>
        <v>1</v>
      </c>
      <c r="AI232" s="2">
        <f t="shared" si="31"/>
        <v>0</v>
      </c>
      <c r="AJ232" s="2">
        <f t="shared" si="32"/>
        <v>0</v>
      </c>
      <c r="AK232" s="2">
        <f t="shared" si="33"/>
        <v>0</v>
      </c>
      <c r="AL232" s="2">
        <f t="shared" si="34"/>
        <v>0</v>
      </c>
      <c r="AM232" s="2">
        <f t="shared" si="35"/>
        <v>0</v>
      </c>
      <c r="AP232" s="2">
        <v>1</v>
      </c>
      <c r="AS232" s="309">
        <v>0.25</v>
      </c>
      <c r="AT232" s="180">
        <v>0.25</v>
      </c>
      <c r="AU232" s="180">
        <v>0.25</v>
      </c>
      <c r="AV232" s="180">
        <v>0.25</v>
      </c>
      <c r="AW232" s="310"/>
      <c r="BC232" s="218">
        <v>1</v>
      </c>
      <c r="BH232" s="2">
        <v>519091</v>
      </c>
      <c r="BI232" s="2">
        <v>176195</v>
      </c>
      <c r="BJ232" s="2" t="s">
        <v>428</v>
      </c>
      <c r="BL232" s="2" t="s">
        <v>161</v>
      </c>
    </row>
    <row r="233" spans="1:72" x14ac:dyDescent="0.25">
      <c r="A233" s="2" t="s">
        <v>1269</v>
      </c>
      <c r="B233" s="2" t="s">
        <v>382</v>
      </c>
      <c r="D233" s="4">
        <v>43594</v>
      </c>
      <c r="E233" s="4">
        <v>44690</v>
      </c>
      <c r="H233" s="2" t="s">
        <v>224</v>
      </c>
      <c r="I233" s="2" t="s">
        <v>254</v>
      </c>
      <c r="K233" s="2" t="s">
        <v>1270</v>
      </c>
      <c r="L233" s="2" t="s">
        <v>1271</v>
      </c>
      <c r="M233" s="2" t="s">
        <v>1272</v>
      </c>
      <c r="N233" s="2">
        <v>1</v>
      </c>
      <c r="W233" s="2">
        <f t="shared" si="27"/>
        <v>1</v>
      </c>
      <c r="X233" s="2" t="s">
        <v>385</v>
      </c>
      <c r="Y233" s="2">
        <v>1</v>
      </c>
      <c r="AF233" s="2">
        <f t="shared" si="28"/>
        <v>1</v>
      </c>
      <c r="AG233" s="2">
        <f t="shared" si="29"/>
        <v>0</v>
      </c>
      <c r="AH233" s="2">
        <f t="shared" si="30"/>
        <v>0</v>
      </c>
      <c r="AI233" s="2">
        <f t="shared" si="31"/>
        <v>0</v>
      </c>
      <c r="AJ233" s="2">
        <f t="shared" si="32"/>
        <v>0</v>
      </c>
      <c r="AK233" s="2">
        <f t="shared" si="33"/>
        <v>0</v>
      </c>
      <c r="AL233" s="2">
        <f t="shared" si="34"/>
        <v>0</v>
      </c>
      <c r="AM233" s="2">
        <f t="shared" si="35"/>
        <v>0</v>
      </c>
      <c r="AP233" s="2">
        <v>0</v>
      </c>
      <c r="AS233" s="309"/>
      <c r="AT233" s="180">
        <v>0</v>
      </c>
      <c r="AU233" s="180">
        <v>0</v>
      </c>
      <c r="AV233" s="180">
        <v>0</v>
      </c>
      <c r="AW233" s="310">
        <v>0</v>
      </c>
      <c r="BC233" s="218">
        <v>0</v>
      </c>
      <c r="BH233" s="2">
        <v>516414</v>
      </c>
      <c r="BI233" s="2">
        <v>173065</v>
      </c>
      <c r="BJ233" s="2" t="s">
        <v>456</v>
      </c>
      <c r="BL233" s="2" t="s">
        <v>167</v>
      </c>
      <c r="BN233" s="2" t="s">
        <v>139</v>
      </c>
      <c r="BS233" s="240" t="s">
        <v>148</v>
      </c>
      <c r="BT233" s="2" t="s">
        <v>783</v>
      </c>
    </row>
    <row r="234" spans="1:72" x14ac:dyDescent="0.25">
      <c r="A234" s="2" t="s">
        <v>1273</v>
      </c>
      <c r="B234" s="2" t="s">
        <v>434</v>
      </c>
      <c r="D234" s="4">
        <v>43608</v>
      </c>
      <c r="E234" s="4">
        <v>44704</v>
      </c>
      <c r="H234" s="2" t="s">
        <v>224</v>
      </c>
      <c r="I234" s="2" t="s">
        <v>254</v>
      </c>
      <c r="K234" s="2" t="s">
        <v>1274</v>
      </c>
      <c r="L234" s="2" t="s">
        <v>1275</v>
      </c>
      <c r="M234" s="2" t="s">
        <v>1276</v>
      </c>
      <c r="P234" s="2">
        <v>2</v>
      </c>
      <c r="W234" s="2">
        <f t="shared" si="27"/>
        <v>2</v>
      </c>
      <c r="X234" s="2" t="s">
        <v>385</v>
      </c>
      <c r="AC234" s="2">
        <v>1</v>
      </c>
      <c r="AF234" s="2">
        <f t="shared" si="28"/>
        <v>1</v>
      </c>
      <c r="AG234" s="2">
        <f t="shared" si="29"/>
        <v>0</v>
      </c>
      <c r="AH234" s="2">
        <f t="shared" si="30"/>
        <v>0</v>
      </c>
      <c r="AI234" s="2">
        <f t="shared" si="31"/>
        <v>-2</v>
      </c>
      <c r="AJ234" s="2">
        <f t="shared" si="32"/>
        <v>0</v>
      </c>
      <c r="AK234" s="2">
        <f t="shared" si="33"/>
        <v>1</v>
      </c>
      <c r="AL234" s="2">
        <f t="shared" si="34"/>
        <v>0</v>
      </c>
      <c r="AM234" s="2">
        <f t="shared" si="35"/>
        <v>0</v>
      </c>
      <c r="AP234" s="2">
        <v>-1</v>
      </c>
      <c r="AS234" s="309">
        <v>-0.25</v>
      </c>
      <c r="AT234" s="180">
        <v>-0.25</v>
      </c>
      <c r="AU234" s="180">
        <v>-0.25</v>
      </c>
      <c r="AV234" s="180">
        <v>-0.25</v>
      </c>
      <c r="AW234" s="310"/>
      <c r="BC234" s="218">
        <v>-1</v>
      </c>
      <c r="BH234" s="2">
        <v>518418</v>
      </c>
      <c r="BI234" s="2">
        <v>174325</v>
      </c>
      <c r="BJ234" s="2" t="s">
        <v>401</v>
      </c>
      <c r="BL234" s="2" t="s">
        <v>164</v>
      </c>
      <c r="BS234" s="240" t="s">
        <v>148</v>
      </c>
      <c r="BT234" s="2" t="s">
        <v>438</v>
      </c>
    </row>
    <row r="235" spans="1:72" x14ac:dyDescent="0.25">
      <c r="A235" s="2" t="s">
        <v>1277</v>
      </c>
      <c r="B235" s="2" t="s">
        <v>382</v>
      </c>
      <c r="D235" s="4">
        <v>43609</v>
      </c>
      <c r="E235" s="4">
        <v>44705</v>
      </c>
      <c r="H235" s="2" t="s">
        <v>224</v>
      </c>
      <c r="I235" s="2" t="s">
        <v>254</v>
      </c>
      <c r="K235" s="2" t="s">
        <v>1278</v>
      </c>
      <c r="L235" s="2" t="s">
        <v>1279</v>
      </c>
      <c r="M235" s="2" t="s">
        <v>1280</v>
      </c>
      <c r="W235" s="2">
        <f t="shared" si="27"/>
        <v>0</v>
      </c>
      <c r="X235" s="2" t="s">
        <v>385</v>
      </c>
      <c r="Z235" s="2">
        <v>1</v>
      </c>
      <c r="AF235" s="2">
        <f t="shared" si="28"/>
        <v>1</v>
      </c>
      <c r="AG235" s="2">
        <f t="shared" si="29"/>
        <v>0</v>
      </c>
      <c r="AH235" s="2">
        <f t="shared" si="30"/>
        <v>1</v>
      </c>
      <c r="AI235" s="2">
        <f t="shared" si="31"/>
        <v>0</v>
      </c>
      <c r="AJ235" s="2">
        <f t="shared" si="32"/>
        <v>0</v>
      </c>
      <c r="AK235" s="2">
        <f t="shared" si="33"/>
        <v>0</v>
      </c>
      <c r="AL235" s="2">
        <f t="shared" si="34"/>
        <v>0</v>
      </c>
      <c r="AM235" s="2">
        <f t="shared" si="35"/>
        <v>0</v>
      </c>
      <c r="AP235" s="2">
        <v>1</v>
      </c>
      <c r="AS235" s="309"/>
      <c r="AT235" s="180">
        <v>0.25</v>
      </c>
      <c r="AU235" s="180">
        <v>0.25</v>
      </c>
      <c r="AV235" s="180">
        <v>0.25</v>
      </c>
      <c r="AW235" s="310">
        <v>0.25</v>
      </c>
      <c r="BC235" s="218">
        <v>1</v>
      </c>
      <c r="BH235" s="2">
        <v>516557</v>
      </c>
      <c r="BI235" s="2">
        <v>175273</v>
      </c>
      <c r="BJ235" s="2" t="s">
        <v>386</v>
      </c>
      <c r="BL235" s="2" t="s">
        <v>176</v>
      </c>
    </row>
    <row r="236" spans="1:72" x14ac:dyDescent="0.25">
      <c r="A236" s="2" t="s">
        <v>1281</v>
      </c>
      <c r="B236" s="2" t="s">
        <v>382</v>
      </c>
      <c r="D236" s="4">
        <v>43609</v>
      </c>
      <c r="E236" s="4">
        <v>44705</v>
      </c>
      <c r="H236" s="2" t="s">
        <v>224</v>
      </c>
      <c r="I236" s="2" t="s">
        <v>254</v>
      </c>
      <c r="K236" s="2" t="s">
        <v>1282</v>
      </c>
      <c r="L236" s="2" t="s">
        <v>1283</v>
      </c>
      <c r="M236" s="2" t="s">
        <v>1284</v>
      </c>
      <c r="P236" s="2">
        <v>1</v>
      </c>
      <c r="W236" s="2">
        <f t="shared" si="27"/>
        <v>1</v>
      </c>
      <c r="X236" s="2" t="s">
        <v>385</v>
      </c>
      <c r="AA236" s="2">
        <v>1</v>
      </c>
      <c r="AF236" s="2">
        <f t="shared" si="28"/>
        <v>1</v>
      </c>
      <c r="AG236" s="2">
        <f t="shared" si="29"/>
        <v>0</v>
      </c>
      <c r="AH236" s="2">
        <f t="shared" si="30"/>
        <v>0</v>
      </c>
      <c r="AI236" s="2">
        <f t="shared" si="31"/>
        <v>0</v>
      </c>
      <c r="AJ236" s="2">
        <f t="shared" si="32"/>
        <v>0</v>
      </c>
      <c r="AK236" s="2">
        <f t="shared" si="33"/>
        <v>0</v>
      </c>
      <c r="AL236" s="2">
        <f t="shared" si="34"/>
        <v>0</v>
      </c>
      <c r="AM236" s="2">
        <f t="shared" si="35"/>
        <v>0</v>
      </c>
      <c r="AP236" s="2">
        <v>0</v>
      </c>
      <c r="AS236" s="309"/>
      <c r="AT236" s="180">
        <v>0</v>
      </c>
      <c r="AU236" s="180">
        <v>0</v>
      </c>
      <c r="AV236" s="180">
        <v>0</v>
      </c>
      <c r="AW236" s="310">
        <v>0</v>
      </c>
      <c r="BC236" s="218">
        <v>0</v>
      </c>
      <c r="BH236" s="2">
        <v>514720</v>
      </c>
      <c r="BI236" s="2">
        <v>172712</v>
      </c>
      <c r="BJ236" s="2" t="s">
        <v>463</v>
      </c>
      <c r="BL236" s="2" t="s">
        <v>168</v>
      </c>
    </row>
    <row r="237" spans="1:72" x14ac:dyDescent="0.25">
      <c r="A237" s="2" t="s">
        <v>1285</v>
      </c>
      <c r="B237" s="2" t="s">
        <v>382</v>
      </c>
      <c r="D237" s="4">
        <v>43615</v>
      </c>
      <c r="E237" s="4">
        <v>44711</v>
      </c>
      <c r="H237" s="2" t="s">
        <v>224</v>
      </c>
      <c r="I237" s="2" t="s">
        <v>254</v>
      </c>
      <c r="K237" s="2" t="s">
        <v>1286</v>
      </c>
      <c r="L237" s="2" t="s">
        <v>1287</v>
      </c>
      <c r="M237" s="2" t="s">
        <v>546</v>
      </c>
      <c r="W237" s="2">
        <f t="shared" si="27"/>
        <v>0</v>
      </c>
      <c r="X237" s="2" t="s">
        <v>385</v>
      </c>
      <c r="AA237" s="2">
        <v>1</v>
      </c>
      <c r="AF237" s="2">
        <f t="shared" si="28"/>
        <v>1</v>
      </c>
      <c r="AG237" s="2">
        <f t="shared" si="29"/>
        <v>0</v>
      </c>
      <c r="AH237" s="2">
        <f t="shared" si="30"/>
        <v>0</v>
      </c>
      <c r="AI237" s="2">
        <f t="shared" si="31"/>
        <v>1</v>
      </c>
      <c r="AJ237" s="2">
        <f t="shared" si="32"/>
        <v>0</v>
      </c>
      <c r="AK237" s="2">
        <f t="shared" si="33"/>
        <v>0</v>
      </c>
      <c r="AL237" s="2">
        <f t="shared" si="34"/>
        <v>0</v>
      </c>
      <c r="AM237" s="2">
        <f t="shared" si="35"/>
        <v>0</v>
      </c>
      <c r="AP237" s="2">
        <v>1</v>
      </c>
      <c r="AS237" s="309"/>
      <c r="AT237" s="180">
        <v>0.25</v>
      </c>
      <c r="AU237" s="180">
        <v>0.25</v>
      </c>
      <c r="AV237" s="180">
        <v>0.25</v>
      </c>
      <c r="AW237" s="310">
        <v>0.25</v>
      </c>
      <c r="BC237" s="218">
        <v>1</v>
      </c>
      <c r="BH237" s="2">
        <v>513537</v>
      </c>
      <c r="BI237" s="2">
        <v>170046</v>
      </c>
      <c r="BJ237" s="2" t="s">
        <v>512</v>
      </c>
      <c r="BL237" s="2" t="s">
        <v>157</v>
      </c>
    </row>
    <row r="238" spans="1:72" x14ac:dyDescent="0.25">
      <c r="A238" s="2" t="s">
        <v>1288</v>
      </c>
      <c r="B238" s="2" t="s">
        <v>404</v>
      </c>
      <c r="C238" s="2" t="s">
        <v>228</v>
      </c>
      <c r="D238" s="4">
        <v>43621</v>
      </c>
      <c r="E238" s="4">
        <v>44717</v>
      </c>
      <c r="H238" s="2" t="s">
        <v>224</v>
      </c>
      <c r="I238" s="2" t="s">
        <v>254</v>
      </c>
      <c r="K238" s="2" t="s">
        <v>1289</v>
      </c>
      <c r="L238" s="2" t="s">
        <v>1290</v>
      </c>
      <c r="M238" s="2" t="s">
        <v>613</v>
      </c>
      <c r="W238" s="2">
        <f t="shared" si="27"/>
        <v>0</v>
      </c>
      <c r="X238" s="2" t="s">
        <v>385</v>
      </c>
      <c r="Z238" s="2">
        <v>1</v>
      </c>
      <c r="AF238" s="2">
        <f t="shared" si="28"/>
        <v>1</v>
      </c>
      <c r="AG238" s="2">
        <f t="shared" si="29"/>
        <v>0</v>
      </c>
      <c r="AH238" s="2">
        <f t="shared" si="30"/>
        <v>1</v>
      </c>
      <c r="AI238" s="2">
        <f t="shared" si="31"/>
        <v>0</v>
      </c>
      <c r="AJ238" s="2">
        <f t="shared" si="32"/>
        <v>0</v>
      </c>
      <c r="AK238" s="2">
        <f t="shared" si="33"/>
        <v>0</v>
      </c>
      <c r="AL238" s="2">
        <f t="shared" si="34"/>
        <v>0</v>
      </c>
      <c r="AM238" s="2">
        <f t="shared" si="35"/>
        <v>0</v>
      </c>
      <c r="AP238" s="2">
        <v>1</v>
      </c>
      <c r="AS238" s="309">
        <v>0.25</v>
      </c>
      <c r="AT238" s="180">
        <v>0.25</v>
      </c>
      <c r="AU238" s="180">
        <v>0.25</v>
      </c>
      <c r="AV238" s="180">
        <v>0.25</v>
      </c>
      <c r="AW238" s="310"/>
      <c r="BC238" s="218">
        <v>1</v>
      </c>
      <c r="BH238" s="2">
        <v>520517</v>
      </c>
      <c r="BI238" s="2">
        <v>175507</v>
      </c>
      <c r="BJ238" s="2" t="s">
        <v>481</v>
      </c>
      <c r="BL238" s="2" t="s">
        <v>137</v>
      </c>
      <c r="BM238" s="2" t="s">
        <v>137</v>
      </c>
      <c r="BS238" s="240" t="s">
        <v>148</v>
      </c>
      <c r="BT238" s="2" t="s">
        <v>490</v>
      </c>
    </row>
    <row r="239" spans="1:72" x14ac:dyDescent="0.25">
      <c r="A239" s="2" t="s">
        <v>1291</v>
      </c>
      <c r="B239" s="2" t="s">
        <v>382</v>
      </c>
      <c r="D239" s="4">
        <v>43636</v>
      </c>
      <c r="E239" s="4">
        <v>44732</v>
      </c>
      <c r="H239" s="2" t="s">
        <v>224</v>
      </c>
      <c r="I239" s="2" t="s">
        <v>254</v>
      </c>
      <c r="K239" s="2" t="s">
        <v>1292</v>
      </c>
      <c r="L239" s="2" t="s">
        <v>1293</v>
      </c>
      <c r="M239" s="2" t="s">
        <v>1294</v>
      </c>
      <c r="P239" s="2">
        <v>1</v>
      </c>
      <c r="W239" s="2">
        <f t="shared" si="27"/>
        <v>1</v>
      </c>
      <c r="X239" s="2" t="s">
        <v>385</v>
      </c>
      <c r="Z239" s="2">
        <v>1</v>
      </c>
      <c r="AA239" s="2">
        <v>1</v>
      </c>
      <c r="AB239" s="2">
        <v>3</v>
      </c>
      <c r="AF239" s="2">
        <f t="shared" si="28"/>
        <v>5</v>
      </c>
      <c r="AG239" s="2">
        <f t="shared" si="29"/>
        <v>0</v>
      </c>
      <c r="AH239" s="2">
        <f t="shared" si="30"/>
        <v>1</v>
      </c>
      <c r="AI239" s="2">
        <f t="shared" si="31"/>
        <v>0</v>
      </c>
      <c r="AJ239" s="2">
        <f t="shared" si="32"/>
        <v>3</v>
      </c>
      <c r="AK239" s="2">
        <f t="shared" si="33"/>
        <v>0</v>
      </c>
      <c r="AL239" s="2">
        <f t="shared" si="34"/>
        <v>0</v>
      </c>
      <c r="AM239" s="2">
        <f t="shared" si="35"/>
        <v>0</v>
      </c>
      <c r="AP239" s="2">
        <v>4</v>
      </c>
      <c r="AS239" s="309"/>
      <c r="AT239" s="180">
        <v>1</v>
      </c>
      <c r="AU239" s="180">
        <v>1</v>
      </c>
      <c r="AV239" s="180">
        <v>1</v>
      </c>
      <c r="AW239" s="310">
        <v>1</v>
      </c>
      <c r="BC239" s="218">
        <v>4</v>
      </c>
      <c r="BH239" s="2">
        <v>512966</v>
      </c>
      <c r="BI239" s="2">
        <v>170724</v>
      </c>
      <c r="BJ239" s="2" t="s">
        <v>533</v>
      </c>
      <c r="BL239" s="2" t="s">
        <v>158</v>
      </c>
    </row>
    <row r="240" spans="1:72" x14ac:dyDescent="0.25">
      <c r="A240" s="2" t="s">
        <v>1295</v>
      </c>
      <c r="B240" s="2" t="s">
        <v>434</v>
      </c>
      <c r="D240" s="4">
        <v>43644</v>
      </c>
      <c r="E240" s="4">
        <v>44740</v>
      </c>
      <c r="H240" s="2" t="s">
        <v>224</v>
      </c>
      <c r="I240" s="2" t="s">
        <v>254</v>
      </c>
      <c r="K240" s="2" t="s">
        <v>1296</v>
      </c>
      <c r="L240" s="2" t="s">
        <v>1297</v>
      </c>
      <c r="M240" s="2" t="s">
        <v>1298</v>
      </c>
      <c r="T240" s="2">
        <v>1</v>
      </c>
      <c r="W240" s="2">
        <f t="shared" si="27"/>
        <v>1</v>
      </c>
      <c r="X240" s="2" t="s">
        <v>385</v>
      </c>
      <c r="AA240" s="2">
        <v>1</v>
      </c>
      <c r="AB240" s="2">
        <v>1</v>
      </c>
      <c r="AF240" s="2">
        <f t="shared" si="28"/>
        <v>2</v>
      </c>
      <c r="AG240" s="2">
        <f t="shared" si="29"/>
        <v>0</v>
      </c>
      <c r="AH240" s="2">
        <f t="shared" si="30"/>
        <v>0</v>
      </c>
      <c r="AI240" s="2">
        <f t="shared" si="31"/>
        <v>1</v>
      </c>
      <c r="AJ240" s="2">
        <f t="shared" si="32"/>
        <v>1</v>
      </c>
      <c r="AK240" s="2">
        <f t="shared" si="33"/>
        <v>0</v>
      </c>
      <c r="AL240" s="2">
        <f t="shared" si="34"/>
        <v>0</v>
      </c>
      <c r="AM240" s="2">
        <f t="shared" si="35"/>
        <v>-1</v>
      </c>
      <c r="AP240" s="2">
        <v>1</v>
      </c>
      <c r="AS240" s="309">
        <v>0.25</v>
      </c>
      <c r="AT240" s="180">
        <v>0.25</v>
      </c>
      <c r="AU240" s="180">
        <v>0.25</v>
      </c>
      <c r="AV240" s="180">
        <v>0.25</v>
      </c>
      <c r="AW240" s="310"/>
      <c r="BC240" s="218">
        <v>1</v>
      </c>
      <c r="BH240" s="2">
        <v>518380</v>
      </c>
      <c r="BI240" s="2">
        <v>175623</v>
      </c>
      <c r="BJ240" s="2" t="s">
        <v>407</v>
      </c>
      <c r="BL240" s="2" t="s">
        <v>163</v>
      </c>
      <c r="BS240" s="240" t="s">
        <v>148</v>
      </c>
      <c r="BT240" s="2" t="s">
        <v>943</v>
      </c>
    </row>
    <row r="241" spans="1:72" x14ac:dyDescent="0.25">
      <c r="A241" s="2" t="s">
        <v>1299</v>
      </c>
      <c r="B241" s="2" t="s">
        <v>382</v>
      </c>
      <c r="D241" s="4">
        <v>43654</v>
      </c>
      <c r="E241" s="4">
        <v>44736</v>
      </c>
      <c r="H241" s="2" t="s">
        <v>224</v>
      </c>
      <c r="I241" s="2" t="s">
        <v>254</v>
      </c>
      <c r="K241" s="2" t="s">
        <v>1300</v>
      </c>
      <c r="L241" s="2" t="s">
        <v>1301</v>
      </c>
      <c r="M241" s="2" t="s">
        <v>1302</v>
      </c>
      <c r="Q241" s="2">
        <v>1</v>
      </c>
      <c r="W241" s="2">
        <f t="shared" si="27"/>
        <v>1</v>
      </c>
      <c r="X241" s="2" t="s">
        <v>385</v>
      </c>
      <c r="AE241" s="2">
        <v>1</v>
      </c>
      <c r="AF241" s="2">
        <f t="shared" si="28"/>
        <v>1</v>
      </c>
      <c r="AG241" s="2">
        <f t="shared" si="29"/>
        <v>0</v>
      </c>
      <c r="AH241" s="2">
        <f t="shared" si="30"/>
        <v>0</v>
      </c>
      <c r="AI241" s="2">
        <f t="shared" si="31"/>
        <v>0</v>
      </c>
      <c r="AJ241" s="2">
        <f t="shared" si="32"/>
        <v>-1</v>
      </c>
      <c r="AK241" s="2">
        <f t="shared" si="33"/>
        <v>0</v>
      </c>
      <c r="AL241" s="2">
        <f t="shared" si="34"/>
        <v>0</v>
      </c>
      <c r="AM241" s="2">
        <f t="shared" si="35"/>
        <v>1</v>
      </c>
      <c r="AP241" s="2">
        <v>0</v>
      </c>
      <c r="AS241" s="309"/>
      <c r="AT241" s="180">
        <v>0</v>
      </c>
      <c r="AU241" s="180">
        <v>0</v>
      </c>
      <c r="AV241" s="180">
        <v>0</v>
      </c>
      <c r="AW241" s="310">
        <v>0</v>
      </c>
      <c r="BC241" s="218">
        <v>0</v>
      </c>
      <c r="BH241" s="2">
        <v>519436</v>
      </c>
      <c r="BI241" s="2">
        <v>174990</v>
      </c>
      <c r="BJ241" s="2" t="s">
        <v>401</v>
      </c>
      <c r="BL241" s="2" t="s">
        <v>164</v>
      </c>
      <c r="BS241" s="240" t="s">
        <v>148</v>
      </c>
      <c r="BT241" s="2" t="s">
        <v>1303</v>
      </c>
    </row>
    <row r="242" spans="1:72" x14ac:dyDescent="0.25">
      <c r="A242" s="2" t="s">
        <v>1304</v>
      </c>
      <c r="B242" s="2" t="s">
        <v>404</v>
      </c>
      <c r="C242" s="2" t="s">
        <v>228</v>
      </c>
      <c r="D242" s="4">
        <v>43662</v>
      </c>
      <c r="E242" s="4">
        <v>44758</v>
      </c>
      <c r="H242" s="2" t="s">
        <v>224</v>
      </c>
      <c r="I242" s="2" t="s">
        <v>254</v>
      </c>
      <c r="K242" s="2" t="s">
        <v>1305</v>
      </c>
      <c r="L242" s="2" t="s">
        <v>1306</v>
      </c>
      <c r="M242" s="2" t="s">
        <v>1307</v>
      </c>
      <c r="W242" s="2">
        <f t="shared" si="27"/>
        <v>0</v>
      </c>
      <c r="X242" s="2" t="s">
        <v>385</v>
      </c>
      <c r="Y242" s="2">
        <v>1</v>
      </c>
      <c r="AF242" s="2">
        <f t="shared" si="28"/>
        <v>1</v>
      </c>
      <c r="AG242" s="2">
        <f t="shared" si="29"/>
        <v>1</v>
      </c>
      <c r="AH242" s="2">
        <f t="shared" si="30"/>
        <v>0</v>
      </c>
      <c r="AI242" s="2">
        <f t="shared" si="31"/>
        <v>0</v>
      </c>
      <c r="AJ242" s="2">
        <f t="shared" si="32"/>
        <v>0</v>
      </c>
      <c r="AK242" s="2">
        <f t="shared" si="33"/>
        <v>0</v>
      </c>
      <c r="AL242" s="2">
        <f t="shared" si="34"/>
        <v>0</v>
      </c>
      <c r="AM242" s="2">
        <f t="shared" si="35"/>
        <v>0</v>
      </c>
      <c r="AP242" s="2">
        <v>1</v>
      </c>
      <c r="AS242" s="309">
        <v>0.25</v>
      </c>
      <c r="AT242" s="180">
        <v>0.25</v>
      </c>
      <c r="AU242" s="180">
        <v>0.25</v>
      </c>
      <c r="AV242" s="180">
        <v>0.25</v>
      </c>
      <c r="AW242" s="310"/>
      <c r="BC242" s="218">
        <v>1</v>
      </c>
      <c r="BH242" s="2">
        <v>516442</v>
      </c>
      <c r="BI242" s="2">
        <v>173470</v>
      </c>
      <c r="BJ242" s="2" t="s">
        <v>456</v>
      </c>
      <c r="BL242" s="2" t="s">
        <v>167</v>
      </c>
      <c r="BM242" s="2" t="s">
        <v>142</v>
      </c>
      <c r="BS242" s="240" t="s">
        <v>148</v>
      </c>
      <c r="BT242" s="2" t="s">
        <v>783</v>
      </c>
    </row>
    <row r="243" spans="1:72" x14ac:dyDescent="0.25">
      <c r="A243" s="2" t="s">
        <v>1308</v>
      </c>
      <c r="B243" s="2" t="s">
        <v>394</v>
      </c>
      <c r="D243" s="4">
        <v>43671</v>
      </c>
      <c r="E243" s="4">
        <v>44767</v>
      </c>
      <c r="H243" s="2" t="s">
        <v>224</v>
      </c>
      <c r="I243" s="2" t="s">
        <v>254</v>
      </c>
      <c r="K243" s="2" t="s">
        <v>1309</v>
      </c>
      <c r="L243" s="2" t="s">
        <v>1310</v>
      </c>
      <c r="M243" s="2" t="s">
        <v>1311</v>
      </c>
      <c r="P243" s="2">
        <v>2</v>
      </c>
      <c r="W243" s="2">
        <f t="shared" si="27"/>
        <v>2</v>
      </c>
      <c r="X243" s="2" t="s">
        <v>385</v>
      </c>
      <c r="Y243" s="2">
        <v>1</v>
      </c>
      <c r="Z243" s="2">
        <v>2</v>
      </c>
      <c r="AF243" s="2">
        <f t="shared" si="28"/>
        <v>3</v>
      </c>
      <c r="AG243" s="2">
        <f t="shared" si="29"/>
        <v>1</v>
      </c>
      <c r="AH243" s="2">
        <f t="shared" si="30"/>
        <v>2</v>
      </c>
      <c r="AI243" s="2">
        <f t="shared" si="31"/>
        <v>-2</v>
      </c>
      <c r="AJ243" s="2">
        <f t="shared" si="32"/>
        <v>0</v>
      </c>
      <c r="AK243" s="2">
        <f t="shared" si="33"/>
        <v>0</v>
      </c>
      <c r="AL243" s="2">
        <f t="shared" si="34"/>
        <v>0</v>
      </c>
      <c r="AM243" s="2">
        <f t="shared" si="35"/>
        <v>0</v>
      </c>
      <c r="AP243" s="2">
        <v>1</v>
      </c>
      <c r="AS243" s="309"/>
      <c r="AT243" s="180">
        <v>0.25</v>
      </c>
      <c r="AU243" s="180">
        <v>0.25</v>
      </c>
      <c r="AV243" s="180">
        <v>0.25</v>
      </c>
      <c r="AW243" s="310">
        <v>0.25</v>
      </c>
      <c r="BC243" s="218">
        <v>1</v>
      </c>
      <c r="BH243" s="2">
        <v>514448</v>
      </c>
      <c r="BI243" s="2">
        <v>171212</v>
      </c>
      <c r="BJ243" s="2" t="s">
        <v>391</v>
      </c>
      <c r="BL243" s="2" t="s">
        <v>174</v>
      </c>
      <c r="BO243" s="2" t="s">
        <v>141</v>
      </c>
      <c r="BP243" s="2" t="s">
        <v>560</v>
      </c>
      <c r="BS243" s="240" t="s">
        <v>148</v>
      </c>
      <c r="BT243" s="2" t="s">
        <v>561</v>
      </c>
    </row>
    <row r="244" spans="1:72" x14ac:dyDescent="0.25">
      <c r="A244" s="2" t="s">
        <v>1312</v>
      </c>
      <c r="B244" s="2" t="s">
        <v>404</v>
      </c>
      <c r="D244" s="4">
        <v>43689</v>
      </c>
      <c r="E244" s="4">
        <v>44922</v>
      </c>
      <c r="F244" s="3">
        <v>44340</v>
      </c>
      <c r="H244" s="2" t="s">
        <v>224</v>
      </c>
      <c r="I244" s="2" t="s">
        <v>254</v>
      </c>
      <c r="K244" s="2" t="s">
        <v>1313</v>
      </c>
      <c r="L244" s="2" t="s">
        <v>1314</v>
      </c>
      <c r="M244" s="2" t="s">
        <v>1315</v>
      </c>
      <c r="P244" s="2">
        <v>1</v>
      </c>
      <c r="W244" s="2">
        <f t="shared" si="27"/>
        <v>1</v>
      </c>
      <c r="X244" s="2" t="s">
        <v>385</v>
      </c>
      <c r="Y244" s="2">
        <v>1</v>
      </c>
      <c r="AA244" s="2">
        <v>1</v>
      </c>
      <c r="AF244" s="2">
        <f t="shared" si="28"/>
        <v>2</v>
      </c>
      <c r="AG244" s="2">
        <f t="shared" si="29"/>
        <v>1</v>
      </c>
      <c r="AH244" s="2">
        <f t="shared" si="30"/>
        <v>0</v>
      </c>
      <c r="AI244" s="2">
        <f t="shared" si="31"/>
        <v>0</v>
      </c>
      <c r="AJ244" s="2">
        <f t="shared" si="32"/>
        <v>0</v>
      </c>
      <c r="AK244" s="2">
        <f t="shared" si="33"/>
        <v>0</v>
      </c>
      <c r="AL244" s="2">
        <f t="shared" si="34"/>
        <v>0</v>
      </c>
      <c r="AM244" s="2">
        <f t="shared" si="35"/>
        <v>0</v>
      </c>
      <c r="AP244" s="2">
        <v>1</v>
      </c>
      <c r="AS244" s="309">
        <v>0.25</v>
      </c>
      <c r="AT244" s="180">
        <v>0.25</v>
      </c>
      <c r="AU244" s="180">
        <v>0.25</v>
      </c>
      <c r="AV244" s="180">
        <v>0.25</v>
      </c>
      <c r="AW244" s="310"/>
      <c r="BC244" s="218">
        <v>1</v>
      </c>
      <c r="BH244" s="2">
        <v>514733</v>
      </c>
      <c r="BI244" s="2">
        <v>172125</v>
      </c>
      <c r="BJ244" s="2" t="s">
        <v>463</v>
      </c>
      <c r="BL244" s="2" t="s">
        <v>168</v>
      </c>
    </row>
    <row r="245" spans="1:72" x14ac:dyDescent="0.25">
      <c r="A245" s="2" t="s">
        <v>1316</v>
      </c>
      <c r="B245" s="2" t="s">
        <v>382</v>
      </c>
      <c r="D245" s="4">
        <v>43698</v>
      </c>
      <c r="E245" s="4">
        <v>44794</v>
      </c>
      <c r="H245" s="2" t="s">
        <v>224</v>
      </c>
      <c r="I245" s="2" t="s">
        <v>254</v>
      </c>
      <c r="K245" s="2" t="s">
        <v>1317</v>
      </c>
      <c r="L245" s="2" t="s">
        <v>1318</v>
      </c>
      <c r="M245" s="2" t="s">
        <v>1319</v>
      </c>
      <c r="O245" s="2">
        <v>1</v>
      </c>
      <c r="W245" s="2">
        <f t="shared" si="27"/>
        <v>1</v>
      </c>
      <c r="X245" s="2" t="s">
        <v>385</v>
      </c>
      <c r="AB245" s="2">
        <v>1</v>
      </c>
      <c r="AF245" s="2">
        <f t="shared" si="28"/>
        <v>1</v>
      </c>
      <c r="AG245" s="2">
        <f t="shared" si="29"/>
        <v>0</v>
      </c>
      <c r="AH245" s="2">
        <f t="shared" si="30"/>
        <v>-1</v>
      </c>
      <c r="AI245" s="2">
        <f t="shared" si="31"/>
        <v>0</v>
      </c>
      <c r="AJ245" s="2">
        <f t="shared" si="32"/>
        <v>1</v>
      </c>
      <c r="AK245" s="2">
        <f t="shared" si="33"/>
        <v>0</v>
      </c>
      <c r="AL245" s="2">
        <f t="shared" si="34"/>
        <v>0</v>
      </c>
      <c r="AM245" s="2">
        <f t="shared" si="35"/>
        <v>0</v>
      </c>
      <c r="AP245" s="2">
        <v>0</v>
      </c>
      <c r="AS245" s="309"/>
      <c r="AT245" s="180">
        <v>0</v>
      </c>
      <c r="AU245" s="180">
        <v>0</v>
      </c>
      <c r="AV245" s="180">
        <v>0</v>
      </c>
      <c r="AW245" s="310">
        <v>0</v>
      </c>
      <c r="BC245" s="218">
        <v>0</v>
      </c>
      <c r="BH245" s="2">
        <v>515806</v>
      </c>
      <c r="BI245" s="2">
        <v>172455</v>
      </c>
      <c r="BJ245" s="2" t="s">
        <v>503</v>
      </c>
      <c r="BL245" s="2" t="s">
        <v>165</v>
      </c>
    </row>
    <row r="246" spans="1:72" s="242" customFormat="1" x14ac:dyDescent="0.25">
      <c r="A246" s="2" t="s">
        <v>1320</v>
      </c>
      <c r="B246" s="2" t="s">
        <v>382</v>
      </c>
      <c r="C246" s="2"/>
      <c r="D246" s="4">
        <v>43700</v>
      </c>
      <c r="E246" s="4">
        <v>44800</v>
      </c>
      <c r="F246" s="2"/>
      <c r="G246" s="2"/>
      <c r="H246" s="2" t="s">
        <v>224</v>
      </c>
      <c r="I246" s="2" t="s">
        <v>254</v>
      </c>
      <c r="J246" s="2"/>
      <c r="K246" s="2" t="s">
        <v>1321</v>
      </c>
      <c r="L246" s="2" t="s">
        <v>1322</v>
      </c>
      <c r="M246" s="2" t="s">
        <v>1323</v>
      </c>
      <c r="N246" s="2"/>
      <c r="O246" s="2"/>
      <c r="P246" s="2">
        <v>1</v>
      </c>
      <c r="Q246" s="2"/>
      <c r="R246" s="2"/>
      <c r="S246" s="2"/>
      <c r="T246" s="2"/>
      <c r="U246" s="2"/>
      <c r="V246" s="2"/>
      <c r="W246" s="2">
        <f t="shared" si="27"/>
        <v>1</v>
      </c>
      <c r="X246" s="2"/>
      <c r="Y246" s="2"/>
      <c r="Z246" s="2"/>
      <c r="AA246" s="2"/>
      <c r="AB246" s="2"/>
      <c r="AC246" s="2"/>
      <c r="AD246" s="2"/>
      <c r="AE246" s="2"/>
      <c r="AF246" s="2">
        <f t="shared" si="28"/>
        <v>0</v>
      </c>
      <c r="AG246" s="2">
        <f t="shared" si="29"/>
        <v>0</v>
      </c>
      <c r="AH246" s="2">
        <f t="shared" si="30"/>
        <v>0</v>
      </c>
      <c r="AI246" s="2">
        <f t="shared" si="31"/>
        <v>-1</v>
      </c>
      <c r="AJ246" s="2">
        <f t="shared" si="32"/>
        <v>0</v>
      </c>
      <c r="AK246" s="2">
        <f t="shared" si="33"/>
        <v>0</v>
      </c>
      <c r="AL246" s="2">
        <f t="shared" si="34"/>
        <v>0</v>
      </c>
      <c r="AM246" s="2">
        <f t="shared" si="35"/>
        <v>0</v>
      </c>
      <c r="AN246" s="2"/>
      <c r="AO246" s="2"/>
      <c r="AP246" s="2">
        <v>-1</v>
      </c>
      <c r="AQ246" s="180"/>
      <c r="AR246" s="2"/>
      <c r="AS246" s="309"/>
      <c r="AT246" s="180">
        <v>-0.25</v>
      </c>
      <c r="AU246" s="180">
        <v>-0.25</v>
      </c>
      <c r="AV246" s="180">
        <v>-0.25</v>
      </c>
      <c r="AW246" s="310">
        <v>-0.25</v>
      </c>
      <c r="AX246" s="2"/>
      <c r="AY246" s="2"/>
      <c r="AZ246" s="2"/>
      <c r="BA246" s="2"/>
      <c r="BB246" s="2"/>
      <c r="BC246" s="218">
        <v>-1</v>
      </c>
      <c r="BD246" s="2"/>
      <c r="BE246" s="2"/>
      <c r="BF246" s="2"/>
      <c r="BG246" s="2"/>
      <c r="BH246" s="2">
        <v>520394</v>
      </c>
      <c r="BI246" s="2">
        <v>175127</v>
      </c>
      <c r="BJ246" s="2" t="s">
        <v>481</v>
      </c>
      <c r="BK246" s="2"/>
      <c r="BL246" s="2" t="s">
        <v>137</v>
      </c>
      <c r="BM246" s="2"/>
      <c r="BN246" s="2"/>
      <c r="BO246" s="2"/>
      <c r="BP246" s="2"/>
      <c r="BQ246" s="2"/>
      <c r="BR246" s="2"/>
      <c r="BS246" s="240" t="s">
        <v>148</v>
      </c>
      <c r="BT246" s="2" t="s">
        <v>738</v>
      </c>
    </row>
    <row r="247" spans="1:72" x14ac:dyDescent="0.25">
      <c r="A247" s="2" t="s">
        <v>1324</v>
      </c>
      <c r="B247" s="2" t="s">
        <v>434</v>
      </c>
      <c r="D247" s="4">
        <v>43717</v>
      </c>
      <c r="E247" s="4">
        <v>44820</v>
      </c>
      <c r="H247" s="2" t="s">
        <v>224</v>
      </c>
      <c r="I247" s="2" t="s">
        <v>254</v>
      </c>
      <c r="K247" s="2" t="s">
        <v>1325</v>
      </c>
      <c r="L247" s="2" t="s">
        <v>1247</v>
      </c>
      <c r="M247" s="2" t="s">
        <v>1248</v>
      </c>
      <c r="O247" s="2">
        <v>1</v>
      </c>
      <c r="P247" s="2">
        <v>1</v>
      </c>
      <c r="W247" s="2">
        <f t="shared" si="27"/>
        <v>2</v>
      </c>
      <c r="X247" s="2" t="s">
        <v>385</v>
      </c>
      <c r="Y247" s="2">
        <v>4</v>
      </c>
      <c r="Z247" s="2">
        <v>1</v>
      </c>
      <c r="AF247" s="2">
        <f t="shared" si="28"/>
        <v>5</v>
      </c>
      <c r="AG247" s="2">
        <f t="shared" si="29"/>
        <v>4</v>
      </c>
      <c r="AH247" s="2">
        <f t="shared" si="30"/>
        <v>0</v>
      </c>
      <c r="AI247" s="2">
        <f t="shared" si="31"/>
        <v>-1</v>
      </c>
      <c r="AJ247" s="2">
        <f t="shared" si="32"/>
        <v>0</v>
      </c>
      <c r="AK247" s="2">
        <f t="shared" si="33"/>
        <v>0</v>
      </c>
      <c r="AL247" s="2">
        <f t="shared" si="34"/>
        <v>0</v>
      </c>
      <c r="AM247" s="2">
        <f t="shared" si="35"/>
        <v>0</v>
      </c>
      <c r="AP247" s="2">
        <v>3</v>
      </c>
      <c r="AS247" s="309"/>
      <c r="AT247" s="180">
        <v>0.75</v>
      </c>
      <c r="AU247" s="180">
        <v>0.75</v>
      </c>
      <c r="AV247" s="180">
        <v>0.75</v>
      </c>
      <c r="AW247" s="310">
        <v>0.75</v>
      </c>
      <c r="BC247" s="218">
        <v>3</v>
      </c>
      <c r="BH247" s="2">
        <v>514632</v>
      </c>
      <c r="BI247" s="2">
        <v>171370</v>
      </c>
      <c r="BJ247" s="2" t="s">
        <v>391</v>
      </c>
      <c r="BL247" s="2" t="s">
        <v>174</v>
      </c>
    </row>
    <row r="248" spans="1:72" x14ac:dyDescent="0.25">
      <c r="A248" s="2" t="s">
        <v>1326</v>
      </c>
      <c r="B248" s="2" t="s">
        <v>382</v>
      </c>
      <c r="D248" s="4">
        <v>43718</v>
      </c>
      <c r="E248" s="4">
        <v>44814</v>
      </c>
      <c r="F248" s="3">
        <v>44650</v>
      </c>
      <c r="H248" s="2" t="s">
        <v>224</v>
      </c>
      <c r="I248" s="2" t="s">
        <v>254</v>
      </c>
      <c r="K248" s="2" t="s">
        <v>1327</v>
      </c>
      <c r="L248" s="2" t="s">
        <v>1328</v>
      </c>
      <c r="M248" s="2" t="s">
        <v>1329</v>
      </c>
      <c r="W248" s="2">
        <v>0</v>
      </c>
      <c r="X248" s="2" t="s">
        <v>385</v>
      </c>
      <c r="Z248" s="2">
        <v>2</v>
      </c>
      <c r="AF248" s="2">
        <f t="shared" si="28"/>
        <v>2</v>
      </c>
      <c r="AG248" s="2">
        <f t="shared" ref="AG248:AG287" si="36">Y248-N248</f>
        <v>0</v>
      </c>
      <c r="AH248" s="2">
        <f t="shared" ref="AH248:AH287" si="37">Z248-O248</f>
        <v>2</v>
      </c>
      <c r="AI248" s="2">
        <v>0</v>
      </c>
      <c r="AJ248" s="2">
        <v>0</v>
      </c>
      <c r="AK248" s="2">
        <v>0</v>
      </c>
      <c r="AL248" s="2">
        <v>0</v>
      </c>
      <c r="AM248" s="2">
        <v>0</v>
      </c>
      <c r="AP248" s="2">
        <v>2</v>
      </c>
      <c r="AS248" s="309"/>
      <c r="AT248" s="180">
        <v>2</v>
      </c>
      <c r="AW248" s="310"/>
      <c r="BC248" s="218">
        <v>2</v>
      </c>
      <c r="BH248" s="2">
        <v>513221</v>
      </c>
      <c r="BI248" s="2">
        <v>170897</v>
      </c>
      <c r="BJ248" s="2" t="s">
        <v>533</v>
      </c>
      <c r="BL248" s="2" t="s">
        <v>158</v>
      </c>
      <c r="BS248" s="240"/>
    </row>
    <row r="249" spans="1:72" x14ac:dyDescent="0.25">
      <c r="A249" s="2" t="s">
        <v>1330</v>
      </c>
      <c r="B249" s="2" t="s">
        <v>382</v>
      </c>
      <c r="D249" s="4">
        <v>43731</v>
      </c>
      <c r="E249" s="4">
        <v>44827</v>
      </c>
      <c r="H249" s="2" t="s">
        <v>224</v>
      </c>
      <c r="I249" s="2" t="s">
        <v>254</v>
      </c>
      <c r="K249" s="2" t="s">
        <v>1331</v>
      </c>
      <c r="L249" s="2" t="s">
        <v>1332</v>
      </c>
      <c r="M249" s="2" t="s">
        <v>1333</v>
      </c>
      <c r="W249" s="2">
        <f t="shared" ref="W249:W277" si="38">SUM(N249:V249)</f>
        <v>0</v>
      </c>
      <c r="X249" s="2" t="s">
        <v>385</v>
      </c>
      <c r="AB249" s="2">
        <v>2</v>
      </c>
      <c r="AF249" s="2">
        <f t="shared" si="28"/>
        <v>2</v>
      </c>
      <c r="AG249" s="2">
        <f t="shared" si="36"/>
        <v>0</v>
      </c>
      <c r="AH249" s="2">
        <f t="shared" si="37"/>
        <v>0</v>
      </c>
      <c r="AI249" s="2">
        <f t="shared" ref="AI249:AI277" si="39">AA249-P249</f>
        <v>0</v>
      </c>
      <c r="AJ249" s="2">
        <f t="shared" ref="AJ249:AJ277" si="40">AB249-Q249</f>
        <v>2</v>
      </c>
      <c r="AK249" s="2">
        <f t="shared" ref="AK249:AK277" si="41">AC249-R249</f>
        <v>0</v>
      </c>
      <c r="AL249" s="2">
        <f t="shared" ref="AL249:AL277" si="42">AD249-S249</f>
        <v>0</v>
      </c>
      <c r="AM249" s="2">
        <f t="shared" ref="AM249:AM277" si="43">AE249-T249</f>
        <v>0</v>
      </c>
      <c r="AP249" s="2">
        <v>2</v>
      </c>
      <c r="AS249" s="309"/>
      <c r="AT249" s="180">
        <v>0.5</v>
      </c>
      <c r="AU249" s="180">
        <v>0.5</v>
      </c>
      <c r="AV249" s="180">
        <v>0.5</v>
      </c>
      <c r="AW249" s="310">
        <v>0.5</v>
      </c>
      <c r="BC249" s="218">
        <v>2</v>
      </c>
      <c r="BH249" s="2">
        <v>515377</v>
      </c>
      <c r="BI249" s="2">
        <v>173631</v>
      </c>
      <c r="BJ249" s="2" t="s">
        <v>386</v>
      </c>
      <c r="BL249" s="2" t="s">
        <v>176</v>
      </c>
    </row>
    <row r="250" spans="1:72" x14ac:dyDescent="0.25">
      <c r="A250" s="2" t="s">
        <v>1334</v>
      </c>
      <c r="B250" s="2" t="s">
        <v>382</v>
      </c>
      <c r="D250" s="4">
        <v>43731</v>
      </c>
      <c r="E250" s="4">
        <v>44827</v>
      </c>
      <c r="H250" s="2" t="s">
        <v>224</v>
      </c>
      <c r="I250" s="2" t="s">
        <v>254</v>
      </c>
      <c r="K250" s="2" t="s">
        <v>1335</v>
      </c>
      <c r="L250" s="2" t="s">
        <v>1336</v>
      </c>
      <c r="M250" s="2" t="s">
        <v>1337</v>
      </c>
      <c r="P250" s="2">
        <v>2</v>
      </c>
      <c r="W250" s="2">
        <f t="shared" si="38"/>
        <v>2</v>
      </c>
      <c r="X250" s="2" t="s">
        <v>385</v>
      </c>
      <c r="Y250" s="2">
        <v>7</v>
      </c>
      <c r="AF250" s="2">
        <f t="shared" si="28"/>
        <v>7</v>
      </c>
      <c r="AG250" s="2">
        <f t="shared" si="36"/>
        <v>7</v>
      </c>
      <c r="AH250" s="2">
        <f t="shared" si="37"/>
        <v>0</v>
      </c>
      <c r="AI250" s="2">
        <f t="shared" si="39"/>
        <v>-2</v>
      </c>
      <c r="AJ250" s="2">
        <f t="shared" si="40"/>
        <v>0</v>
      </c>
      <c r="AK250" s="2">
        <f t="shared" si="41"/>
        <v>0</v>
      </c>
      <c r="AL250" s="2">
        <f t="shared" si="42"/>
        <v>0</v>
      </c>
      <c r="AM250" s="2">
        <f t="shared" si="43"/>
        <v>0</v>
      </c>
      <c r="AP250" s="2">
        <v>5</v>
      </c>
      <c r="AS250" s="309"/>
      <c r="AT250" s="180">
        <v>1.25</v>
      </c>
      <c r="AU250" s="180">
        <v>1.25</v>
      </c>
      <c r="AV250" s="180">
        <v>1.25</v>
      </c>
      <c r="AW250" s="310">
        <v>1.25</v>
      </c>
      <c r="BC250" s="218">
        <v>5</v>
      </c>
      <c r="BH250" s="2">
        <v>518353</v>
      </c>
      <c r="BI250" s="2">
        <v>175510</v>
      </c>
      <c r="BJ250" s="2" t="s">
        <v>407</v>
      </c>
      <c r="BL250" s="2" t="s">
        <v>163</v>
      </c>
      <c r="BO250" s="2" t="s">
        <v>141</v>
      </c>
      <c r="BP250" s="2" t="s">
        <v>1338</v>
      </c>
      <c r="BS250" s="240" t="s">
        <v>148</v>
      </c>
      <c r="BT250" s="2" t="s">
        <v>943</v>
      </c>
    </row>
    <row r="251" spans="1:72" x14ac:dyDescent="0.25">
      <c r="A251" s="2" t="s">
        <v>1339</v>
      </c>
      <c r="B251" s="2" t="s">
        <v>382</v>
      </c>
      <c r="D251" s="4">
        <v>43755</v>
      </c>
      <c r="E251" s="4">
        <v>44851</v>
      </c>
      <c r="H251" s="2" t="s">
        <v>224</v>
      </c>
      <c r="I251" s="2" t="s">
        <v>254</v>
      </c>
      <c r="K251" s="2" t="s">
        <v>1340</v>
      </c>
      <c r="L251" s="2" t="s">
        <v>1341</v>
      </c>
      <c r="M251" s="2" t="s">
        <v>1342</v>
      </c>
      <c r="W251" s="2">
        <f t="shared" si="38"/>
        <v>0</v>
      </c>
      <c r="X251" s="2" t="s">
        <v>385</v>
      </c>
      <c r="AB251" s="2">
        <v>1</v>
      </c>
      <c r="AF251" s="2">
        <f t="shared" si="28"/>
        <v>1</v>
      </c>
      <c r="AG251" s="2">
        <f t="shared" si="36"/>
        <v>0</v>
      </c>
      <c r="AH251" s="2">
        <f t="shared" si="37"/>
        <v>0</v>
      </c>
      <c r="AI251" s="2">
        <f t="shared" si="39"/>
        <v>0</v>
      </c>
      <c r="AJ251" s="2">
        <f t="shared" si="40"/>
        <v>1</v>
      </c>
      <c r="AK251" s="2">
        <f t="shared" si="41"/>
        <v>0</v>
      </c>
      <c r="AL251" s="2">
        <f t="shared" si="42"/>
        <v>0</v>
      </c>
      <c r="AM251" s="2">
        <f t="shared" si="43"/>
        <v>0</v>
      </c>
      <c r="AP251" s="2">
        <v>1</v>
      </c>
      <c r="AS251" s="309"/>
      <c r="AT251" s="180">
        <v>0.25</v>
      </c>
      <c r="AU251" s="180">
        <v>0.25</v>
      </c>
      <c r="AV251" s="180">
        <v>0.25</v>
      </c>
      <c r="AW251" s="310">
        <v>0.25</v>
      </c>
      <c r="BC251" s="218">
        <v>1</v>
      </c>
      <c r="BH251" s="2">
        <v>516550</v>
      </c>
      <c r="BI251" s="2">
        <v>171027</v>
      </c>
      <c r="BJ251" s="2" t="s">
        <v>443</v>
      </c>
      <c r="BK251" s="2" t="s">
        <v>147</v>
      </c>
      <c r="BL251" s="2" t="s">
        <v>159</v>
      </c>
    </row>
    <row r="252" spans="1:72" x14ac:dyDescent="0.25">
      <c r="A252" s="2" t="s">
        <v>1343</v>
      </c>
      <c r="B252" s="2" t="s">
        <v>539</v>
      </c>
      <c r="D252" s="4">
        <v>43776</v>
      </c>
      <c r="E252" s="4">
        <v>44872</v>
      </c>
      <c r="H252" s="2" t="s">
        <v>224</v>
      </c>
      <c r="I252" s="2" t="s">
        <v>254</v>
      </c>
      <c r="K252" s="2" t="s">
        <v>1344</v>
      </c>
      <c r="L252" s="2" t="s">
        <v>1345</v>
      </c>
      <c r="M252" s="2" t="s">
        <v>1346</v>
      </c>
      <c r="W252" s="2">
        <f t="shared" si="38"/>
        <v>0</v>
      </c>
      <c r="X252" s="2" t="s">
        <v>385</v>
      </c>
      <c r="Y252" s="2">
        <v>6</v>
      </c>
      <c r="AF252" s="2">
        <f t="shared" si="28"/>
        <v>6</v>
      </c>
      <c r="AG252" s="2">
        <f t="shared" si="36"/>
        <v>6</v>
      </c>
      <c r="AH252" s="2">
        <f t="shared" si="37"/>
        <v>0</v>
      </c>
      <c r="AI252" s="2">
        <f t="shared" si="39"/>
        <v>0</v>
      </c>
      <c r="AJ252" s="2">
        <f t="shared" si="40"/>
        <v>0</v>
      </c>
      <c r="AK252" s="2">
        <f t="shared" si="41"/>
        <v>0</v>
      </c>
      <c r="AL252" s="2">
        <f t="shared" si="42"/>
        <v>0</v>
      </c>
      <c r="AM252" s="2">
        <f t="shared" si="43"/>
        <v>0</v>
      </c>
      <c r="AP252" s="2">
        <v>6</v>
      </c>
      <c r="AS252" s="309">
        <v>1.5</v>
      </c>
      <c r="AT252" s="180">
        <v>1.5</v>
      </c>
      <c r="AU252" s="180">
        <v>1.5</v>
      </c>
      <c r="AV252" s="180">
        <v>1.5</v>
      </c>
      <c r="AW252" s="310"/>
      <c r="BC252" s="218">
        <v>6</v>
      </c>
      <c r="BH252" s="2">
        <v>512869</v>
      </c>
      <c r="BI252" s="2">
        <v>169793</v>
      </c>
      <c r="BJ252" s="2" t="s">
        <v>512</v>
      </c>
      <c r="BL252" s="2" t="s">
        <v>157</v>
      </c>
    </row>
    <row r="253" spans="1:72" x14ac:dyDescent="0.25">
      <c r="A253" s="2" t="s">
        <v>1347</v>
      </c>
      <c r="B253" s="2" t="s">
        <v>404</v>
      </c>
      <c r="C253" s="2" t="s">
        <v>228</v>
      </c>
      <c r="D253" s="4">
        <v>43787</v>
      </c>
      <c r="E253" s="4">
        <v>44883</v>
      </c>
      <c r="H253" s="2" t="s">
        <v>224</v>
      </c>
      <c r="I253" s="2" t="s">
        <v>254</v>
      </c>
      <c r="K253" s="2" t="s">
        <v>1348</v>
      </c>
      <c r="L253" s="2" t="s">
        <v>1349</v>
      </c>
      <c r="M253" s="2" t="s">
        <v>1350</v>
      </c>
      <c r="W253" s="2">
        <f t="shared" si="38"/>
        <v>0</v>
      </c>
      <c r="X253" s="2" t="s">
        <v>385</v>
      </c>
      <c r="Z253" s="2">
        <v>1</v>
      </c>
      <c r="AF253" s="2">
        <f t="shared" si="28"/>
        <v>1</v>
      </c>
      <c r="AG253" s="2">
        <f t="shared" si="36"/>
        <v>0</v>
      </c>
      <c r="AH253" s="2">
        <f t="shared" si="37"/>
        <v>1</v>
      </c>
      <c r="AI253" s="2">
        <f t="shared" si="39"/>
        <v>0</v>
      </c>
      <c r="AJ253" s="2">
        <f t="shared" si="40"/>
        <v>0</v>
      </c>
      <c r="AK253" s="2">
        <f t="shared" si="41"/>
        <v>0</v>
      </c>
      <c r="AL253" s="2">
        <f t="shared" si="42"/>
        <v>0</v>
      </c>
      <c r="AM253" s="2">
        <f t="shared" si="43"/>
        <v>0</v>
      </c>
      <c r="AP253" s="2">
        <v>1</v>
      </c>
      <c r="AS253" s="309">
        <v>0.25</v>
      </c>
      <c r="AT253" s="180">
        <v>0.25</v>
      </c>
      <c r="AU253" s="180">
        <v>0.25</v>
      </c>
      <c r="AV253" s="180">
        <v>0.25</v>
      </c>
      <c r="AW253" s="310"/>
      <c r="BC253" s="218">
        <v>1</v>
      </c>
      <c r="BH253" s="2">
        <v>515035</v>
      </c>
      <c r="BI253" s="2">
        <v>171569</v>
      </c>
      <c r="BJ253" s="2" t="s">
        <v>391</v>
      </c>
      <c r="BL253" s="2" t="s">
        <v>174</v>
      </c>
      <c r="BO253" s="2" t="s">
        <v>141</v>
      </c>
      <c r="BP253" s="2" t="s">
        <v>392</v>
      </c>
    </row>
    <row r="254" spans="1:72" x14ac:dyDescent="0.25">
      <c r="A254" s="2" t="s">
        <v>1351</v>
      </c>
      <c r="B254" s="2" t="s">
        <v>382</v>
      </c>
      <c r="D254" s="4">
        <v>43810</v>
      </c>
      <c r="E254" s="4">
        <v>44906</v>
      </c>
      <c r="H254" s="2" t="s">
        <v>224</v>
      </c>
      <c r="I254" s="2" t="s">
        <v>254</v>
      </c>
      <c r="K254" s="2" t="s">
        <v>1352</v>
      </c>
      <c r="L254" s="2" t="s">
        <v>1353</v>
      </c>
      <c r="M254" s="2" t="s">
        <v>1354</v>
      </c>
      <c r="O254" s="2">
        <v>1</v>
      </c>
      <c r="W254" s="2">
        <f t="shared" si="38"/>
        <v>1</v>
      </c>
      <c r="X254" s="2" t="s">
        <v>385</v>
      </c>
      <c r="AA254" s="2">
        <v>1</v>
      </c>
      <c r="AF254" s="2">
        <f t="shared" si="28"/>
        <v>1</v>
      </c>
      <c r="AG254" s="2">
        <f t="shared" si="36"/>
        <v>0</v>
      </c>
      <c r="AH254" s="2">
        <f t="shared" si="37"/>
        <v>-1</v>
      </c>
      <c r="AI254" s="2">
        <f t="shared" si="39"/>
        <v>1</v>
      </c>
      <c r="AJ254" s="2">
        <f t="shared" si="40"/>
        <v>0</v>
      </c>
      <c r="AK254" s="2">
        <f t="shared" si="41"/>
        <v>0</v>
      </c>
      <c r="AL254" s="2">
        <f t="shared" si="42"/>
        <v>0</v>
      </c>
      <c r="AM254" s="2">
        <f t="shared" si="43"/>
        <v>0</v>
      </c>
      <c r="AP254" s="2">
        <v>0</v>
      </c>
      <c r="AS254" s="309"/>
      <c r="AT254" s="180">
        <v>0</v>
      </c>
      <c r="AU254" s="180">
        <v>0</v>
      </c>
      <c r="AV254" s="180">
        <v>0</v>
      </c>
      <c r="AW254" s="310">
        <v>0</v>
      </c>
      <c r="BC254" s="218">
        <v>0</v>
      </c>
      <c r="BH254" s="2">
        <v>520990</v>
      </c>
      <c r="BI254" s="2">
        <v>175033</v>
      </c>
      <c r="BJ254" s="2" t="s">
        <v>481</v>
      </c>
      <c r="BL254" s="2" t="s">
        <v>137</v>
      </c>
    </row>
    <row r="255" spans="1:72" x14ac:dyDescent="0.25">
      <c r="A255" s="2" t="s">
        <v>1355</v>
      </c>
      <c r="B255" s="2" t="s">
        <v>382</v>
      </c>
      <c r="D255" s="4">
        <v>43818</v>
      </c>
      <c r="E255" s="4">
        <v>45240</v>
      </c>
      <c r="H255" s="2" t="s">
        <v>224</v>
      </c>
      <c r="I255" s="2" t="s">
        <v>254</v>
      </c>
      <c r="K255" s="2" t="s">
        <v>1356</v>
      </c>
      <c r="L255" s="2" t="s">
        <v>1357</v>
      </c>
      <c r="M255" s="2" t="s">
        <v>1358</v>
      </c>
      <c r="W255" s="2">
        <f t="shared" si="38"/>
        <v>0</v>
      </c>
      <c r="X255" s="2" t="s">
        <v>385</v>
      </c>
      <c r="Z255" s="2">
        <v>1</v>
      </c>
      <c r="AF255" s="2">
        <f t="shared" si="28"/>
        <v>1</v>
      </c>
      <c r="AG255" s="2">
        <f t="shared" si="36"/>
        <v>0</v>
      </c>
      <c r="AH255" s="2">
        <f t="shared" si="37"/>
        <v>1</v>
      </c>
      <c r="AI255" s="2">
        <f t="shared" si="39"/>
        <v>0</v>
      </c>
      <c r="AJ255" s="2">
        <f t="shared" si="40"/>
        <v>0</v>
      </c>
      <c r="AK255" s="2">
        <f t="shared" si="41"/>
        <v>0</v>
      </c>
      <c r="AL255" s="2">
        <f t="shared" si="42"/>
        <v>0</v>
      </c>
      <c r="AM255" s="2">
        <f t="shared" si="43"/>
        <v>0</v>
      </c>
      <c r="AP255" s="2">
        <v>1</v>
      </c>
      <c r="AS255" s="309"/>
      <c r="AT255" s="180">
        <v>0.25</v>
      </c>
      <c r="AU255" s="180">
        <v>0.25</v>
      </c>
      <c r="AV255" s="180">
        <v>0.25</v>
      </c>
      <c r="AW255" s="310">
        <v>0.25</v>
      </c>
      <c r="BC255" s="218">
        <v>1</v>
      </c>
      <c r="BH255" s="2">
        <v>517407</v>
      </c>
      <c r="BI255" s="2">
        <v>174195</v>
      </c>
      <c r="BJ255" s="2" t="s">
        <v>456</v>
      </c>
      <c r="BL255" s="2" t="s">
        <v>167</v>
      </c>
      <c r="BO255" s="2" t="s">
        <v>141</v>
      </c>
      <c r="BP255" s="2" t="s">
        <v>1178</v>
      </c>
      <c r="BS255" s="240" t="s">
        <v>148</v>
      </c>
      <c r="BT255" s="2" t="s">
        <v>1359</v>
      </c>
    </row>
    <row r="256" spans="1:72" x14ac:dyDescent="0.25">
      <c r="A256" s="2" t="s">
        <v>1360</v>
      </c>
      <c r="B256" s="2" t="s">
        <v>404</v>
      </c>
      <c r="D256" s="4">
        <v>43822</v>
      </c>
      <c r="E256" s="4">
        <v>44918</v>
      </c>
      <c r="H256" s="2" t="s">
        <v>224</v>
      </c>
      <c r="I256" s="2" t="s">
        <v>254</v>
      </c>
      <c r="K256" s="2" t="s">
        <v>1361</v>
      </c>
      <c r="L256" s="2" t="s">
        <v>1362</v>
      </c>
      <c r="M256" s="2" t="s">
        <v>1363</v>
      </c>
      <c r="W256" s="2">
        <f t="shared" si="38"/>
        <v>0</v>
      </c>
      <c r="X256" s="2" t="s">
        <v>385</v>
      </c>
      <c r="Z256" s="2">
        <v>1</v>
      </c>
      <c r="AF256" s="2">
        <f t="shared" si="28"/>
        <v>1</v>
      </c>
      <c r="AG256" s="2">
        <f t="shared" si="36"/>
        <v>0</v>
      </c>
      <c r="AH256" s="2">
        <f t="shared" si="37"/>
        <v>1</v>
      </c>
      <c r="AI256" s="2">
        <f t="shared" si="39"/>
        <v>0</v>
      </c>
      <c r="AJ256" s="2">
        <f t="shared" si="40"/>
        <v>0</v>
      </c>
      <c r="AK256" s="2">
        <f t="shared" si="41"/>
        <v>0</v>
      </c>
      <c r="AL256" s="2">
        <f t="shared" si="42"/>
        <v>0</v>
      </c>
      <c r="AM256" s="2">
        <f t="shared" si="43"/>
        <v>0</v>
      </c>
      <c r="AP256" s="2">
        <v>1</v>
      </c>
      <c r="AS256" s="309">
        <v>0.25</v>
      </c>
      <c r="AT256" s="180">
        <v>0.25</v>
      </c>
      <c r="AU256" s="180">
        <v>0.25</v>
      </c>
      <c r="AV256" s="180">
        <v>0.25</v>
      </c>
      <c r="AW256" s="310"/>
      <c r="BC256" s="218">
        <v>1</v>
      </c>
      <c r="BH256" s="2">
        <v>512318</v>
      </c>
      <c r="BI256" s="2">
        <v>171284</v>
      </c>
      <c r="BJ256" s="2" t="s">
        <v>533</v>
      </c>
      <c r="BL256" s="2" t="s">
        <v>158</v>
      </c>
      <c r="BQ256" s="2" t="s">
        <v>1364</v>
      </c>
    </row>
    <row r="257" spans="1:72" x14ac:dyDescent="0.25">
      <c r="A257" s="2" t="s">
        <v>1365</v>
      </c>
      <c r="B257" s="2" t="s">
        <v>539</v>
      </c>
      <c r="D257" s="4">
        <v>43847</v>
      </c>
      <c r="E257" s="4">
        <v>44962</v>
      </c>
      <c r="H257" s="2" t="s">
        <v>224</v>
      </c>
      <c r="I257" s="2" t="s">
        <v>254</v>
      </c>
      <c r="K257" s="2" t="s">
        <v>1366</v>
      </c>
      <c r="L257" s="2" t="s">
        <v>1367</v>
      </c>
      <c r="M257" s="2" t="s">
        <v>1368</v>
      </c>
      <c r="W257" s="2">
        <f t="shared" si="38"/>
        <v>0</v>
      </c>
      <c r="X257" s="2" t="s">
        <v>385</v>
      </c>
      <c r="Z257" s="2">
        <v>2</v>
      </c>
      <c r="AF257" s="2">
        <f t="shared" si="28"/>
        <v>2</v>
      </c>
      <c r="AG257" s="2">
        <f t="shared" si="36"/>
        <v>0</v>
      </c>
      <c r="AH257" s="2">
        <f t="shared" si="37"/>
        <v>2</v>
      </c>
      <c r="AI257" s="2">
        <f t="shared" si="39"/>
        <v>0</v>
      </c>
      <c r="AJ257" s="2">
        <f t="shared" si="40"/>
        <v>0</v>
      </c>
      <c r="AK257" s="2">
        <f t="shared" si="41"/>
        <v>0</v>
      </c>
      <c r="AL257" s="2">
        <f t="shared" si="42"/>
        <v>0</v>
      </c>
      <c r="AM257" s="2">
        <f t="shared" si="43"/>
        <v>0</v>
      </c>
      <c r="AP257" s="2">
        <v>2</v>
      </c>
      <c r="AS257" s="309">
        <v>0.5</v>
      </c>
      <c r="AT257" s="180">
        <v>0.5</v>
      </c>
      <c r="AU257" s="180">
        <v>0.5</v>
      </c>
      <c r="AV257" s="180">
        <v>0.5</v>
      </c>
      <c r="AW257" s="310"/>
      <c r="BC257" s="218">
        <v>2</v>
      </c>
      <c r="BH257" s="2">
        <v>517543</v>
      </c>
      <c r="BI257" s="2">
        <v>169767</v>
      </c>
      <c r="BJ257" s="2" t="s">
        <v>443</v>
      </c>
      <c r="BL257" s="2" t="s">
        <v>159</v>
      </c>
    </row>
    <row r="258" spans="1:72" x14ac:dyDescent="0.25">
      <c r="A258" s="2" t="s">
        <v>1369</v>
      </c>
      <c r="B258" s="2" t="s">
        <v>382</v>
      </c>
      <c r="D258" s="4">
        <v>43852</v>
      </c>
      <c r="E258" s="4">
        <v>44949</v>
      </c>
      <c r="H258" s="2" t="s">
        <v>224</v>
      </c>
      <c r="I258" s="2" t="s">
        <v>254</v>
      </c>
      <c r="K258" s="2" t="s">
        <v>1370</v>
      </c>
      <c r="L258" s="2" t="s">
        <v>1371</v>
      </c>
      <c r="M258" s="2" t="s">
        <v>1372</v>
      </c>
      <c r="W258" s="2">
        <f t="shared" si="38"/>
        <v>0</v>
      </c>
      <c r="X258" s="2" t="s">
        <v>385</v>
      </c>
      <c r="AA258" s="2">
        <v>2</v>
      </c>
      <c r="AF258" s="2">
        <f t="shared" ref="AF258:AF321" si="44">SUM(Y258:AE258)</f>
        <v>2</v>
      </c>
      <c r="AG258" s="2">
        <f t="shared" si="36"/>
        <v>0</v>
      </c>
      <c r="AH258" s="2">
        <f t="shared" si="37"/>
        <v>0</v>
      </c>
      <c r="AI258" s="2">
        <f t="shared" si="39"/>
        <v>2</v>
      </c>
      <c r="AJ258" s="2">
        <f t="shared" si="40"/>
        <v>0</v>
      </c>
      <c r="AK258" s="2">
        <f t="shared" si="41"/>
        <v>0</v>
      </c>
      <c r="AL258" s="2">
        <f t="shared" si="42"/>
        <v>0</v>
      </c>
      <c r="AM258" s="2">
        <f t="shared" si="43"/>
        <v>0</v>
      </c>
      <c r="AP258" s="2">
        <v>2</v>
      </c>
      <c r="AS258" s="309"/>
      <c r="AT258" s="180">
        <v>0.5</v>
      </c>
      <c r="AU258" s="180">
        <v>0.5</v>
      </c>
      <c r="AV258" s="180">
        <v>0.5</v>
      </c>
      <c r="AW258" s="310">
        <v>0.5</v>
      </c>
      <c r="BC258" s="218">
        <v>2</v>
      </c>
      <c r="BH258" s="2">
        <v>513048</v>
      </c>
      <c r="BI258" s="2">
        <v>173758</v>
      </c>
      <c r="BJ258" s="2" t="s">
        <v>397</v>
      </c>
      <c r="BK258" s="2" t="s">
        <v>147</v>
      </c>
      <c r="BL258" s="2" t="s">
        <v>160</v>
      </c>
    </row>
    <row r="259" spans="1:72" x14ac:dyDescent="0.25">
      <c r="A259" s="2" t="s">
        <v>1373</v>
      </c>
      <c r="B259" s="2" t="s">
        <v>404</v>
      </c>
      <c r="C259" s="2" t="s">
        <v>228</v>
      </c>
      <c r="D259" s="4">
        <v>43878</v>
      </c>
      <c r="E259" s="4">
        <v>44975</v>
      </c>
      <c r="H259" s="2" t="s">
        <v>224</v>
      </c>
      <c r="I259" s="2" t="s">
        <v>254</v>
      </c>
      <c r="K259" s="2" t="s">
        <v>1374</v>
      </c>
      <c r="L259" s="2" t="s">
        <v>1375</v>
      </c>
      <c r="M259" s="2" t="s">
        <v>1376</v>
      </c>
      <c r="W259" s="2">
        <f t="shared" si="38"/>
        <v>0</v>
      </c>
      <c r="X259" s="2" t="s">
        <v>385</v>
      </c>
      <c r="Z259" s="2">
        <v>2</v>
      </c>
      <c r="AF259" s="2">
        <f t="shared" si="44"/>
        <v>2</v>
      </c>
      <c r="AG259" s="2">
        <f t="shared" si="36"/>
        <v>0</v>
      </c>
      <c r="AH259" s="2">
        <f t="shared" si="37"/>
        <v>2</v>
      </c>
      <c r="AI259" s="2">
        <f t="shared" si="39"/>
        <v>0</v>
      </c>
      <c r="AJ259" s="2">
        <f t="shared" si="40"/>
        <v>0</v>
      </c>
      <c r="AK259" s="2">
        <f t="shared" si="41"/>
        <v>0</v>
      </c>
      <c r="AL259" s="2">
        <f t="shared" si="42"/>
        <v>0</v>
      </c>
      <c r="AM259" s="2">
        <f t="shared" si="43"/>
        <v>0</v>
      </c>
      <c r="AP259" s="2">
        <v>2</v>
      </c>
      <c r="AS259" s="309">
        <v>0.5</v>
      </c>
      <c r="AT259" s="180">
        <v>0.5</v>
      </c>
      <c r="AU259" s="180">
        <v>0.5</v>
      </c>
      <c r="AV259" s="180">
        <v>0.5</v>
      </c>
      <c r="AW259" s="310"/>
      <c r="BC259" s="218">
        <v>2</v>
      </c>
      <c r="BH259" s="2">
        <v>520577</v>
      </c>
      <c r="BI259" s="2">
        <v>175397</v>
      </c>
      <c r="BJ259" s="2" t="s">
        <v>481</v>
      </c>
      <c r="BL259" s="2" t="s">
        <v>137</v>
      </c>
      <c r="BM259" s="2" t="s">
        <v>137</v>
      </c>
    </row>
    <row r="260" spans="1:72" x14ac:dyDescent="0.25">
      <c r="A260" s="2" t="s">
        <v>1377</v>
      </c>
      <c r="B260" s="2" t="s">
        <v>382</v>
      </c>
      <c r="D260" s="4">
        <v>43881</v>
      </c>
      <c r="E260" s="4">
        <v>44977</v>
      </c>
      <c r="H260" s="2" t="s">
        <v>224</v>
      </c>
      <c r="I260" s="2" t="s">
        <v>254</v>
      </c>
      <c r="K260" s="2" t="s">
        <v>1378</v>
      </c>
      <c r="L260" s="2" t="s">
        <v>1379</v>
      </c>
      <c r="M260" s="2" t="s">
        <v>1380</v>
      </c>
      <c r="W260" s="2">
        <f t="shared" si="38"/>
        <v>0</v>
      </c>
      <c r="X260" s="2" t="s">
        <v>385</v>
      </c>
      <c r="Y260" s="2">
        <v>3</v>
      </c>
      <c r="Z260" s="2">
        <v>4</v>
      </c>
      <c r="AF260" s="2">
        <f t="shared" si="44"/>
        <v>7</v>
      </c>
      <c r="AG260" s="2">
        <f t="shared" si="36"/>
        <v>3</v>
      </c>
      <c r="AH260" s="2">
        <f t="shared" si="37"/>
        <v>4</v>
      </c>
      <c r="AI260" s="2">
        <f t="shared" si="39"/>
        <v>0</v>
      </c>
      <c r="AJ260" s="2">
        <f t="shared" si="40"/>
        <v>0</v>
      </c>
      <c r="AK260" s="2">
        <f t="shared" si="41"/>
        <v>0</v>
      </c>
      <c r="AL260" s="2">
        <f t="shared" si="42"/>
        <v>0</v>
      </c>
      <c r="AM260" s="2">
        <f t="shared" si="43"/>
        <v>0</v>
      </c>
      <c r="AP260" s="2">
        <v>7</v>
      </c>
      <c r="AS260" s="309"/>
      <c r="AT260" s="180">
        <v>1.75</v>
      </c>
      <c r="AU260" s="180">
        <v>1.75</v>
      </c>
      <c r="AV260" s="180">
        <v>1.75</v>
      </c>
      <c r="AW260" s="310">
        <v>1.75</v>
      </c>
      <c r="BC260" s="218">
        <v>7</v>
      </c>
      <c r="BH260" s="2">
        <v>521492</v>
      </c>
      <c r="BI260" s="2">
        <v>175545</v>
      </c>
      <c r="BJ260" s="2" t="s">
        <v>449</v>
      </c>
      <c r="BL260" s="2" t="s">
        <v>175</v>
      </c>
      <c r="BO260" s="2" t="s">
        <v>141</v>
      </c>
      <c r="BP260" s="2" t="s">
        <v>1381</v>
      </c>
    </row>
    <row r="261" spans="1:72" x14ac:dyDescent="0.25">
      <c r="A261" s="2" t="s">
        <v>1382</v>
      </c>
      <c r="B261" s="2" t="s">
        <v>394</v>
      </c>
      <c r="D261" s="4">
        <v>43895</v>
      </c>
      <c r="E261" s="4">
        <v>44990</v>
      </c>
      <c r="H261" s="2" t="s">
        <v>224</v>
      </c>
      <c r="I261" s="2" t="s">
        <v>254</v>
      </c>
      <c r="K261" s="2" t="s">
        <v>1383</v>
      </c>
      <c r="L261" s="2" t="s">
        <v>1384</v>
      </c>
      <c r="M261" s="2" t="s">
        <v>1385</v>
      </c>
      <c r="N261" s="2">
        <v>1</v>
      </c>
      <c r="W261" s="2">
        <f t="shared" si="38"/>
        <v>1</v>
      </c>
      <c r="X261" s="2" t="s">
        <v>385</v>
      </c>
      <c r="Y261" s="2">
        <v>2</v>
      </c>
      <c r="AF261" s="2">
        <f t="shared" si="44"/>
        <v>2</v>
      </c>
      <c r="AG261" s="2">
        <f t="shared" si="36"/>
        <v>1</v>
      </c>
      <c r="AH261" s="2">
        <f t="shared" si="37"/>
        <v>0</v>
      </c>
      <c r="AI261" s="2">
        <f t="shared" si="39"/>
        <v>0</v>
      </c>
      <c r="AJ261" s="2">
        <f t="shared" si="40"/>
        <v>0</v>
      </c>
      <c r="AK261" s="2">
        <f t="shared" si="41"/>
        <v>0</v>
      </c>
      <c r="AL261" s="2">
        <f t="shared" si="42"/>
        <v>0</v>
      </c>
      <c r="AM261" s="2">
        <f t="shared" si="43"/>
        <v>0</v>
      </c>
      <c r="AP261" s="2">
        <v>1</v>
      </c>
      <c r="AS261" s="309"/>
      <c r="AT261" s="180">
        <v>0.25</v>
      </c>
      <c r="AU261" s="180">
        <v>0.25</v>
      </c>
      <c r="AV261" s="180">
        <v>0.25</v>
      </c>
      <c r="AW261" s="310">
        <v>0.25</v>
      </c>
      <c r="BC261" s="218">
        <v>1</v>
      </c>
      <c r="BH261" s="2">
        <v>518109</v>
      </c>
      <c r="BI261" s="2">
        <v>175300</v>
      </c>
      <c r="BJ261" s="2" t="s">
        <v>401</v>
      </c>
      <c r="BL261" s="2" t="s">
        <v>164</v>
      </c>
      <c r="BM261" s="2" t="s">
        <v>138</v>
      </c>
      <c r="BS261" s="240" t="s">
        <v>148</v>
      </c>
      <c r="BT261" s="2" t="s">
        <v>402</v>
      </c>
    </row>
    <row r="262" spans="1:72" x14ac:dyDescent="0.25">
      <c r="A262" s="2" t="s">
        <v>1386</v>
      </c>
      <c r="B262" s="2" t="s">
        <v>404</v>
      </c>
      <c r="C262" s="2" t="s">
        <v>228</v>
      </c>
      <c r="D262" s="4">
        <v>43955</v>
      </c>
      <c r="E262" s="4">
        <v>45051</v>
      </c>
      <c r="H262" s="2" t="s">
        <v>224</v>
      </c>
      <c r="I262" s="2" t="s">
        <v>254</v>
      </c>
      <c r="K262" s="2" t="s">
        <v>1387</v>
      </c>
      <c r="L262" s="2" t="s">
        <v>1388</v>
      </c>
      <c r="M262" s="2" t="s">
        <v>1350</v>
      </c>
      <c r="W262" s="2">
        <f t="shared" si="38"/>
        <v>0</v>
      </c>
      <c r="X262" s="2" t="s">
        <v>385</v>
      </c>
      <c r="Y262" s="2">
        <v>0</v>
      </c>
      <c r="Z262" s="2">
        <v>1</v>
      </c>
      <c r="AF262" s="2">
        <f t="shared" si="44"/>
        <v>1</v>
      </c>
      <c r="AG262" s="2">
        <f t="shared" si="36"/>
        <v>0</v>
      </c>
      <c r="AH262" s="2">
        <f t="shared" si="37"/>
        <v>1</v>
      </c>
      <c r="AI262" s="2">
        <f t="shared" si="39"/>
        <v>0</v>
      </c>
      <c r="AJ262" s="2">
        <f t="shared" si="40"/>
        <v>0</v>
      </c>
      <c r="AK262" s="2">
        <f t="shared" si="41"/>
        <v>0</v>
      </c>
      <c r="AL262" s="2">
        <f t="shared" si="42"/>
        <v>0</v>
      </c>
      <c r="AM262" s="2">
        <f t="shared" si="43"/>
        <v>0</v>
      </c>
      <c r="AP262" s="2">
        <v>1</v>
      </c>
      <c r="AS262" s="309">
        <v>0.25</v>
      </c>
      <c r="AT262" s="180">
        <v>0.25</v>
      </c>
      <c r="AU262" s="180">
        <v>0.25</v>
      </c>
      <c r="AV262" s="180">
        <v>0.25</v>
      </c>
      <c r="AW262" s="310"/>
      <c r="BC262" s="218">
        <v>1</v>
      </c>
      <c r="BH262" s="2">
        <v>515038</v>
      </c>
      <c r="BI262" s="2">
        <v>171570</v>
      </c>
      <c r="BJ262" s="2" t="s">
        <v>391</v>
      </c>
      <c r="BL262" s="2" t="s">
        <v>174</v>
      </c>
      <c r="BO262" s="2" t="s">
        <v>141</v>
      </c>
      <c r="BP262" s="2" t="s">
        <v>392</v>
      </c>
    </row>
    <row r="263" spans="1:72" x14ac:dyDescent="0.25">
      <c r="A263" s="2" t="s">
        <v>1389</v>
      </c>
      <c r="B263" s="2" t="s">
        <v>539</v>
      </c>
      <c r="D263" s="4">
        <v>43956</v>
      </c>
      <c r="E263" s="4">
        <v>45052</v>
      </c>
      <c r="H263" s="2" t="s">
        <v>224</v>
      </c>
      <c r="I263" s="2" t="s">
        <v>254</v>
      </c>
      <c r="K263" s="2" t="s">
        <v>1390</v>
      </c>
      <c r="L263" s="2" t="s">
        <v>1391</v>
      </c>
      <c r="M263" s="2" t="s">
        <v>1392</v>
      </c>
      <c r="W263" s="2">
        <f t="shared" si="38"/>
        <v>0</v>
      </c>
      <c r="X263" s="2" t="s">
        <v>385</v>
      </c>
      <c r="Y263" s="2">
        <v>2</v>
      </c>
      <c r="AF263" s="2">
        <f t="shared" si="44"/>
        <v>2</v>
      </c>
      <c r="AG263" s="2">
        <f t="shared" si="36"/>
        <v>2</v>
      </c>
      <c r="AH263" s="2">
        <f t="shared" si="37"/>
        <v>0</v>
      </c>
      <c r="AI263" s="2">
        <f t="shared" si="39"/>
        <v>0</v>
      </c>
      <c r="AJ263" s="2">
        <f t="shared" si="40"/>
        <v>0</v>
      </c>
      <c r="AK263" s="2">
        <f t="shared" si="41"/>
        <v>0</v>
      </c>
      <c r="AL263" s="2">
        <f t="shared" si="42"/>
        <v>0</v>
      </c>
      <c r="AM263" s="2">
        <f t="shared" si="43"/>
        <v>0</v>
      </c>
      <c r="AP263" s="2">
        <v>2</v>
      </c>
      <c r="AS263" s="309">
        <v>0.5</v>
      </c>
      <c r="AT263" s="180">
        <v>0.5</v>
      </c>
      <c r="AU263" s="180">
        <v>0.5</v>
      </c>
      <c r="AV263" s="180">
        <v>0.5</v>
      </c>
      <c r="AW263" s="310"/>
      <c r="BC263" s="218">
        <v>2</v>
      </c>
      <c r="BH263" s="2">
        <v>514218</v>
      </c>
      <c r="BI263" s="2">
        <v>173596</v>
      </c>
      <c r="BJ263" s="2" t="s">
        <v>622</v>
      </c>
      <c r="BL263" s="2" t="s">
        <v>144</v>
      </c>
      <c r="BM263" s="2" t="s">
        <v>144</v>
      </c>
    </row>
    <row r="264" spans="1:72" x14ac:dyDescent="0.25">
      <c r="A264" s="2" t="s">
        <v>1393</v>
      </c>
      <c r="B264" s="2" t="s">
        <v>434</v>
      </c>
      <c r="D264" s="4">
        <v>43966</v>
      </c>
      <c r="E264" s="4">
        <v>45061</v>
      </c>
      <c r="H264" s="2" t="s">
        <v>224</v>
      </c>
      <c r="I264" s="2" t="s">
        <v>254</v>
      </c>
      <c r="K264" s="2" t="s">
        <v>1394</v>
      </c>
      <c r="L264" s="2" t="s">
        <v>1395</v>
      </c>
      <c r="M264" s="2" t="s">
        <v>1396</v>
      </c>
      <c r="W264" s="2">
        <f t="shared" si="38"/>
        <v>0</v>
      </c>
      <c r="X264" s="2" t="s">
        <v>385</v>
      </c>
      <c r="Y264" s="2">
        <v>1</v>
      </c>
      <c r="AF264" s="2">
        <f t="shared" si="44"/>
        <v>1</v>
      </c>
      <c r="AG264" s="2">
        <f t="shared" si="36"/>
        <v>1</v>
      </c>
      <c r="AH264" s="2">
        <f t="shared" si="37"/>
        <v>0</v>
      </c>
      <c r="AI264" s="2">
        <f t="shared" si="39"/>
        <v>0</v>
      </c>
      <c r="AJ264" s="2">
        <f t="shared" si="40"/>
        <v>0</v>
      </c>
      <c r="AK264" s="2">
        <f t="shared" si="41"/>
        <v>0</v>
      </c>
      <c r="AL264" s="2">
        <f t="shared" si="42"/>
        <v>0</v>
      </c>
      <c r="AM264" s="2">
        <f t="shared" si="43"/>
        <v>0</v>
      </c>
      <c r="AP264" s="2">
        <v>1</v>
      </c>
      <c r="AS264" s="309">
        <v>0.25</v>
      </c>
      <c r="AT264" s="180">
        <v>0.25</v>
      </c>
      <c r="AU264" s="180">
        <v>0.25</v>
      </c>
      <c r="AV264" s="180">
        <v>0.25</v>
      </c>
      <c r="AW264" s="310"/>
      <c r="BC264" s="218">
        <v>1</v>
      </c>
      <c r="BH264" s="2">
        <v>515221</v>
      </c>
      <c r="BI264" s="2">
        <v>171318</v>
      </c>
      <c r="BJ264" s="2" t="s">
        <v>391</v>
      </c>
      <c r="BL264" s="2" t="s">
        <v>174</v>
      </c>
    </row>
    <row r="265" spans="1:72" x14ac:dyDescent="0.25">
      <c r="A265" s="2" t="s">
        <v>1397</v>
      </c>
      <c r="B265" s="2" t="s">
        <v>404</v>
      </c>
      <c r="D265" s="4">
        <v>43985</v>
      </c>
      <c r="E265" s="4">
        <v>45080</v>
      </c>
      <c r="H265" s="2" t="s">
        <v>224</v>
      </c>
      <c r="I265" s="2" t="s">
        <v>254</v>
      </c>
      <c r="K265" s="2" t="s">
        <v>1398</v>
      </c>
      <c r="L265" s="2" t="s">
        <v>1399</v>
      </c>
      <c r="M265" s="2" t="s">
        <v>1400</v>
      </c>
      <c r="O265" s="2">
        <v>1</v>
      </c>
      <c r="W265" s="2">
        <f t="shared" si="38"/>
        <v>1</v>
      </c>
      <c r="X265" s="2" t="s">
        <v>385</v>
      </c>
      <c r="AA265" s="2">
        <v>1</v>
      </c>
      <c r="AF265" s="2">
        <f t="shared" si="44"/>
        <v>1</v>
      </c>
      <c r="AG265" s="2">
        <f t="shared" si="36"/>
        <v>0</v>
      </c>
      <c r="AH265" s="2">
        <f t="shared" si="37"/>
        <v>-1</v>
      </c>
      <c r="AI265" s="2">
        <f t="shared" si="39"/>
        <v>1</v>
      </c>
      <c r="AJ265" s="2">
        <f t="shared" si="40"/>
        <v>0</v>
      </c>
      <c r="AK265" s="2">
        <f t="shared" si="41"/>
        <v>0</v>
      </c>
      <c r="AL265" s="2">
        <f t="shared" si="42"/>
        <v>0</v>
      </c>
      <c r="AM265" s="2">
        <f t="shared" si="43"/>
        <v>0</v>
      </c>
      <c r="AP265" s="2">
        <v>0</v>
      </c>
      <c r="AS265" s="309">
        <v>0</v>
      </c>
      <c r="AT265" s="180">
        <v>0</v>
      </c>
      <c r="AU265" s="180">
        <v>0</v>
      </c>
      <c r="AV265" s="180">
        <v>0</v>
      </c>
      <c r="AW265" s="310"/>
      <c r="BC265" s="218">
        <v>0</v>
      </c>
      <c r="BH265" s="2">
        <v>517463</v>
      </c>
      <c r="BI265" s="2">
        <v>169474</v>
      </c>
      <c r="BJ265" s="2" t="s">
        <v>443</v>
      </c>
      <c r="BL265" s="2" t="s">
        <v>159</v>
      </c>
      <c r="BO265" s="2" t="s">
        <v>141</v>
      </c>
      <c r="BP265" s="2" t="s">
        <v>159</v>
      </c>
      <c r="BS265" s="240" t="s">
        <v>148</v>
      </c>
      <c r="BT265" s="2" t="s">
        <v>444</v>
      </c>
    </row>
    <row r="266" spans="1:72" x14ac:dyDescent="0.25">
      <c r="A266" s="2" t="s">
        <v>1401</v>
      </c>
      <c r="B266" s="2" t="s">
        <v>382</v>
      </c>
      <c r="D266" s="4">
        <v>43990</v>
      </c>
      <c r="E266" s="4">
        <v>45085</v>
      </c>
      <c r="H266" s="2" t="s">
        <v>224</v>
      </c>
      <c r="I266" s="2" t="s">
        <v>254</v>
      </c>
      <c r="K266" s="2" t="s">
        <v>1402</v>
      </c>
      <c r="L266" s="2" t="s">
        <v>1403</v>
      </c>
      <c r="M266" s="2" t="s">
        <v>1404</v>
      </c>
      <c r="P266" s="2">
        <v>1</v>
      </c>
      <c r="W266" s="2">
        <f t="shared" si="38"/>
        <v>1</v>
      </c>
      <c r="X266" s="2" t="s">
        <v>385</v>
      </c>
      <c r="AB266" s="2">
        <v>4</v>
      </c>
      <c r="AF266" s="2">
        <f t="shared" si="44"/>
        <v>4</v>
      </c>
      <c r="AG266" s="2">
        <f t="shared" si="36"/>
        <v>0</v>
      </c>
      <c r="AH266" s="2">
        <f t="shared" si="37"/>
        <v>0</v>
      </c>
      <c r="AI266" s="2">
        <f t="shared" si="39"/>
        <v>-1</v>
      </c>
      <c r="AJ266" s="2">
        <f t="shared" si="40"/>
        <v>4</v>
      </c>
      <c r="AK266" s="2">
        <f t="shared" si="41"/>
        <v>0</v>
      </c>
      <c r="AL266" s="2">
        <f t="shared" si="42"/>
        <v>0</v>
      </c>
      <c r="AM266" s="2">
        <f t="shared" si="43"/>
        <v>0</v>
      </c>
      <c r="AP266" s="2">
        <v>3</v>
      </c>
      <c r="AS266" s="309"/>
      <c r="AT266" s="180">
        <v>0.75</v>
      </c>
      <c r="AU266" s="180">
        <v>0.75</v>
      </c>
      <c r="AV266" s="180">
        <v>0.75</v>
      </c>
      <c r="AW266" s="310">
        <v>0.75</v>
      </c>
      <c r="BC266" s="218">
        <v>3</v>
      </c>
      <c r="BH266" s="2">
        <v>513614</v>
      </c>
      <c r="BI266" s="2">
        <v>173545</v>
      </c>
      <c r="BJ266" s="2" t="s">
        <v>397</v>
      </c>
      <c r="BL266" s="2" t="s">
        <v>160</v>
      </c>
    </row>
    <row r="267" spans="1:72" x14ac:dyDescent="0.25">
      <c r="A267" s="2" t="s">
        <v>1405</v>
      </c>
      <c r="B267" s="2" t="s">
        <v>394</v>
      </c>
      <c r="D267" s="4">
        <v>44000</v>
      </c>
      <c r="E267" s="4">
        <v>45095</v>
      </c>
      <c r="H267" s="2" t="s">
        <v>224</v>
      </c>
      <c r="I267" s="2" t="s">
        <v>254</v>
      </c>
      <c r="K267" s="2" t="s">
        <v>1406</v>
      </c>
      <c r="L267" s="2" t="s">
        <v>1407</v>
      </c>
      <c r="M267" s="2" t="s">
        <v>1408</v>
      </c>
      <c r="N267" s="2">
        <v>1</v>
      </c>
      <c r="O267" s="2">
        <v>1</v>
      </c>
      <c r="W267" s="2">
        <f t="shared" si="38"/>
        <v>2</v>
      </c>
      <c r="X267" s="2" t="s">
        <v>385</v>
      </c>
      <c r="Y267" s="2">
        <v>4</v>
      </c>
      <c r="AF267" s="2">
        <f t="shared" si="44"/>
        <v>4</v>
      </c>
      <c r="AG267" s="2">
        <f t="shared" si="36"/>
        <v>3</v>
      </c>
      <c r="AH267" s="2">
        <f t="shared" si="37"/>
        <v>-1</v>
      </c>
      <c r="AI267" s="2">
        <f t="shared" si="39"/>
        <v>0</v>
      </c>
      <c r="AJ267" s="2">
        <f t="shared" si="40"/>
        <v>0</v>
      </c>
      <c r="AK267" s="2">
        <f t="shared" si="41"/>
        <v>0</v>
      </c>
      <c r="AL267" s="2">
        <f t="shared" si="42"/>
        <v>0</v>
      </c>
      <c r="AM267" s="2">
        <f t="shared" si="43"/>
        <v>0</v>
      </c>
      <c r="AP267" s="2">
        <v>2</v>
      </c>
      <c r="AS267" s="309"/>
      <c r="AT267" s="180">
        <v>0.5</v>
      </c>
      <c r="AU267" s="180">
        <v>0.5</v>
      </c>
      <c r="AV267" s="180">
        <v>0.5</v>
      </c>
      <c r="AW267" s="310">
        <v>0.5</v>
      </c>
      <c r="BC267" s="218">
        <v>2</v>
      </c>
      <c r="BH267" s="2">
        <v>516259</v>
      </c>
      <c r="BI267" s="2">
        <v>173377</v>
      </c>
      <c r="BJ267" s="2" t="s">
        <v>456</v>
      </c>
      <c r="BL267" s="2" t="s">
        <v>167</v>
      </c>
      <c r="BM267" s="2" t="s">
        <v>142</v>
      </c>
      <c r="BS267" s="240" t="s">
        <v>148</v>
      </c>
      <c r="BT267" s="2" t="s">
        <v>783</v>
      </c>
    </row>
    <row r="268" spans="1:72" x14ac:dyDescent="0.25">
      <c r="A268" s="2" t="s">
        <v>1409</v>
      </c>
      <c r="B268" s="2" t="s">
        <v>382</v>
      </c>
      <c r="D268" s="4">
        <v>44000</v>
      </c>
      <c r="E268" s="4">
        <v>45096</v>
      </c>
      <c r="H268" s="2" t="s">
        <v>224</v>
      </c>
      <c r="I268" s="2" t="s">
        <v>187</v>
      </c>
      <c r="K268" s="2" t="s">
        <v>1410</v>
      </c>
      <c r="L268" s="2" t="s">
        <v>1411</v>
      </c>
      <c r="M268" s="2" t="s">
        <v>1412</v>
      </c>
      <c r="W268" s="2">
        <f t="shared" si="38"/>
        <v>0</v>
      </c>
      <c r="X268" s="2" t="s">
        <v>299</v>
      </c>
      <c r="Y268" s="2">
        <v>6</v>
      </c>
      <c r="Z268" s="2">
        <v>6</v>
      </c>
      <c r="AA268" s="2">
        <v>3</v>
      </c>
      <c r="AF268" s="2">
        <f t="shared" si="44"/>
        <v>15</v>
      </c>
      <c r="AG268" s="2">
        <f t="shared" si="36"/>
        <v>6</v>
      </c>
      <c r="AH268" s="2">
        <f t="shared" si="37"/>
        <v>6</v>
      </c>
      <c r="AI268" s="2">
        <f t="shared" si="39"/>
        <v>3</v>
      </c>
      <c r="AJ268" s="2">
        <f t="shared" si="40"/>
        <v>0</v>
      </c>
      <c r="AK268" s="2">
        <f t="shared" si="41"/>
        <v>0</v>
      </c>
      <c r="AL268" s="2">
        <f t="shared" si="42"/>
        <v>0</v>
      </c>
      <c r="AM268" s="2">
        <f t="shared" si="43"/>
        <v>0</v>
      </c>
      <c r="AP268" s="2">
        <v>15</v>
      </c>
      <c r="AQ268" s="180" t="s">
        <v>299</v>
      </c>
      <c r="AS268" s="309"/>
      <c r="AU268" s="180">
        <v>7.5</v>
      </c>
      <c r="AV268" s="180">
        <v>7.5</v>
      </c>
      <c r="AW268" s="310"/>
      <c r="BC268" s="218">
        <v>15</v>
      </c>
      <c r="BH268" s="2">
        <v>515337</v>
      </c>
      <c r="BI268" s="2">
        <v>173383</v>
      </c>
      <c r="BJ268" s="2" t="s">
        <v>503</v>
      </c>
      <c r="BL268" s="2" t="s">
        <v>165</v>
      </c>
    </row>
    <row r="269" spans="1:72" x14ac:dyDescent="0.25">
      <c r="A269" s="2" t="s">
        <v>1413</v>
      </c>
      <c r="B269" s="2" t="s">
        <v>382</v>
      </c>
      <c r="D269" s="4">
        <v>44006</v>
      </c>
      <c r="E269" s="4">
        <v>45101</v>
      </c>
      <c r="H269" s="2" t="s">
        <v>224</v>
      </c>
      <c r="I269" s="2" t="s">
        <v>254</v>
      </c>
      <c r="K269" s="2" t="s">
        <v>1414</v>
      </c>
      <c r="L269" s="2" t="s">
        <v>1415</v>
      </c>
      <c r="M269" s="2" t="s">
        <v>1416</v>
      </c>
      <c r="Q269" s="2">
        <v>1</v>
      </c>
      <c r="W269" s="2">
        <f t="shared" si="38"/>
        <v>1</v>
      </c>
      <c r="X269" s="2" t="s">
        <v>385</v>
      </c>
      <c r="AC269" s="2">
        <v>1</v>
      </c>
      <c r="AF269" s="2">
        <f t="shared" si="44"/>
        <v>1</v>
      </c>
      <c r="AG269" s="2">
        <f t="shared" si="36"/>
        <v>0</v>
      </c>
      <c r="AH269" s="2">
        <f t="shared" si="37"/>
        <v>0</v>
      </c>
      <c r="AI269" s="2">
        <f t="shared" si="39"/>
        <v>0</v>
      </c>
      <c r="AJ269" s="2">
        <f t="shared" si="40"/>
        <v>-1</v>
      </c>
      <c r="AK269" s="2">
        <f t="shared" si="41"/>
        <v>1</v>
      </c>
      <c r="AL269" s="2">
        <f t="shared" si="42"/>
        <v>0</v>
      </c>
      <c r="AM269" s="2">
        <f t="shared" si="43"/>
        <v>0</v>
      </c>
      <c r="AP269" s="2">
        <v>0</v>
      </c>
      <c r="AS269" s="309"/>
      <c r="AT269" s="180">
        <v>0</v>
      </c>
      <c r="AU269" s="180">
        <v>0</v>
      </c>
      <c r="AV269" s="180">
        <v>0</v>
      </c>
      <c r="AW269" s="310">
        <v>0</v>
      </c>
      <c r="BC269" s="218">
        <v>0</v>
      </c>
      <c r="BH269" s="2">
        <v>517972</v>
      </c>
      <c r="BI269" s="2">
        <v>172874</v>
      </c>
      <c r="BJ269" s="2" t="s">
        <v>411</v>
      </c>
      <c r="BL269" s="2" t="s">
        <v>156</v>
      </c>
    </row>
    <row r="270" spans="1:72" x14ac:dyDescent="0.25">
      <c r="A270" s="2" t="s">
        <v>1417</v>
      </c>
      <c r="B270" s="2" t="s">
        <v>539</v>
      </c>
      <c r="D270" s="4">
        <v>44029</v>
      </c>
      <c r="E270" s="4">
        <v>45232</v>
      </c>
      <c r="H270" s="2" t="s">
        <v>224</v>
      </c>
      <c r="I270" s="2" t="s">
        <v>254</v>
      </c>
      <c r="K270" s="2" t="s">
        <v>1418</v>
      </c>
      <c r="L270" s="244" t="s">
        <v>1419</v>
      </c>
      <c r="M270" s="2" t="s">
        <v>1420</v>
      </c>
      <c r="W270" s="2">
        <f t="shared" si="38"/>
        <v>0</v>
      </c>
      <c r="X270" s="2" t="s">
        <v>385</v>
      </c>
      <c r="Y270" s="2">
        <v>2</v>
      </c>
      <c r="AF270" s="2">
        <f t="shared" si="44"/>
        <v>2</v>
      </c>
      <c r="AG270" s="2">
        <f t="shared" si="36"/>
        <v>2</v>
      </c>
      <c r="AH270" s="2">
        <f t="shared" si="37"/>
        <v>0</v>
      </c>
      <c r="AI270" s="2">
        <f t="shared" si="39"/>
        <v>0</v>
      </c>
      <c r="AJ270" s="2">
        <f t="shared" si="40"/>
        <v>0</v>
      </c>
      <c r="AK270" s="2">
        <f t="shared" si="41"/>
        <v>0</v>
      </c>
      <c r="AL270" s="2">
        <f t="shared" si="42"/>
        <v>0</v>
      </c>
      <c r="AM270" s="2">
        <f t="shared" si="43"/>
        <v>0</v>
      </c>
      <c r="AP270" s="2">
        <v>2</v>
      </c>
      <c r="AS270" s="309">
        <v>0.5</v>
      </c>
      <c r="AT270" s="180">
        <v>0.5</v>
      </c>
      <c r="AU270" s="180">
        <v>0.5</v>
      </c>
      <c r="AV270" s="180">
        <v>0.5</v>
      </c>
      <c r="AW270" s="310"/>
      <c r="BC270" s="218">
        <v>2</v>
      </c>
      <c r="BH270" s="2">
        <v>516132</v>
      </c>
      <c r="BI270" s="2">
        <v>170736</v>
      </c>
      <c r="BJ270" s="2" t="s">
        <v>498</v>
      </c>
      <c r="BL270" s="2" t="s">
        <v>140</v>
      </c>
    </row>
    <row r="271" spans="1:72" x14ac:dyDescent="0.25">
      <c r="A271" s="2" t="s">
        <v>1421</v>
      </c>
      <c r="B271" s="2" t="s">
        <v>394</v>
      </c>
      <c r="D271" s="4">
        <v>44036</v>
      </c>
      <c r="E271" s="4">
        <v>45131</v>
      </c>
      <c r="H271" s="2" t="s">
        <v>224</v>
      </c>
      <c r="I271" s="2" t="s">
        <v>254</v>
      </c>
      <c r="K271" s="2" t="s">
        <v>1422</v>
      </c>
      <c r="L271" s="2" t="s">
        <v>1423</v>
      </c>
      <c r="M271" s="2" t="s">
        <v>642</v>
      </c>
      <c r="W271" s="2">
        <f t="shared" si="38"/>
        <v>0</v>
      </c>
      <c r="X271" s="2" t="s">
        <v>385</v>
      </c>
      <c r="Z271" s="2">
        <v>1</v>
      </c>
      <c r="AF271" s="2">
        <f t="shared" si="44"/>
        <v>1</v>
      </c>
      <c r="AG271" s="2">
        <f t="shared" si="36"/>
        <v>0</v>
      </c>
      <c r="AH271" s="2">
        <f t="shared" si="37"/>
        <v>1</v>
      </c>
      <c r="AI271" s="2">
        <f t="shared" si="39"/>
        <v>0</v>
      </c>
      <c r="AJ271" s="2">
        <f t="shared" si="40"/>
        <v>0</v>
      </c>
      <c r="AK271" s="2">
        <f t="shared" si="41"/>
        <v>0</v>
      </c>
      <c r="AL271" s="2">
        <f t="shared" si="42"/>
        <v>0</v>
      </c>
      <c r="AM271" s="2">
        <f t="shared" si="43"/>
        <v>0</v>
      </c>
      <c r="AP271" s="2">
        <v>1</v>
      </c>
      <c r="AS271" s="309"/>
      <c r="AT271" s="180">
        <v>0.25</v>
      </c>
      <c r="AU271" s="180">
        <v>0.25</v>
      </c>
      <c r="AV271" s="180">
        <v>0.25</v>
      </c>
      <c r="AW271" s="310">
        <v>0.25</v>
      </c>
      <c r="BC271" s="218">
        <v>1</v>
      </c>
      <c r="BH271" s="2">
        <v>521330</v>
      </c>
      <c r="BI271" s="2">
        <v>175807</v>
      </c>
      <c r="BJ271" s="2" t="s">
        <v>449</v>
      </c>
      <c r="BL271" s="2" t="s">
        <v>175</v>
      </c>
      <c r="BO271" s="2" t="s">
        <v>141</v>
      </c>
      <c r="BP271" s="2" t="s">
        <v>643</v>
      </c>
      <c r="BS271" s="240" t="s">
        <v>148</v>
      </c>
      <c r="BT271" s="2" t="s">
        <v>644</v>
      </c>
    </row>
    <row r="272" spans="1:72" x14ac:dyDescent="0.25">
      <c r="A272" s="2" t="s">
        <v>1424</v>
      </c>
      <c r="B272" s="2" t="s">
        <v>382</v>
      </c>
      <c r="D272" s="4">
        <v>44043</v>
      </c>
      <c r="E272" s="4">
        <v>45138</v>
      </c>
      <c r="H272" s="2" t="s">
        <v>224</v>
      </c>
      <c r="I272" s="2" t="s">
        <v>254</v>
      </c>
      <c r="K272" s="2" t="s">
        <v>1425</v>
      </c>
      <c r="L272" s="2" t="s">
        <v>1426</v>
      </c>
      <c r="M272" s="2" t="s">
        <v>1427</v>
      </c>
      <c r="P272" s="2">
        <v>1</v>
      </c>
      <c r="W272" s="2">
        <f t="shared" si="38"/>
        <v>1</v>
      </c>
      <c r="X272" s="2" t="s">
        <v>385</v>
      </c>
      <c r="AB272" s="2">
        <v>2</v>
      </c>
      <c r="AF272" s="2">
        <f t="shared" si="44"/>
        <v>2</v>
      </c>
      <c r="AG272" s="2">
        <f t="shared" si="36"/>
        <v>0</v>
      </c>
      <c r="AH272" s="2">
        <f t="shared" si="37"/>
        <v>0</v>
      </c>
      <c r="AI272" s="2">
        <f t="shared" si="39"/>
        <v>-1</v>
      </c>
      <c r="AJ272" s="2">
        <f t="shared" si="40"/>
        <v>2</v>
      </c>
      <c r="AK272" s="2">
        <f t="shared" si="41"/>
        <v>0</v>
      </c>
      <c r="AL272" s="2">
        <f t="shared" si="42"/>
        <v>0</v>
      </c>
      <c r="AM272" s="2">
        <f t="shared" si="43"/>
        <v>0</v>
      </c>
      <c r="AP272" s="2">
        <v>1</v>
      </c>
      <c r="AS272" s="309"/>
      <c r="AT272" s="180">
        <v>0.25</v>
      </c>
      <c r="AU272" s="180">
        <v>0.25</v>
      </c>
      <c r="AV272" s="180">
        <v>0.25</v>
      </c>
      <c r="AW272" s="310">
        <v>0.25</v>
      </c>
      <c r="BC272" s="218">
        <v>1</v>
      </c>
      <c r="BH272" s="2">
        <v>513725</v>
      </c>
      <c r="BI272" s="2">
        <v>170629</v>
      </c>
      <c r="BJ272" s="2" t="s">
        <v>533</v>
      </c>
      <c r="BL272" s="2" t="s">
        <v>158</v>
      </c>
    </row>
    <row r="273" spans="1:72" x14ac:dyDescent="0.25">
      <c r="A273" s="2" t="s">
        <v>1428</v>
      </c>
      <c r="B273" s="2" t="s">
        <v>404</v>
      </c>
      <c r="D273" s="4">
        <v>44046</v>
      </c>
      <c r="E273" s="4">
        <v>45141</v>
      </c>
      <c r="H273" s="2" t="s">
        <v>224</v>
      </c>
      <c r="I273" s="2" t="s">
        <v>254</v>
      </c>
      <c r="K273" s="2" t="s">
        <v>1429</v>
      </c>
      <c r="L273" s="2" t="s">
        <v>1430</v>
      </c>
      <c r="M273" s="2" t="s">
        <v>1431</v>
      </c>
      <c r="W273" s="2">
        <f t="shared" si="38"/>
        <v>0</v>
      </c>
      <c r="X273" s="2" t="s">
        <v>385</v>
      </c>
      <c r="Z273" s="2">
        <v>1</v>
      </c>
      <c r="AF273" s="2">
        <f t="shared" si="44"/>
        <v>1</v>
      </c>
      <c r="AG273" s="2">
        <f t="shared" si="36"/>
        <v>0</v>
      </c>
      <c r="AH273" s="2">
        <f t="shared" si="37"/>
        <v>1</v>
      </c>
      <c r="AI273" s="2">
        <f t="shared" si="39"/>
        <v>0</v>
      </c>
      <c r="AJ273" s="2">
        <f t="shared" si="40"/>
        <v>0</v>
      </c>
      <c r="AK273" s="2">
        <f t="shared" si="41"/>
        <v>0</v>
      </c>
      <c r="AL273" s="2">
        <f t="shared" si="42"/>
        <v>0</v>
      </c>
      <c r="AM273" s="2">
        <f t="shared" si="43"/>
        <v>0</v>
      </c>
      <c r="AP273" s="2">
        <v>1</v>
      </c>
      <c r="AS273" s="309">
        <v>0.25</v>
      </c>
      <c r="AT273" s="180">
        <v>0.25</v>
      </c>
      <c r="AU273" s="180">
        <v>0.25</v>
      </c>
      <c r="AV273" s="180">
        <v>0.25</v>
      </c>
      <c r="AW273" s="310"/>
      <c r="BC273" s="218">
        <v>1</v>
      </c>
      <c r="BH273" s="2">
        <v>522206</v>
      </c>
      <c r="BI273" s="2">
        <v>176643</v>
      </c>
      <c r="BJ273" s="2" t="s">
        <v>418</v>
      </c>
      <c r="BL273" s="2" t="s">
        <v>154</v>
      </c>
    </row>
    <row r="274" spans="1:72" x14ac:dyDescent="0.25">
      <c r="A274" s="2" t="s">
        <v>1432</v>
      </c>
      <c r="B274" s="2" t="s">
        <v>394</v>
      </c>
      <c r="D274" s="4">
        <v>44049</v>
      </c>
      <c r="E274" s="4">
        <v>45144</v>
      </c>
      <c r="H274" s="2" t="s">
        <v>224</v>
      </c>
      <c r="I274" s="2" t="s">
        <v>254</v>
      </c>
      <c r="K274" s="2" t="s">
        <v>1433</v>
      </c>
      <c r="L274" s="2" t="s">
        <v>1434</v>
      </c>
      <c r="M274" s="2" t="s">
        <v>1139</v>
      </c>
      <c r="P274" s="2">
        <v>1</v>
      </c>
      <c r="W274" s="2">
        <f t="shared" si="38"/>
        <v>1</v>
      </c>
      <c r="X274" s="2" t="s">
        <v>385</v>
      </c>
      <c r="Y274" s="2">
        <v>4</v>
      </c>
      <c r="AF274" s="2">
        <f t="shared" si="44"/>
        <v>4</v>
      </c>
      <c r="AG274" s="2">
        <f t="shared" si="36"/>
        <v>4</v>
      </c>
      <c r="AH274" s="2">
        <f t="shared" si="37"/>
        <v>0</v>
      </c>
      <c r="AI274" s="2">
        <f t="shared" si="39"/>
        <v>-1</v>
      </c>
      <c r="AJ274" s="2">
        <f t="shared" si="40"/>
        <v>0</v>
      </c>
      <c r="AK274" s="2">
        <f t="shared" si="41"/>
        <v>0</v>
      </c>
      <c r="AL274" s="2">
        <f t="shared" si="42"/>
        <v>0</v>
      </c>
      <c r="AM274" s="2">
        <f t="shared" si="43"/>
        <v>0</v>
      </c>
      <c r="AP274" s="2">
        <v>3</v>
      </c>
      <c r="AS274" s="309"/>
      <c r="AT274" s="180">
        <v>1.5</v>
      </c>
      <c r="AU274" s="180">
        <v>1.5</v>
      </c>
      <c r="AW274" s="310"/>
      <c r="BC274" s="218">
        <v>3</v>
      </c>
      <c r="BH274" s="2">
        <v>514554</v>
      </c>
      <c r="BI274" s="2">
        <v>171263</v>
      </c>
      <c r="BJ274" s="2" t="s">
        <v>391</v>
      </c>
      <c r="BL274" s="2" t="s">
        <v>174</v>
      </c>
      <c r="BO274" s="2" t="s">
        <v>141</v>
      </c>
      <c r="BP274" s="2" t="s">
        <v>560</v>
      </c>
    </row>
    <row r="275" spans="1:72" x14ac:dyDescent="0.25">
      <c r="A275" s="2" t="s">
        <v>1435</v>
      </c>
      <c r="B275" s="2" t="s">
        <v>382</v>
      </c>
      <c r="D275" s="4">
        <v>44053</v>
      </c>
      <c r="E275" s="4">
        <v>45148</v>
      </c>
      <c r="H275" s="2" t="s">
        <v>224</v>
      </c>
      <c r="I275" s="2" t="s">
        <v>254</v>
      </c>
      <c r="K275" s="2" t="s">
        <v>1436</v>
      </c>
      <c r="L275" s="2" t="s">
        <v>1437</v>
      </c>
      <c r="M275" s="2" t="s">
        <v>1438</v>
      </c>
      <c r="Q275" s="2">
        <v>1</v>
      </c>
      <c r="W275" s="2">
        <f t="shared" si="38"/>
        <v>1</v>
      </c>
      <c r="X275" s="2" t="s">
        <v>385</v>
      </c>
      <c r="AB275" s="2">
        <v>1</v>
      </c>
      <c r="AF275" s="2">
        <f t="shared" si="44"/>
        <v>1</v>
      </c>
      <c r="AG275" s="2">
        <f t="shared" si="36"/>
        <v>0</v>
      </c>
      <c r="AH275" s="2">
        <f t="shared" si="37"/>
        <v>0</v>
      </c>
      <c r="AI275" s="2">
        <f t="shared" si="39"/>
        <v>0</v>
      </c>
      <c r="AJ275" s="2">
        <f t="shared" si="40"/>
        <v>0</v>
      </c>
      <c r="AK275" s="2">
        <f t="shared" si="41"/>
        <v>0</v>
      </c>
      <c r="AL275" s="2">
        <f t="shared" si="42"/>
        <v>0</v>
      </c>
      <c r="AM275" s="2">
        <f t="shared" si="43"/>
        <v>0</v>
      </c>
      <c r="AP275" s="2">
        <v>0</v>
      </c>
      <c r="AS275" s="309"/>
      <c r="AT275" s="180">
        <v>0</v>
      </c>
      <c r="AU275" s="180">
        <v>0</v>
      </c>
      <c r="AV275" s="180">
        <v>0</v>
      </c>
      <c r="AW275" s="310">
        <v>0</v>
      </c>
      <c r="BC275" s="218">
        <v>0</v>
      </c>
      <c r="BH275" s="2">
        <v>513542</v>
      </c>
      <c r="BI275" s="2">
        <v>169839</v>
      </c>
      <c r="BJ275" s="2" t="s">
        <v>512</v>
      </c>
      <c r="BL275" s="2" t="s">
        <v>157</v>
      </c>
    </row>
    <row r="276" spans="1:72" x14ac:dyDescent="0.25">
      <c r="A276" s="2" t="s">
        <v>1439</v>
      </c>
      <c r="B276" s="2" t="s">
        <v>404</v>
      </c>
      <c r="C276" s="2" t="s">
        <v>228</v>
      </c>
      <c r="D276" s="4">
        <v>44062</v>
      </c>
      <c r="E276" s="4">
        <v>45157</v>
      </c>
      <c r="H276" s="2" t="s">
        <v>224</v>
      </c>
      <c r="I276" s="2" t="s">
        <v>254</v>
      </c>
      <c r="K276" s="2" t="s">
        <v>1440</v>
      </c>
      <c r="L276" s="2" t="s">
        <v>1441</v>
      </c>
      <c r="M276" s="2" t="s">
        <v>634</v>
      </c>
      <c r="W276" s="2">
        <f t="shared" si="38"/>
        <v>0</v>
      </c>
      <c r="X276" s="2" t="s">
        <v>385</v>
      </c>
      <c r="Y276" s="2">
        <v>1</v>
      </c>
      <c r="AF276" s="2">
        <f t="shared" si="44"/>
        <v>1</v>
      </c>
      <c r="AG276" s="2">
        <f t="shared" si="36"/>
        <v>1</v>
      </c>
      <c r="AH276" s="2">
        <f t="shared" si="37"/>
        <v>0</v>
      </c>
      <c r="AI276" s="2">
        <f t="shared" si="39"/>
        <v>0</v>
      </c>
      <c r="AJ276" s="2">
        <f t="shared" si="40"/>
        <v>0</v>
      </c>
      <c r="AK276" s="2">
        <f t="shared" si="41"/>
        <v>0</v>
      </c>
      <c r="AL276" s="2">
        <f t="shared" si="42"/>
        <v>0</v>
      </c>
      <c r="AM276" s="2">
        <f t="shared" si="43"/>
        <v>0</v>
      </c>
      <c r="AP276" s="2">
        <v>1</v>
      </c>
      <c r="AS276" s="309">
        <v>0.25</v>
      </c>
      <c r="AT276" s="180">
        <v>0.25</v>
      </c>
      <c r="AU276" s="180">
        <v>0.25</v>
      </c>
      <c r="AV276" s="180">
        <v>0.25</v>
      </c>
      <c r="AW276" s="310"/>
      <c r="BC276" s="218">
        <v>1</v>
      </c>
      <c r="BH276" s="2">
        <v>515402</v>
      </c>
      <c r="BI276" s="2">
        <v>171660</v>
      </c>
      <c r="BJ276" s="2" t="s">
        <v>391</v>
      </c>
      <c r="BL276" s="2" t="s">
        <v>174</v>
      </c>
    </row>
    <row r="277" spans="1:72" x14ac:dyDescent="0.25">
      <c r="A277" s="2" t="s">
        <v>1442</v>
      </c>
      <c r="B277" s="2" t="s">
        <v>394</v>
      </c>
      <c r="D277" s="4">
        <v>44063</v>
      </c>
      <c r="E277" s="4">
        <v>45158</v>
      </c>
      <c r="H277" s="2" t="s">
        <v>224</v>
      </c>
      <c r="I277" s="2" t="s">
        <v>254</v>
      </c>
      <c r="K277" s="2" t="s">
        <v>1443</v>
      </c>
      <c r="L277" s="2" t="s">
        <v>1444</v>
      </c>
      <c r="M277" s="2" t="s">
        <v>1445</v>
      </c>
      <c r="W277" s="2">
        <f t="shared" si="38"/>
        <v>0</v>
      </c>
      <c r="X277" s="2" t="s">
        <v>385</v>
      </c>
      <c r="Y277" s="2">
        <v>2</v>
      </c>
      <c r="AF277" s="2">
        <f t="shared" si="44"/>
        <v>2</v>
      </c>
      <c r="AG277" s="2">
        <f t="shared" si="36"/>
        <v>2</v>
      </c>
      <c r="AH277" s="2">
        <f t="shared" si="37"/>
        <v>0</v>
      </c>
      <c r="AI277" s="2">
        <f t="shared" si="39"/>
        <v>0</v>
      </c>
      <c r="AJ277" s="2">
        <f t="shared" si="40"/>
        <v>0</v>
      </c>
      <c r="AK277" s="2">
        <f t="shared" si="41"/>
        <v>0</v>
      </c>
      <c r="AL277" s="2">
        <f t="shared" si="42"/>
        <v>0</v>
      </c>
      <c r="AM277" s="2">
        <f t="shared" si="43"/>
        <v>0</v>
      </c>
      <c r="AP277" s="2">
        <v>2</v>
      </c>
      <c r="AS277" s="309"/>
      <c r="AT277" s="180">
        <v>0.5</v>
      </c>
      <c r="AU277" s="180">
        <v>0.5</v>
      </c>
      <c r="AV277" s="180">
        <v>0.5</v>
      </c>
      <c r="AW277" s="310">
        <v>0.5</v>
      </c>
      <c r="BC277" s="218">
        <v>2</v>
      </c>
      <c r="BH277" s="2">
        <v>520567</v>
      </c>
      <c r="BI277" s="2">
        <v>175919</v>
      </c>
      <c r="BJ277" s="2" t="s">
        <v>449</v>
      </c>
      <c r="BL277" s="2" t="s">
        <v>175</v>
      </c>
      <c r="BO277" s="2" t="s">
        <v>141</v>
      </c>
      <c r="BP277" s="2" t="s">
        <v>1446</v>
      </c>
    </row>
    <row r="278" spans="1:72" x14ac:dyDescent="0.25">
      <c r="A278" s="2" t="s">
        <v>1447</v>
      </c>
      <c r="B278" s="2" t="s">
        <v>382</v>
      </c>
      <c r="D278" s="4">
        <v>44063</v>
      </c>
      <c r="E278" s="4">
        <v>45158</v>
      </c>
      <c r="F278" s="3">
        <v>44476</v>
      </c>
      <c r="H278" s="2" t="s">
        <v>224</v>
      </c>
      <c r="I278" s="2" t="s">
        <v>250</v>
      </c>
      <c r="K278" s="2" t="s">
        <v>1448</v>
      </c>
      <c r="L278" s="2" t="s">
        <v>1449</v>
      </c>
      <c r="M278" s="2" t="s">
        <v>1450</v>
      </c>
      <c r="W278" s="2">
        <v>0</v>
      </c>
      <c r="X278" s="2" t="s">
        <v>299</v>
      </c>
      <c r="Z278" s="2">
        <v>5</v>
      </c>
      <c r="AA278" s="2">
        <v>4</v>
      </c>
      <c r="AF278" s="2">
        <f t="shared" si="44"/>
        <v>9</v>
      </c>
      <c r="AG278" s="2">
        <f t="shared" si="36"/>
        <v>0</v>
      </c>
      <c r="AH278" s="2">
        <f t="shared" si="37"/>
        <v>5</v>
      </c>
      <c r="AI278" s="2">
        <f t="shared" ref="AI278:AI287" si="45">AA278-P278</f>
        <v>4</v>
      </c>
      <c r="AJ278" s="2">
        <v>0</v>
      </c>
      <c r="AK278" s="2">
        <v>0</v>
      </c>
      <c r="AL278" s="2">
        <v>0</v>
      </c>
      <c r="AM278" s="2">
        <v>0</v>
      </c>
      <c r="AP278" s="2">
        <v>9</v>
      </c>
      <c r="AS278" s="309"/>
      <c r="AT278" s="180">
        <v>9</v>
      </c>
      <c r="AW278" s="310"/>
      <c r="BC278" s="218">
        <v>9</v>
      </c>
      <c r="BH278" s="2">
        <v>512878</v>
      </c>
      <c r="BI278" s="2">
        <v>174040</v>
      </c>
      <c r="BJ278" s="2" t="s">
        <v>397</v>
      </c>
      <c r="BL278" s="2" t="s">
        <v>160</v>
      </c>
      <c r="BS278" s="240"/>
    </row>
    <row r="279" spans="1:72" x14ac:dyDescent="0.25">
      <c r="A279" s="2" t="s">
        <v>1451</v>
      </c>
      <c r="B279" s="2" t="s">
        <v>539</v>
      </c>
      <c r="D279" s="4">
        <v>44068</v>
      </c>
      <c r="E279" s="4">
        <v>45163</v>
      </c>
      <c r="H279" s="2" t="s">
        <v>224</v>
      </c>
      <c r="I279" s="2" t="s">
        <v>254</v>
      </c>
      <c r="K279" s="2" t="s">
        <v>1452</v>
      </c>
      <c r="L279" s="2" t="s">
        <v>1453</v>
      </c>
      <c r="M279" s="2" t="s">
        <v>1454</v>
      </c>
      <c r="W279" s="2">
        <f t="shared" ref="W279:W287" si="46">SUM(N279:V279)</f>
        <v>0</v>
      </c>
      <c r="X279" s="2" t="s">
        <v>385</v>
      </c>
      <c r="AA279" s="2">
        <v>1</v>
      </c>
      <c r="AF279" s="2">
        <f t="shared" si="44"/>
        <v>1</v>
      </c>
      <c r="AG279" s="2">
        <f t="shared" si="36"/>
        <v>0</v>
      </c>
      <c r="AH279" s="2">
        <f t="shared" si="37"/>
        <v>0</v>
      </c>
      <c r="AI279" s="2">
        <f t="shared" si="45"/>
        <v>1</v>
      </c>
      <c r="AJ279" s="2">
        <f t="shared" ref="AJ279:AJ287" si="47">AB279-Q279</f>
        <v>0</v>
      </c>
      <c r="AK279" s="2">
        <f t="shared" ref="AK279:AK287" si="48">AC279-R279</f>
        <v>0</v>
      </c>
      <c r="AL279" s="2">
        <f t="shared" ref="AL279:AL287" si="49">AD279-S279</f>
        <v>0</v>
      </c>
      <c r="AM279" s="2">
        <f t="shared" ref="AM279:AM287" si="50">AE279-T279</f>
        <v>0</v>
      </c>
      <c r="AP279" s="2">
        <v>1</v>
      </c>
      <c r="AS279" s="309">
        <v>0.25</v>
      </c>
      <c r="AT279" s="180">
        <v>0.25</v>
      </c>
      <c r="AU279" s="180">
        <v>0.25</v>
      </c>
      <c r="AV279" s="180">
        <v>0.25</v>
      </c>
      <c r="AW279" s="310"/>
      <c r="BC279" s="218">
        <v>1</v>
      </c>
      <c r="BH279" s="2">
        <v>520556</v>
      </c>
      <c r="BI279" s="2">
        <v>175757</v>
      </c>
      <c r="BJ279" s="2" t="s">
        <v>481</v>
      </c>
      <c r="BL279" s="2" t="s">
        <v>137</v>
      </c>
      <c r="BM279" s="2" t="s">
        <v>137</v>
      </c>
    </row>
    <row r="280" spans="1:72" x14ac:dyDescent="0.25">
      <c r="A280" s="2" t="s">
        <v>1455</v>
      </c>
      <c r="B280" s="2" t="s">
        <v>404</v>
      </c>
      <c r="C280" s="2" t="s">
        <v>228</v>
      </c>
      <c r="D280" s="4">
        <v>44068</v>
      </c>
      <c r="E280" s="4">
        <v>45163</v>
      </c>
      <c r="H280" s="2" t="s">
        <v>224</v>
      </c>
      <c r="I280" s="2" t="s">
        <v>254</v>
      </c>
      <c r="K280" s="2" t="s">
        <v>1456</v>
      </c>
      <c r="L280" s="2" t="s">
        <v>1457</v>
      </c>
      <c r="M280" s="2" t="s">
        <v>1458</v>
      </c>
      <c r="W280" s="2">
        <f t="shared" si="46"/>
        <v>0</v>
      </c>
      <c r="X280" s="2" t="s">
        <v>385</v>
      </c>
      <c r="Y280" s="2">
        <v>2</v>
      </c>
      <c r="AF280" s="2">
        <f t="shared" si="44"/>
        <v>2</v>
      </c>
      <c r="AG280" s="2">
        <f t="shared" si="36"/>
        <v>2</v>
      </c>
      <c r="AH280" s="2">
        <f t="shared" si="37"/>
        <v>0</v>
      </c>
      <c r="AI280" s="2">
        <f t="shared" si="45"/>
        <v>0</v>
      </c>
      <c r="AJ280" s="2">
        <f t="shared" si="47"/>
        <v>0</v>
      </c>
      <c r="AK280" s="2">
        <f t="shared" si="48"/>
        <v>0</v>
      </c>
      <c r="AL280" s="2">
        <f t="shared" si="49"/>
        <v>0</v>
      </c>
      <c r="AM280" s="2">
        <f t="shared" si="50"/>
        <v>0</v>
      </c>
      <c r="AP280" s="2">
        <v>2</v>
      </c>
      <c r="AS280" s="309">
        <v>0.5</v>
      </c>
      <c r="AT280" s="180">
        <v>0.5</v>
      </c>
      <c r="AU280" s="180">
        <v>0.5</v>
      </c>
      <c r="AV280" s="180">
        <v>0.5</v>
      </c>
      <c r="AW280" s="310"/>
      <c r="BC280" s="218">
        <v>2</v>
      </c>
      <c r="BH280" s="2">
        <v>514296</v>
      </c>
      <c r="BI280" s="2">
        <v>170824</v>
      </c>
      <c r="BJ280" s="2" t="s">
        <v>391</v>
      </c>
      <c r="BL280" s="2" t="s">
        <v>174</v>
      </c>
      <c r="BO280" s="2" t="s">
        <v>141</v>
      </c>
      <c r="BP280" s="2" t="s">
        <v>560</v>
      </c>
      <c r="BS280" s="240" t="s">
        <v>148</v>
      </c>
      <c r="BT280" s="2" t="s">
        <v>561</v>
      </c>
    </row>
    <row r="281" spans="1:72" x14ac:dyDescent="0.25">
      <c r="A281" s="2" t="s">
        <v>1459</v>
      </c>
      <c r="B281" s="2" t="s">
        <v>382</v>
      </c>
      <c r="D281" s="4">
        <v>44078</v>
      </c>
      <c r="E281" s="4">
        <v>45173</v>
      </c>
      <c r="H281" s="2" t="s">
        <v>224</v>
      </c>
      <c r="I281" s="2" t="s">
        <v>254</v>
      </c>
      <c r="K281" s="2" t="s">
        <v>1460</v>
      </c>
      <c r="L281" s="2" t="s">
        <v>1461</v>
      </c>
      <c r="M281" s="2" t="s">
        <v>1462</v>
      </c>
      <c r="P281" s="2">
        <v>1</v>
      </c>
      <c r="W281" s="2">
        <f t="shared" si="46"/>
        <v>1</v>
      </c>
      <c r="X281" s="2" t="s">
        <v>385</v>
      </c>
      <c r="Z281" s="2">
        <v>2</v>
      </c>
      <c r="AF281" s="2">
        <f t="shared" si="44"/>
        <v>2</v>
      </c>
      <c r="AG281" s="2">
        <f t="shared" si="36"/>
        <v>0</v>
      </c>
      <c r="AH281" s="2">
        <f t="shared" si="37"/>
        <v>2</v>
      </c>
      <c r="AI281" s="2">
        <f t="shared" si="45"/>
        <v>-1</v>
      </c>
      <c r="AJ281" s="2">
        <f t="shared" si="47"/>
        <v>0</v>
      </c>
      <c r="AK281" s="2">
        <f t="shared" si="48"/>
        <v>0</v>
      </c>
      <c r="AL281" s="2">
        <f t="shared" si="49"/>
        <v>0</v>
      </c>
      <c r="AM281" s="2">
        <f t="shared" si="50"/>
        <v>0</v>
      </c>
      <c r="AP281" s="2">
        <v>1</v>
      </c>
      <c r="AS281" s="309"/>
      <c r="AT281" s="180">
        <v>0.25</v>
      </c>
      <c r="AU281" s="180">
        <v>0.25</v>
      </c>
      <c r="AV281" s="180">
        <v>0.25</v>
      </c>
      <c r="AW281" s="310">
        <v>0.25</v>
      </c>
      <c r="BC281" s="218">
        <v>1</v>
      </c>
      <c r="BH281" s="2">
        <v>512568</v>
      </c>
      <c r="BI281" s="2">
        <v>173521</v>
      </c>
      <c r="BJ281" s="2" t="s">
        <v>397</v>
      </c>
      <c r="BL281" s="2" t="s">
        <v>160</v>
      </c>
    </row>
    <row r="282" spans="1:72" x14ac:dyDescent="0.25">
      <c r="A282" s="2" t="s">
        <v>1463</v>
      </c>
      <c r="B282" s="2" t="s">
        <v>382</v>
      </c>
      <c r="D282" s="4">
        <v>44088</v>
      </c>
      <c r="E282" s="4">
        <v>45183</v>
      </c>
      <c r="H282" s="2" t="s">
        <v>224</v>
      </c>
      <c r="I282" s="2" t="s">
        <v>254</v>
      </c>
      <c r="K282" s="2" t="s">
        <v>1464</v>
      </c>
      <c r="L282" s="2" t="s">
        <v>1465</v>
      </c>
      <c r="M282" s="2" t="s">
        <v>1466</v>
      </c>
      <c r="W282" s="2">
        <f t="shared" si="46"/>
        <v>0</v>
      </c>
      <c r="X282" s="2" t="s">
        <v>385</v>
      </c>
      <c r="Y282" s="2">
        <v>22</v>
      </c>
      <c r="Z282" s="2">
        <v>31</v>
      </c>
      <c r="AA282" s="2">
        <v>12</v>
      </c>
      <c r="AF282" s="2">
        <f t="shared" si="44"/>
        <v>65</v>
      </c>
      <c r="AG282" s="2">
        <f t="shared" si="36"/>
        <v>22</v>
      </c>
      <c r="AH282" s="2">
        <f t="shared" si="37"/>
        <v>31</v>
      </c>
      <c r="AI282" s="2">
        <f t="shared" si="45"/>
        <v>12</v>
      </c>
      <c r="AJ282" s="2">
        <f t="shared" si="47"/>
        <v>0</v>
      </c>
      <c r="AK282" s="2">
        <f t="shared" si="48"/>
        <v>0</v>
      </c>
      <c r="AL282" s="2">
        <f t="shared" si="49"/>
        <v>0</v>
      </c>
      <c r="AM282" s="2">
        <f t="shared" si="50"/>
        <v>0</v>
      </c>
      <c r="AP282" s="2">
        <v>65</v>
      </c>
      <c r="AQ282" s="180" t="s">
        <v>299</v>
      </c>
      <c r="AS282" s="309"/>
      <c r="AT282" s="180">
        <v>32.5</v>
      </c>
      <c r="AU282" s="180">
        <v>32.5</v>
      </c>
      <c r="AW282" s="310"/>
      <c r="BC282" s="218">
        <v>65</v>
      </c>
      <c r="BH282" s="2">
        <v>521203</v>
      </c>
      <c r="BI282" s="2">
        <v>175677</v>
      </c>
      <c r="BJ282" s="2" t="s">
        <v>449</v>
      </c>
      <c r="BL282" s="2" t="s">
        <v>175</v>
      </c>
    </row>
    <row r="283" spans="1:72" x14ac:dyDescent="0.25">
      <c r="A283" s="2" t="s">
        <v>1463</v>
      </c>
      <c r="B283" s="2" t="s">
        <v>382</v>
      </c>
      <c r="D283" s="4">
        <v>44088</v>
      </c>
      <c r="E283" s="4">
        <v>45183</v>
      </c>
      <c r="H283" s="2" t="s">
        <v>224</v>
      </c>
      <c r="I283" s="2" t="s">
        <v>250</v>
      </c>
      <c r="K283" s="2" t="s">
        <v>1464</v>
      </c>
      <c r="L283" s="2" t="s">
        <v>1465</v>
      </c>
      <c r="M283" s="2" t="s">
        <v>1466</v>
      </c>
      <c r="W283" s="2">
        <f t="shared" si="46"/>
        <v>0</v>
      </c>
      <c r="X283" s="2" t="s">
        <v>299</v>
      </c>
      <c r="Y283" s="2">
        <v>5</v>
      </c>
      <c r="Z283" s="2">
        <v>7</v>
      </c>
      <c r="AA283" s="2">
        <v>2</v>
      </c>
      <c r="AF283" s="2">
        <f t="shared" si="44"/>
        <v>14</v>
      </c>
      <c r="AG283" s="2">
        <f t="shared" si="36"/>
        <v>5</v>
      </c>
      <c r="AH283" s="2">
        <f t="shared" si="37"/>
        <v>7</v>
      </c>
      <c r="AI283" s="2">
        <f t="shared" si="45"/>
        <v>2</v>
      </c>
      <c r="AJ283" s="2">
        <f t="shared" si="47"/>
        <v>0</v>
      </c>
      <c r="AK283" s="2">
        <f t="shared" si="48"/>
        <v>0</v>
      </c>
      <c r="AL283" s="2">
        <f t="shared" si="49"/>
        <v>0</v>
      </c>
      <c r="AM283" s="2">
        <f t="shared" si="50"/>
        <v>0</v>
      </c>
      <c r="AP283" s="2">
        <v>14</v>
      </c>
      <c r="AQ283" s="180" t="s">
        <v>299</v>
      </c>
      <c r="AS283" s="309"/>
      <c r="AT283" s="180">
        <v>7</v>
      </c>
      <c r="AU283" s="180">
        <v>7</v>
      </c>
      <c r="AW283" s="310"/>
      <c r="BC283" s="218">
        <v>14</v>
      </c>
      <c r="BH283" s="2">
        <v>521203</v>
      </c>
      <c r="BI283" s="2">
        <v>175677</v>
      </c>
      <c r="BJ283" s="2" t="s">
        <v>449</v>
      </c>
      <c r="BL283" s="2" t="s">
        <v>175</v>
      </c>
    </row>
    <row r="284" spans="1:72" x14ac:dyDescent="0.25">
      <c r="A284" s="2" t="s">
        <v>1463</v>
      </c>
      <c r="B284" s="2" t="s">
        <v>382</v>
      </c>
      <c r="D284" s="4">
        <v>44088</v>
      </c>
      <c r="E284" s="4">
        <v>45183</v>
      </c>
      <c r="H284" s="2" t="s">
        <v>224</v>
      </c>
      <c r="I284" s="2" t="s">
        <v>187</v>
      </c>
      <c r="K284" s="2" t="s">
        <v>1464</v>
      </c>
      <c r="L284" s="2" t="s">
        <v>1465</v>
      </c>
      <c r="M284" s="2" t="s">
        <v>1466</v>
      </c>
      <c r="W284" s="2">
        <f t="shared" si="46"/>
        <v>0</v>
      </c>
      <c r="X284" s="2" t="s">
        <v>299</v>
      </c>
      <c r="Y284" s="2">
        <v>3</v>
      </c>
      <c r="Z284" s="2">
        <v>1</v>
      </c>
      <c r="AF284" s="2">
        <f t="shared" si="44"/>
        <v>4</v>
      </c>
      <c r="AG284" s="2">
        <f t="shared" si="36"/>
        <v>3</v>
      </c>
      <c r="AH284" s="2">
        <f t="shared" si="37"/>
        <v>1</v>
      </c>
      <c r="AI284" s="2">
        <f t="shared" si="45"/>
        <v>0</v>
      </c>
      <c r="AJ284" s="2">
        <f t="shared" si="47"/>
        <v>0</v>
      </c>
      <c r="AK284" s="2">
        <f t="shared" si="48"/>
        <v>0</v>
      </c>
      <c r="AL284" s="2">
        <f t="shared" si="49"/>
        <v>0</v>
      </c>
      <c r="AM284" s="2">
        <f t="shared" si="50"/>
        <v>0</v>
      </c>
      <c r="AP284" s="2">
        <v>4</v>
      </c>
      <c r="AQ284" s="180" t="s">
        <v>299</v>
      </c>
      <c r="AS284" s="309"/>
      <c r="AT284" s="180">
        <v>2</v>
      </c>
      <c r="AU284" s="180">
        <v>2</v>
      </c>
      <c r="AW284" s="310"/>
      <c r="BC284" s="218">
        <v>4</v>
      </c>
      <c r="BH284" s="2">
        <v>521203</v>
      </c>
      <c r="BI284" s="2">
        <v>175677</v>
      </c>
      <c r="BJ284" s="2" t="s">
        <v>449</v>
      </c>
      <c r="BL284" s="2" t="s">
        <v>175</v>
      </c>
    </row>
    <row r="285" spans="1:72" x14ac:dyDescent="0.25">
      <c r="A285" s="2" t="s">
        <v>1467</v>
      </c>
      <c r="B285" s="2" t="s">
        <v>382</v>
      </c>
      <c r="D285" s="4">
        <v>44088</v>
      </c>
      <c r="E285" s="4">
        <v>45199</v>
      </c>
      <c r="H285" s="2" t="s">
        <v>224</v>
      </c>
      <c r="I285" s="2" t="s">
        <v>254</v>
      </c>
      <c r="K285" s="2" t="s">
        <v>1468</v>
      </c>
      <c r="L285" s="2" t="s">
        <v>1469</v>
      </c>
      <c r="M285" s="2" t="s">
        <v>1470</v>
      </c>
      <c r="W285" s="2">
        <f t="shared" si="46"/>
        <v>0</v>
      </c>
      <c r="X285" s="2" t="s">
        <v>385</v>
      </c>
      <c r="AA285" s="2">
        <v>5</v>
      </c>
      <c r="AF285" s="2">
        <f t="shared" si="44"/>
        <v>5</v>
      </c>
      <c r="AG285" s="2">
        <f t="shared" si="36"/>
        <v>0</v>
      </c>
      <c r="AH285" s="2">
        <f t="shared" si="37"/>
        <v>0</v>
      </c>
      <c r="AI285" s="2">
        <f t="shared" si="45"/>
        <v>5</v>
      </c>
      <c r="AJ285" s="2">
        <f t="shared" si="47"/>
        <v>0</v>
      </c>
      <c r="AK285" s="2">
        <f t="shared" si="48"/>
        <v>0</v>
      </c>
      <c r="AL285" s="2">
        <f t="shared" si="49"/>
        <v>0</v>
      </c>
      <c r="AM285" s="2">
        <f t="shared" si="50"/>
        <v>0</v>
      </c>
      <c r="AP285" s="2">
        <v>5</v>
      </c>
      <c r="AS285" s="309"/>
      <c r="AT285" s="180">
        <v>1.25</v>
      </c>
      <c r="AU285" s="180">
        <v>1.25</v>
      </c>
      <c r="AV285" s="180">
        <v>1.25</v>
      </c>
      <c r="AW285" s="310">
        <v>1.25</v>
      </c>
      <c r="BC285" s="218">
        <v>5</v>
      </c>
      <c r="BH285" s="2">
        <v>520616</v>
      </c>
      <c r="BI285" s="2">
        <v>175748</v>
      </c>
      <c r="BJ285" s="2" t="s">
        <v>481</v>
      </c>
      <c r="BL285" s="2" t="s">
        <v>137</v>
      </c>
    </row>
    <row r="286" spans="1:72" x14ac:dyDescent="0.25">
      <c r="A286" s="2" t="s">
        <v>1471</v>
      </c>
      <c r="B286" s="2" t="s">
        <v>382</v>
      </c>
      <c r="D286" s="4">
        <v>44090</v>
      </c>
      <c r="E286" s="4">
        <v>45185</v>
      </c>
      <c r="H286" s="2" t="s">
        <v>224</v>
      </c>
      <c r="I286" s="2" t="s">
        <v>254</v>
      </c>
      <c r="K286" s="2" t="s">
        <v>1472</v>
      </c>
      <c r="L286" s="2" t="s">
        <v>1473</v>
      </c>
      <c r="M286" s="2" t="s">
        <v>1474</v>
      </c>
      <c r="W286" s="2">
        <f t="shared" si="46"/>
        <v>0</v>
      </c>
      <c r="X286" s="2" t="s">
        <v>385</v>
      </c>
      <c r="Y286" s="2">
        <v>13</v>
      </c>
      <c r="Z286" s="2">
        <v>75</v>
      </c>
      <c r="AF286" s="2">
        <f t="shared" si="44"/>
        <v>88</v>
      </c>
      <c r="AG286" s="2">
        <f t="shared" si="36"/>
        <v>13</v>
      </c>
      <c r="AH286" s="2">
        <f t="shared" si="37"/>
        <v>75</v>
      </c>
      <c r="AI286" s="2">
        <f t="shared" si="45"/>
        <v>0</v>
      </c>
      <c r="AJ286" s="2">
        <f t="shared" si="47"/>
        <v>0</v>
      </c>
      <c r="AK286" s="2">
        <f t="shared" si="48"/>
        <v>0</v>
      </c>
      <c r="AL286" s="2">
        <f t="shared" si="49"/>
        <v>0</v>
      </c>
      <c r="AM286" s="2">
        <f t="shared" si="50"/>
        <v>0</v>
      </c>
      <c r="AP286" s="2">
        <v>88</v>
      </c>
      <c r="AQ286" s="180" t="s">
        <v>299</v>
      </c>
      <c r="AS286" s="309"/>
      <c r="AT286" s="180">
        <v>44</v>
      </c>
      <c r="AU286" s="180">
        <v>44</v>
      </c>
      <c r="AW286" s="310"/>
      <c r="BC286" s="218">
        <v>88</v>
      </c>
      <c r="BE286" s="2" t="s">
        <v>299</v>
      </c>
      <c r="BF286" s="2" t="s">
        <v>299</v>
      </c>
      <c r="BH286" s="2">
        <v>519778</v>
      </c>
      <c r="BI286" s="2">
        <v>176914</v>
      </c>
      <c r="BJ286" s="2" t="s">
        <v>428</v>
      </c>
      <c r="BL286" s="2" t="s">
        <v>161</v>
      </c>
      <c r="BN286" s="2" t="s">
        <v>139</v>
      </c>
      <c r="BR286" s="2" t="s">
        <v>1475</v>
      </c>
    </row>
    <row r="287" spans="1:72" x14ac:dyDescent="0.25">
      <c r="A287" s="2" t="s">
        <v>1476</v>
      </c>
      <c r="B287" s="2" t="s">
        <v>404</v>
      </c>
      <c r="D287" s="4">
        <v>44090</v>
      </c>
      <c r="E287" s="4">
        <v>45185</v>
      </c>
      <c r="H287" s="2" t="s">
        <v>224</v>
      </c>
      <c r="I287" s="2" t="s">
        <v>254</v>
      </c>
      <c r="K287" s="2" t="s">
        <v>1477</v>
      </c>
      <c r="L287" s="2" t="s">
        <v>1478</v>
      </c>
      <c r="M287" s="2" t="s">
        <v>1479</v>
      </c>
      <c r="W287" s="2">
        <f t="shared" si="46"/>
        <v>0</v>
      </c>
      <c r="X287" s="2" t="s">
        <v>385</v>
      </c>
      <c r="Z287" s="2">
        <v>1</v>
      </c>
      <c r="AF287" s="2">
        <f t="shared" si="44"/>
        <v>1</v>
      </c>
      <c r="AG287" s="2">
        <f t="shared" si="36"/>
        <v>0</v>
      </c>
      <c r="AH287" s="2">
        <f t="shared" si="37"/>
        <v>1</v>
      </c>
      <c r="AI287" s="2">
        <f t="shared" si="45"/>
        <v>0</v>
      </c>
      <c r="AJ287" s="2">
        <f t="shared" si="47"/>
        <v>0</v>
      </c>
      <c r="AK287" s="2">
        <f t="shared" si="48"/>
        <v>0</v>
      </c>
      <c r="AL287" s="2">
        <f t="shared" si="49"/>
        <v>0</v>
      </c>
      <c r="AM287" s="2">
        <f t="shared" si="50"/>
        <v>0</v>
      </c>
      <c r="AP287" s="2">
        <v>1</v>
      </c>
      <c r="AS287" s="309">
        <v>0.25</v>
      </c>
      <c r="AT287" s="180">
        <v>0.25</v>
      </c>
      <c r="AU287" s="180">
        <v>0.25</v>
      </c>
      <c r="AV287" s="180">
        <v>0.25</v>
      </c>
      <c r="AW287" s="310"/>
      <c r="BC287" s="218">
        <v>1</v>
      </c>
      <c r="BH287" s="2">
        <v>521750</v>
      </c>
      <c r="BI287" s="2">
        <v>176384</v>
      </c>
      <c r="BJ287" s="2" t="s">
        <v>449</v>
      </c>
      <c r="BL287" s="2" t="s">
        <v>175</v>
      </c>
      <c r="BO287" s="2" t="s">
        <v>141</v>
      </c>
      <c r="BP287" s="2" t="s">
        <v>450</v>
      </c>
      <c r="BS287" s="240" t="s">
        <v>148</v>
      </c>
      <c r="BT287" s="2" t="s">
        <v>451</v>
      </c>
    </row>
    <row r="288" spans="1:72" x14ac:dyDescent="0.25">
      <c r="A288" s="2" t="s">
        <v>1480</v>
      </c>
      <c r="B288" s="2" t="s">
        <v>539</v>
      </c>
      <c r="D288" s="4">
        <v>44092</v>
      </c>
      <c r="E288" s="4">
        <v>45187</v>
      </c>
      <c r="F288" s="3"/>
      <c r="H288" s="2" t="s">
        <v>224</v>
      </c>
      <c r="I288" s="2" t="s">
        <v>254</v>
      </c>
      <c r="K288" s="2" t="s">
        <v>1481</v>
      </c>
      <c r="L288" s="2" t="s">
        <v>1482</v>
      </c>
      <c r="M288" s="2" t="s">
        <v>1483</v>
      </c>
      <c r="W288" s="2">
        <v>0</v>
      </c>
      <c r="X288" s="2" t="s">
        <v>385</v>
      </c>
      <c r="Y288" s="2">
        <v>1</v>
      </c>
      <c r="AF288" s="2">
        <f t="shared" si="44"/>
        <v>1</v>
      </c>
      <c r="AG288" s="2">
        <f t="shared" ref="AG288:AG330" si="51">Y288-N288</f>
        <v>1</v>
      </c>
      <c r="AH288" s="2">
        <v>0</v>
      </c>
      <c r="AI288" s="2">
        <v>0</v>
      </c>
      <c r="AJ288" s="2">
        <v>0</v>
      </c>
      <c r="AK288" s="2">
        <v>0</v>
      </c>
      <c r="AL288" s="2">
        <v>0</v>
      </c>
      <c r="AM288" s="2">
        <v>0</v>
      </c>
      <c r="AP288" s="2">
        <v>1</v>
      </c>
      <c r="AS288" s="309">
        <v>0.25</v>
      </c>
      <c r="AT288" s="180">
        <v>0.25</v>
      </c>
      <c r="AU288" s="180">
        <v>0.25</v>
      </c>
      <c r="AV288" s="180">
        <v>0.25</v>
      </c>
      <c r="AW288" s="310"/>
      <c r="BC288" s="218">
        <v>1</v>
      </c>
      <c r="BH288" s="2">
        <v>517423</v>
      </c>
      <c r="BI288" s="2">
        <v>169711</v>
      </c>
      <c r="BJ288" s="2" t="s">
        <v>443</v>
      </c>
      <c r="BL288" s="2" t="s">
        <v>159</v>
      </c>
      <c r="BS288" s="240"/>
    </row>
    <row r="289" spans="1:72" x14ac:dyDescent="0.25">
      <c r="A289" s="2" t="s">
        <v>1484</v>
      </c>
      <c r="B289" s="2" t="s">
        <v>394</v>
      </c>
      <c r="D289" s="4">
        <v>44098</v>
      </c>
      <c r="E289" s="4">
        <v>45193</v>
      </c>
      <c r="H289" s="2" t="s">
        <v>224</v>
      </c>
      <c r="I289" s="2" t="s">
        <v>254</v>
      </c>
      <c r="K289" s="2" t="s">
        <v>1485</v>
      </c>
      <c r="L289" s="2" t="s">
        <v>1486</v>
      </c>
      <c r="M289" s="2" t="s">
        <v>642</v>
      </c>
      <c r="W289" s="2">
        <f t="shared" ref="W289:W327" si="52">SUM(N289:V289)</f>
        <v>0</v>
      </c>
      <c r="X289" s="2" t="s">
        <v>385</v>
      </c>
      <c r="Y289" s="2">
        <v>1</v>
      </c>
      <c r="AF289" s="2">
        <f t="shared" si="44"/>
        <v>1</v>
      </c>
      <c r="AG289" s="2">
        <f t="shared" si="51"/>
        <v>1</v>
      </c>
      <c r="AH289" s="2">
        <f t="shared" ref="AH289:AH330" si="53">Z289-O289</f>
        <v>0</v>
      </c>
      <c r="AI289" s="2">
        <f t="shared" ref="AI289:AI330" si="54">AA289-P289</f>
        <v>0</v>
      </c>
      <c r="AJ289" s="2">
        <f t="shared" ref="AJ289:AJ330" si="55">AB289-Q289</f>
        <v>0</v>
      </c>
      <c r="AK289" s="2">
        <f t="shared" ref="AK289:AK330" si="56">AC289-R289</f>
        <v>0</v>
      </c>
      <c r="AL289" s="2">
        <f t="shared" ref="AL289:AL330" si="57">AD289-S289</f>
        <v>0</v>
      </c>
      <c r="AM289" s="2">
        <f t="shared" ref="AM289:AM330" si="58">AE289-T289</f>
        <v>0</v>
      </c>
      <c r="AP289" s="2">
        <v>1</v>
      </c>
      <c r="AS289" s="309"/>
      <c r="AT289" s="180">
        <v>0.25</v>
      </c>
      <c r="AU289" s="180">
        <v>0.25</v>
      </c>
      <c r="AV289" s="180">
        <v>0.25</v>
      </c>
      <c r="AW289" s="310">
        <v>0.25</v>
      </c>
      <c r="BC289" s="218">
        <v>1</v>
      </c>
      <c r="BH289" s="2">
        <v>521318</v>
      </c>
      <c r="BI289" s="2">
        <v>175834</v>
      </c>
      <c r="BJ289" s="2" t="s">
        <v>449</v>
      </c>
      <c r="BL289" s="2" t="s">
        <v>175</v>
      </c>
      <c r="BO289" s="2" t="s">
        <v>141</v>
      </c>
      <c r="BP289" s="2" t="s">
        <v>842</v>
      </c>
      <c r="BS289" s="240" t="s">
        <v>148</v>
      </c>
      <c r="BT289" s="2" t="s">
        <v>644</v>
      </c>
    </row>
    <row r="290" spans="1:72" x14ac:dyDescent="0.25">
      <c r="A290" s="2" t="s">
        <v>1487</v>
      </c>
      <c r="B290" s="2" t="s">
        <v>382</v>
      </c>
      <c r="D290" s="4">
        <v>44102</v>
      </c>
      <c r="E290" s="4">
        <v>45198</v>
      </c>
      <c r="H290" s="2" t="s">
        <v>224</v>
      </c>
      <c r="I290" s="2" t="s">
        <v>254</v>
      </c>
      <c r="K290" s="2" t="s">
        <v>1488</v>
      </c>
      <c r="L290" s="2" t="s">
        <v>1489</v>
      </c>
      <c r="M290" s="2" t="s">
        <v>1490</v>
      </c>
      <c r="Q290" s="2">
        <v>1</v>
      </c>
      <c r="W290" s="2">
        <f t="shared" si="52"/>
        <v>1</v>
      </c>
      <c r="X290" s="2" t="s">
        <v>385</v>
      </c>
      <c r="Y290" s="2">
        <v>1</v>
      </c>
      <c r="Z290" s="2">
        <v>7</v>
      </c>
      <c r="AA290" s="2">
        <v>1</v>
      </c>
      <c r="AF290" s="2">
        <f t="shared" si="44"/>
        <v>9</v>
      </c>
      <c r="AG290" s="2">
        <f t="shared" si="51"/>
        <v>1</v>
      </c>
      <c r="AH290" s="2">
        <f t="shared" si="53"/>
        <v>7</v>
      </c>
      <c r="AI290" s="2">
        <f t="shared" si="54"/>
        <v>1</v>
      </c>
      <c r="AJ290" s="2">
        <f t="shared" si="55"/>
        <v>-1</v>
      </c>
      <c r="AK290" s="2">
        <f t="shared" si="56"/>
        <v>0</v>
      </c>
      <c r="AL290" s="2">
        <f t="shared" si="57"/>
        <v>0</v>
      </c>
      <c r="AM290" s="2">
        <f t="shared" si="58"/>
        <v>0</v>
      </c>
      <c r="AP290" s="2">
        <v>8</v>
      </c>
      <c r="AS290" s="309"/>
      <c r="AT290" s="180">
        <v>4</v>
      </c>
      <c r="AU290" s="180">
        <v>4</v>
      </c>
      <c r="AW290" s="310"/>
      <c r="BC290" s="218">
        <v>8</v>
      </c>
      <c r="BH290" s="2">
        <v>513824</v>
      </c>
      <c r="BI290" s="2">
        <v>171219</v>
      </c>
      <c r="BJ290" s="2" t="s">
        <v>533</v>
      </c>
      <c r="BL290" s="2" t="s">
        <v>158</v>
      </c>
    </row>
    <row r="291" spans="1:72" x14ac:dyDescent="0.25">
      <c r="A291" s="2" t="s">
        <v>1491</v>
      </c>
      <c r="B291" s="2" t="s">
        <v>382</v>
      </c>
      <c r="D291" s="4">
        <v>44104</v>
      </c>
      <c r="E291" s="4">
        <v>45199</v>
      </c>
      <c r="H291" s="2" t="s">
        <v>224</v>
      </c>
      <c r="I291" s="2" t="s">
        <v>254</v>
      </c>
      <c r="K291" s="2" t="s">
        <v>1492</v>
      </c>
      <c r="L291" s="2" t="s">
        <v>1493</v>
      </c>
      <c r="M291" s="2" t="s">
        <v>1494</v>
      </c>
      <c r="W291" s="2">
        <f t="shared" si="52"/>
        <v>0</v>
      </c>
      <c r="X291" s="2" t="s">
        <v>385</v>
      </c>
      <c r="Y291" s="2">
        <v>1</v>
      </c>
      <c r="AF291" s="2">
        <f t="shared" si="44"/>
        <v>1</v>
      </c>
      <c r="AG291" s="2">
        <f t="shared" si="51"/>
        <v>1</v>
      </c>
      <c r="AH291" s="2">
        <f t="shared" si="53"/>
        <v>0</v>
      </c>
      <c r="AI291" s="2">
        <f t="shared" si="54"/>
        <v>0</v>
      </c>
      <c r="AJ291" s="2">
        <f t="shared" si="55"/>
        <v>0</v>
      </c>
      <c r="AK291" s="2">
        <f t="shared" si="56"/>
        <v>0</v>
      </c>
      <c r="AL291" s="2">
        <f t="shared" si="57"/>
        <v>0</v>
      </c>
      <c r="AM291" s="2">
        <f t="shared" si="58"/>
        <v>0</v>
      </c>
      <c r="AP291" s="2">
        <v>1</v>
      </c>
      <c r="AS291" s="309"/>
      <c r="AT291" s="180">
        <v>0.25</v>
      </c>
      <c r="AU291" s="180">
        <v>0.25</v>
      </c>
      <c r="AV291" s="180">
        <v>0.25</v>
      </c>
      <c r="AW291" s="310">
        <v>0.25</v>
      </c>
      <c r="BC291" s="218">
        <v>1</v>
      </c>
      <c r="BH291" s="2">
        <v>518657</v>
      </c>
      <c r="BI291" s="2">
        <v>175579</v>
      </c>
      <c r="BJ291" s="2" t="s">
        <v>407</v>
      </c>
      <c r="BL291" s="2" t="s">
        <v>163</v>
      </c>
    </row>
    <row r="292" spans="1:72" x14ac:dyDescent="0.25">
      <c r="A292" s="2" t="s">
        <v>1495</v>
      </c>
      <c r="B292" s="2" t="s">
        <v>434</v>
      </c>
      <c r="D292" s="4">
        <v>44106</v>
      </c>
      <c r="E292" s="4">
        <v>45201</v>
      </c>
      <c r="G292" s="3"/>
      <c r="H292" s="2" t="s">
        <v>224</v>
      </c>
      <c r="I292" s="2" t="s">
        <v>254</v>
      </c>
      <c r="K292" s="2" t="s">
        <v>1496</v>
      </c>
      <c r="L292" s="2" t="s">
        <v>1497</v>
      </c>
      <c r="M292" s="2" t="s">
        <v>1498</v>
      </c>
      <c r="Q292" s="2">
        <v>1</v>
      </c>
      <c r="W292" s="2">
        <f t="shared" si="52"/>
        <v>1</v>
      </c>
      <c r="AF292" s="2">
        <f t="shared" si="44"/>
        <v>0</v>
      </c>
      <c r="AG292" s="2">
        <f t="shared" si="51"/>
        <v>0</v>
      </c>
      <c r="AH292" s="2">
        <f t="shared" si="53"/>
        <v>0</v>
      </c>
      <c r="AI292" s="2">
        <f t="shared" si="54"/>
        <v>0</v>
      </c>
      <c r="AJ292" s="2">
        <f t="shared" si="55"/>
        <v>-1</v>
      </c>
      <c r="AK292" s="2">
        <f t="shared" si="56"/>
        <v>0</v>
      </c>
      <c r="AL292" s="2">
        <f t="shared" si="57"/>
        <v>0</v>
      </c>
      <c r="AM292" s="2">
        <f t="shared" si="58"/>
        <v>0</v>
      </c>
      <c r="AP292" s="2">
        <v>-1</v>
      </c>
      <c r="AS292" s="309">
        <v>-0.25</v>
      </c>
      <c r="AT292" s="180">
        <v>-0.25</v>
      </c>
      <c r="AU292" s="180">
        <v>-0.25</v>
      </c>
      <c r="AV292" s="180">
        <v>-0.25</v>
      </c>
      <c r="AW292" s="310"/>
      <c r="BC292" s="218">
        <v>-1</v>
      </c>
      <c r="BH292" s="2">
        <v>518472</v>
      </c>
      <c r="BI292" s="2">
        <v>175425</v>
      </c>
      <c r="BJ292" s="2" t="s">
        <v>407</v>
      </c>
      <c r="BL292" s="2" t="s">
        <v>163</v>
      </c>
    </row>
    <row r="293" spans="1:72" x14ac:dyDescent="0.25">
      <c r="A293" s="2" t="s">
        <v>1499</v>
      </c>
      <c r="B293" s="2" t="s">
        <v>404</v>
      </c>
      <c r="D293" s="4">
        <v>44106</v>
      </c>
      <c r="E293" s="4">
        <v>45201</v>
      </c>
      <c r="H293" s="2" t="s">
        <v>224</v>
      </c>
      <c r="I293" s="2" t="s">
        <v>254</v>
      </c>
      <c r="K293" s="2" t="s">
        <v>1500</v>
      </c>
      <c r="L293" s="2" t="s">
        <v>1501</v>
      </c>
      <c r="M293" s="2" t="s">
        <v>1502</v>
      </c>
      <c r="Q293" s="2">
        <v>1</v>
      </c>
      <c r="W293" s="2">
        <f t="shared" si="52"/>
        <v>1</v>
      </c>
      <c r="X293" s="2" t="s">
        <v>385</v>
      </c>
      <c r="AB293" s="2">
        <v>1</v>
      </c>
      <c r="AF293" s="2">
        <f t="shared" si="44"/>
        <v>1</v>
      </c>
      <c r="AG293" s="2">
        <f t="shared" si="51"/>
        <v>0</v>
      </c>
      <c r="AH293" s="2">
        <f t="shared" si="53"/>
        <v>0</v>
      </c>
      <c r="AI293" s="2">
        <f t="shared" si="54"/>
        <v>0</v>
      </c>
      <c r="AJ293" s="2">
        <f t="shared" si="55"/>
        <v>0</v>
      </c>
      <c r="AK293" s="2">
        <f t="shared" si="56"/>
        <v>0</v>
      </c>
      <c r="AL293" s="2">
        <f t="shared" si="57"/>
        <v>0</v>
      </c>
      <c r="AM293" s="2">
        <f t="shared" si="58"/>
        <v>0</v>
      </c>
      <c r="AP293" s="2">
        <v>0</v>
      </c>
      <c r="AS293" s="309">
        <v>0</v>
      </c>
      <c r="AT293" s="180">
        <v>0</v>
      </c>
      <c r="AU293" s="180">
        <v>0</v>
      </c>
      <c r="AV293" s="180">
        <v>0</v>
      </c>
      <c r="AW293" s="310"/>
      <c r="BC293" s="218">
        <v>0</v>
      </c>
      <c r="BH293" s="2">
        <v>513956</v>
      </c>
      <c r="BI293" s="2">
        <v>171140</v>
      </c>
      <c r="BJ293" s="2" t="s">
        <v>391</v>
      </c>
      <c r="BL293" s="2" t="s">
        <v>174</v>
      </c>
    </row>
    <row r="294" spans="1:72" x14ac:dyDescent="0.25">
      <c r="A294" s="2" t="s">
        <v>1503</v>
      </c>
      <c r="B294" s="2" t="s">
        <v>434</v>
      </c>
      <c r="D294" s="4">
        <v>44106</v>
      </c>
      <c r="E294" s="4">
        <v>45204</v>
      </c>
      <c r="H294" s="2" t="s">
        <v>224</v>
      </c>
      <c r="I294" s="2" t="s">
        <v>254</v>
      </c>
      <c r="K294" s="2" t="s">
        <v>1504</v>
      </c>
      <c r="L294" s="2" t="s">
        <v>1505</v>
      </c>
      <c r="M294" s="2" t="s">
        <v>1506</v>
      </c>
      <c r="Q294" s="2">
        <v>1</v>
      </c>
      <c r="W294" s="2">
        <f t="shared" si="52"/>
        <v>1</v>
      </c>
      <c r="X294" s="2" t="s">
        <v>385</v>
      </c>
      <c r="Y294" s="2">
        <v>1</v>
      </c>
      <c r="Z294" s="2">
        <v>1</v>
      </c>
      <c r="AF294" s="2">
        <f t="shared" si="44"/>
        <v>2</v>
      </c>
      <c r="AG294" s="2">
        <f t="shared" si="51"/>
        <v>1</v>
      </c>
      <c r="AH294" s="2">
        <f t="shared" si="53"/>
        <v>1</v>
      </c>
      <c r="AI294" s="2">
        <f t="shared" si="54"/>
        <v>0</v>
      </c>
      <c r="AJ294" s="2">
        <f t="shared" si="55"/>
        <v>-1</v>
      </c>
      <c r="AK294" s="2">
        <f t="shared" si="56"/>
        <v>0</v>
      </c>
      <c r="AL294" s="2">
        <f t="shared" si="57"/>
        <v>0</v>
      </c>
      <c r="AM294" s="2">
        <f t="shared" si="58"/>
        <v>0</v>
      </c>
      <c r="AP294" s="2">
        <v>1</v>
      </c>
      <c r="AS294" s="309">
        <v>0.25</v>
      </c>
      <c r="AT294" s="180">
        <v>0.25</v>
      </c>
      <c r="AU294" s="180">
        <v>0.25</v>
      </c>
      <c r="AV294" s="180">
        <v>0.25</v>
      </c>
      <c r="AW294" s="310"/>
      <c r="BC294" s="218">
        <v>1</v>
      </c>
      <c r="BH294" s="2">
        <v>514206</v>
      </c>
      <c r="BI294" s="2">
        <v>173520</v>
      </c>
      <c r="BJ294" s="2" t="s">
        <v>397</v>
      </c>
      <c r="BL294" s="2" t="s">
        <v>160</v>
      </c>
      <c r="BM294" s="2" t="s">
        <v>144</v>
      </c>
    </row>
    <row r="295" spans="1:72" x14ac:dyDescent="0.25">
      <c r="A295" s="2" t="s">
        <v>1507</v>
      </c>
      <c r="B295" s="2" t="s">
        <v>404</v>
      </c>
      <c r="D295" s="4">
        <v>44106</v>
      </c>
      <c r="E295" s="4">
        <v>45257</v>
      </c>
      <c r="H295" s="2" t="s">
        <v>224</v>
      </c>
      <c r="I295" s="2" t="s">
        <v>254</v>
      </c>
      <c r="K295" s="2" t="s">
        <v>1508</v>
      </c>
      <c r="L295" s="2" t="s">
        <v>1509</v>
      </c>
      <c r="M295" s="2" t="s">
        <v>1510</v>
      </c>
      <c r="W295" s="2">
        <f t="shared" si="52"/>
        <v>0</v>
      </c>
      <c r="X295" s="2" t="s">
        <v>385</v>
      </c>
      <c r="Y295" s="2">
        <v>4</v>
      </c>
      <c r="Z295" s="2">
        <v>1</v>
      </c>
      <c r="AF295" s="2">
        <f t="shared" si="44"/>
        <v>5</v>
      </c>
      <c r="AG295" s="2">
        <f t="shared" si="51"/>
        <v>4</v>
      </c>
      <c r="AH295" s="2">
        <f t="shared" si="53"/>
        <v>1</v>
      </c>
      <c r="AI295" s="2">
        <f t="shared" si="54"/>
        <v>0</v>
      </c>
      <c r="AJ295" s="2">
        <f t="shared" si="55"/>
        <v>0</v>
      </c>
      <c r="AK295" s="2">
        <f t="shared" si="56"/>
        <v>0</v>
      </c>
      <c r="AL295" s="2">
        <f t="shared" si="57"/>
        <v>0</v>
      </c>
      <c r="AM295" s="2">
        <f t="shared" si="58"/>
        <v>0</v>
      </c>
      <c r="AP295" s="2">
        <v>5</v>
      </c>
      <c r="AS295" s="309"/>
      <c r="AT295" s="180">
        <v>1.25</v>
      </c>
      <c r="AU295" s="180">
        <v>1.25</v>
      </c>
      <c r="AV295" s="180">
        <v>1.25</v>
      </c>
      <c r="AW295" s="310">
        <v>1.25</v>
      </c>
      <c r="BC295" s="218">
        <v>5</v>
      </c>
      <c r="BH295" s="2">
        <v>519113</v>
      </c>
      <c r="BI295" s="2">
        <v>176411</v>
      </c>
      <c r="BJ295" s="2" t="s">
        <v>428</v>
      </c>
      <c r="BL295" s="2" t="s">
        <v>161</v>
      </c>
      <c r="BS295" s="240" t="s">
        <v>148</v>
      </c>
      <c r="BT295" s="2" t="s">
        <v>468</v>
      </c>
    </row>
    <row r="296" spans="1:72" x14ac:dyDescent="0.25">
      <c r="A296" s="2" t="s">
        <v>1511</v>
      </c>
      <c r="B296" s="2" t="s">
        <v>404</v>
      </c>
      <c r="C296" s="2" t="s">
        <v>228</v>
      </c>
      <c r="D296" s="4">
        <v>44109</v>
      </c>
      <c r="E296" s="4">
        <v>45204</v>
      </c>
      <c r="F296" s="3">
        <v>44326</v>
      </c>
      <c r="H296" s="2" t="s">
        <v>224</v>
      </c>
      <c r="I296" s="2" t="s">
        <v>254</v>
      </c>
      <c r="K296" s="2" t="s">
        <v>1512</v>
      </c>
      <c r="L296" s="2" t="s">
        <v>1513</v>
      </c>
      <c r="M296" s="2" t="s">
        <v>467</v>
      </c>
      <c r="W296" s="2">
        <f t="shared" si="52"/>
        <v>0</v>
      </c>
      <c r="X296" s="2" t="s">
        <v>385</v>
      </c>
      <c r="Y296" s="2">
        <v>2</v>
      </c>
      <c r="AF296" s="2">
        <f t="shared" si="44"/>
        <v>2</v>
      </c>
      <c r="AG296" s="2">
        <f t="shared" si="51"/>
        <v>2</v>
      </c>
      <c r="AH296" s="2">
        <f t="shared" si="53"/>
        <v>0</v>
      </c>
      <c r="AI296" s="2">
        <f t="shared" si="54"/>
        <v>0</v>
      </c>
      <c r="AJ296" s="2">
        <f t="shared" si="55"/>
        <v>0</v>
      </c>
      <c r="AK296" s="2">
        <f t="shared" si="56"/>
        <v>0</v>
      </c>
      <c r="AL296" s="2">
        <f t="shared" si="57"/>
        <v>0</v>
      </c>
      <c r="AM296" s="2">
        <f t="shared" si="58"/>
        <v>0</v>
      </c>
      <c r="AP296" s="2">
        <v>2</v>
      </c>
      <c r="AS296" s="309">
        <v>0.5</v>
      </c>
      <c r="AT296" s="180">
        <v>0.5</v>
      </c>
      <c r="AU296" s="180">
        <v>0.5</v>
      </c>
      <c r="AV296" s="180">
        <v>0.5</v>
      </c>
      <c r="AW296" s="310"/>
      <c r="BC296" s="218">
        <v>2</v>
      </c>
      <c r="BH296" s="2">
        <v>519056</v>
      </c>
      <c r="BI296" s="2">
        <v>176648</v>
      </c>
      <c r="BJ296" s="2" t="s">
        <v>428</v>
      </c>
      <c r="BL296" s="2" t="s">
        <v>161</v>
      </c>
      <c r="BS296" s="240" t="s">
        <v>148</v>
      </c>
      <c r="BT296" s="2" t="s">
        <v>468</v>
      </c>
    </row>
    <row r="297" spans="1:72" x14ac:dyDescent="0.25">
      <c r="A297" s="2" t="s">
        <v>1514</v>
      </c>
      <c r="B297" s="2" t="s">
        <v>434</v>
      </c>
      <c r="D297" s="4">
        <v>44118</v>
      </c>
      <c r="E297" s="4">
        <v>45213</v>
      </c>
      <c r="H297" s="2" t="s">
        <v>224</v>
      </c>
      <c r="I297" s="2" t="s">
        <v>254</v>
      </c>
      <c r="K297" s="2" t="s">
        <v>1515</v>
      </c>
      <c r="L297" s="2" t="s">
        <v>1516</v>
      </c>
      <c r="M297" s="2" t="s">
        <v>1517</v>
      </c>
      <c r="P297" s="2">
        <v>1</v>
      </c>
      <c r="W297" s="2">
        <f t="shared" si="52"/>
        <v>1</v>
      </c>
      <c r="X297" s="2" t="s">
        <v>385</v>
      </c>
      <c r="Y297" s="2">
        <v>2</v>
      </c>
      <c r="AF297" s="2">
        <f t="shared" si="44"/>
        <v>2</v>
      </c>
      <c r="AG297" s="2">
        <f t="shared" si="51"/>
        <v>2</v>
      </c>
      <c r="AH297" s="2">
        <f t="shared" si="53"/>
        <v>0</v>
      </c>
      <c r="AI297" s="2">
        <f t="shared" si="54"/>
        <v>-1</v>
      </c>
      <c r="AJ297" s="2">
        <f t="shared" si="55"/>
        <v>0</v>
      </c>
      <c r="AK297" s="2">
        <f t="shared" si="56"/>
        <v>0</v>
      </c>
      <c r="AL297" s="2">
        <f t="shared" si="57"/>
        <v>0</v>
      </c>
      <c r="AM297" s="2">
        <f t="shared" si="58"/>
        <v>0</v>
      </c>
      <c r="AP297" s="2">
        <v>1</v>
      </c>
      <c r="AS297" s="309">
        <v>0.25</v>
      </c>
      <c r="AT297" s="180">
        <v>0.25</v>
      </c>
      <c r="AU297" s="180">
        <v>0.25</v>
      </c>
      <c r="AV297" s="180">
        <v>0.25</v>
      </c>
      <c r="AW297" s="310"/>
      <c r="BC297" s="218">
        <v>1</v>
      </c>
      <c r="BH297" s="2">
        <v>513125</v>
      </c>
      <c r="BI297" s="2">
        <v>169836</v>
      </c>
      <c r="BJ297" s="2" t="s">
        <v>512</v>
      </c>
      <c r="BL297" s="2" t="s">
        <v>157</v>
      </c>
    </row>
    <row r="298" spans="1:72" x14ac:dyDescent="0.25">
      <c r="A298" s="2" t="s">
        <v>1518</v>
      </c>
      <c r="B298" s="2" t="s">
        <v>539</v>
      </c>
      <c r="D298" s="4">
        <v>44126</v>
      </c>
      <c r="E298" s="4">
        <v>44506</v>
      </c>
      <c r="H298" s="2" t="s">
        <v>224</v>
      </c>
      <c r="I298" s="2" t="s">
        <v>254</v>
      </c>
      <c r="K298" s="2" t="s">
        <v>1519</v>
      </c>
      <c r="L298" s="2" t="s">
        <v>1520</v>
      </c>
      <c r="M298" s="2" t="s">
        <v>1521</v>
      </c>
      <c r="P298" s="2">
        <v>1</v>
      </c>
      <c r="W298" s="2">
        <f t="shared" si="52"/>
        <v>1</v>
      </c>
      <c r="X298" s="2" t="s">
        <v>385</v>
      </c>
      <c r="Y298" s="2">
        <v>7</v>
      </c>
      <c r="AF298" s="2">
        <f t="shared" si="44"/>
        <v>7</v>
      </c>
      <c r="AG298" s="2">
        <f t="shared" si="51"/>
        <v>7</v>
      </c>
      <c r="AH298" s="2">
        <f t="shared" si="53"/>
        <v>0</v>
      </c>
      <c r="AI298" s="2">
        <f t="shared" si="54"/>
        <v>-1</v>
      </c>
      <c r="AJ298" s="2">
        <f t="shared" si="55"/>
        <v>0</v>
      </c>
      <c r="AK298" s="2">
        <f t="shared" si="56"/>
        <v>0</v>
      </c>
      <c r="AL298" s="2">
        <f t="shared" si="57"/>
        <v>0</v>
      </c>
      <c r="AM298" s="2">
        <f t="shared" si="58"/>
        <v>0</v>
      </c>
      <c r="AP298" s="2">
        <v>6</v>
      </c>
      <c r="AS298" s="309"/>
      <c r="AT298" s="180">
        <v>1.5</v>
      </c>
      <c r="AU298" s="180">
        <v>1.5</v>
      </c>
      <c r="AV298" s="180">
        <v>1.5</v>
      </c>
      <c r="AW298" s="310">
        <v>1.5</v>
      </c>
      <c r="BC298" s="218">
        <v>6</v>
      </c>
      <c r="BH298" s="2">
        <v>519849</v>
      </c>
      <c r="BI298" s="2">
        <v>175357</v>
      </c>
      <c r="BJ298" s="2" t="s">
        <v>407</v>
      </c>
      <c r="BL298" s="2" t="s">
        <v>163</v>
      </c>
    </row>
    <row r="299" spans="1:72" x14ac:dyDescent="0.25">
      <c r="A299" s="2" t="s">
        <v>1522</v>
      </c>
      <c r="B299" s="2" t="s">
        <v>404</v>
      </c>
      <c r="C299" s="2" t="s">
        <v>228</v>
      </c>
      <c r="D299" s="4">
        <v>44127</v>
      </c>
      <c r="E299" s="4">
        <v>45222</v>
      </c>
      <c r="H299" s="2" t="s">
        <v>224</v>
      </c>
      <c r="I299" s="2" t="s">
        <v>254</v>
      </c>
      <c r="K299" s="2" t="s">
        <v>1523</v>
      </c>
      <c r="L299" s="2" t="s">
        <v>1524</v>
      </c>
      <c r="M299" s="2" t="s">
        <v>1525</v>
      </c>
      <c r="W299" s="2">
        <f t="shared" si="52"/>
        <v>0</v>
      </c>
      <c r="X299" s="2" t="s">
        <v>385</v>
      </c>
      <c r="AA299" s="2">
        <v>1</v>
      </c>
      <c r="AF299" s="2">
        <f t="shared" si="44"/>
        <v>1</v>
      </c>
      <c r="AG299" s="2">
        <f t="shared" si="51"/>
        <v>0</v>
      </c>
      <c r="AH299" s="2">
        <f t="shared" si="53"/>
        <v>0</v>
      </c>
      <c r="AI299" s="2">
        <f t="shared" si="54"/>
        <v>1</v>
      </c>
      <c r="AJ299" s="2">
        <f t="shared" si="55"/>
        <v>0</v>
      </c>
      <c r="AK299" s="2">
        <f t="shared" si="56"/>
        <v>0</v>
      </c>
      <c r="AL299" s="2">
        <f t="shared" si="57"/>
        <v>0</v>
      </c>
      <c r="AM299" s="2">
        <f t="shared" si="58"/>
        <v>0</v>
      </c>
      <c r="AP299" s="2">
        <v>1</v>
      </c>
      <c r="AS299" s="309">
        <v>0.25</v>
      </c>
      <c r="AT299" s="180">
        <v>0.25</v>
      </c>
      <c r="AU299" s="180">
        <v>0.25</v>
      </c>
      <c r="AV299" s="180">
        <v>0.25</v>
      </c>
      <c r="AW299" s="310"/>
      <c r="BC299" s="218">
        <v>1</v>
      </c>
      <c r="BH299" s="2">
        <v>516240</v>
      </c>
      <c r="BI299" s="2">
        <v>173173</v>
      </c>
      <c r="BJ299" s="2" t="s">
        <v>456</v>
      </c>
      <c r="BL299" s="2" t="s">
        <v>167</v>
      </c>
      <c r="BM299" s="2" t="s">
        <v>142</v>
      </c>
    </row>
    <row r="300" spans="1:72" x14ac:dyDescent="0.25">
      <c r="A300" s="2" t="s">
        <v>1526</v>
      </c>
      <c r="B300" s="2" t="s">
        <v>434</v>
      </c>
      <c r="D300" s="4">
        <v>44134</v>
      </c>
      <c r="E300" s="4">
        <v>45229</v>
      </c>
      <c r="H300" s="2" t="s">
        <v>224</v>
      </c>
      <c r="I300" s="2" t="s">
        <v>254</v>
      </c>
      <c r="K300" s="2" t="s">
        <v>1527</v>
      </c>
      <c r="L300" s="2" t="s">
        <v>1528</v>
      </c>
      <c r="M300" s="2" t="s">
        <v>1529</v>
      </c>
      <c r="U300" s="2">
        <v>1</v>
      </c>
      <c r="W300" s="2">
        <f t="shared" si="52"/>
        <v>1</v>
      </c>
      <c r="X300" s="2" t="s">
        <v>385</v>
      </c>
      <c r="AA300" s="2">
        <v>1</v>
      </c>
      <c r="AC300" s="2">
        <v>1</v>
      </c>
      <c r="AF300" s="2">
        <f t="shared" si="44"/>
        <v>2</v>
      </c>
      <c r="AG300" s="2">
        <f t="shared" si="51"/>
        <v>0</v>
      </c>
      <c r="AH300" s="2">
        <f t="shared" si="53"/>
        <v>0</v>
      </c>
      <c r="AI300" s="2">
        <f t="shared" si="54"/>
        <v>1</v>
      </c>
      <c r="AJ300" s="2">
        <f t="shared" si="55"/>
        <v>0</v>
      </c>
      <c r="AK300" s="2">
        <f t="shared" si="56"/>
        <v>1</v>
      </c>
      <c r="AL300" s="2">
        <f t="shared" si="57"/>
        <v>0</v>
      </c>
      <c r="AM300" s="2">
        <f t="shared" si="58"/>
        <v>0</v>
      </c>
      <c r="AN300" s="2">
        <v>-1</v>
      </c>
      <c r="AP300" s="2">
        <v>1</v>
      </c>
      <c r="AS300" s="309">
        <v>0.25</v>
      </c>
      <c r="AT300" s="180">
        <v>0.25</v>
      </c>
      <c r="AU300" s="180">
        <v>0.25</v>
      </c>
      <c r="AV300" s="180">
        <v>0.25</v>
      </c>
      <c r="AW300" s="310"/>
      <c r="BC300" s="218">
        <v>1</v>
      </c>
      <c r="BH300" s="2">
        <v>521660</v>
      </c>
      <c r="BI300" s="2">
        <v>176636</v>
      </c>
      <c r="BJ300" s="2" t="s">
        <v>418</v>
      </c>
      <c r="BL300" s="2" t="s">
        <v>154</v>
      </c>
      <c r="BN300" s="2" t="s">
        <v>139</v>
      </c>
      <c r="BS300" s="240" t="s">
        <v>148</v>
      </c>
      <c r="BT300" s="2" t="s">
        <v>451</v>
      </c>
    </row>
    <row r="301" spans="1:72" x14ac:dyDescent="0.25">
      <c r="A301" s="2" t="s">
        <v>1530</v>
      </c>
      <c r="B301" s="2" t="s">
        <v>382</v>
      </c>
      <c r="D301" s="4">
        <v>44137</v>
      </c>
      <c r="E301" s="4">
        <v>45232</v>
      </c>
      <c r="H301" s="2" t="s">
        <v>224</v>
      </c>
      <c r="I301" s="2" t="s">
        <v>254</v>
      </c>
      <c r="K301" s="2" t="s">
        <v>1531</v>
      </c>
      <c r="L301" s="2" t="s">
        <v>1532</v>
      </c>
      <c r="M301" s="2" t="s">
        <v>1533</v>
      </c>
      <c r="W301" s="2">
        <f t="shared" si="52"/>
        <v>0</v>
      </c>
      <c r="X301" s="2" t="s">
        <v>385</v>
      </c>
      <c r="Z301" s="2">
        <v>1</v>
      </c>
      <c r="AF301" s="2">
        <f t="shared" si="44"/>
        <v>1</v>
      </c>
      <c r="AG301" s="2">
        <f t="shared" si="51"/>
        <v>0</v>
      </c>
      <c r="AH301" s="2">
        <f t="shared" si="53"/>
        <v>1</v>
      </c>
      <c r="AI301" s="2">
        <f t="shared" si="54"/>
        <v>0</v>
      </c>
      <c r="AJ301" s="2">
        <f t="shared" si="55"/>
        <v>0</v>
      </c>
      <c r="AK301" s="2">
        <f t="shared" si="56"/>
        <v>0</v>
      </c>
      <c r="AL301" s="2">
        <f t="shared" si="57"/>
        <v>0</v>
      </c>
      <c r="AM301" s="2">
        <f t="shared" si="58"/>
        <v>0</v>
      </c>
      <c r="AP301" s="2">
        <v>1</v>
      </c>
      <c r="AS301" s="309"/>
      <c r="AT301" s="180">
        <v>0.25</v>
      </c>
      <c r="AU301" s="180">
        <v>0.25</v>
      </c>
      <c r="AV301" s="180">
        <v>0.25</v>
      </c>
      <c r="AW301" s="310">
        <v>0.25</v>
      </c>
      <c r="BC301" s="218">
        <v>1</v>
      </c>
      <c r="BH301" s="2">
        <v>513119</v>
      </c>
      <c r="BI301" s="2">
        <v>172196</v>
      </c>
      <c r="BJ301" s="2" t="s">
        <v>463</v>
      </c>
      <c r="BK301" s="2" t="s">
        <v>147</v>
      </c>
      <c r="BL301" s="2" t="s">
        <v>168</v>
      </c>
    </row>
    <row r="302" spans="1:72" x14ac:dyDescent="0.25">
      <c r="A302" s="2" t="s">
        <v>1534</v>
      </c>
      <c r="B302" s="2" t="s">
        <v>382</v>
      </c>
      <c r="D302" s="4">
        <v>44141</v>
      </c>
      <c r="E302" s="4">
        <v>45236</v>
      </c>
      <c r="H302" s="2" t="s">
        <v>224</v>
      </c>
      <c r="I302" s="2" t="s">
        <v>254</v>
      </c>
      <c r="K302" s="2" t="s">
        <v>1535</v>
      </c>
      <c r="L302" s="2" t="s">
        <v>1536</v>
      </c>
      <c r="M302" s="2" t="s">
        <v>1537</v>
      </c>
      <c r="R302" s="2">
        <v>1</v>
      </c>
      <c r="W302" s="2">
        <f t="shared" si="52"/>
        <v>1</v>
      </c>
      <c r="X302" s="2" t="s">
        <v>385</v>
      </c>
      <c r="AC302" s="2">
        <v>1</v>
      </c>
      <c r="AF302" s="2">
        <f t="shared" si="44"/>
        <v>1</v>
      </c>
      <c r="AG302" s="2">
        <f t="shared" si="51"/>
        <v>0</v>
      </c>
      <c r="AH302" s="2">
        <f t="shared" si="53"/>
        <v>0</v>
      </c>
      <c r="AI302" s="2">
        <f t="shared" si="54"/>
        <v>0</v>
      </c>
      <c r="AJ302" s="2">
        <f t="shared" si="55"/>
        <v>0</v>
      </c>
      <c r="AK302" s="2">
        <f t="shared" si="56"/>
        <v>0</v>
      </c>
      <c r="AL302" s="2">
        <f t="shared" si="57"/>
        <v>0</v>
      </c>
      <c r="AM302" s="2">
        <f t="shared" si="58"/>
        <v>0</v>
      </c>
      <c r="AP302" s="2">
        <v>0</v>
      </c>
      <c r="AS302" s="309"/>
      <c r="AT302" s="180">
        <v>0</v>
      </c>
      <c r="AU302" s="180">
        <v>0</v>
      </c>
      <c r="AV302" s="180">
        <v>0</v>
      </c>
      <c r="AW302" s="310">
        <v>0</v>
      </c>
      <c r="BC302" s="218">
        <v>0</v>
      </c>
      <c r="BH302" s="2">
        <v>515689</v>
      </c>
      <c r="BI302" s="2">
        <v>172252</v>
      </c>
      <c r="BJ302" s="2" t="s">
        <v>503</v>
      </c>
      <c r="BL302" s="2" t="s">
        <v>165</v>
      </c>
      <c r="BS302" s="240" t="s">
        <v>148</v>
      </c>
      <c r="BT302" s="2" t="s">
        <v>733</v>
      </c>
    </row>
    <row r="303" spans="1:72" x14ac:dyDescent="0.25">
      <c r="A303" s="2" t="s">
        <v>1538</v>
      </c>
      <c r="B303" s="2" t="s">
        <v>394</v>
      </c>
      <c r="D303" s="4">
        <v>44144</v>
      </c>
      <c r="E303" s="4">
        <v>45239</v>
      </c>
      <c r="H303" s="2" t="s">
        <v>224</v>
      </c>
      <c r="I303" s="2" t="s">
        <v>254</v>
      </c>
      <c r="K303" s="2" t="s">
        <v>1539</v>
      </c>
      <c r="L303" s="2" t="s">
        <v>1540</v>
      </c>
      <c r="M303" s="2" t="s">
        <v>1541</v>
      </c>
      <c r="O303" s="2">
        <v>1</v>
      </c>
      <c r="W303" s="2">
        <f t="shared" si="52"/>
        <v>1</v>
      </c>
      <c r="X303" s="2" t="s">
        <v>385</v>
      </c>
      <c r="Y303" s="2">
        <v>1</v>
      </c>
      <c r="Z303" s="2">
        <v>1</v>
      </c>
      <c r="AF303" s="2">
        <f t="shared" si="44"/>
        <v>2</v>
      </c>
      <c r="AG303" s="2">
        <f t="shared" si="51"/>
        <v>1</v>
      </c>
      <c r="AH303" s="2">
        <f t="shared" si="53"/>
        <v>0</v>
      </c>
      <c r="AI303" s="2">
        <f t="shared" si="54"/>
        <v>0</v>
      </c>
      <c r="AJ303" s="2">
        <f t="shared" si="55"/>
        <v>0</v>
      </c>
      <c r="AK303" s="2">
        <f t="shared" si="56"/>
        <v>0</v>
      </c>
      <c r="AL303" s="2">
        <f t="shared" si="57"/>
        <v>0</v>
      </c>
      <c r="AM303" s="2">
        <f t="shared" si="58"/>
        <v>0</v>
      </c>
      <c r="AP303" s="2">
        <v>1</v>
      </c>
      <c r="AS303" s="309"/>
      <c r="AT303" s="180">
        <v>0.25</v>
      </c>
      <c r="AU303" s="180">
        <v>0.25</v>
      </c>
      <c r="AV303" s="180">
        <v>0.25</v>
      </c>
      <c r="AW303" s="310">
        <v>0.25</v>
      </c>
      <c r="BC303" s="218">
        <v>1</v>
      </c>
      <c r="BH303" s="2">
        <v>520903</v>
      </c>
      <c r="BI303" s="2">
        <v>175430</v>
      </c>
      <c r="BJ303" s="2" t="s">
        <v>481</v>
      </c>
      <c r="BL303" s="2" t="s">
        <v>137</v>
      </c>
      <c r="BM303" s="2" t="s">
        <v>137</v>
      </c>
    </row>
    <row r="304" spans="1:72" x14ac:dyDescent="0.25">
      <c r="A304" s="2" t="s">
        <v>1542</v>
      </c>
      <c r="B304" s="2" t="s">
        <v>404</v>
      </c>
      <c r="D304" s="4">
        <v>44144</v>
      </c>
      <c r="E304" s="4">
        <v>45239</v>
      </c>
      <c r="H304" s="2" t="s">
        <v>224</v>
      </c>
      <c r="I304" s="2" t="s">
        <v>254</v>
      </c>
      <c r="K304" s="2" t="s">
        <v>1543</v>
      </c>
      <c r="L304" s="2" t="s">
        <v>1544</v>
      </c>
      <c r="M304" s="2" t="s">
        <v>1545</v>
      </c>
      <c r="Q304" s="2">
        <v>1</v>
      </c>
      <c r="W304" s="2">
        <f t="shared" si="52"/>
        <v>1</v>
      </c>
      <c r="X304" s="2" t="s">
        <v>385</v>
      </c>
      <c r="Z304" s="2">
        <v>2</v>
      </c>
      <c r="AF304" s="2">
        <f t="shared" si="44"/>
        <v>2</v>
      </c>
      <c r="AG304" s="2">
        <f t="shared" si="51"/>
        <v>0</v>
      </c>
      <c r="AH304" s="2">
        <f t="shared" si="53"/>
        <v>2</v>
      </c>
      <c r="AI304" s="2">
        <f t="shared" si="54"/>
        <v>0</v>
      </c>
      <c r="AJ304" s="2">
        <f t="shared" si="55"/>
        <v>-1</v>
      </c>
      <c r="AK304" s="2">
        <f t="shared" si="56"/>
        <v>0</v>
      </c>
      <c r="AL304" s="2">
        <f t="shared" si="57"/>
        <v>0</v>
      </c>
      <c r="AM304" s="2">
        <f t="shared" si="58"/>
        <v>0</v>
      </c>
      <c r="AP304" s="2">
        <v>1</v>
      </c>
      <c r="AS304" s="309">
        <v>0.25</v>
      </c>
      <c r="AT304" s="180">
        <v>0.25</v>
      </c>
      <c r="AU304" s="180">
        <v>0.25</v>
      </c>
      <c r="AV304" s="180">
        <v>0.25</v>
      </c>
      <c r="AW304" s="310"/>
      <c r="BC304" s="218">
        <v>1</v>
      </c>
      <c r="BH304" s="2">
        <v>515798</v>
      </c>
      <c r="BI304" s="2">
        <v>173148</v>
      </c>
      <c r="BJ304" s="2" t="s">
        <v>503</v>
      </c>
      <c r="BL304" s="2" t="s">
        <v>165</v>
      </c>
      <c r="BM304" s="2" t="s">
        <v>142</v>
      </c>
    </row>
    <row r="305" spans="1:72" x14ac:dyDescent="0.25">
      <c r="A305" s="2" t="s">
        <v>1546</v>
      </c>
      <c r="B305" s="2" t="s">
        <v>434</v>
      </c>
      <c r="D305" s="4">
        <v>44169</v>
      </c>
      <c r="E305" s="4">
        <v>45264</v>
      </c>
      <c r="H305" s="2" t="s">
        <v>224</v>
      </c>
      <c r="I305" s="2" t="s">
        <v>254</v>
      </c>
      <c r="K305" s="2" t="s">
        <v>1547</v>
      </c>
      <c r="L305" s="2" t="s">
        <v>1548</v>
      </c>
      <c r="M305" s="2" t="s">
        <v>1549</v>
      </c>
      <c r="P305" s="2">
        <v>1</v>
      </c>
      <c r="W305" s="2">
        <f t="shared" si="52"/>
        <v>1</v>
      </c>
      <c r="X305" s="2" t="s">
        <v>385</v>
      </c>
      <c r="Y305" s="2">
        <v>2</v>
      </c>
      <c r="AF305" s="2">
        <f t="shared" si="44"/>
        <v>2</v>
      </c>
      <c r="AG305" s="2">
        <f t="shared" si="51"/>
        <v>2</v>
      </c>
      <c r="AH305" s="2">
        <f t="shared" si="53"/>
        <v>0</v>
      </c>
      <c r="AI305" s="2">
        <f t="shared" si="54"/>
        <v>-1</v>
      </c>
      <c r="AJ305" s="2">
        <f t="shared" si="55"/>
        <v>0</v>
      </c>
      <c r="AK305" s="2">
        <f t="shared" si="56"/>
        <v>0</v>
      </c>
      <c r="AL305" s="2">
        <f t="shared" si="57"/>
        <v>0</v>
      </c>
      <c r="AM305" s="2">
        <f t="shared" si="58"/>
        <v>0</v>
      </c>
      <c r="AP305" s="2">
        <v>1</v>
      </c>
      <c r="AS305" s="309">
        <v>0.25</v>
      </c>
      <c r="AT305" s="180">
        <v>0.25</v>
      </c>
      <c r="AU305" s="180">
        <v>0.25</v>
      </c>
      <c r="AV305" s="180">
        <v>0.25</v>
      </c>
      <c r="AW305" s="310"/>
      <c r="BC305" s="218">
        <v>1</v>
      </c>
      <c r="BH305" s="2">
        <v>520166</v>
      </c>
      <c r="BI305" s="2">
        <v>175305</v>
      </c>
      <c r="BJ305" s="2" t="s">
        <v>481</v>
      </c>
      <c r="BL305" s="2" t="s">
        <v>137</v>
      </c>
      <c r="BM305" s="2" t="s">
        <v>137</v>
      </c>
    </row>
    <row r="306" spans="1:72" x14ac:dyDescent="0.25">
      <c r="A306" s="2" t="s">
        <v>1550</v>
      </c>
      <c r="B306" s="2" t="s">
        <v>539</v>
      </c>
      <c r="D306" s="4">
        <v>44175</v>
      </c>
      <c r="E306" s="4">
        <v>44800</v>
      </c>
      <c r="H306" s="2" t="s">
        <v>224</v>
      </c>
      <c r="I306" s="2" t="s">
        <v>254</v>
      </c>
      <c r="K306" s="2" t="s">
        <v>1551</v>
      </c>
      <c r="L306" s="2" t="s">
        <v>1552</v>
      </c>
      <c r="M306" s="2" t="s">
        <v>1553</v>
      </c>
      <c r="W306" s="2">
        <f t="shared" si="52"/>
        <v>0</v>
      </c>
      <c r="X306" s="2" t="s">
        <v>385</v>
      </c>
      <c r="Y306" s="2">
        <v>2</v>
      </c>
      <c r="AF306" s="2">
        <f t="shared" si="44"/>
        <v>2</v>
      </c>
      <c r="AG306" s="2">
        <f t="shared" si="51"/>
        <v>2</v>
      </c>
      <c r="AH306" s="2">
        <f t="shared" si="53"/>
        <v>0</v>
      </c>
      <c r="AI306" s="2">
        <f t="shared" si="54"/>
        <v>0</v>
      </c>
      <c r="AJ306" s="2">
        <f t="shared" si="55"/>
        <v>0</v>
      </c>
      <c r="AK306" s="2">
        <f t="shared" si="56"/>
        <v>0</v>
      </c>
      <c r="AL306" s="2">
        <f t="shared" si="57"/>
        <v>0</v>
      </c>
      <c r="AM306" s="2">
        <f t="shared" si="58"/>
        <v>0</v>
      </c>
      <c r="AP306" s="2">
        <v>2</v>
      </c>
      <c r="AS306" s="309">
        <v>0.5</v>
      </c>
      <c r="AT306" s="180">
        <v>0.5</v>
      </c>
      <c r="AU306" s="180">
        <v>0.5</v>
      </c>
      <c r="AV306" s="180">
        <v>0.5</v>
      </c>
      <c r="AW306" s="310"/>
      <c r="BC306" s="218">
        <v>2</v>
      </c>
      <c r="BH306" s="2">
        <v>517355</v>
      </c>
      <c r="BI306" s="2">
        <v>169968</v>
      </c>
      <c r="BJ306" s="2" t="s">
        <v>443</v>
      </c>
      <c r="BL306" s="2" t="s">
        <v>159</v>
      </c>
    </row>
    <row r="307" spans="1:72" x14ac:dyDescent="0.25">
      <c r="A307" s="2" t="s">
        <v>1554</v>
      </c>
      <c r="B307" s="2" t="s">
        <v>404</v>
      </c>
      <c r="D307" s="4">
        <v>44176</v>
      </c>
      <c r="E307" s="4">
        <v>45274</v>
      </c>
      <c r="H307" s="2" t="s">
        <v>224</v>
      </c>
      <c r="I307" s="2" t="s">
        <v>254</v>
      </c>
      <c r="K307" s="2" t="s">
        <v>1555</v>
      </c>
      <c r="L307" s="2" t="s">
        <v>1556</v>
      </c>
      <c r="M307" s="2" t="s">
        <v>1557</v>
      </c>
      <c r="W307" s="2">
        <f t="shared" si="52"/>
        <v>0</v>
      </c>
      <c r="X307" s="2" t="s">
        <v>385</v>
      </c>
      <c r="Z307" s="2">
        <v>1</v>
      </c>
      <c r="AF307" s="2">
        <f t="shared" si="44"/>
        <v>1</v>
      </c>
      <c r="AG307" s="2">
        <f t="shared" si="51"/>
        <v>0</v>
      </c>
      <c r="AH307" s="2">
        <f t="shared" si="53"/>
        <v>1</v>
      </c>
      <c r="AI307" s="2">
        <f t="shared" si="54"/>
        <v>0</v>
      </c>
      <c r="AJ307" s="2">
        <f t="shared" si="55"/>
        <v>0</v>
      </c>
      <c r="AK307" s="2">
        <f t="shared" si="56"/>
        <v>0</v>
      </c>
      <c r="AL307" s="2">
        <f t="shared" si="57"/>
        <v>0</v>
      </c>
      <c r="AM307" s="2">
        <f t="shared" si="58"/>
        <v>0</v>
      </c>
      <c r="AP307" s="2">
        <v>1</v>
      </c>
      <c r="AS307" s="309">
        <v>0.25</v>
      </c>
      <c r="AT307" s="180">
        <v>0.25</v>
      </c>
      <c r="AU307" s="180">
        <v>0.25</v>
      </c>
      <c r="AV307" s="180">
        <v>0.25</v>
      </c>
      <c r="AW307" s="310"/>
      <c r="BC307" s="218">
        <v>1</v>
      </c>
      <c r="BH307" s="2">
        <v>515502</v>
      </c>
      <c r="BI307" s="2">
        <v>173093</v>
      </c>
      <c r="BJ307" s="2" t="s">
        <v>503</v>
      </c>
      <c r="BL307" s="2" t="s">
        <v>165</v>
      </c>
      <c r="BO307" s="2" t="s">
        <v>141</v>
      </c>
      <c r="BP307" s="2" t="s">
        <v>1558</v>
      </c>
      <c r="BS307" s="240" t="s">
        <v>148</v>
      </c>
      <c r="BT307" s="2" t="s">
        <v>1559</v>
      </c>
    </row>
    <row r="308" spans="1:72" x14ac:dyDescent="0.25">
      <c r="A308" s="2" t="s">
        <v>1560</v>
      </c>
      <c r="B308" s="2" t="s">
        <v>382</v>
      </c>
      <c r="D308" s="4">
        <v>44184</v>
      </c>
      <c r="E308" s="4">
        <v>45281</v>
      </c>
      <c r="H308" s="2" t="s">
        <v>224</v>
      </c>
      <c r="I308" s="2" t="s">
        <v>254</v>
      </c>
      <c r="K308" s="2" t="s">
        <v>1561</v>
      </c>
      <c r="L308" s="2" t="s">
        <v>1562</v>
      </c>
      <c r="M308" s="2" t="s">
        <v>1074</v>
      </c>
      <c r="P308" s="2">
        <v>1</v>
      </c>
      <c r="W308" s="2">
        <f t="shared" si="52"/>
        <v>1</v>
      </c>
      <c r="X308" s="2" t="s">
        <v>385</v>
      </c>
      <c r="AB308" s="2">
        <v>1</v>
      </c>
      <c r="AF308" s="2">
        <f t="shared" si="44"/>
        <v>1</v>
      </c>
      <c r="AG308" s="2">
        <f t="shared" si="51"/>
        <v>0</v>
      </c>
      <c r="AH308" s="2">
        <f t="shared" si="53"/>
        <v>0</v>
      </c>
      <c r="AI308" s="2">
        <f t="shared" si="54"/>
        <v>-1</v>
      </c>
      <c r="AJ308" s="2">
        <f t="shared" si="55"/>
        <v>1</v>
      </c>
      <c r="AK308" s="2">
        <f t="shared" si="56"/>
        <v>0</v>
      </c>
      <c r="AL308" s="2">
        <f t="shared" si="57"/>
        <v>0</v>
      </c>
      <c r="AM308" s="2">
        <f t="shared" si="58"/>
        <v>0</v>
      </c>
      <c r="AP308" s="2">
        <v>0</v>
      </c>
      <c r="AS308" s="309"/>
      <c r="AT308" s="180">
        <v>0</v>
      </c>
      <c r="AU308" s="180">
        <v>0</v>
      </c>
      <c r="AV308" s="180">
        <v>0</v>
      </c>
      <c r="AW308" s="310">
        <v>0</v>
      </c>
      <c r="BC308" s="218">
        <v>0</v>
      </c>
      <c r="BH308" s="2">
        <v>522113</v>
      </c>
      <c r="BI308" s="2">
        <v>177588</v>
      </c>
      <c r="BJ308" s="2" t="s">
        <v>418</v>
      </c>
      <c r="BL308" s="2" t="s">
        <v>154</v>
      </c>
    </row>
    <row r="309" spans="1:72" x14ac:dyDescent="0.25">
      <c r="A309" s="2" t="s">
        <v>1563</v>
      </c>
      <c r="B309" s="2" t="s">
        <v>404</v>
      </c>
      <c r="D309" s="4">
        <v>44187</v>
      </c>
      <c r="E309" s="4">
        <v>45282</v>
      </c>
      <c r="H309" s="2" t="s">
        <v>224</v>
      </c>
      <c r="I309" s="2" t="s">
        <v>254</v>
      </c>
      <c r="K309" s="2" t="s">
        <v>1564</v>
      </c>
      <c r="L309" s="2" t="s">
        <v>1565</v>
      </c>
      <c r="M309" s="2" t="s">
        <v>1566</v>
      </c>
      <c r="W309" s="2">
        <f t="shared" si="52"/>
        <v>0</v>
      </c>
      <c r="X309" s="2" t="s">
        <v>385</v>
      </c>
      <c r="AC309" s="2">
        <v>1</v>
      </c>
      <c r="AF309" s="2">
        <f t="shared" si="44"/>
        <v>1</v>
      </c>
      <c r="AG309" s="2">
        <f t="shared" si="51"/>
        <v>0</v>
      </c>
      <c r="AH309" s="2">
        <f t="shared" si="53"/>
        <v>0</v>
      </c>
      <c r="AI309" s="2">
        <f t="shared" si="54"/>
        <v>0</v>
      </c>
      <c r="AJ309" s="2">
        <f t="shared" si="55"/>
        <v>0</v>
      </c>
      <c r="AK309" s="2">
        <f t="shared" si="56"/>
        <v>1</v>
      </c>
      <c r="AL309" s="2">
        <f t="shared" si="57"/>
        <v>0</v>
      </c>
      <c r="AM309" s="2">
        <f t="shared" si="58"/>
        <v>0</v>
      </c>
      <c r="AP309" s="2">
        <v>1</v>
      </c>
      <c r="AS309" s="309">
        <v>0.25</v>
      </c>
      <c r="AT309" s="180">
        <v>0.25</v>
      </c>
      <c r="AU309" s="180">
        <v>0.25</v>
      </c>
      <c r="AV309" s="180">
        <v>0.25</v>
      </c>
      <c r="AW309" s="310"/>
      <c r="BC309" s="218">
        <v>1</v>
      </c>
      <c r="BH309" s="2">
        <v>518366</v>
      </c>
      <c r="BI309" s="2">
        <v>173868</v>
      </c>
      <c r="BJ309" s="2" t="s">
        <v>411</v>
      </c>
      <c r="BL309" s="2" t="s">
        <v>156</v>
      </c>
      <c r="BN309" s="2" t="s">
        <v>139</v>
      </c>
      <c r="BR309" s="2" t="s">
        <v>1567</v>
      </c>
      <c r="BS309" s="240" t="s">
        <v>148</v>
      </c>
      <c r="BT309" s="2" t="s">
        <v>665</v>
      </c>
    </row>
    <row r="310" spans="1:72" x14ac:dyDescent="0.25">
      <c r="A310" s="2" t="s">
        <v>1568</v>
      </c>
      <c r="B310" s="2" t="s">
        <v>382</v>
      </c>
      <c r="D310" s="4">
        <v>44188</v>
      </c>
      <c r="E310" s="4">
        <v>45284</v>
      </c>
      <c r="F310" s="3">
        <v>44316</v>
      </c>
      <c r="H310" s="2" t="s">
        <v>224</v>
      </c>
      <c r="I310" s="2" t="s">
        <v>254</v>
      </c>
      <c r="K310" s="2" t="s">
        <v>1569</v>
      </c>
      <c r="L310" s="2" t="s">
        <v>1570</v>
      </c>
      <c r="M310" s="2" t="s">
        <v>1571</v>
      </c>
      <c r="Q310" s="2">
        <v>1</v>
      </c>
      <c r="W310" s="2">
        <f t="shared" si="52"/>
        <v>1</v>
      </c>
      <c r="X310" s="2" t="s">
        <v>385</v>
      </c>
      <c r="AB310" s="2">
        <v>1</v>
      </c>
      <c r="AF310" s="2">
        <f t="shared" si="44"/>
        <v>1</v>
      </c>
      <c r="AG310" s="2">
        <f t="shared" si="51"/>
        <v>0</v>
      </c>
      <c r="AH310" s="2">
        <f t="shared" si="53"/>
        <v>0</v>
      </c>
      <c r="AI310" s="2">
        <f t="shared" si="54"/>
        <v>0</v>
      </c>
      <c r="AJ310" s="2">
        <f t="shared" si="55"/>
        <v>0</v>
      </c>
      <c r="AK310" s="2">
        <f t="shared" si="56"/>
        <v>0</v>
      </c>
      <c r="AL310" s="2">
        <f t="shared" si="57"/>
        <v>0</v>
      </c>
      <c r="AM310" s="2">
        <f t="shared" si="58"/>
        <v>0</v>
      </c>
      <c r="AP310" s="2">
        <v>0</v>
      </c>
      <c r="AS310" s="309"/>
      <c r="AT310" s="180">
        <v>0</v>
      </c>
      <c r="AU310" s="180">
        <v>0</v>
      </c>
      <c r="AV310" s="180">
        <v>0</v>
      </c>
      <c r="AW310" s="310">
        <v>0</v>
      </c>
      <c r="BC310" s="218">
        <v>0</v>
      </c>
      <c r="BH310" s="2">
        <v>513837</v>
      </c>
      <c r="BI310" s="2">
        <v>170102</v>
      </c>
      <c r="BJ310" s="2" t="s">
        <v>512</v>
      </c>
      <c r="BL310" s="2" t="s">
        <v>157</v>
      </c>
    </row>
    <row r="311" spans="1:72" x14ac:dyDescent="0.25">
      <c r="A311" s="2" t="s">
        <v>1572</v>
      </c>
      <c r="B311" s="2" t="s">
        <v>382</v>
      </c>
      <c r="D311" s="4">
        <v>44201</v>
      </c>
      <c r="E311" s="4">
        <v>45297</v>
      </c>
      <c r="H311" s="2" t="s">
        <v>224</v>
      </c>
      <c r="I311" s="2" t="s">
        <v>254</v>
      </c>
      <c r="K311" s="2" t="s">
        <v>1573</v>
      </c>
      <c r="L311" s="2" t="s">
        <v>1574</v>
      </c>
      <c r="M311" s="2" t="s">
        <v>1575</v>
      </c>
      <c r="W311" s="2">
        <f t="shared" si="52"/>
        <v>0</v>
      </c>
      <c r="X311" s="2" t="s">
        <v>385</v>
      </c>
      <c r="AC311" s="2">
        <v>2</v>
      </c>
      <c r="AF311" s="2">
        <f t="shared" si="44"/>
        <v>2</v>
      </c>
      <c r="AG311" s="2">
        <f t="shared" si="51"/>
        <v>0</v>
      </c>
      <c r="AH311" s="2">
        <f t="shared" si="53"/>
        <v>0</v>
      </c>
      <c r="AI311" s="2">
        <f t="shared" si="54"/>
        <v>0</v>
      </c>
      <c r="AJ311" s="2">
        <f t="shared" si="55"/>
        <v>0</v>
      </c>
      <c r="AK311" s="2">
        <f t="shared" si="56"/>
        <v>2</v>
      </c>
      <c r="AL311" s="2">
        <f t="shared" si="57"/>
        <v>0</v>
      </c>
      <c r="AM311" s="2">
        <f t="shared" si="58"/>
        <v>0</v>
      </c>
      <c r="AP311" s="2">
        <v>2</v>
      </c>
      <c r="AS311" s="309"/>
      <c r="AT311" s="180">
        <v>0.5</v>
      </c>
      <c r="AU311" s="180">
        <v>0.5</v>
      </c>
      <c r="AV311" s="180">
        <v>0.5</v>
      </c>
      <c r="AW311" s="310">
        <v>0.5</v>
      </c>
      <c r="BC311" s="218">
        <v>2</v>
      </c>
      <c r="BH311" s="2">
        <v>513454</v>
      </c>
      <c r="BI311" s="2">
        <v>170508</v>
      </c>
      <c r="BJ311" s="2" t="s">
        <v>512</v>
      </c>
      <c r="BL311" s="2" t="s">
        <v>157</v>
      </c>
    </row>
    <row r="312" spans="1:72" x14ac:dyDescent="0.25">
      <c r="A312" s="2" t="s">
        <v>1576</v>
      </c>
      <c r="B312" s="2" t="s">
        <v>382</v>
      </c>
      <c r="D312" s="4">
        <v>44209</v>
      </c>
      <c r="E312" s="4">
        <v>45304</v>
      </c>
      <c r="H312" s="2" t="s">
        <v>224</v>
      </c>
      <c r="I312" s="2" t="s">
        <v>254</v>
      </c>
      <c r="K312" s="2" t="s">
        <v>1577</v>
      </c>
      <c r="L312" s="2" t="s">
        <v>1578</v>
      </c>
      <c r="M312" s="2" t="s">
        <v>652</v>
      </c>
      <c r="W312" s="2">
        <f t="shared" si="52"/>
        <v>0</v>
      </c>
      <c r="X312" s="2" t="s">
        <v>385</v>
      </c>
      <c r="Z312" s="2">
        <v>2</v>
      </c>
      <c r="AF312" s="2">
        <f t="shared" si="44"/>
        <v>2</v>
      </c>
      <c r="AG312" s="2">
        <f t="shared" si="51"/>
        <v>0</v>
      </c>
      <c r="AH312" s="2">
        <f t="shared" si="53"/>
        <v>2</v>
      </c>
      <c r="AI312" s="2">
        <f t="shared" si="54"/>
        <v>0</v>
      </c>
      <c r="AJ312" s="2">
        <f t="shared" si="55"/>
        <v>0</v>
      </c>
      <c r="AK312" s="2">
        <f t="shared" si="56"/>
        <v>0</v>
      </c>
      <c r="AL312" s="2">
        <f t="shared" si="57"/>
        <v>0</v>
      </c>
      <c r="AM312" s="2">
        <f t="shared" si="58"/>
        <v>0</v>
      </c>
      <c r="AP312" s="2">
        <v>2</v>
      </c>
      <c r="AS312" s="309"/>
      <c r="AT312" s="180">
        <v>0.5</v>
      </c>
      <c r="AU312" s="180">
        <v>0.5</v>
      </c>
      <c r="AV312" s="180">
        <v>0.5</v>
      </c>
      <c r="AW312" s="310">
        <v>0.5</v>
      </c>
      <c r="BC312" s="218">
        <v>2</v>
      </c>
      <c r="BH312" s="2">
        <v>520452</v>
      </c>
      <c r="BI312" s="2">
        <v>175621</v>
      </c>
      <c r="BJ312" s="2" t="s">
        <v>481</v>
      </c>
      <c r="BL312" s="2" t="s">
        <v>137</v>
      </c>
      <c r="BS312" s="240" t="s">
        <v>148</v>
      </c>
      <c r="BT312" s="2" t="s">
        <v>490</v>
      </c>
    </row>
    <row r="313" spans="1:72" s="242" customFormat="1" x14ac:dyDescent="0.25">
      <c r="A313" s="2" t="s">
        <v>1579</v>
      </c>
      <c r="B313" s="2" t="s">
        <v>382</v>
      </c>
      <c r="C313" s="2"/>
      <c r="D313" s="3">
        <v>44209</v>
      </c>
      <c r="E313" s="3">
        <v>45304</v>
      </c>
      <c r="F313" s="2"/>
      <c r="G313" s="2"/>
      <c r="H313" s="2" t="s">
        <v>224</v>
      </c>
      <c r="I313" s="2" t="s">
        <v>254</v>
      </c>
      <c r="J313" s="2"/>
      <c r="K313" s="2" t="s">
        <v>1580</v>
      </c>
      <c r="L313" s="2" t="s">
        <v>1581</v>
      </c>
      <c r="M313" s="2" t="s">
        <v>1582</v>
      </c>
      <c r="N313" s="2"/>
      <c r="O313" s="2"/>
      <c r="P313" s="2"/>
      <c r="Q313" s="2"/>
      <c r="R313" s="2"/>
      <c r="S313" s="2"/>
      <c r="T313" s="2"/>
      <c r="U313" s="2"/>
      <c r="V313" s="2"/>
      <c r="W313" s="2">
        <f t="shared" si="52"/>
        <v>0</v>
      </c>
      <c r="X313" s="2"/>
      <c r="Y313" s="2"/>
      <c r="Z313" s="2"/>
      <c r="AA313" s="2"/>
      <c r="AB313" s="2">
        <v>6</v>
      </c>
      <c r="AC313" s="2"/>
      <c r="AD313" s="2"/>
      <c r="AE313" s="2"/>
      <c r="AF313" s="2">
        <f t="shared" si="44"/>
        <v>6</v>
      </c>
      <c r="AG313" s="2">
        <f t="shared" si="51"/>
        <v>0</v>
      </c>
      <c r="AH313" s="2">
        <f t="shared" si="53"/>
        <v>0</v>
      </c>
      <c r="AI313" s="2">
        <f t="shared" si="54"/>
        <v>0</v>
      </c>
      <c r="AJ313" s="2">
        <f t="shared" si="55"/>
        <v>6</v>
      </c>
      <c r="AK313" s="2">
        <f t="shared" si="56"/>
        <v>0</v>
      </c>
      <c r="AL313" s="2">
        <f t="shared" si="57"/>
        <v>0</v>
      </c>
      <c r="AM313" s="2">
        <f t="shared" si="58"/>
        <v>0</v>
      </c>
      <c r="AN313" s="2"/>
      <c r="AO313" s="2"/>
      <c r="AP313" s="2">
        <v>6</v>
      </c>
      <c r="AQ313" s="180"/>
      <c r="AR313" s="2"/>
      <c r="AS313" s="309"/>
      <c r="AT313" s="180">
        <v>3</v>
      </c>
      <c r="AU313" s="180">
        <v>3</v>
      </c>
      <c r="AV313" s="180"/>
      <c r="AW313" s="310"/>
      <c r="AX313" s="2"/>
      <c r="AY313" s="2"/>
      <c r="AZ313" s="2"/>
      <c r="BA313" s="2"/>
      <c r="BB313" s="2"/>
      <c r="BC313" s="218">
        <v>6</v>
      </c>
      <c r="BD313" s="2"/>
      <c r="BE313" s="2"/>
      <c r="BF313" s="2"/>
      <c r="BG313" s="2"/>
      <c r="BH313" s="2">
        <v>513446</v>
      </c>
      <c r="BI313" s="2">
        <v>169655</v>
      </c>
      <c r="BJ313" s="2" t="s">
        <v>512</v>
      </c>
      <c r="BK313" s="2"/>
      <c r="BL313" s="2" t="s">
        <v>157</v>
      </c>
      <c r="BM313" s="2"/>
      <c r="BN313" s="2"/>
      <c r="BO313" s="2"/>
      <c r="BP313" s="2"/>
      <c r="BQ313" s="2"/>
      <c r="BR313" s="2"/>
      <c r="BS313" s="240" t="s">
        <v>148</v>
      </c>
      <c r="BT313" s="2" t="s">
        <v>896</v>
      </c>
    </row>
    <row r="314" spans="1:72" x14ac:dyDescent="0.25">
      <c r="A314" s="2" t="s">
        <v>1583</v>
      </c>
      <c r="B314" s="2" t="s">
        <v>404</v>
      </c>
      <c r="C314" s="2" t="s">
        <v>228</v>
      </c>
      <c r="D314" s="4">
        <v>44222</v>
      </c>
      <c r="E314" s="4">
        <v>45318</v>
      </c>
      <c r="H314" s="2" t="s">
        <v>224</v>
      </c>
      <c r="I314" s="2" t="s">
        <v>254</v>
      </c>
      <c r="K314" s="2" t="s">
        <v>1584</v>
      </c>
      <c r="L314" s="2" t="s">
        <v>1585</v>
      </c>
      <c r="M314" s="2" t="s">
        <v>1586</v>
      </c>
      <c r="W314" s="2">
        <f t="shared" si="52"/>
        <v>0</v>
      </c>
      <c r="X314" s="2" t="s">
        <v>385</v>
      </c>
      <c r="Y314" s="2">
        <v>1</v>
      </c>
      <c r="Z314" s="2">
        <v>2</v>
      </c>
      <c r="AF314" s="2">
        <f t="shared" si="44"/>
        <v>3</v>
      </c>
      <c r="AG314" s="2">
        <f t="shared" si="51"/>
        <v>1</v>
      </c>
      <c r="AH314" s="2">
        <f t="shared" si="53"/>
        <v>2</v>
      </c>
      <c r="AI314" s="2">
        <f t="shared" si="54"/>
        <v>0</v>
      </c>
      <c r="AJ314" s="2">
        <f t="shared" si="55"/>
        <v>0</v>
      </c>
      <c r="AK314" s="2">
        <f t="shared" si="56"/>
        <v>0</v>
      </c>
      <c r="AL314" s="2">
        <f t="shared" si="57"/>
        <v>0</v>
      </c>
      <c r="AM314" s="2">
        <f t="shared" si="58"/>
        <v>0</v>
      </c>
      <c r="AP314" s="2">
        <v>3</v>
      </c>
      <c r="AS314" s="309"/>
      <c r="AT314" s="180">
        <v>0.75</v>
      </c>
      <c r="AU314" s="180">
        <v>0.75</v>
      </c>
      <c r="AV314" s="180">
        <v>0.75</v>
      </c>
      <c r="AW314" s="310">
        <v>0.75</v>
      </c>
      <c r="BC314" s="218">
        <v>3</v>
      </c>
      <c r="BH314" s="2">
        <v>515781</v>
      </c>
      <c r="BI314" s="2">
        <v>171435</v>
      </c>
      <c r="BJ314" s="2" t="s">
        <v>498</v>
      </c>
      <c r="BL314" s="2" t="s">
        <v>140</v>
      </c>
    </row>
    <row r="315" spans="1:72" x14ac:dyDescent="0.25">
      <c r="A315" s="2" t="s">
        <v>1587</v>
      </c>
      <c r="B315" s="2" t="s">
        <v>404</v>
      </c>
      <c r="C315" s="2" t="s">
        <v>228</v>
      </c>
      <c r="D315" s="4">
        <v>44225</v>
      </c>
      <c r="E315" s="4">
        <v>45320</v>
      </c>
      <c r="H315" s="2" t="s">
        <v>224</v>
      </c>
      <c r="I315" s="2" t="s">
        <v>254</v>
      </c>
      <c r="K315" s="2" t="s">
        <v>1588</v>
      </c>
      <c r="L315" s="2" t="s">
        <v>1589</v>
      </c>
      <c r="M315" s="2" t="s">
        <v>1590</v>
      </c>
      <c r="W315" s="2">
        <f t="shared" si="52"/>
        <v>0</v>
      </c>
      <c r="X315" s="2" t="s">
        <v>385</v>
      </c>
      <c r="Y315" s="2">
        <v>21</v>
      </c>
      <c r="Z315" s="2">
        <v>10</v>
      </c>
      <c r="AF315" s="2">
        <f t="shared" si="44"/>
        <v>31</v>
      </c>
      <c r="AG315" s="2">
        <f t="shared" si="51"/>
        <v>21</v>
      </c>
      <c r="AH315" s="2">
        <f t="shared" si="53"/>
        <v>10</v>
      </c>
      <c r="AI315" s="2">
        <f t="shared" si="54"/>
        <v>0</v>
      </c>
      <c r="AJ315" s="2">
        <f t="shared" si="55"/>
        <v>0</v>
      </c>
      <c r="AK315" s="2">
        <f t="shared" si="56"/>
        <v>0</v>
      </c>
      <c r="AL315" s="2">
        <f t="shared" si="57"/>
        <v>0</v>
      </c>
      <c r="AM315" s="2">
        <f t="shared" si="58"/>
        <v>0</v>
      </c>
      <c r="AP315" s="2">
        <v>31</v>
      </c>
      <c r="AQ315" s="180" t="s">
        <v>299</v>
      </c>
      <c r="AS315" s="309"/>
      <c r="AT315" s="180">
        <v>15.5</v>
      </c>
      <c r="AU315" s="180">
        <v>15.5</v>
      </c>
      <c r="AW315" s="310"/>
      <c r="BC315" s="218">
        <v>31</v>
      </c>
      <c r="BH315" s="2">
        <v>519533</v>
      </c>
      <c r="BI315" s="2">
        <v>176694</v>
      </c>
      <c r="BJ315" s="2" t="s">
        <v>428</v>
      </c>
      <c r="BL315" s="2" t="s">
        <v>161</v>
      </c>
    </row>
    <row r="316" spans="1:72" x14ac:dyDescent="0.25">
      <c r="A316" s="2" t="s">
        <v>1591</v>
      </c>
      <c r="B316" s="2" t="s">
        <v>404</v>
      </c>
      <c r="C316" s="2" t="s">
        <v>228</v>
      </c>
      <c r="D316" s="4">
        <v>44228</v>
      </c>
      <c r="E316" s="4">
        <v>45324</v>
      </c>
      <c r="H316" s="2" t="s">
        <v>224</v>
      </c>
      <c r="I316" s="2" t="s">
        <v>254</v>
      </c>
      <c r="K316" s="2" t="s">
        <v>1592</v>
      </c>
      <c r="L316" s="2" t="s">
        <v>1593</v>
      </c>
      <c r="M316" s="2" t="s">
        <v>1594</v>
      </c>
      <c r="W316" s="2">
        <f t="shared" si="52"/>
        <v>0</v>
      </c>
      <c r="X316" s="2" t="s">
        <v>385</v>
      </c>
      <c r="Y316" s="2">
        <v>2</v>
      </c>
      <c r="AF316" s="2">
        <f t="shared" si="44"/>
        <v>2</v>
      </c>
      <c r="AG316" s="2">
        <f t="shared" si="51"/>
        <v>2</v>
      </c>
      <c r="AH316" s="2">
        <f t="shared" si="53"/>
        <v>0</v>
      </c>
      <c r="AI316" s="2">
        <f t="shared" si="54"/>
        <v>0</v>
      </c>
      <c r="AJ316" s="2">
        <f t="shared" si="55"/>
        <v>0</v>
      </c>
      <c r="AK316" s="2">
        <f t="shared" si="56"/>
        <v>0</v>
      </c>
      <c r="AL316" s="2">
        <f t="shared" si="57"/>
        <v>0</v>
      </c>
      <c r="AM316" s="2">
        <f t="shared" si="58"/>
        <v>0</v>
      </c>
      <c r="AP316" s="2">
        <v>2</v>
      </c>
      <c r="AS316" s="309"/>
      <c r="AT316" s="180">
        <v>0.5</v>
      </c>
      <c r="AU316" s="180">
        <v>0.5</v>
      </c>
      <c r="AV316" s="180">
        <v>0.5</v>
      </c>
      <c r="AW316" s="310">
        <v>0.5</v>
      </c>
      <c r="BC316" s="218">
        <v>2</v>
      </c>
      <c r="BH316" s="2">
        <v>513964</v>
      </c>
      <c r="BI316" s="2">
        <v>169580</v>
      </c>
      <c r="BJ316" s="2" t="s">
        <v>512</v>
      </c>
      <c r="BL316" s="2" t="s">
        <v>157</v>
      </c>
      <c r="BS316" s="240" t="s">
        <v>148</v>
      </c>
      <c r="BT316" s="2" t="s">
        <v>896</v>
      </c>
    </row>
    <row r="317" spans="1:72" x14ac:dyDescent="0.25">
      <c r="A317" s="2" t="s">
        <v>1595</v>
      </c>
      <c r="B317" s="2" t="s">
        <v>382</v>
      </c>
      <c r="D317" s="4">
        <v>44232</v>
      </c>
      <c r="E317" s="4">
        <v>45327</v>
      </c>
      <c r="H317" s="2" t="s">
        <v>224</v>
      </c>
      <c r="I317" s="2" t="s">
        <v>254</v>
      </c>
      <c r="K317" s="2" t="s">
        <v>1596</v>
      </c>
      <c r="L317" s="2" t="s">
        <v>1597</v>
      </c>
      <c r="M317" s="2" t="s">
        <v>1598</v>
      </c>
      <c r="W317" s="2">
        <f t="shared" si="52"/>
        <v>0</v>
      </c>
      <c r="X317" s="2" t="s">
        <v>385</v>
      </c>
      <c r="AA317" s="2">
        <v>1</v>
      </c>
      <c r="AF317" s="2">
        <f t="shared" si="44"/>
        <v>1</v>
      </c>
      <c r="AG317" s="2">
        <f t="shared" si="51"/>
        <v>0</v>
      </c>
      <c r="AH317" s="2">
        <f t="shared" si="53"/>
        <v>0</v>
      </c>
      <c r="AI317" s="2">
        <f t="shared" si="54"/>
        <v>1</v>
      </c>
      <c r="AJ317" s="2">
        <f t="shared" si="55"/>
        <v>0</v>
      </c>
      <c r="AK317" s="2">
        <f t="shared" si="56"/>
        <v>0</v>
      </c>
      <c r="AL317" s="2">
        <f t="shared" si="57"/>
        <v>0</v>
      </c>
      <c r="AM317" s="2">
        <f t="shared" si="58"/>
        <v>0</v>
      </c>
      <c r="AP317" s="2">
        <v>1</v>
      </c>
      <c r="AS317" s="309"/>
      <c r="AT317" s="180">
        <v>0.25</v>
      </c>
      <c r="AU317" s="180">
        <v>0.25</v>
      </c>
      <c r="AV317" s="180">
        <v>0.25</v>
      </c>
      <c r="AW317" s="310">
        <v>0.25</v>
      </c>
      <c r="BC317" s="218">
        <v>1</v>
      </c>
      <c r="BH317" s="2">
        <v>515563</v>
      </c>
      <c r="BI317" s="2">
        <v>171846</v>
      </c>
      <c r="BJ317" s="2" t="s">
        <v>503</v>
      </c>
      <c r="BL317" s="2" t="s">
        <v>165</v>
      </c>
    </row>
    <row r="318" spans="1:72" x14ac:dyDescent="0.25">
      <c r="A318" s="2" t="s">
        <v>1599</v>
      </c>
      <c r="B318" s="2" t="s">
        <v>394</v>
      </c>
      <c r="D318" s="4">
        <v>44239</v>
      </c>
      <c r="E318" s="4">
        <v>45334</v>
      </c>
      <c r="H318" s="2" t="s">
        <v>224</v>
      </c>
      <c r="I318" s="2" t="s">
        <v>254</v>
      </c>
      <c r="K318" s="2" t="s">
        <v>1600</v>
      </c>
      <c r="L318" s="2" t="s">
        <v>1601</v>
      </c>
      <c r="M318" s="2" t="s">
        <v>1602</v>
      </c>
      <c r="W318" s="2">
        <f t="shared" si="52"/>
        <v>0</v>
      </c>
      <c r="X318" s="2" t="s">
        <v>385</v>
      </c>
      <c r="Y318" s="2">
        <v>1</v>
      </c>
      <c r="AF318" s="2">
        <f t="shared" si="44"/>
        <v>1</v>
      </c>
      <c r="AG318" s="2">
        <f t="shared" si="51"/>
        <v>1</v>
      </c>
      <c r="AH318" s="2">
        <f t="shared" si="53"/>
        <v>0</v>
      </c>
      <c r="AI318" s="2">
        <f t="shared" si="54"/>
        <v>0</v>
      </c>
      <c r="AJ318" s="2">
        <f t="shared" si="55"/>
        <v>0</v>
      </c>
      <c r="AK318" s="2">
        <f t="shared" si="56"/>
        <v>0</v>
      </c>
      <c r="AL318" s="2">
        <f t="shared" si="57"/>
        <v>0</v>
      </c>
      <c r="AM318" s="2">
        <f t="shared" si="58"/>
        <v>0</v>
      </c>
      <c r="AP318" s="2">
        <v>1</v>
      </c>
      <c r="AS318" s="309"/>
      <c r="AT318" s="180">
        <v>0.25</v>
      </c>
      <c r="AU318" s="180">
        <v>0.25</v>
      </c>
      <c r="AV318" s="180">
        <v>0.25</v>
      </c>
      <c r="AW318" s="310">
        <v>0.25</v>
      </c>
      <c r="BC318" s="218">
        <v>1</v>
      </c>
      <c r="BH318" s="2">
        <v>521239</v>
      </c>
      <c r="BI318" s="2">
        <v>176042</v>
      </c>
      <c r="BJ318" s="2" t="s">
        <v>449</v>
      </c>
      <c r="BL318" s="2" t="s">
        <v>175</v>
      </c>
      <c r="BO318" s="2" t="s">
        <v>141</v>
      </c>
      <c r="BP318" s="2" t="s">
        <v>1603</v>
      </c>
      <c r="BS318" s="240" t="s">
        <v>148</v>
      </c>
      <c r="BT318" s="2" t="s">
        <v>644</v>
      </c>
    </row>
    <row r="319" spans="1:72" x14ac:dyDescent="0.25">
      <c r="A319" s="2" t="s">
        <v>1604</v>
      </c>
      <c r="B319" s="2" t="s">
        <v>539</v>
      </c>
      <c r="D319" s="4">
        <v>44239</v>
      </c>
      <c r="E319" s="4">
        <v>45334</v>
      </c>
      <c r="H319" s="2" t="s">
        <v>224</v>
      </c>
      <c r="I319" s="2" t="s">
        <v>254</v>
      </c>
      <c r="K319" s="2" t="s">
        <v>1605</v>
      </c>
      <c r="L319" s="2" t="s">
        <v>1606</v>
      </c>
      <c r="M319" s="2" t="s">
        <v>1607</v>
      </c>
      <c r="W319" s="2">
        <f t="shared" si="52"/>
        <v>0</v>
      </c>
      <c r="X319" s="2" t="s">
        <v>385</v>
      </c>
      <c r="Y319" s="2">
        <v>1</v>
      </c>
      <c r="AF319" s="2">
        <f t="shared" si="44"/>
        <v>1</v>
      </c>
      <c r="AG319" s="2">
        <f t="shared" si="51"/>
        <v>1</v>
      </c>
      <c r="AH319" s="2">
        <f t="shared" si="53"/>
        <v>0</v>
      </c>
      <c r="AI319" s="2">
        <f t="shared" si="54"/>
        <v>0</v>
      </c>
      <c r="AJ319" s="2">
        <f t="shared" si="55"/>
        <v>0</v>
      </c>
      <c r="AK319" s="2">
        <f t="shared" si="56"/>
        <v>0</v>
      </c>
      <c r="AL319" s="2">
        <f t="shared" si="57"/>
        <v>0</v>
      </c>
      <c r="AM319" s="2">
        <f t="shared" si="58"/>
        <v>0</v>
      </c>
      <c r="AP319" s="2">
        <v>1</v>
      </c>
      <c r="AS319" s="309">
        <v>0.25</v>
      </c>
      <c r="AT319" s="180">
        <v>0.25</v>
      </c>
      <c r="AU319" s="180">
        <v>0.25</v>
      </c>
      <c r="AV319" s="180">
        <v>0.25</v>
      </c>
      <c r="AW319" s="310"/>
      <c r="BC319" s="218">
        <v>1</v>
      </c>
      <c r="BH319" s="2">
        <v>514515</v>
      </c>
      <c r="BI319" s="2">
        <v>171261</v>
      </c>
      <c r="BJ319" s="2" t="s">
        <v>391</v>
      </c>
      <c r="BL319" s="2" t="s">
        <v>174</v>
      </c>
      <c r="BO319" s="2" t="s">
        <v>141</v>
      </c>
      <c r="BP319" s="2" t="s">
        <v>560</v>
      </c>
    </row>
    <row r="320" spans="1:72" x14ac:dyDescent="0.25">
      <c r="A320" s="2" t="s">
        <v>1608</v>
      </c>
      <c r="B320" s="2" t="s">
        <v>404</v>
      </c>
      <c r="C320" s="2" t="s">
        <v>228</v>
      </c>
      <c r="D320" s="4">
        <v>44243</v>
      </c>
      <c r="E320" s="4">
        <v>45338</v>
      </c>
      <c r="H320" s="2" t="s">
        <v>224</v>
      </c>
      <c r="I320" s="2" t="s">
        <v>254</v>
      </c>
      <c r="K320" s="2" t="s">
        <v>1609</v>
      </c>
      <c r="L320" s="2" t="s">
        <v>1610</v>
      </c>
      <c r="M320" s="2" t="s">
        <v>1108</v>
      </c>
      <c r="W320" s="2">
        <f t="shared" si="52"/>
        <v>0</v>
      </c>
      <c r="X320" s="2" t="s">
        <v>385</v>
      </c>
      <c r="Y320" s="2">
        <v>1</v>
      </c>
      <c r="Z320" s="2">
        <v>1</v>
      </c>
      <c r="AF320" s="2">
        <f t="shared" si="44"/>
        <v>2</v>
      </c>
      <c r="AG320" s="2">
        <f t="shared" si="51"/>
        <v>1</v>
      </c>
      <c r="AH320" s="2">
        <f t="shared" si="53"/>
        <v>1</v>
      </c>
      <c r="AI320" s="2">
        <f t="shared" si="54"/>
        <v>0</v>
      </c>
      <c r="AJ320" s="2">
        <f t="shared" si="55"/>
        <v>0</v>
      </c>
      <c r="AK320" s="2">
        <f t="shared" si="56"/>
        <v>0</v>
      </c>
      <c r="AL320" s="2">
        <f t="shared" si="57"/>
        <v>0</v>
      </c>
      <c r="AM320" s="2">
        <f t="shared" si="58"/>
        <v>0</v>
      </c>
      <c r="AP320" s="2">
        <v>2</v>
      </c>
      <c r="AS320" s="309">
        <v>0.5</v>
      </c>
      <c r="AT320" s="180">
        <v>0.5</v>
      </c>
      <c r="AU320" s="180">
        <v>0.5</v>
      </c>
      <c r="AV320" s="180">
        <v>0.5</v>
      </c>
      <c r="AW320" s="310"/>
      <c r="BC320" s="218">
        <v>2</v>
      </c>
      <c r="BH320" s="2">
        <v>518638</v>
      </c>
      <c r="BI320" s="2">
        <v>175484</v>
      </c>
      <c r="BJ320" s="2" t="s">
        <v>407</v>
      </c>
      <c r="BL320" s="2" t="s">
        <v>163</v>
      </c>
    </row>
    <row r="321" spans="1:72" x14ac:dyDescent="0.25">
      <c r="A321" s="2" t="s">
        <v>1611</v>
      </c>
      <c r="B321" s="2" t="s">
        <v>404</v>
      </c>
      <c r="C321" s="2" t="s">
        <v>228</v>
      </c>
      <c r="D321" s="3">
        <v>44243</v>
      </c>
      <c r="E321" s="4">
        <v>45338</v>
      </c>
      <c r="H321" s="2" t="s">
        <v>224</v>
      </c>
      <c r="I321" s="2" t="s">
        <v>254</v>
      </c>
      <c r="K321" s="2" t="s">
        <v>1612</v>
      </c>
      <c r="L321" s="2" t="s">
        <v>1613</v>
      </c>
      <c r="M321" s="2" t="s">
        <v>1614</v>
      </c>
      <c r="W321" s="2">
        <f t="shared" si="52"/>
        <v>0</v>
      </c>
      <c r="Y321" s="2">
        <v>1</v>
      </c>
      <c r="Z321" s="2">
        <v>1</v>
      </c>
      <c r="AF321" s="2">
        <f t="shared" si="44"/>
        <v>2</v>
      </c>
      <c r="AG321" s="2">
        <f t="shared" si="51"/>
        <v>1</v>
      </c>
      <c r="AH321" s="2">
        <f t="shared" si="53"/>
        <v>1</v>
      </c>
      <c r="AI321" s="2">
        <f t="shared" si="54"/>
        <v>0</v>
      </c>
      <c r="AJ321" s="2">
        <f t="shared" si="55"/>
        <v>0</v>
      </c>
      <c r="AK321" s="2">
        <f t="shared" si="56"/>
        <v>0</v>
      </c>
      <c r="AL321" s="2">
        <f t="shared" si="57"/>
        <v>0</v>
      </c>
      <c r="AM321" s="2">
        <f t="shared" si="58"/>
        <v>0</v>
      </c>
      <c r="AP321" s="2">
        <v>2</v>
      </c>
      <c r="AS321" s="309"/>
      <c r="AT321" s="180">
        <v>0.5</v>
      </c>
      <c r="AU321" s="180">
        <v>0.5</v>
      </c>
      <c r="AV321" s="180">
        <v>0.5</v>
      </c>
      <c r="AW321" s="310">
        <v>0.5</v>
      </c>
      <c r="BC321" s="218">
        <v>2</v>
      </c>
      <c r="BH321" s="2">
        <v>516260</v>
      </c>
      <c r="BI321" s="2">
        <v>173296</v>
      </c>
      <c r="BJ321" s="2" t="s">
        <v>456</v>
      </c>
      <c r="BL321" s="2" t="s">
        <v>167</v>
      </c>
      <c r="BM321" s="2" t="s">
        <v>142</v>
      </c>
      <c r="BS321" s="240" t="s">
        <v>148</v>
      </c>
      <c r="BT321" s="2" t="s">
        <v>783</v>
      </c>
    </row>
    <row r="322" spans="1:72" x14ac:dyDescent="0.25">
      <c r="A322" s="2" t="s">
        <v>1615</v>
      </c>
      <c r="B322" s="2" t="s">
        <v>434</v>
      </c>
      <c r="D322" s="4">
        <v>44252</v>
      </c>
      <c r="E322" s="4">
        <v>45348</v>
      </c>
      <c r="H322" s="2" t="s">
        <v>224</v>
      </c>
      <c r="I322" s="2" t="s">
        <v>254</v>
      </c>
      <c r="K322" s="2" t="s">
        <v>1616</v>
      </c>
      <c r="L322" s="2" t="s">
        <v>1617</v>
      </c>
      <c r="M322" s="2" t="s">
        <v>1618</v>
      </c>
      <c r="P322" s="2">
        <v>1</v>
      </c>
      <c r="W322" s="2">
        <f t="shared" si="52"/>
        <v>1</v>
      </c>
      <c r="X322" s="2" t="s">
        <v>385</v>
      </c>
      <c r="Z322" s="2">
        <v>1</v>
      </c>
      <c r="AA322" s="2">
        <v>1</v>
      </c>
      <c r="AF322" s="2">
        <f t="shared" ref="AF322:AF327" si="59">SUM(Y322:AE322)</f>
        <v>2</v>
      </c>
      <c r="AG322" s="2">
        <f t="shared" si="51"/>
        <v>0</v>
      </c>
      <c r="AH322" s="2">
        <f t="shared" si="53"/>
        <v>1</v>
      </c>
      <c r="AI322" s="2">
        <f t="shared" si="54"/>
        <v>0</v>
      </c>
      <c r="AJ322" s="2">
        <f t="shared" si="55"/>
        <v>0</v>
      </c>
      <c r="AK322" s="2">
        <f t="shared" si="56"/>
        <v>0</v>
      </c>
      <c r="AL322" s="2">
        <f t="shared" si="57"/>
        <v>0</v>
      </c>
      <c r="AM322" s="2">
        <f t="shared" si="58"/>
        <v>0</v>
      </c>
      <c r="AP322" s="2">
        <v>1</v>
      </c>
      <c r="AS322" s="309">
        <v>0.25</v>
      </c>
      <c r="AT322" s="180">
        <v>0.25</v>
      </c>
      <c r="AU322" s="180">
        <v>0.25</v>
      </c>
      <c r="AV322" s="180">
        <v>0.25</v>
      </c>
      <c r="AW322" s="310"/>
      <c r="BC322" s="218">
        <v>1</v>
      </c>
      <c r="BH322" s="2">
        <v>512962</v>
      </c>
      <c r="BI322" s="2">
        <v>173989</v>
      </c>
      <c r="BJ322" s="2" t="s">
        <v>397</v>
      </c>
      <c r="BL322" s="2" t="s">
        <v>160</v>
      </c>
    </row>
    <row r="323" spans="1:72" x14ac:dyDescent="0.25">
      <c r="A323" s="2" t="s">
        <v>1619</v>
      </c>
      <c r="B323" s="2" t="s">
        <v>404</v>
      </c>
      <c r="D323" s="4">
        <v>44253</v>
      </c>
      <c r="E323" s="4">
        <v>45352</v>
      </c>
      <c r="H323" s="2" t="s">
        <v>224</v>
      </c>
      <c r="I323" s="2" t="s">
        <v>254</v>
      </c>
      <c r="K323" s="2" t="s">
        <v>1620</v>
      </c>
      <c r="L323" s="2" t="s">
        <v>1621</v>
      </c>
      <c r="M323" s="2" t="s">
        <v>894</v>
      </c>
      <c r="W323" s="2">
        <f t="shared" si="52"/>
        <v>0</v>
      </c>
      <c r="X323" s="2" t="s">
        <v>385</v>
      </c>
      <c r="AA323" s="2">
        <v>1</v>
      </c>
      <c r="AF323" s="2">
        <f t="shared" si="59"/>
        <v>1</v>
      </c>
      <c r="AG323" s="2">
        <f t="shared" si="51"/>
        <v>0</v>
      </c>
      <c r="AH323" s="2">
        <f t="shared" si="53"/>
        <v>0</v>
      </c>
      <c r="AI323" s="2">
        <f t="shared" si="54"/>
        <v>1</v>
      </c>
      <c r="AJ323" s="2">
        <f t="shared" si="55"/>
        <v>0</v>
      </c>
      <c r="AK323" s="2">
        <f t="shared" si="56"/>
        <v>0</v>
      </c>
      <c r="AL323" s="2">
        <f t="shared" si="57"/>
        <v>0</v>
      </c>
      <c r="AM323" s="2">
        <f t="shared" si="58"/>
        <v>0</v>
      </c>
      <c r="AP323" s="2">
        <v>1</v>
      </c>
      <c r="AS323" s="309">
        <v>0.25</v>
      </c>
      <c r="AT323" s="180">
        <v>0.25</v>
      </c>
      <c r="AU323" s="180">
        <v>0.25</v>
      </c>
      <c r="AV323" s="180">
        <v>0.25</v>
      </c>
      <c r="AW323" s="310"/>
      <c r="BC323" s="218">
        <v>1</v>
      </c>
      <c r="BH323" s="2">
        <v>513992</v>
      </c>
      <c r="BI323" s="2">
        <v>169525</v>
      </c>
      <c r="BJ323" s="2" t="s">
        <v>512</v>
      </c>
      <c r="BL323" s="2" t="s">
        <v>157</v>
      </c>
      <c r="BO323" s="2" t="s">
        <v>141</v>
      </c>
      <c r="BP323" s="2" t="s">
        <v>895</v>
      </c>
      <c r="BS323" s="240" t="s">
        <v>148</v>
      </c>
      <c r="BT323" s="2" t="s">
        <v>896</v>
      </c>
    </row>
    <row r="324" spans="1:72" x14ac:dyDescent="0.25">
      <c r="A324" s="2" t="s">
        <v>1622</v>
      </c>
      <c r="B324" s="2" t="s">
        <v>404</v>
      </c>
      <c r="C324" s="2" t="s">
        <v>228</v>
      </c>
      <c r="D324" s="4">
        <v>44256</v>
      </c>
      <c r="E324" s="4">
        <v>45352</v>
      </c>
      <c r="H324" s="2" t="s">
        <v>224</v>
      </c>
      <c r="I324" s="2" t="s">
        <v>254</v>
      </c>
      <c r="K324" s="2" t="s">
        <v>1623</v>
      </c>
      <c r="L324" s="2" t="s">
        <v>1624</v>
      </c>
      <c r="M324" s="2" t="s">
        <v>1625</v>
      </c>
      <c r="W324" s="2">
        <f t="shared" si="52"/>
        <v>0</v>
      </c>
      <c r="X324" s="2" t="s">
        <v>385</v>
      </c>
      <c r="Z324" s="2">
        <v>1</v>
      </c>
      <c r="AF324" s="2">
        <f t="shared" si="59"/>
        <v>1</v>
      </c>
      <c r="AG324" s="2">
        <f t="shared" si="51"/>
        <v>0</v>
      </c>
      <c r="AH324" s="2">
        <f t="shared" si="53"/>
        <v>1</v>
      </c>
      <c r="AI324" s="2">
        <f t="shared" si="54"/>
        <v>0</v>
      </c>
      <c r="AJ324" s="2">
        <f t="shared" si="55"/>
        <v>0</v>
      </c>
      <c r="AK324" s="2">
        <f t="shared" si="56"/>
        <v>0</v>
      </c>
      <c r="AL324" s="2">
        <f t="shared" si="57"/>
        <v>0</v>
      </c>
      <c r="AM324" s="2">
        <f t="shared" si="58"/>
        <v>0</v>
      </c>
      <c r="AP324" s="2">
        <v>1</v>
      </c>
      <c r="AS324" s="309">
        <v>0.25</v>
      </c>
      <c r="AT324" s="180">
        <v>0.25</v>
      </c>
      <c r="AU324" s="180">
        <v>0.25</v>
      </c>
      <c r="AV324" s="180">
        <v>0.25</v>
      </c>
      <c r="AW324" s="310"/>
      <c r="BC324" s="218">
        <v>1</v>
      </c>
      <c r="BH324" s="2">
        <v>516869</v>
      </c>
      <c r="BI324" s="2">
        <v>170713</v>
      </c>
      <c r="BJ324" s="2" t="s">
        <v>443</v>
      </c>
      <c r="BL324" s="2" t="s">
        <v>159</v>
      </c>
    </row>
    <row r="325" spans="1:72" x14ac:dyDescent="0.25">
      <c r="A325" s="2" t="s">
        <v>1626</v>
      </c>
      <c r="B325" s="2" t="s">
        <v>382</v>
      </c>
      <c r="D325" s="4">
        <v>44257</v>
      </c>
      <c r="E325" s="4">
        <v>45353</v>
      </c>
      <c r="H325" s="2" t="s">
        <v>224</v>
      </c>
      <c r="I325" s="2" t="s">
        <v>254</v>
      </c>
      <c r="K325" s="2" t="s">
        <v>1627</v>
      </c>
      <c r="L325" s="2" t="s">
        <v>1628</v>
      </c>
      <c r="M325" s="2" t="s">
        <v>1023</v>
      </c>
      <c r="O325" s="2">
        <v>1</v>
      </c>
      <c r="W325" s="2">
        <f t="shared" si="52"/>
        <v>1</v>
      </c>
      <c r="X325" s="2" t="s">
        <v>385</v>
      </c>
      <c r="AB325" s="2">
        <v>1</v>
      </c>
      <c r="AF325" s="2">
        <f t="shared" si="59"/>
        <v>1</v>
      </c>
      <c r="AG325" s="2">
        <f t="shared" si="51"/>
        <v>0</v>
      </c>
      <c r="AH325" s="2">
        <f t="shared" si="53"/>
        <v>-1</v>
      </c>
      <c r="AI325" s="2">
        <f t="shared" si="54"/>
        <v>0</v>
      </c>
      <c r="AJ325" s="2">
        <f t="shared" si="55"/>
        <v>1</v>
      </c>
      <c r="AK325" s="2">
        <f t="shared" si="56"/>
        <v>0</v>
      </c>
      <c r="AL325" s="2">
        <f t="shared" si="57"/>
        <v>0</v>
      </c>
      <c r="AM325" s="2">
        <f t="shared" si="58"/>
        <v>0</v>
      </c>
      <c r="AP325" s="2">
        <v>0</v>
      </c>
      <c r="AS325" s="309"/>
      <c r="AT325" s="180">
        <v>0</v>
      </c>
      <c r="AU325" s="180">
        <v>0</v>
      </c>
      <c r="AV325" s="180">
        <v>0</v>
      </c>
      <c r="AW325" s="310">
        <v>0</v>
      </c>
      <c r="BC325" s="218">
        <v>0</v>
      </c>
      <c r="BH325" s="2">
        <v>516412</v>
      </c>
      <c r="BI325" s="2">
        <v>171302</v>
      </c>
      <c r="BJ325" s="2" t="s">
        <v>498</v>
      </c>
      <c r="BL325" s="2" t="s">
        <v>140</v>
      </c>
    </row>
    <row r="326" spans="1:72" x14ac:dyDescent="0.25">
      <c r="A326" s="2" t="s">
        <v>1629</v>
      </c>
      <c r="B326" s="2" t="s">
        <v>382</v>
      </c>
      <c r="D326" s="4">
        <v>44258</v>
      </c>
      <c r="E326" s="4">
        <v>45354</v>
      </c>
      <c r="H326" s="2" t="s">
        <v>224</v>
      </c>
      <c r="I326" s="2" t="s">
        <v>254</v>
      </c>
      <c r="K326" s="2" t="s">
        <v>1630</v>
      </c>
      <c r="L326" s="2" t="s">
        <v>1631</v>
      </c>
      <c r="M326" s="2" t="s">
        <v>1632</v>
      </c>
      <c r="W326" s="2">
        <f t="shared" si="52"/>
        <v>0</v>
      </c>
      <c r="X326" s="2" t="s">
        <v>385</v>
      </c>
      <c r="Y326" s="2">
        <v>28</v>
      </c>
      <c r="Z326" s="2">
        <v>8</v>
      </c>
      <c r="AF326" s="2">
        <f t="shared" si="59"/>
        <v>36</v>
      </c>
      <c r="AG326" s="2">
        <f t="shared" si="51"/>
        <v>28</v>
      </c>
      <c r="AH326" s="2">
        <f t="shared" si="53"/>
        <v>8</v>
      </c>
      <c r="AI326" s="2">
        <f t="shared" si="54"/>
        <v>0</v>
      </c>
      <c r="AJ326" s="2">
        <f t="shared" si="55"/>
        <v>0</v>
      </c>
      <c r="AK326" s="2">
        <f t="shared" si="56"/>
        <v>0</v>
      </c>
      <c r="AL326" s="2">
        <f t="shared" si="57"/>
        <v>0</v>
      </c>
      <c r="AM326" s="2">
        <f t="shared" si="58"/>
        <v>0</v>
      </c>
      <c r="AP326" s="2">
        <v>36</v>
      </c>
      <c r="AQ326" s="180" t="s">
        <v>299</v>
      </c>
      <c r="AS326" s="309"/>
      <c r="AT326" s="180">
        <v>18</v>
      </c>
      <c r="AU326" s="180">
        <v>18</v>
      </c>
      <c r="AW326" s="310"/>
      <c r="BC326" s="218">
        <v>36</v>
      </c>
      <c r="BH326" s="2">
        <v>516060</v>
      </c>
      <c r="BI326" s="2">
        <v>173599</v>
      </c>
      <c r="BJ326" s="2" t="s">
        <v>456</v>
      </c>
      <c r="BL326" s="2" t="s">
        <v>167</v>
      </c>
      <c r="BM326" s="2" t="s">
        <v>142</v>
      </c>
    </row>
    <row r="327" spans="1:72" x14ac:dyDescent="0.25">
      <c r="A327" s="2" t="s">
        <v>1629</v>
      </c>
      <c r="B327" s="2" t="s">
        <v>382</v>
      </c>
      <c r="D327" s="4">
        <v>44258</v>
      </c>
      <c r="E327" s="4">
        <v>45354</v>
      </c>
      <c r="H327" s="2" t="s">
        <v>224</v>
      </c>
      <c r="I327" s="2" t="s">
        <v>250</v>
      </c>
      <c r="K327" s="2" t="s">
        <v>1630</v>
      </c>
      <c r="L327" s="2" t="s">
        <v>1631</v>
      </c>
      <c r="M327" s="2" t="s">
        <v>1632</v>
      </c>
      <c r="W327" s="2">
        <f t="shared" si="52"/>
        <v>0</v>
      </c>
      <c r="X327" s="2" t="s">
        <v>299</v>
      </c>
      <c r="Y327" s="2">
        <v>10</v>
      </c>
      <c r="Z327" s="2">
        <v>0</v>
      </c>
      <c r="AF327" s="2">
        <f t="shared" si="59"/>
        <v>10</v>
      </c>
      <c r="AG327" s="2">
        <f t="shared" si="51"/>
        <v>10</v>
      </c>
      <c r="AH327" s="2">
        <f t="shared" si="53"/>
        <v>0</v>
      </c>
      <c r="AI327" s="2">
        <f t="shared" si="54"/>
        <v>0</v>
      </c>
      <c r="AJ327" s="2">
        <f t="shared" si="55"/>
        <v>0</v>
      </c>
      <c r="AK327" s="2">
        <f t="shared" si="56"/>
        <v>0</v>
      </c>
      <c r="AL327" s="2">
        <f t="shared" si="57"/>
        <v>0</v>
      </c>
      <c r="AM327" s="2">
        <f t="shared" si="58"/>
        <v>0</v>
      </c>
      <c r="AP327" s="2">
        <v>10</v>
      </c>
      <c r="AQ327" s="180" t="s">
        <v>299</v>
      </c>
      <c r="AS327" s="309"/>
      <c r="AT327" s="180">
        <v>5</v>
      </c>
      <c r="AU327" s="180">
        <v>5</v>
      </c>
      <c r="AW327" s="310"/>
      <c r="BC327" s="218">
        <v>10</v>
      </c>
      <c r="BH327" s="2">
        <v>516060</v>
      </c>
      <c r="BI327" s="2">
        <v>173599</v>
      </c>
      <c r="BJ327" s="2" t="s">
        <v>456</v>
      </c>
      <c r="BL327" s="2" t="s">
        <v>167</v>
      </c>
      <c r="BM327" s="2" t="s">
        <v>142</v>
      </c>
    </row>
    <row r="328" spans="1:72" x14ac:dyDescent="0.25">
      <c r="A328" s="2" t="s">
        <v>1633</v>
      </c>
      <c r="B328" s="2" t="s">
        <v>404</v>
      </c>
      <c r="D328" s="4">
        <v>44263</v>
      </c>
      <c r="E328" s="4">
        <v>45359</v>
      </c>
      <c r="G328" s="3"/>
      <c r="H328" s="2" t="s">
        <v>224</v>
      </c>
      <c r="I328" s="2" t="s">
        <v>254</v>
      </c>
      <c r="K328" s="2" t="s">
        <v>1634</v>
      </c>
      <c r="L328" s="2" t="s">
        <v>1635</v>
      </c>
      <c r="M328" s="2" t="s">
        <v>1636</v>
      </c>
      <c r="W328" s="2">
        <v>0</v>
      </c>
      <c r="Y328" s="2">
        <v>1</v>
      </c>
      <c r="AF328" s="2">
        <v>1</v>
      </c>
      <c r="AG328" s="2">
        <f t="shared" si="51"/>
        <v>1</v>
      </c>
      <c r="AH328" s="2">
        <f t="shared" si="53"/>
        <v>0</v>
      </c>
      <c r="AI328" s="2">
        <f t="shared" si="54"/>
        <v>0</v>
      </c>
      <c r="AJ328" s="2">
        <f t="shared" si="55"/>
        <v>0</v>
      </c>
      <c r="AK328" s="2">
        <f t="shared" si="56"/>
        <v>0</v>
      </c>
      <c r="AL328" s="2">
        <f t="shared" si="57"/>
        <v>0</v>
      </c>
      <c r="AM328" s="2">
        <f t="shared" si="58"/>
        <v>0</v>
      </c>
      <c r="AP328" s="2">
        <v>1</v>
      </c>
      <c r="AS328" s="309">
        <v>0.25</v>
      </c>
      <c r="AT328" s="180">
        <v>0.25</v>
      </c>
      <c r="AU328" s="180">
        <v>0.25</v>
      </c>
      <c r="AV328" s="180">
        <v>0.25</v>
      </c>
      <c r="AW328" s="310"/>
      <c r="BC328" s="218">
        <v>1</v>
      </c>
      <c r="BH328" s="2">
        <v>518831</v>
      </c>
      <c r="BI328" s="2">
        <v>174557</v>
      </c>
      <c r="BJ328" s="2" t="s">
        <v>401</v>
      </c>
      <c r="BL328" s="2" t="s">
        <v>164</v>
      </c>
    </row>
    <row r="329" spans="1:72" x14ac:dyDescent="0.25">
      <c r="A329" s="2" t="s">
        <v>1637</v>
      </c>
      <c r="B329" s="2" t="s">
        <v>404</v>
      </c>
      <c r="C329" s="2" t="s">
        <v>228</v>
      </c>
      <c r="D329" s="4">
        <v>44270</v>
      </c>
      <c r="E329" s="4">
        <v>45366</v>
      </c>
      <c r="H329" s="2" t="s">
        <v>224</v>
      </c>
      <c r="I329" s="2" t="s">
        <v>254</v>
      </c>
      <c r="K329" s="2" t="s">
        <v>1638</v>
      </c>
      <c r="L329" s="2" t="s">
        <v>1639</v>
      </c>
      <c r="M329" s="2" t="s">
        <v>1640</v>
      </c>
      <c r="W329" s="2">
        <f>SUM(N329:V329)</f>
        <v>0</v>
      </c>
      <c r="X329" s="2" t="s">
        <v>385</v>
      </c>
      <c r="Z329" s="2">
        <v>1</v>
      </c>
      <c r="AF329" s="2">
        <f>SUM(Y329:AE329)</f>
        <v>1</v>
      </c>
      <c r="AG329" s="2">
        <f t="shared" si="51"/>
        <v>0</v>
      </c>
      <c r="AH329" s="2">
        <f t="shared" si="53"/>
        <v>1</v>
      </c>
      <c r="AI329" s="2">
        <f t="shared" si="54"/>
        <v>0</v>
      </c>
      <c r="AJ329" s="2">
        <f t="shared" si="55"/>
        <v>0</v>
      </c>
      <c r="AK329" s="2">
        <f t="shared" si="56"/>
        <v>0</v>
      </c>
      <c r="AL329" s="2">
        <f t="shared" si="57"/>
        <v>0</v>
      </c>
      <c r="AM329" s="2">
        <f t="shared" si="58"/>
        <v>0</v>
      </c>
      <c r="AP329" s="2">
        <v>1</v>
      </c>
      <c r="AS329" s="309">
        <v>0.25</v>
      </c>
      <c r="AT329" s="180">
        <v>0.25</v>
      </c>
      <c r="AU329" s="180">
        <v>0.25</v>
      </c>
      <c r="AV329" s="180">
        <v>0.25</v>
      </c>
      <c r="AW329" s="310"/>
      <c r="BC329" s="218">
        <v>1</v>
      </c>
      <c r="BH329" s="2">
        <v>515302</v>
      </c>
      <c r="BI329" s="2">
        <v>173042</v>
      </c>
      <c r="BJ329" s="2" t="s">
        <v>503</v>
      </c>
      <c r="BL329" s="2" t="s">
        <v>165</v>
      </c>
      <c r="BO329" s="2" t="s">
        <v>141</v>
      </c>
      <c r="BP329" s="2" t="s">
        <v>1558</v>
      </c>
      <c r="BS329" s="240" t="s">
        <v>148</v>
      </c>
      <c r="BT329" s="2" t="s">
        <v>1559</v>
      </c>
    </row>
    <row r="330" spans="1:72" x14ac:dyDescent="0.25">
      <c r="A330" s="2" t="s">
        <v>1641</v>
      </c>
      <c r="B330" s="2" t="s">
        <v>539</v>
      </c>
      <c r="D330" s="4">
        <v>44284</v>
      </c>
      <c r="E330" s="4">
        <v>45380</v>
      </c>
      <c r="H330" s="2" t="s">
        <v>224</v>
      </c>
      <c r="I330" s="2" t="s">
        <v>254</v>
      </c>
      <c r="K330" s="2" t="s">
        <v>1642</v>
      </c>
      <c r="L330" s="2" t="s">
        <v>1643</v>
      </c>
      <c r="M330" s="2" t="s">
        <v>1268</v>
      </c>
      <c r="W330" s="2">
        <f>SUM(N330:V330)</f>
        <v>0</v>
      </c>
      <c r="X330" s="2" t="s">
        <v>385</v>
      </c>
      <c r="Y330" s="2">
        <v>1</v>
      </c>
      <c r="AF330" s="2">
        <f>SUM(Y330:AE330)</f>
        <v>1</v>
      </c>
      <c r="AG330" s="2">
        <f t="shared" si="51"/>
        <v>1</v>
      </c>
      <c r="AH330" s="2">
        <f t="shared" si="53"/>
        <v>0</v>
      </c>
      <c r="AI330" s="2">
        <f t="shared" si="54"/>
        <v>0</v>
      </c>
      <c r="AJ330" s="2">
        <f t="shared" si="55"/>
        <v>0</v>
      </c>
      <c r="AK330" s="2">
        <f t="shared" si="56"/>
        <v>0</v>
      </c>
      <c r="AL330" s="2">
        <f t="shared" si="57"/>
        <v>0</v>
      </c>
      <c r="AM330" s="2">
        <f t="shared" si="58"/>
        <v>0</v>
      </c>
      <c r="AP330" s="2">
        <v>1</v>
      </c>
      <c r="AS330" s="309">
        <v>0.25</v>
      </c>
      <c r="AT330" s="180">
        <v>0.25</v>
      </c>
      <c r="AU330" s="180">
        <v>0.25</v>
      </c>
      <c r="AV330" s="180">
        <v>0.25</v>
      </c>
      <c r="AW330" s="310"/>
      <c r="BC330" s="218">
        <v>1</v>
      </c>
      <c r="BH330" s="2">
        <v>519103</v>
      </c>
      <c r="BI330" s="2">
        <v>176286</v>
      </c>
      <c r="BJ330" s="2" t="s">
        <v>428</v>
      </c>
      <c r="BL330" s="2" t="s">
        <v>161</v>
      </c>
      <c r="BO330" s="2" t="s">
        <v>141</v>
      </c>
      <c r="BP330" s="2" t="s">
        <v>1644</v>
      </c>
    </row>
    <row r="331" spans="1:72" x14ac:dyDescent="0.25">
      <c r="A331" s="2" t="s">
        <v>1645</v>
      </c>
      <c r="B331" s="2" t="s">
        <v>394</v>
      </c>
      <c r="D331" s="4"/>
      <c r="E331" s="4"/>
      <c r="H331" s="2" t="s">
        <v>1646</v>
      </c>
      <c r="I331" s="2" t="s">
        <v>1647</v>
      </c>
      <c r="J331" s="2" t="s">
        <v>1648</v>
      </c>
      <c r="L331" s="2" t="s">
        <v>1649</v>
      </c>
      <c r="AP331" s="312">
        <v>100</v>
      </c>
      <c r="AR331" s="245"/>
      <c r="AS331" s="313">
        <v>0</v>
      </c>
      <c r="AT331" s="245">
        <v>0</v>
      </c>
      <c r="AU331" s="245">
        <v>0</v>
      </c>
      <c r="AV331" s="245">
        <v>0</v>
      </c>
      <c r="AW331" s="311">
        <v>100</v>
      </c>
      <c r="AX331" s="245">
        <v>80</v>
      </c>
      <c r="AY331" s="245">
        <v>80</v>
      </c>
      <c r="AZ331" s="245">
        <v>80</v>
      </c>
      <c r="BA331" s="245">
        <v>80</v>
      </c>
      <c r="BB331" s="245">
        <v>80</v>
      </c>
      <c r="BC331" s="218">
        <v>100</v>
      </c>
      <c r="BD331" s="2">
        <f>SUBTOTAL(9,AS331:BB331)</f>
        <v>500</v>
      </c>
      <c r="BH331" s="2">
        <v>520502</v>
      </c>
      <c r="BI331" s="2">
        <v>175950</v>
      </c>
      <c r="BJ331" s="2" t="s">
        <v>449</v>
      </c>
      <c r="BL331" s="2" t="s">
        <v>175</v>
      </c>
    </row>
    <row r="332" spans="1:72" x14ac:dyDescent="0.25">
      <c r="A332" s="2" t="s">
        <v>1650</v>
      </c>
      <c r="B332" s="2" t="s">
        <v>382</v>
      </c>
      <c r="D332" s="4"/>
      <c r="E332" s="4"/>
      <c r="H332" s="2" t="s">
        <v>1646</v>
      </c>
      <c r="I332" s="2" t="s">
        <v>1647</v>
      </c>
      <c r="L332" s="2" t="s">
        <v>1651</v>
      </c>
      <c r="AP332" s="312">
        <v>0</v>
      </c>
      <c r="AR332" s="245"/>
      <c r="AS332" s="313">
        <v>0</v>
      </c>
      <c r="AT332" s="245">
        <v>0</v>
      </c>
      <c r="AU332" s="245">
        <v>0</v>
      </c>
      <c r="AV332" s="245">
        <v>0</v>
      </c>
      <c r="AW332" s="311">
        <v>0</v>
      </c>
      <c r="AX332" s="245">
        <v>50</v>
      </c>
      <c r="AY332" s="245">
        <v>50</v>
      </c>
      <c r="AZ332" s="245">
        <v>50</v>
      </c>
      <c r="BA332" s="245">
        <v>50</v>
      </c>
      <c r="BB332" s="245">
        <v>50</v>
      </c>
      <c r="BC332" s="218">
        <v>0</v>
      </c>
      <c r="BD332" s="2">
        <f t="shared" ref="BD332:BD342" si="60">SUBTOTAL(9,AS332:BB332)</f>
        <v>250</v>
      </c>
      <c r="BH332" s="2">
        <v>519125</v>
      </c>
      <c r="BI332" s="2">
        <v>175579</v>
      </c>
      <c r="BJ332" s="2" t="s">
        <v>411</v>
      </c>
      <c r="BL332" s="2" t="s">
        <v>156</v>
      </c>
    </row>
    <row r="333" spans="1:72" x14ac:dyDescent="0.25">
      <c r="A333" s="2" t="s">
        <v>1650</v>
      </c>
      <c r="B333" s="2" t="s">
        <v>382</v>
      </c>
      <c r="D333" s="4"/>
      <c r="E333" s="4"/>
      <c r="H333" s="2" t="s">
        <v>1646</v>
      </c>
      <c r="I333" s="2" t="s">
        <v>1647</v>
      </c>
      <c r="L333" s="2" t="s">
        <v>1652</v>
      </c>
      <c r="AP333" s="312">
        <v>40</v>
      </c>
      <c r="AR333" s="245"/>
      <c r="AS333" s="313">
        <v>0</v>
      </c>
      <c r="AT333" s="245">
        <v>0</v>
      </c>
      <c r="AU333" s="245">
        <v>0</v>
      </c>
      <c r="AV333" s="245">
        <v>20</v>
      </c>
      <c r="AW333" s="311">
        <v>20</v>
      </c>
      <c r="AX333" s="245">
        <v>0</v>
      </c>
      <c r="AY333" s="245">
        <v>0</v>
      </c>
      <c r="AZ333" s="245">
        <v>0</v>
      </c>
      <c r="BA333" s="245">
        <v>0</v>
      </c>
      <c r="BB333" s="245">
        <v>0</v>
      </c>
      <c r="BC333" s="218">
        <v>40</v>
      </c>
      <c r="BD333" s="2">
        <f t="shared" si="60"/>
        <v>40</v>
      </c>
      <c r="BH333" s="2">
        <v>515033</v>
      </c>
      <c r="BI333" s="2">
        <v>173287</v>
      </c>
      <c r="BJ333" s="2" t="s">
        <v>503</v>
      </c>
      <c r="BL333" s="2" t="s">
        <v>165</v>
      </c>
    </row>
    <row r="334" spans="1:72" x14ac:dyDescent="0.25">
      <c r="A334" s="2" t="s">
        <v>1650</v>
      </c>
      <c r="B334" s="2" t="s">
        <v>382</v>
      </c>
      <c r="D334" s="4"/>
      <c r="E334" s="4"/>
      <c r="H334" s="2" t="s">
        <v>1646</v>
      </c>
      <c r="I334" s="2" t="s">
        <v>1647</v>
      </c>
      <c r="L334" s="2" t="s">
        <v>1653</v>
      </c>
      <c r="AP334" s="312">
        <v>0</v>
      </c>
      <c r="AR334" s="245"/>
      <c r="AS334" s="313">
        <v>0</v>
      </c>
      <c r="AT334" s="245">
        <v>0</v>
      </c>
      <c r="AU334" s="245">
        <v>0</v>
      </c>
      <c r="AV334" s="245">
        <v>0</v>
      </c>
      <c r="AW334" s="311">
        <v>0</v>
      </c>
      <c r="AX334" s="245">
        <v>0</v>
      </c>
      <c r="AY334" s="245">
        <v>5</v>
      </c>
      <c r="AZ334" s="245">
        <v>5</v>
      </c>
      <c r="BA334" s="245">
        <v>5</v>
      </c>
      <c r="BB334" s="245">
        <v>5</v>
      </c>
      <c r="BC334" s="218">
        <v>0</v>
      </c>
      <c r="BD334" s="2">
        <f t="shared" si="60"/>
        <v>20</v>
      </c>
      <c r="BH334" s="2">
        <v>516258</v>
      </c>
      <c r="BI334" s="2">
        <v>171100</v>
      </c>
      <c r="BJ334" s="2" t="s">
        <v>498</v>
      </c>
      <c r="BL334" s="2" t="s">
        <v>140</v>
      </c>
    </row>
    <row r="335" spans="1:72" x14ac:dyDescent="0.25">
      <c r="A335" s="2" t="s">
        <v>1654</v>
      </c>
      <c r="B335" s="2" t="s">
        <v>382</v>
      </c>
      <c r="D335" s="4"/>
      <c r="E335" s="4"/>
      <c r="H335" s="2" t="s">
        <v>207</v>
      </c>
      <c r="I335" s="2" t="s">
        <v>1647</v>
      </c>
      <c r="J335" s="2" t="s">
        <v>212</v>
      </c>
      <c r="K335" s="2" t="s">
        <v>1655</v>
      </c>
      <c r="L335" s="2" t="s">
        <v>1656</v>
      </c>
      <c r="AP335" s="312">
        <v>385</v>
      </c>
      <c r="AR335" s="245"/>
      <c r="AS335" s="313">
        <v>0</v>
      </c>
      <c r="AT335" s="246">
        <v>0</v>
      </c>
      <c r="AU335" s="245">
        <v>0</v>
      </c>
      <c r="AV335" s="245">
        <v>0</v>
      </c>
      <c r="AW335" s="314">
        <v>96.25</v>
      </c>
      <c r="AX335" s="246">
        <v>96.25</v>
      </c>
      <c r="AY335" s="246">
        <v>96.25</v>
      </c>
      <c r="AZ335" s="246">
        <v>96.25</v>
      </c>
      <c r="BA335" s="245">
        <v>0</v>
      </c>
      <c r="BB335" s="245">
        <v>0</v>
      </c>
      <c r="BC335" s="218">
        <v>96.25</v>
      </c>
      <c r="BD335" s="2">
        <f t="shared" si="60"/>
        <v>385</v>
      </c>
      <c r="BH335" s="2">
        <v>518920</v>
      </c>
      <c r="BI335" s="2">
        <v>175418</v>
      </c>
      <c r="BJ335" s="2" t="s">
        <v>407</v>
      </c>
      <c r="BL335" s="2" t="s">
        <v>163</v>
      </c>
    </row>
    <row r="336" spans="1:72" x14ac:dyDescent="0.25">
      <c r="A336" s="2" t="s">
        <v>1657</v>
      </c>
      <c r="B336" s="2" t="s">
        <v>382</v>
      </c>
      <c r="D336" s="4"/>
      <c r="E336" s="4"/>
      <c r="H336" s="2" t="s">
        <v>207</v>
      </c>
      <c r="I336" s="2" t="s">
        <v>335</v>
      </c>
      <c r="J336" s="2" t="s">
        <v>215</v>
      </c>
      <c r="K336" s="2" t="s">
        <v>1658</v>
      </c>
      <c r="L336" s="2" t="s">
        <v>1659</v>
      </c>
      <c r="Y336" s="2">
        <v>6</v>
      </c>
      <c r="Z336" s="2">
        <v>17</v>
      </c>
      <c r="AA336" s="2">
        <v>7</v>
      </c>
      <c r="AF336" s="2">
        <v>30</v>
      </c>
      <c r="AG336" s="2">
        <f t="shared" ref="AG336:AM336" si="61">Y336-N336</f>
        <v>6</v>
      </c>
      <c r="AH336" s="2">
        <f t="shared" si="61"/>
        <v>17</v>
      </c>
      <c r="AI336" s="2">
        <f t="shared" si="61"/>
        <v>7</v>
      </c>
      <c r="AJ336" s="2">
        <f t="shared" si="61"/>
        <v>0</v>
      </c>
      <c r="AK336" s="2">
        <f t="shared" si="61"/>
        <v>0</v>
      </c>
      <c r="AL336" s="2">
        <f t="shared" si="61"/>
        <v>0</v>
      </c>
      <c r="AM336" s="2">
        <f t="shared" si="61"/>
        <v>0</v>
      </c>
      <c r="AP336" s="312">
        <v>30</v>
      </c>
      <c r="AQ336" s="180" t="s">
        <v>299</v>
      </c>
      <c r="AR336" s="245"/>
      <c r="AS336" s="313">
        <v>0</v>
      </c>
      <c r="AT336" s="245">
        <v>0</v>
      </c>
      <c r="AU336" s="245">
        <v>30</v>
      </c>
      <c r="AV336" s="245">
        <v>0</v>
      </c>
      <c r="AW336" s="311">
        <v>0</v>
      </c>
      <c r="AX336" s="245">
        <v>0</v>
      </c>
      <c r="AY336" s="245">
        <v>0</v>
      </c>
      <c r="AZ336" s="245">
        <v>0</v>
      </c>
      <c r="BA336" s="245">
        <v>0</v>
      </c>
      <c r="BB336" s="245">
        <v>0</v>
      </c>
      <c r="BC336" s="218">
        <v>30</v>
      </c>
      <c r="BD336" s="2">
        <f t="shared" si="60"/>
        <v>30</v>
      </c>
      <c r="BH336" s="2">
        <v>515141</v>
      </c>
      <c r="BI336" s="2">
        <v>171791</v>
      </c>
      <c r="BJ336" s="2" t="s">
        <v>391</v>
      </c>
      <c r="BL336" s="2" t="s">
        <v>174</v>
      </c>
    </row>
    <row r="337" spans="1:64" x14ac:dyDescent="0.25">
      <c r="A337" s="2" t="s">
        <v>1650</v>
      </c>
      <c r="B337" s="2" t="s">
        <v>382</v>
      </c>
      <c r="D337" s="4"/>
      <c r="E337" s="4"/>
      <c r="H337" s="2" t="s">
        <v>207</v>
      </c>
      <c r="I337" s="2" t="s">
        <v>1647</v>
      </c>
      <c r="J337" s="2" t="s">
        <v>211</v>
      </c>
      <c r="L337" s="2" t="s">
        <v>211</v>
      </c>
      <c r="AP337" s="312">
        <v>50</v>
      </c>
      <c r="AR337" s="245"/>
      <c r="AS337" s="313">
        <v>0</v>
      </c>
      <c r="AT337" s="245">
        <v>0</v>
      </c>
      <c r="AU337" s="245">
        <v>0</v>
      </c>
      <c r="AV337" s="245">
        <v>0</v>
      </c>
      <c r="AW337" s="311">
        <v>50</v>
      </c>
      <c r="AX337" s="245">
        <v>50</v>
      </c>
      <c r="AY337" s="245">
        <v>50</v>
      </c>
      <c r="AZ337" s="245">
        <v>50</v>
      </c>
      <c r="BA337" s="245">
        <v>50</v>
      </c>
      <c r="BB337" s="245">
        <v>50</v>
      </c>
      <c r="BC337" s="218">
        <v>50</v>
      </c>
      <c r="BD337" s="2">
        <f t="shared" si="60"/>
        <v>300</v>
      </c>
      <c r="BH337" s="2">
        <v>517177</v>
      </c>
      <c r="BI337" s="2">
        <v>172352</v>
      </c>
      <c r="BJ337" s="2" t="s">
        <v>411</v>
      </c>
      <c r="BL337" s="2" t="s">
        <v>156</v>
      </c>
    </row>
    <row r="338" spans="1:64" x14ac:dyDescent="0.25">
      <c r="A338" s="2" t="s">
        <v>1650</v>
      </c>
      <c r="B338" s="2" t="s">
        <v>382</v>
      </c>
      <c r="D338" s="4"/>
      <c r="E338" s="4"/>
      <c r="H338" s="2" t="s">
        <v>207</v>
      </c>
      <c r="I338" s="2" t="s">
        <v>1647</v>
      </c>
      <c r="J338" s="2" t="s">
        <v>219</v>
      </c>
      <c r="L338" s="2" t="s">
        <v>1660</v>
      </c>
      <c r="AP338" s="312">
        <v>20</v>
      </c>
      <c r="AR338" s="245"/>
      <c r="AS338" s="313">
        <v>0</v>
      </c>
      <c r="AT338" s="245">
        <v>0</v>
      </c>
      <c r="AU338" s="245">
        <v>0</v>
      </c>
      <c r="AV338" s="245">
        <v>10</v>
      </c>
      <c r="AW338" s="311">
        <v>10</v>
      </c>
      <c r="AX338" s="245">
        <v>0</v>
      </c>
      <c r="AY338" s="245">
        <v>0</v>
      </c>
      <c r="AZ338" s="245">
        <v>0</v>
      </c>
      <c r="BA338" s="245">
        <v>0</v>
      </c>
      <c r="BB338" s="245">
        <v>0</v>
      </c>
      <c r="BC338" s="218">
        <v>20</v>
      </c>
      <c r="BD338" s="2">
        <f t="shared" si="60"/>
        <v>20</v>
      </c>
      <c r="BH338" s="2">
        <v>514055</v>
      </c>
      <c r="BI338" s="2">
        <v>173847</v>
      </c>
      <c r="BJ338" s="2" t="s">
        <v>622</v>
      </c>
      <c r="BL338" s="2" t="s">
        <v>144</v>
      </c>
    </row>
    <row r="339" spans="1:64" x14ac:dyDescent="0.25">
      <c r="A339" s="2" t="s">
        <v>1650</v>
      </c>
      <c r="B339" s="2" t="s">
        <v>382</v>
      </c>
      <c r="D339" s="4"/>
      <c r="E339" s="4"/>
      <c r="H339" s="2" t="s">
        <v>207</v>
      </c>
      <c r="I339" s="2" t="s">
        <v>1647</v>
      </c>
      <c r="J339" s="2" t="s">
        <v>217</v>
      </c>
      <c r="L339" s="2" t="s">
        <v>1661</v>
      </c>
      <c r="AP339" s="312">
        <v>20</v>
      </c>
      <c r="AR339" s="245"/>
      <c r="AS339" s="313">
        <v>0</v>
      </c>
      <c r="AT339" s="245">
        <v>0</v>
      </c>
      <c r="AU339" s="245">
        <v>0</v>
      </c>
      <c r="AV339" s="245">
        <v>10</v>
      </c>
      <c r="AW339" s="311">
        <v>10</v>
      </c>
      <c r="AX339" s="245">
        <v>0</v>
      </c>
      <c r="AY339" s="245">
        <v>0</v>
      </c>
      <c r="AZ339" s="245">
        <v>0</v>
      </c>
      <c r="BA339" s="245">
        <v>0</v>
      </c>
      <c r="BB339" s="245">
        <v>0</v>
      </c>
      <c r="BC339" s="218">
        <v>20</v>
      </c>
      <c r="BD339" s="2">
        <f t="shared" si="60"/>
        <v>20</v>
      </c>
      <c r="BH339" s="2">
        <v>516325</v>
      </c>
      <c r="BI339" s="2">
        <v>173426</v>
      </c>
      <c r="BJ339" s="2" t="s">
        <v>456</v>
      </c>
      <c r="BL339" s="2" t="s">
        <v>167</v>
      </c>
    </row>
    <row r="340" spans="1:64" x14ac:dyDescent="0.25">
      <c r="A340" s="2" t="s">
        <v>1650</v>
      </c>
      <c r="B340" s="2" t="s">
        <v>394</v>
      </c>
      <c r="D340" s="4"/>
      <c r="E340" s="4"/>
      <c r="H340" s="2" t="s">
        <v>207</v>
      </c>
      <c r="I340" s="2" t="s">
        <v>1647</v>
      </c>
      <c r="J340" s="2" t="s">
        <v>214</v>
      </c>
      <c r="L340" s="2" t="s">
        <v>214</v>
      </c>
      <c r="AP340" s="312">
        <v>20</v>
      </c>
      <c r="AR340" s="245"/>
      <c r="AS340" s="313">
        <v>0</v>
      </c>
      <c r="AT340" s="245">
        <v>0</v>
      </c>
      <c r="AU340" s="245">
        <v>0</v>
      </c>
      <c r="AV340" s="245">
        <v>0</v>
      </c>
      <c r="AW340" s="311">
        <v>20</v>
      </c>
      <c r="AX340" s="245">
        <v>0</v>
      </c>
      <c r="AY340" s="245">
        <v>0</v>
      </c>
      <c r="AZ340" s="245">
        <v>0</v>
      </c>
      <c r="BA340" s="245">
        <v>0</v>
      </c>
      <c r="BB340" s="245">
        <v>0</v>
      </c>
      <c r="BC340" s="218">
        <v>20</v>
      </c>
      <c r="BD340" s="2">
        <f t="shared" si="60"/>
        <v>20</v>
      </c>
      <c r="BH340" s="2">
        <v>515852</v>
      </c>
      <c r="BI340" s="2">
        <v>170855</v>
      </c>
      <c r="BJ340" s="2" t="s">
        <v>498</v>
      </c>
      <c r="BL340" s="2" t="s">
        <v>140</v>
      </c>
    </row>
    <row r="341" spans="1:64" x14ac:dyDescent="0.25">
      <c r="A341" s="2" t="s">
        <v>1650</v>
      </c>
      <c r="B341" s="2" t="s">
        <v>394</v>
      </c>
      <c r="D341" s="4"/>
      <c r="E341" s="4"/>
      <c r="H341" s="2" t="s">
        <v>207</v>
      </c>
      <c r="I341" s="2" t="s">
        <v>1647</v>
      </c>
      <c r="J341" s="2" t="s">
        <v>167</v>
      </c>
      <c r="L341" s="2" t="s">
        <v>167</v>
      </c>
      <c r="AP341" s="312">
        <v>45</v>
      </c>
      <c r="AR341" s="245"/>
      <c r="AS341" s="313">
        <v>0</v>
      </c>
      <c r="AT341" s="245">
        <v>0</v>
      </c>
      <c r="AU341" s="245">
        <v>0</v>
      </c>
      <c r="AV341" s="245">
        <v>22.5</v>
      </c>
      <c r="AW341" s="311">
        <v>22.5</v>
      </c>
      <c r="AX341" s="245">
        <v>0</v>
      </c>
      <c r="AY341" s="245">
        <v>0</v>
      </c>
      <c r="AZ341" s="245">
        <v>0</v>
      </c>
      <c r="BA341" s="245">
        <v>0</v>
      </c>
      <c r="BB341" s="245">
        <v>0</v>
      </c>
      <c r="BC341" s="218">
        <v>45</v>
      </c>
      <c r="BD341" s="2">
        <f t="shared" si="60"/>
        <v>45</v>
      </c>
      <c r="BH341" s="2">
        <v>516311</v>
      </c>
      <c r="BI341" s="2">
        <v>173216</v>
      </c>
      <c r="BJ341" s="2" t="s">
        <v>144</v>
      </c>
      <c r="BL341" s="2" t="s">
        <v>144</v>
      </c>
    </row>
    <row r="342" spans="1:64" x14ac:dyDescent="0.25">
      <c r="A342" s="2" t="s">
        <v>205</v>
      </c>
      <c r="B342" s="2" t="s">
        <v>394</v>
      </c>
      <c r="D342" s="4"/>
      <c r="E342" s="4"/>
      <c r="H342" s="2" t="s">
        <v>207</v>
      </c>
      <c r="I342" s="2" t="s">
        <v>1647</v>
      </c>
      <c r="J342" s="2" t="s">
        <v>205</v>
      </c>
      <c r="K342" s="2" t="s">
        <v>205</v>
      </c>
      <c r="L342" s="2" t="s">
        <v>205</v>
      </c>
      <c r="AP342" s="312">
        <v>742</v>
      </c>
      <c r="AR342" s="245"/>
      <c r="AS342" s="313">
        <v>20</v>
      </c>
      <c r="AT342" s="245">
        <v>20</v>
      </c>
      <c r="AU342" s="245">
        <v>234</v>
      </c>
      <c r="AV342" s="245">
        <v>234</v>
      </c>
      <c r="AW342" s="311">
        <v>234</v>
      </c>
      <c r="AX342" s="245">
        <v>234</v>
      </c>
      <c r="AY342" s="245">
        <v>234</v>
      </c>
      <c r="AZ342" s="245">
        <v>234</v>
      </c>
      <c r="BA342" s="245">
        <v>234</v>
      </c>
      <c r="BB342" s="245">
        <v>234</v>
      </c>
      <c r="BC342" s="218">
        <v>742</v>
      </c>
      <c r="BD342" s="2">
        <f t="shared" si="60"/>
        <v>1912</v>
      </c>
      <c r="BL342" s="2" t="s">
        <v>314</v>
      </c>
    </row>
  </sheetData>
  <autoFilter ref="A1:BT345" xr:uid="{E888697C-7B1E-43C4-B1EA-D8E4E0E3E1CB}">
    <sortState xmlns:xlrd2="http://schemas.microsoft.com/office/spreadsheetml/2017/richdata2" ref="A2:BT345">
      <sortCondition ref="H1:H345"/>
    </sortState>
  </autoFilter>
  <conditionalFormatting sqref="K326 K331 K298">
    <cfRule type="duplicateValues" dxfId="1" priority="14"/>
    <cfRule type="duplicateValues" dxfId="0" priority="15"/>
  </conditionalFormatting>
  <pageMargins left="0.7" right="0.7" top="0.75" bottom="0.75" header="0.3" footer="0.3"/>
  <pageSetup paperSize="9" orientation="portrait" r:id="rId1"/>
  <headerFooter>
    <oddHeader>&amp;L&amp;"Calibri"&amp;10&amp;K000000 Official&amp;1#_x000D_</oddHeader>
  </headerFooter>
  <ignoredErrors>
    <ignoredError sqref="BD331:BD342"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3B73-C62D-4165-AA82-21F638E0B8E8}">
  <sheetPr>
    <pageSetUpPr fitToPage="1"/>
  </sheetPr>
  <dimension ref="B2:X16"/>
  <sheetViews>
    <sheetView zoomScaleNormal="100" zoomScaleSheetLayoutView="85" workbookViewId="0">
      <selection activeCell="B2" sqref="B2:X2"/>
    </sheetView>
  </sheetViews>
  <sheetFormatPr defaultColWidth="9.140625" defaultRowHeight="12" x14ac:dyDescent="0.2"/>
  <cols>
    <col min="1" max="1" width="2.7109375" style="167" customWidth="1"/>
    <col min="2" max="2" width="12.28515625" style="167" bestFit="1" customWidth="1"/>
    <col min="3" max="3" width="50.140625" style="168" bestFit="1" customWidth="1"/>
    <col min="4" max="24" width="6.5703125" style="167" bestFit="1" customWidth="1"/>
    <col min="25" max="25" width="2.7109375" style="167" customWidth="1"/>
    <col min="26" max="16384" width="9.140625" style="167"/>
  </cols>
  <sheetData>
    <row r="2" spans="2:24" s="6" customFormat="1" ht="50.1" customHeight="1" x14ac:dyDescent="0.2">
      <c r="B2" s="440" t="s">
        <v>1662</v>
      </c>
      <c r="C2" s="441"/>
      <c r="D2" s="441"/>
      <c r="E2" s="441"/>
      <c r="F2" s="441"/>
      <c r="G2" s="441"/>
      <c r="H2" s="441"/>
      <c r="I2" s="441"/>
      <c r="J2" s="441"/>
      <c r="K2" s="441"/>
      <c r="L2" s="441"/>
      <c r="M2" s="441"/>
      <c r="N2" s="441"/>
      <c r="O2" s="441"/>
      <c r="P2" s="441"/>
      <c r="Q2" s="441"/>
      <c r="R2" s="441"/>
      <c r="S2" s="441"/>
      <c r="T2" s="441"/>
      <c r="U2" s="441"/>
      <c r="V2" s="441"/>
      <c r="W2" s="441"/>
      <c r="X2" s="442"/>
    </row>
    <row r="3" spans="2:24" x14ac:dyDescent="0.2">
      <c r="B3" s="169"/>
    </row>
    <row r="4" spans="2:24" ht="20.100000000000001" customHeight="1" thickBot="1" x14ac:dyDescent="0.25">
      <c r="B4" s="454" t="s">
        <v>1663</v>
      </c>
      <c r="C4" s="455"/>
      <c r="D4" s="455"/>
      <c r="E4" s="455"/>
      <c r="F4" s="455"/>
      <c r="G4" s="455"/>
      <c r="H4" s="455"/>
      <c r="I4" s="455"/>
      <c r="J4" s="455"/>
      <c r="K4" s="455"/>
      <c r="L4" s="455"/>
      <c r="M4" s="455"/>
      <c r="N4" s="455"/>
      <c r="O4" s="455"/>
      <c r="P4" s="455"/>
      <c r="Q4" s="455"/>
      <c r="R4" s="455"/>
      <c r="S4" s="455"/>
      <c r="T4" s="455"/>
      <c r="U4" s="455"/>
      <c r="V4" s="455"/>
      <c r="W4" s="456"/>
    </row>
    <row r="5" spans="2:24" ht="12.75" customHeight="1" thickBot="1" x14ac:dyDescent="0.25">
      <c r="B5" s="443" t="s">
        <v>1664</v>
      </c>
      <c r="C5" s="444"/>
      <c r="D5" s="445" t="s">
        <v>1665</v>
      </c>
      <c r="E5" s="446"/>
      <c r="F5" s="446"/>
      <c r="G5" s="447"/>
      <c r="H5" s="448" t="s">
        <v>1666</v>
      </c>
      <c r="I5" s="449"/>
      <c r="J5" s="449"/>
      <c r="K5" s="449"/>
      <c r="L5" s="449"/>
      <c r="M5" s="450"/>
      <c r="N5" s="451" t="s">
        <v>1667</v>
      </c>
      <c r="O5" s="452"/>
      <c r="P5" s="452"/>
      <c r="Q5" s="452"/>
      <c r="R5" s="452"/>
      <c r="S5" s="452"/>
      <c r="T5" s="452"/>
      <c r="U5" s="452"/>
      <c r="V5" s="452"/>
      <c r="W5" s="453"/>
    </row>
    <row r="6" spans="2:24" x14ac:dyDescent="0.2">
      <c r="B6" s="457" t="s">
        <v>85</v>
      </c>
      <c r="C6" s="458"/>
      <c r="D6" s="193" t="s">
        <v>8</v>
      </c>
      <c r="E6" s="192" t="s">
        <v>9</v>
      </c>
      <c r="F6" s="192" t="s">
        <v>10</v>
      </c>
      <c r="G6" s="194" t="s">
        <v>11</v>
      </c>
      <c r="H6" s="193" t="s">
        <v>12</v>
      </c>
      <c r="I6" s="192" t="s">
        <v>13</v>
      </c>
      <c r="J6" s="192" t="s">
        <v>14</v>
      </c>
      <c r="K6" s="192" t="s">
        <v>15</v>
      </c>
      <c r="L6" s="192" t="s">
        <v>16</v>
      </c>
      <c r="M6" s="194" t="s">
        <v>17</v>
      </c>
      <c r="N6" s="193" t="s">
        <v>1668</v>
      </c>
      <c r="O6" s="192" t="s">
        <v>1669</v>
      </c>
      <c r="P6" s="192" t="s">
        <v>1670</v>
      </c>
      <c r="Q6" s="214" t="s">
        <v>1671</v>
      </c>
      <c r="R6" s="192" t="s">
        <v>1672</v>
      </c>
      <c r="S6" s="192" t="s">
        <v>1673</v>
      </c>
      <c r="T6" s="192" t="s">
        <v>1674</v>
      </c>
      <c r="U6" s="192" t="s">
        <v>1675</v>
      </c>
      <c r="V6" s="192" t="s">
        <v>1676</v>
      </c>
      <c r="W6" s="248" t="s">
        <v>1677</v>
      </c>
    </row>
    <row r="7" spans="2:24" ht="12" customHeight="1" x14ac:dyDescent="0.2">
      <c r="B7" s="459" t="s">
        <v>1678</v>
      </c>
      <c r="C7" s="460"/>
      <c r="D7" s="195">
        <v>10</v>
      </c>
      <c r="E7" s="170">
        <f>D7-1</f>
        <v>9</v>
      </c>
      <c r="F7" s="170">
        <f t="shared" ref="F7:G7" si="0">E7-1</f>
        <v>8</v>
      </c>
      <c r="G7" s="196">
        <f t="shared" si="0"/>
        <v>7</v>
      </c>
      <c r="H7" s="195">
        <v>10</v>
      </c>
      <c r="I7" s="170">
        <f>H7-1</f>
        <v>9</v>
      </c>
      <c r="J7" s="170">
        <f t="shared" ref="J7:R7" si="1">I7-1</f>
        <v>8</v>
      </c>
      <c r="K7" s="170">
        <f t="shared" si="1"/>
        <v>7</v>
      </c>
      <c r="L7" s="170">
        <f t="shared" si="1"/>
        <v>6</v>
      </c>
      <c r="M7" s="196">
        <f t="shared" si="1"/>
        <v>5</v>
      </c>
      <c r="N7" s="195">
        <v>10</v>
      </c>
      <c r="O7" s="170">
        <f t="shared" si="1"/>
        <v>9</v>
      </c>
      <c r="P7" s="170">
        <f t="shared" si="1"/>
        <v>8</v>
      </c>
      <c r="Q7" s="213">
        <f t="shared" si="1"/>
        <v>7</v>
      </c>
      <c r="R7" s="213">
        <f t="shared" si="1"/>
        <v>6</v>
      </c>
      <c r="S7" s="213">
        <f t="shared" ref="S7" si="2">R7-1</f>
        <v>5</v>
      </c>
      <c r="T7" s="213">
        <f t="shared" ref="T7" si="3">S7-1</f>
        <v>4</v>
      </c>
      <c r="U7" s="213">
        <f t="shared" ref="U7" si="4">T7-1</f>
        <v>3</v>
      </c>
      <c r="V7" s="213">
        <f t="shared" ref="V7" si="5">U7-1</f>
        <v>2</v>
      </c>
      <c r="W7" s="249">
        <f t="shared" ref="W7" si="6">V7-1</f>
        <v>1</v>
      </c>
    </row>
    <row r="8" spans="2:24" ht="23.1" customHeight="1" x14ac:dyDescent="0.2">
      <c r="B8" s="461" t="s">
        <v>86</v>
      </c>
      <c r="C8" s="208" t="s">
        <v>1679</v>
      </c>
      <c r="D8" s="197">
        <v>208</v>
      </c>
      <c r="E8" s="171">
        <v>695</v>
      </c>
      <c r="F8" s="171">
        <v>235</v>
      </c>
      <c r="G8" s="210">
        <v>304</v>
      </c>
      <c r="H8" s="197">
        <v>491</v>
      </c>
      <c r="I8" s="171">
        <v>460</v>
      </c>
      <c r="J8" s="171">
        <v>382</v>
      </c>
      <c r="K8" s="171">
        <v>419</v>
      </c>
      <c r="L8" s="172">
        <v>331</v>
      </c>
      <c r="M8" s="198">
        <f>GETPIVOTDATA("Net Dwellings",Pivot!$B$6)</f>
        <v>206</v>
      </c>
      <c r="N8" s="206"/>
      <c r="O8" s="172"/>
      <c r="P8" s="173"/>
      <c r="Q8" s="173"/>
      <c r="R8" s="173"/>
      <c r="S8" s="173"/>
      <c r="T8" s="173"/>
      <c r="U8" s="173"/>
      <c r="V8" s="173"/>
      <c r="W8" s="173"/>
    </row>
    <row r="9" spans="2:24" ht="23.1" customHeight="1" x14ac:dyDescent="0.2">
      <c r="B9" s="462"/>
      <c r="C9" s="208" t="s">
        <v>1680</v>
      </c>
      <c r="D9" s="206"/>
      <c r="E9" s="172"/>
      <c r="F9" s="172"/>
      <c r="G9" s="198"/>
      <c r="H9" s="199"/>
      <c r="I9" s="174"/>
      <c r="J9" s="171"/>
      <c r="K9" s="175"/>
      <c r="L9" s="176"/>
      <c r="M9" s="200"/>
      <c r="N9" s="251">
        <f>GETPIVOTDATA("Sum of 2021/22 (1)",Pivot!$B$426)</f>
        <v>217.25</v>
      </c>
      <c r="O9" s="176">
        <f>GETPIVOTDATA("Sum of 2022/23 (2)",Pivot!$B$426)</f>
        <v>338</v>
      </c>
      <c r="P9" s="176">
        <f>GETPIVOTDATA("Sum of 2023/24 (3)",Pivot!$B$426)</f>
        <v>574.5</v>
      </c>
      <c r="Q9" s="176">
        <f>GETPIVOTDATA("Sum of 2024/25 (4)",Pivot!$B$426)</f>
        <v>432.5</v>
      </c>
      <c r="R9" s="176">
        <f>GETPIVOTDATA("Sum of 2025/26 (5)",Pivot!$B$426)</f>
        <v>665</v>
      </c>
      <c r="S9" s="176">
        <f>GETPIVOTDATA("Sum of 2026/27 (6)",Pivot!$B$426)</f>
        <v>510.25</v>
      </c>
      <c r="T9" s="176">
        <f>GETPIVOTDATA("Sum of 2027/28 (7)",Pivot!$B$426)</f>
        <v>515.25</v>
      </c>
      <c r="U9" s="176">
        <f>GETPIVOTDATA("Sum of 2028/29 (8)",Pivot!$B$426)</f>
        <v>515.25</v>
      </c>
      <c r="V9" s="176">
        <f>GETPIVOTDATA("Sum of 2029/30 (9)",Pivot!$B$426)</f>
        <v>419</v>
      </c>
      <c r="W9" s="176">
        <f>GETPIVOTDATA("Sum of 2030/31 (10)",Pivot!$B$426)</f>
        <v>419</v>
      </c>
    </row>
    <row r="10" spans="2:24" ht="23.1" customHeight="1" x14ac:dyDescent="0.2">
      <c r="B10" s="463"/>
      <c r="C10" s="208" t="s">
        <v>1681</v>
      </c>
      <c r="D10" s="203">
        <f>D8</f>
        <v>208</v>
      </c>
      <c r="E10" s="173">
        <f>D10+E8</f>
        <v>903</v>
      </c>
      <c r="F10" s="173">
        <f>E10+F8</f>
        <v>1138</v>
      </c>
      <c r="G10" s="207">
        <f>F10+G8</f>
        <v>1442</v>
      </c>
      <c r="H10" s="201">
        <f>H8</f>
        <v>491</v>
      </c>
      <c r="I10" s="177">
        <f>H10+I8</f>
        <v>951</v>
      </c>
      <c r="J10" s="177">
        <f>I10+J8</f>
        <v>1333</v>
      </c>
      <c r="K10" s="177">
        <f>J10+K8</f>
        <v>1752</v>
      </c>
      <c r="L10" s="177">
        <f>K10+L8</f>
        <v>2083</v>
      </c>
      <c r="M10" s="202">
        <f>L10+M8</f>
        <v>2289</v>
      </c>
      <c r="N10" s="201">
        <f>N9</f>
        <v>217.25</v>
      </c>
      <c r="O10" s="177">
        <f t="shared" ref="O10:W10" si="7">N10+O9</f>
        <v>555.25</v>
      </c>
      <c r="P10" s="177">
        <f t="shared" si="7"/>
        <v>1129.75</v>
      </c>
      <c r="Q10" s="177">
        <f t="shared" si="7"/>
        <v>1562.25</v>
      </c>
      <c r="R10" s="177">
        <f t="shared" si="7"/>
        <v>2227.25</v>
      </c>
      <c r="S10" s="177">
        <f t="shared" si="7"/>
        <v>2737.5</v>
      </c>
      <c r="T10" s="177">
        <f t="shared" si="7"/>
        <v>3252.75</v>
      </c>
      <c r="U10" s="177">
        <f t="shared" si="7"/>
        <v>3768</v>
      </c>
      <c r="V10" s="177">
        <f t="shared" si="7"/>
        <v>4187</v>
      </c>
      <c r="W10" s="177">
        <f t="shared" si="7"/>
        <v>4606</v>
      </c>
    </row>
    <row r="11" spans="2:24" ht="23.1" customHeight="1" x14ac:dyDescent="0.2">
      <c r="B11" s="461" t="s">
        <v>1682</v>
      </c>
      <c r="C11" s="209" t="s">
        <v>1683</v>
      </c>
      <c r="D11" s="201">
        <v>245</v>
      </c>
      <c r="E11" s="177">
        <v>245</v>
      </c>
      <c r="F11" s="177">
        <v>245</v>
      </c>
      <c r="G11" s="202">
        <v>245</v>
      </c>
      <c r="H11" s="201">
        <v>315</v>
      </c>
      <c r="I11" s="177">
        <v>315</v>
      </c>
      <c r="J11" s="177">
        <v>315</v>
      </c>
      <c r="K11" s="177">
        <v>315</v>
      </c>
      <c r="L11" s="177">
        <v>315</v>
      </c>
      <c r="M11" s="250">
        <v>315</v>
      </c>
      <c r="N11" s="201">
        <v>411</v>
      </c>
      <c r="O11" s="177">
        <v>411</v>
      </c>
      <c r="P11" s="177">
        <v>411</v>
      </c>
      <c r="Q11" s="177">
        <v>411</v>
      </c>
      <c r="R11" s="177">
        <v>411</v>
      </c>
      <c r="S11" s="177">
        <v>411</v>
      </c>
      <c r="T11" s="177">
        <v>411</v>
      </c>
      <c r="U11" s="177">
        <v>411</v>
      </c>
      <c r="V11" s="177">
        <v>411</v>
      </c>
      <c r="W11" s="177">
        <v>411</v>
      </c>
    </row>
    <row r="12" spans="2:24" ht="23.1" customHeight="1" x14ac:dyDescent="0.2">
      <c r="B12" s="463"/>
      <c r="C12" s="209" t="s">
        <v>1684</v>
      </c>
      <c r="D12" s="203">
        <f>D11</f>
        <v>245</v>
      </c>
      <c r="E12" s="173">
        <f>D12+E11</f>
        <v>490</v>
      </c>
      <c r="F12" s="173">
        <f>E12+F11</f>
        <v>735</v>
      </c>
      <c r="G12" s="207">
        <f>F12+G11</f>
        <v>980</v>
      </c>
      <c r="H12" s="203">
        <f>H11</f>
        <v>315</v>
      </c>
      <c r="I12" s="173">
        <f t="shared" ref="I12:W12" si="8">H12+I11</f>
        <v>630</v>
      </c>
      <c r="J12" s="173">
        <f t="shared" si="8"/>
        <v>945</v>
      </c>
      <c r="K12" s="173">
        <f t="shared" si="8"/>
        <v>1260</v>
      </c>
      <c r="L12" s="173">
        <f t="shared" si="8"/>
        <v>1575</v>
      </c>
      <c r="M12" s="207">
        <f>L12+M11</f>
        <v>1890</v>
      </c>
      <c r="N12" s="203">
        <f>N11</f>
        <v>411</v>
      </c>
      <c r="O12" s="173">
        <f>N12+O11</f>
        <v>822</v>
      </c>
      <c r="P12" s="173">
        <f t="shared" si="8"/>
        <v>1233</v>
      </c>
      <c r="Q12" s="173">
        <f t="shared" si="8"/>
        <v>1644</v>
      </c>
      <c r="R12" s="173">
        <f t="shared" si="8"/>
        <v>2055</v>
      </c>
      <c r="S12" s="173">
        <f t="shared" si="8"/>
        <v>2466</v>
      </c>
      <c r="T12" s="173">
        <f t="shared" si="8"/>
        <v>2877</v>
      </c>
      <c r="U12" s="173">
        <f t="shared" si="8"/>
        <v>3288</v>
      </c>
      <c r="V12" s="173">
        <f t="shared" si="8"/>
        <v>3699</v>
      </c>
      <c r="W12" s="173">
        <f t="shared" si="8"/>
        <v>4110</v>
      </c>
    </row>
    <row r="13" spans="2:24" ht="23.1" customHeight="1" x14ac:dyDescent="0.2">
      <c r="B13" s="461" t="s">
        <v>1685</v>
      </c>
      <c r="C13" s="209" t="s">
        <v>1686</v>
      </c>
      <c r="D13" s="203">
        <f t="shared" ref="D13:W13" si="9">D10-D12</f>
        <v>-37</v>
      </c>
      <c r="E13" s="173">
        <f t="shared" si="9"/>
        <v>413</v>
      </c>
      <c r="F13" s="173">
        <f t="shared" si="9"/>
        <v>403</v>
      </c>
      <c r="G13" s="207">
        <f t="shared" si="9"/>
        <v>462</v>
      </c>
      <c r="H13" s="203">
        <f>H10-H12</f>
        <v>176</v>
      </c>
      <c r="I13" s="173">
        <f t="shared" si="9"/>
        <v>321</v>
      </c>
      <c r="J13" s="173">
        <f t="shared" si="9"/>
        <v>388</v>
      </c>
      <c r="K13" s="173">
        <f t="shared" si="9"/>
        <v>492</v>
      </c>
      <c r="L13" s="173">
        <f t="shared" si="9"/>
        <v>508</v>
      </c>
      <c r="M13" s="207">
        <f t="shared" si="9"/>
        <v>399</v>
      </c>
      <c r="N13" s="203">
        <f t="shared" si="9"/>
        <v>-193.75</v>
      </c>
      <c r="O13" s="173">
        <f t="shared" si="9"/>
        <v>-266.75</v>
      </c>
      <c r="P13" s="173">
        <f t="shared" si="9"/>
        <v>-103.25</v>
      </c>
      <c r="Q13" s="173">
        <f t="shared" si="9"/>
        <v>-81.75</v>
      </c>
      <c r="R13" s="173">
        <f t="shared" si="9"/>
        <v>172.25</v>
      </c>
      <c r="S13" s="173">
        <f t="shared" si="9"/>
        <v>271.5</v>
      </c>
      <c r="T13" s="173">
        <f t="shared" si="9"/>
        <v>375.75</v>
      </c>
      <c r="U13" s="173">
        <f t="shared" si="9"/>
        <v>480</v>
      </c>
      <c r="V13" s="173">
        <f t="shared" si="9"/>
        <v>488</v>
      </c>
      <c r="W13" s="173">
        <f t="shared" si="9"/>
        <v>496</v>
      </c>
    </row>
    <row r="14" spans="2:24" ht="23.1" customHeight="1" thickBot="1" x14ac:dyDescent="0.25">
      <c r="B14" s="464"/>
      <c r="C14" s="209" t="s">
        <v>1687</v>
      </c>
      <c r="D14" s="204">
        <f>D11</f>
        <v>245</v>
      </c>
      <c r="E14" s="211">
        <f>IF((E11*10-D10)/E7&gt;0,(E11*10-D10)/E7,0)</f>
        <v>249.11111111111111</v>
      </c>
      <c r="F14" s="211">
        <f>IF((F11*10-E10)/F7&gt;0,(F11*10-E10)/F7,0)</f>
        <v>193.375</v>
      </c>
      <c r="G14" s="212">
        <f>IF((G11*10-F10)/G7&gt;0,(G11*10-F10)/G7,0)</f>
        <v>187.42857142857142</v>
      </c>
      <c r="H14" s="204">
        <f>H11</f>
        <v>315</v>
      </c>
      <c r="I14" s="205">
        <f t="shared" ref="I14:M14" si="10">IF((I11*10-H10)/I7&gt;0,(I11*10-H10)/I7,0)</f>
        <v>295.44444444444446</v>
      </c>
      <c r="J14" s="205">
        <f t="shared" si="10"/>
        <v>274.875</v>
      </c>
      <c r="K14" s="205">
        <f t="shared" si="10"/>
        <v>259.57142857142856</v>
      </c>
      <c r="L14" s="205">
        <f t="shared" si="10"/>
        <v>233</v>
      </c>
      <c r="M14" s="252">
        <f t="shared" si="10"/>
        <v>213.4</v>
      </c>
      <c r="N14" s="253">
        <f>IF((N11*10-M10)/N7&gt;0,(N11*10-M10)/N7,0)</f>
        <v>182.1</v>
      </c>
      <c r="O14" s="205">
        <f>IF((O11*10-N10)/O7&gt;0,(O11*10-N10)/O7,0)</f>
        <v>432.52777777777777</v>
      </c>
      <c r="P14" s="205">
        <f t="shared" ref="P14:Q14" si="11">IF((P11*10-O10)/P7&gt;0,(P11*10-O10)/P7,0)</f>
        <v>444.34375</v>
      </c>
      <c r="Q14" s="205">
        <f t="shared" si="11"/>
        <v>425.75</v>
      </c>
      <c r="R14" s="205">
        <f t="shared" ref="R14" si="12">IF((R11*10-Q10)/R7&gt;0,(R11*10-Q10)/R7,0)</f>
        <v>424.625</v>
      </c>
      <c r="S14" s="205">
        <f t="shared" ref="S14" si="13">IF((S11*10-R10)/S7&gt;0,(S11*10-R10)/S7,0)</f>
        <v>376.55</v>
      </c>
      <c r="T14" s="205">
        <f t="shared" ref="T14" si="14">IF((T11*10-S10)/T7&gt;0,(T11*10-S10)/T7,0)</f>
        <v>343.125</v>
      </c>
      <c r="U14" s="205">
        <f t="shared" ref="U14" si="15">IF((U11*10-T10)/U7&gt;0,(U11*10-T10)/U7,0)</f>
        <v>285.75</v>
      </c>
      <c r="V14" s="205">
        <f t="shared" ref="V14" si="16">IF((V11*10-U10)/V7&gt;0,(V11*10-U10)/V7,0)</f>
        <v>171</v>
      </c>
      <c r="W14" s="205">
        <f t="shared" ref="W14" si="17">IF((W11*10-V10)/W7&gt;0,(W11*10-V10)/W7,0)</f>
        <v>0</v>
      </c>
    </row>
    <row r="15" spans="2:24" x14ac:dyDescent="0.2">
      <c r="B15" s="178"/>
      <c r="C15" s="179"/>
      <c r="D15" s="181"/>
      <c r="E15" s="181"/>
      <c r="F15" s="181"/>
      <c r="G15" s="181"/>
      <c r="H15" s="182">
        <f>H14</f>
        <v>315</v>
      </c>
      <c r="I15" s="254">
        <f t="shared" ref="I15:V15" si="18">I14</f>
        <v>295.44444444444446</v>
      </c>
      <c r="J15" s="254">
        <f t="shared" si="18"/>
        <v>274.875</v>
      </c>
      <c r="K15" s="254">
        <f t="shared" si="18"/>
        <v>259.57142857142856</v>
      </c>
      <c r="L15" s="254">
        <f t="shared" si="18"/>
        <v>233</v>
      </c>
      <c r="M15" s="254">
        <f t="shared" si="18"/>
        <v>213.4</v>
      </c>
      <c r="N15" s="254">
        <f>N14</f>
        <v>182.1</v>
      </c>
      <c r="O15" s="254">
        <f>O14</f>
        <v>432.52777777777777</v>
      </c>
      <c r="P15" s="254">
        <f t="shared" si="18"/>
        <v>444.34375</v>
      </c>
      <c r="Q15" s="254">
        <f>Q14</f>
        <v>425.75</v>
      </c>
      <c r="R15" s="254">
        <f t="shared" si="18"/>
        <v>424.625</v>
      </c>
      <c r="S15" s="254">
        <f t="shared" si="18"/>
        <v>376.55</v>
      </c>
      <c r="T15" s="254">
        <f t="shared" si="18"/>
        <v>343.125</v>
      </c>
      <c r="U15" s="254">
        <f t="shared" si="18"/>
        <v>285.75</v>
      </c>
      <c r="V15" s="254">
        <f t="shared" si="18"/>
        <v>171</v>
      </c>
      <c r="W15" s="254">
        <f>W14</f>
        <v>0</v>
      </c>
      <c r="X15" s="181"/>
    </row>
    <row r="16" spans="2:24" x14ac:dyDescent="0.2">
      <c r="B16" s="178"/>
      <c r="C16" s="179"/>
      <c r="D16" s="219">
        <v>245</v>
      </c>
      <c r="E16" s="219">
        <v>245</v>
      </c>
      <c r="F16" s="219">
        <v>245</v>
      </c>
      <c r="G16" s="219">
        <v>245</v>
      </c>
      <c r="H16" s="219">
        <v>315</v>
      </c>
      <c r="I16" s="219">
        <v>315</v>
      </c>
      <c r="J16" s="219">
        <v>315</v>
      </c>
      <c r="K16" s="219">
        <v>315</v>
      </c>
      <c r="L16" s="219">
        <v>315</v>
      </c>
      <c r="M16" s="219">
        <v>315</v>
      </c>
      <c r="N16" s="219">
        <v>411</v>
      </c>
      <c r="O16" s="219">
        <v>411</v>
      </c>
      <c r="P16" s="219">
        <v>411</v>
      </c>
      <c r="Q16" s="219">
        <v>411</v>
      </c>
      <c r="R16" s="219">
        <v>411</v>
      </c>
      <c r="S16" s="219">
        <v>411</v>
      </c>
      <c r="T16" s="219">
        <v>411</v>
      </c>
      <c r="U16" s="219">
        <v>411</v>
      </c>
      <c r="V16" s="219">
        <v>411</v>
      </c>
      <c r="W16" s="219">
        <v>411</v>
      </c>
      <c r="X16" s="219">
        <v>411</v>
      </c>
    </row>
  </sheetData>
  <mergeCells count="11">
    <mergeCell ref="B6:C6"/>
    <mergeCell ref="B7:C7"/>
    <mergeCell ref="B8:B10"/>
    <mergeCell ref="B11:B12"/>
    <mergeCell ref="B13:B14"/>
    <mergeCell ref="B2:X2"/>
    <mergeCell ref="B5:C5"/>
    <mergeCell ref="D5:G5"/>
    <mergeCell ref="H5:M5"/>
    <mergeCell ref="N5:W5"/>
    <mergeCell ref="B4:W4"/>
  </mergeCells>
  <pageMargins left="0.39370078740157483" right="0.39370078740157483" top="0.39370078740157483" bottom="0.39370078740157483" header="0.19685039370078741" footer="0.19685039370078741"/>
  <pageSetup paperSize="8" scale="97" orientation="landscape" verticalDpi="1200" r:id="rId1"/>
  <headerFooter alignWithMargins="0">
    <oddHeader>&amp;L&amp;"Calibri"&amp;10&amp;K000000 Official&amp;1#_x000D_</oddHeader>
  </headerFooter>
  <ignoredErrors>
    <ignoredError sqref="H10:H12 H14 N1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BE778-54FC-4A1B-8586-5C97B74B5AE1}">
  <dimension ref="A1:AE11"/>
  <sheetViews>
    <sheetView zoomScale="90" zoomScaleNormal="90" workbookViewId="0"/>
  </sheetViews>
  <sheetFormatPr defaultRowHeight="15" x14ac:dyDescent="0.25"/>
  <cols>
    <col min="1" max="1" width="14.85546875" style="2" bestFit="1" customWidth="1"/>
    <col min="2" max="2" width="13" style="2" customWidth="1"/>
    <col min="3" max="3" width="17.7109375" style="2" bestFit="1" customWidth="1"/>
    <col min="4" max="5" width="12" style="2" customWidth="1"/>
    <col min="6" max="6" width="11.42578125" style="2" customWidth="1"/>
    <col min="7" max="7" width="13.5703125" style="2" customWidth="1"/>
    <col min="8" max="8" width="21.5703125" style="2" bestFit="1" customWidth="1"/>
    <col min="9" max="9" width="12.5703125" style="2" bestFit="1" customWidth="1"/>
    <col min="10" max="10" width="9.5703125" style="2" customWidth="1"/>
    <col min="11" max="11" width="36.28515625" style="2" customWidth="1"/>
    <col min="12" max="12" width="44" style="2" customWidth="1"/>
    <col min="13" max="13" width="10.42578125" style="2" customWidth="1"/>
    <col min="14" max="23" width="12.28515625" style="2" customWidth="1"/>
    <col min="24" max="24" width="12.7109375" style="2" customWidth="1"/>
    <col min="25" max="25" width="13" style="2" customWidth="1"/>
    <col min="26" max="26" width="13.85546875" style="2" customWidth="1"/>
    <col min="27" max="31" width="12.28515625" style="2" customWidth="1"/>
    <col min="32" max="16384" width="9.140625" style="2"/>
  </cols>
  <sheetData>
    <row r="1" spans="1:31" s="304" customFormat="1" ht="60" x14ac:dyDescent="0.25">
      <c r="A1" s="302" t="s">
        <v>316</v>
      </c>
      <c r="B1" s="302" t="s">
        <v>220</v>
      </c>
      <c r="C1" s="302" t="s">
        <v>225</v>
      </c>
      <c r="D1" s="303" t="s">
        <v>317</v>
      </c>
      <c r="E1" s="303" t="s">
        <v>318</v>
      </c>
      <c r="F1" s="303" t="s">
        <v>319</v>
      </c>
      <c r="G1" s="302" t="s">
        <v>320</v>
      </c>
      <c r="H1" s="303" t="s">
        <v>206</v>
      </c>
      <c r="I1" s="303" t="s">
        <v>246</v>
      </c>
      <c r="J1" s="303" t="s">
        <v>321</v>
      </c>
      <c r="K1" s="302" t="s">
        <v>322</v>
      </c>
      <c r="L1" s="302" t="s">
        <v>323</v>
      </c>
      <c r="M1" s="302" t="s">
        <v>324</v>
      </c>
      <c r="N1" s="301" t="s">
        <v>1688</v>
      </c>
      <c r="O1" s="301" t="s">
        <v>1689</v>
      </c>
      <c r="P1" s="301" t="s">
        <v>1690</v>
      </c>
      <c r="Q1" s="301" t="s">
        <v>1691</v>
      </c>
      <c r="R1" s="301" t="s">
        <v>1692</v>
      </c>
      <c r="S1" s="301" t="s">
        <v>1693</v>
      </c>
      <c r="T1" s="301" t="s">
        <v>1694</v>
      </c>
      <c r="U1" s="301" t="s">
        <v>1695</v>
      </c>
      <c r="V1" s="301" t="s">
        <v>1696</v>
      </c>
      <c r="W1" s="301" t="s">
        <v>1697</v>
      </c>
      <c r="X1" s="301" t="s">
        <v>1698</v>
      </c>
      <c r="Y1" s="301" t="s">
        <v>1699</v>
      </c>
      <c r="Z1" s="301" t="s">
        <v>1700</v>
      </c>
      <c r="AA1" s="301" t="s">
        <v>1701</v>
      </c>
      <c r="AB1" s="301" t="s">
        <v>1702</v>
      </c>
      <c r="AC1" s="301" t="s">
        <v>1703</v>
      </c>
      <c r="AD1" s="301" t="s">
        <v>1704</v>
      </c>
      <c r="AE1" s="301" t="s">
        <v>1705</v>
      </c>
    </row>
    <row r="2" spans="1:31" s="240" customFormat="1" ht="15" customHeight="1" x14ac:dyDescent="0.25">
      <c r="A2" s="288" t="s">
        <v>689</v>
      </c>
      <c r="B2" s="288" t="s">
        <v>434</v>
      </c>
      <c r="C2" s="288" t="s">
        <v>1706</v>
      </c>
      <c r="D2" s="294">
        <v>44012</v>
      </c>
      <c r="E2" s="294">
        <v>44012</v>
      </c>
      <c r="F2" s="295"/>
      <c r="G2" s="296">
        <v>44012</v>
      </c>
      <c r="H2" s="288" t="s">
        <v>210</v>
      </c>
      <c r="I2" s="288" t="s">
        <v>254</v>
      </c>
      <c r="J2" s="288"/>
      <c r="K2" s="288" t="s">
        <v>690</v>
      </c>
      <c r="L2" s="288" t="s">
        <v>1707</v>
      </c>
      <c r="M2" s="288" t="s">
        <v>692</v>
      </c>
      <c r="N2" s="297">
        <v>1</v>
      </c>
      <c r="O2" s="297"/>
      <c r="P2" s="297"/>
      <c r="Q2" s="297"/>
      <c r="R2" s="297"/>
      <c r="S2" s="297">
        <v>5</v>
      </c>
      <c r="T2" s="297">
        <v>5</v>
      </c>
      <c r="U2" s="297"/>
      <c r="V2" s="297"/>
      <c r="W2" s="297"/>
      <c r="X2" s="297"/>
      <c r="Y2" s="297"/>
      <c r="Z2" s="297"/>
      <c r="AA2" s="298">
        <f>T2/1.8</f>
        <v>2.7777777777777777</v>
      </c>
      <c r="AB2" s="298"/>
      <c r="AC2" s="298"/>
      <c r="AD2" s="298"/>
      <c r="AE2" s="298">
        <f>AA2-N2</f>
        <v>1.7777777777777777</v>
      </c>
    </row>
    <row r="3" spans="1:31" s="240" customFormat="1" ht="15" customHeight="1" x14ac:dyDescent="0.25">
      <c r="A3" s="288" t="s">
        <v>1708</v>
      </c>
      <c r="B3" s="288" t="s">
        <v>404</v>
      </c>
      <c r="C3" s="288" t="s">
        <v>1703</v>
      </c>
      <c r="D3" s="294">
        <v>43923</v>
      </c>
      <c r="E3" s="295"/>
      <c r="F3" s="295"/>
      <c r="G3" s="296">
        <v>43923</v>
      </c>
      <c r="H3" s="288" t="s">
        <v>210</v>
      </c>
      <c r="I3" s="288" t="s">
        <v>254</v>
      </c>
      <c r="J3" s="288"/>
      <c r="K3" s="288" t="s">
        <v>1709</v>
      </c>
      <c r="L3" s="288" t="s">
        <v>1710</v>
      </c>
      <c r="M3" s="288" t="s">
        <v>525</v>
      </c>
      <c r="N3" s="297">
        <v>0</v>
      </c>
      <c r="O3" s="297"/>
      <c r="P3" s="297"/>
      <c r="Q3" s="297"/>
      <c r="R3" s="297"/>
      <c r="S3" s="297"/>
      <c r="T3" s="297"/>
      <c r="U3" s="297"/>
      <c r="V3" s="297"/>
      <c r="W3" s="297"/>
      <c r="X3" s="297"/>
      <c r="Y3" s="297"/>
      <c r="Z3" s="297"/>
      <c r="AA3" s="297"/>
      <c r="AB3" s="297"/>
      <c r="AC3" s="297">
        <v>1</v>
      </c>
      <c r="AD3" s="297"/>
      <c r="AE3" s="297"/>
    </row>
    <row r="4" spans="1:31" s="240" customFormat="1" ht="15" customHeight="1" x14ac:dyDescent="0.25">
      <c r="A4" s="288" t="s">
        <v>1711</v>
      </c>
      <c r="B4" s="288" t="s">
        <v>404</v>
      </c>
      <c r="C4" s="288" t="s">
        <v>1712</v>
      </c>
      <c r="D4" s="294">
        <v>43979</v>
      </c>
      <c r="E4" s="294">
        <v>45074</v>
      </c>
      <c r="F4" s="294">
        <v>45074</v>
      </c>
      <c r="G4" s="296">
        <v>45074</v>
      </c>
      <c r="H4" s="288" t="s">
        <v>210</v>
      </c>
      <c r="I4" s="288" t="s">
        <v>254</v>
      </c>
      <c r="J4" s="288"/>
      <c r="K4" s="288" t="s">
        <v>1713</v>
      </c>
      <c r="L4" s="288" t="s">
        <v>1714</v>
      </c>
      <c r="M4" s="288" t="s">
        <v>1715</v>
      </c>
      <c r="N4" s="297"/>
      <c r="O4" s="297"/>
      <c r="P4" s="297"/>
      <c r="Q4" s="297"/>
      <c r="R4" s="297"/>
      <c r="S4" s="297"/>
      <c r="T4" s="297"/>
      <c r="U4" s="297"/>
      <c r="V4" s="297"/>
      <c r="W4" s="297"/>
      <c r="X4" s="297"/>
      <c r="Y4" s="297"/>
      <c r="Z4" s="297"/>
      <c r="AA4" s="297"/>
      <c r="AB4" s="297"/>
      <c r="AC4" s="297"/>
      <c r="AD4" s="297"/>
      <c r="AE4" s="297"/>
    </row>
    <row r="5" spans="1:31" s="240" customFormat="1" ht="15" customHeight="1" x14ac:dyDescent="0.25">
      <c r="A5" s="288" t="s">
        <v>1716</v>
      </c>
      <c r="B5" s="288" t="s">
        <v>404</v>
      </c>
      <c r="C5" s="288" t="s">
        <v>1717</v>
      </c>
      <c r="D5" s="294">
        <v>43859</v>
      </c>
      <c r="E5" s="294">
        <v>44955</v>
      </c>
      <c r="F5" s="295"/>
      <c r="G5" s="296">
        <v>44029</v>
      </c>
      <c r="H5" s="288" t="s">
        <v>210</v>
      </c>
      <c r="I5" s="288" t="s">
        <v>254</v>
      </c>
      <c r="J5" s="288"/>
      <c r="K5" s="288" t="s">
        <v>1718</v>
      </c>
      <c r="L5" s="288" t="s">
        <v>1719</v>
      </c>
      <c r="M5" s="288" t="s">
        <v>1720</v>
      </c>
      <c r="N5" s="297"/>
      <c r="O5" s="297"/>
      <c r="P5" s="297"/>
      <c r="Q5" s="297"/>
      <c r="R5" s="297"/>
      <c r="S5" s="297"/>
      <c r="T5" s="297"/>
      <c r="U5" s="297"/>
      <c r="V5" s="297"/>
      <c r="W5" s="297"/>
      <c r="X5" s="297"/>
      <c r="Y5" s="297"/>
      <c r="Z5" s="297"/>
      <c r="AA5" s="297"/>
      <c r="AB5" s="297"/>
      <c r="AC5" s="297"/>
      <c r="AD5" s="297"/>
      <c r="AE5" s="297"/>
    </row>
    <row r="6" spans="1:31" s="240" customFormat="1" ht="15" customHeight="1" x14ac:dyDescent="0.25">
      <c r="A6" s="288" t="s">
        <v>724</v>
      </c>
      <c r="B6" s="288" t="s">
        <v>404</v>
      </c>
      <c r="C6" s="288" t="s">
        <v>1721</v>
      </c>
      <c r="D6" s="294">
        <v>44230</v>
      </c>
      <c r="E6" s="294">
        <v>45325</v>
      </c>
      <c r="F6" s="294">
        <v>44230</v>
      </c>
      <c r="G6" s="296">
        <v>44286</v>
      </c>
      <c r="H6" s="288" t="s">
        <v>210</v>
      </c>
      <c r="I6" s="288" t="s">
        <v>254</v>
      </c>
      <c r="J6" s="288"/>
      <c r="K6" s="288" t="s">
        <v>725</v>
      </c>
      <c r="L6" s="288" t="s">
        <v>726</v>
      </c>
      <c r="M6" s="288" t="s">
        <v>727</v>
      </c>
      <c r="N6" s="297"/>
      <c r="O6" s="297"/>
      <c r="P6" s="297"/>
      <c r="Q6" s="297"/>
      <c r="R6" s="297">
        <v>4</v>
      </c>
      <c r="S6" s="297">
        <v>0</v>
      </c>
      <c r="T6" s="297">
        <v>-4</v>
      </c>
      <c r="U6" s="297"/>
      <c r="V6" s="297"/>
      <c r="W6" s="297"/>
      <c r="X6" s="297"/>
      <c r="Y6" s="297"/>
      <c r="Z6" s="297"/>
      <c r="AA6" s="289">
        <f>T6/1.8</f>
        <v>-2.2222222222222223</v>
      </c>
      <c r="AB6" s="289"/>
      <c r="AC6" s="297"/>
      <c r="AD6" s="297"/>
      <c r="AE6" s="299">
        <f>AA6</f>
        <v>-2.2222222222222223</v>
      </c>
    </row>
    <row r="7" spans="1:31" ht="15" customHeight="1" x14ac:dyDescent="0.25">
      <c r="A7" s="290" t="s">
        <v>681</v>
      </c>
      <c r="B7" s="290" t="s">
        <v>394</v>
      </c>
      <c r="C7" s="290" t="s">
        <v>1722</v>
      </c>
      <c r="D7" s="291">
        <v>43811</v>
      </c>
      <c r="E7" s="291">
        <v>44907</v>
      </c>
      <c r="F7" s="291">
        <v>43920</v>
      </c>
      <c r="G7" s="292"/>
      <c r="H7" s="290" t="s">
        <v>218</v>
      </c>
      <c r="I7" s="288" t="s">
        <v>254</v>
      </c>
      <c r="J7" s="290"/>
      <c r="K7" s="290" t="s">
        <v>682</v>
      </c>
      <c r="L7" s="290" t="s">
        <v>1723</v>
      </c>
      <c r="M7" s="290" t="s">
        <v>684</v>
      </c>
      <c r="N7" s="293"/>
      <c r="O7" s="293">
        <v>34</v>
      </c>
      <c r="P7" s="293">
        <v>0</v>
      </c>
      <c r="Q7" s="293">
        <v>-34</v>
      </c>
      <c r="R7" s="293"/>
      <c r="S7" s="293"/>
      <c r="T7" s="293"/>
      <c r="U7" s="293"/>
      <c r="V7" s="293"/>
      <c r="W7" s="293"/>
      <c r="X7" s="293"/>
      <c r="Y7" s="293"/>
      <c r="Z7" s="293"/>
      <c r="AA7" s="293"/>
      <c r="AB7" s="293"/>
      <c r="AC7" s="293"/>
      <c r="AD7" s="293"/>
      <c r="AE7" s="293">
        <v>-34</v>
      </c>
    </row>
    <row r="8" spans="1:31" ht="15" customHeight="1" x14ac:dyDescent="0.25">
      <c r="A8" s="290" t="s">
        <v>681</v>
      </c>
      <c r="B8" s="290" t="s">
        <v>394</v>
      </c>
      <c r="C8" s="290" t="s">
        <v>1724</v>
      </c>
      <c r="D8" s="291">
        <v>43811</v>
      </c>
      <c r="E8" s="291">
        <v>44907</v>
      </c>
      <c r="F8" s="291">
        <v>43920</v>
      </c>
      <c r="G8" s="290"/>
      <c r="H8" s="290" t="s">
        <v>218</v>
      </c>
      <c r="I8" s="288" t="s">
        <v>254</v>
      </c>
      <c r="J8" s="290"/>
      <c r="K8" s="290" t="s">
        <v>682</v>
      </c>
      <c r="L8" s="290" t="s">
        <v>1725</v>
      </c>
      <c r="M8" s="290" t="s">
        <v>684</v>
      </c>
      <c r="N8" s="293"/>
      <c r="O8" s="293"/>
      <c r="P8" s="293"/>
      <c r="Q8" s="293"/>
      <c r="R8" s="293">
        <v>14</v>
      </c>
      <c r="S8" s="293">
        <v>0</v>
      </c>
      <c r="T8" s="293">
        <v>-14</v>
      </c>
      <c r="U8" s="293"/>
      <c r="V8" s="293"/>
      <c r="W8" s="293"/>
      <c r="X8" s="293"/>
      <c r="Y8" s="293"/>
      <c r="Z8" s="293"/>
      <c r="AA8" s="289">
        <f>T8/1.8</f>
        <v>-7.7777777777777777</v>
      </c>
      <c r="AB8" s="289"/>
      <c r="AC8" s="293"/>
      <c r="AD8" s="293"/>
      <c r="AE8" s="289">
        <f>AA8</f>
        <v>-7.7777777777777777</v>
      </c>
    </row>
    <row r="9" spans="1:31" ht="15" customHeight="1" x14ac:dyDescent="0.25">
      <c r="A9" s="290" t="s">
        <v>681</v>
      </c>
      <c r="B9" s="290" t="s">
        <v>394</v>
      </c>
      <c r="C9" s="290" t="s">
        <v>1726</v>
      </c>
      <c r="D9" s="291">
        <v>43811</v>
      </c>
      <c r="E9" s="291">
        <v>44907</v>
      </c>
      <c r="F9" s="291">
        <v>43920</v>
      </c>
      <c r="G9" s="290"/>
      <c r="H9" s="290" t="s">
        <v>218</v>
      </c>
      <c r="I9" s="288" t="s">
        <v>254</v>
      </c>
      <c r="J9" s="290"/>
      <c r="K9" s="290" t="s">
        <v>682</v>
      </c>
      <c r="L9" s="290" t="s">
        <v>1727</v>
      </c>
      <c r="M9" s="290" t="s">
        <v>684</v>
      </c>
      <c r="N9" s="293"/>
      <c r="O9" s="293"/>
      <c r="P9" s="293"/>
      <c r="Q9" s="293"/>
      <c r="R9" s="293"/>
      <c r="S9" s="293"/>
      <c r="T9" s="293"/>
      <c r="U9" s="293">
        <v>0</v>
      </c>
      <c r="V9" s="293">
        <v>10</v>
      </c>
      <c r="W9" s="293">
        <v>10</v>
      </c>
      <c r="X9" s="293"/>
      <c r="Y9" s="293"/>
      <c r="Z9" s="293"/>
      <c r="AA9" s="293"/>
      <c r="AB9" s="289">
        <f>W9/2.5</f>
        <v>4</v>
      </c>
      <c r="AC9" s="293"/>
      <c r="AD9" s="293"/>
      <c r="AE9" s="293">
        <v>4</v>
      </c>
    </row>
    <row r="10" spans="1:31" x14ac:dyDescent="0.25">
      <c r="A10" s="290" t="s">
        <v>1728</v>
      </c>
      <c r="B10" s="290" t="s">
        <v>382</v>
      </c>
      <c r="C10" s="290" t="s">
        <v>1729</v>
      </c>
      <c r="D10" s="291">
        <v>43656</v>
      </c>
      <c r="E10" s="291">
        <v>44752</v>
      </c>
      <c r="F10" s="292">
        <v>43972</v>
      </c>
      <c r="G10" s="290"/>
      <c r="H10" s="290" t="s">
        <v>218</v>
      </c>
      <c r="I10" s="290" t="s">
        <v>254</v>
      </c>
      <c r="J10" s="290"/>
      <c r="K10" s="290" t="s">
        <v>1730</v>
      </c>
      <c r="L10" s="290" t="s">
        <v>1731</v>
      </c>
      <c r="M10" s="290" t="s">
        <v>1732</v>
      </c>
      <c r="N10" s="293"/>
      <c r="O10" s="293"/>
      <c r="P10" s="293"/>
      <c r="Q10" s="293"/>
      <c r="R10" s="293"/>
      <c r="S10" s="293"/>
      <c r="T10" s="293"/>
      <c r="U10" s="293"/>
      <c r="V10" s="293"/>
      <c r="W10" s="293"/>
      <c r="X10" s="293">
        <v>16</v>
      </c>
      <c r="Y10" s="293">
        <v>18</v>
      </c>
      <c r="Z10" s="293">
        <v>2</v>
      </c>
      <c r="AA10" s="293"/>
      <c r="AB10" s="293"/>
      <c r="AC10" s="293"/>
      <c r="AD10" s="293">
        <v>2</v>
      </c>
      <c r="AE10" s="293"/>
    </row>
    <row r="11" spans="1:31" x14ac:dyDescent="0.25">
      <c r="AE11" s="300">
        <f>SUM(AE2:AE10)</f>
        <v>-38.222222222222221</v>
      </c>
    </row>
  </sheetData>
  <pageMargins left="0.7" right="0.7" top="0.75" bottom="0.75" header="0.3" footer="0.3"/>
  <pageSetup paperSize="9" orientation="portrait" r:id="rId1"/>
  <headerFooter>
    <oddHeader>&amp;L&amp;"Calibri"&amp;10&amp;K000000 Official&amp;1#_x000D_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C1A0B108CD54597290592311E8462" ma:contentTypeVersion="19" ma:contentTypeDescription="Create a new document." ma:contentTypeScope="" ma:versionID="0ff8821e5b71ccc8e7461b79d8e14286">
  <xsd:schema xmlns:xsd="http://www.w3.org/2001/XMLSchema" xmlns:xs="http://www.w3.org/2001/XMLSchema" xmlns:p="http://schemas.microsoft.com/office/2006/metadata/properties" xmlns:ns1="http://schemas.microsoft.com/sharepoint/v3" xmlns:ns2="ea095755-da17-44ef-a320-d01db3480f51" xmlns:ns3="38a809ab-bf8d-4391-94ea-7f25297ee6a0" targetNamespace="http://schemas.microsoft.com/office/2006/metadata/properties" ma:root="true" ma:fieldsID="bca30eb6aaf5a274439f56c03824235e" ns1:_="" ns2:_="" ns3:_="">
    <xsd:import namespace="http://schemas.microsoft.com/sharepoint/v3"/>
    <xsd:import namespace="ea095755-da17-44ef-a320-d01db3480f51"/>
    <xsd:import namespace="38a809ab-bf8d-4391-94ea-7f25297ee6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_Flow_SignoffStatu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095755-da17-44ef-a320-d01db3480f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a809ab-bf8d-4391-94ea-7f25297ee6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2260c01d-42e7-4b84-bc03-4968ce729ac0}" ma:internalName="TaxCatchAll" ma:showField="CatchAllData" ma:web="38a809ab-bf8d-4391-94ea-7f25297ee6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38a809ab-bf8d-4391-94ea-7f25297ee6a0" xsi:nil="true"/>
    <lcf76f155ced4ddcb4097134ff3c332f xmlns="ea095755-da17-44ef-a320-d01db3480f51">
      <Terms xmlns="http://schemas.microsoft.com/office/infopath/2007/PartnerControls"/>
    </lcf76f155ced4ddcb4097134ff3c332f>
    <_Flow_SignoffStatus xmlns="ea095755-da17-44ef-a320-d01db3480f51" xsi:nil="true"/>
  </documentManagement>
</p:properties>
</file>

<file path=customXml/itemProps1.xml><?xml version="1.0" encoding="utf-8"?>
<ds:datastoreItem xmlns:ds="http://schemas.openxmlformats.org/officeDocument/2006/customXml" ds:itemID="{B6E7E5E0-26FE-4555-A11E-67ADE0383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095755-da17-44ef-a320-d01db3480f51"/>
    <ds:schemaRef ds:uri="38a809ab-bf8d-4391-94ea-7f25297ee6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E63CAF-2FF4-49AA-89B2-DB4EC9239E45}">
  <ds:schemaRefs>
    <ds:schemaRef ds:uri="http://schemas.microsoft.com/sharepoint/v3/contenttype/forms"/>
  </ds:schemaRefs>
</ds:datastoreItem>
</file>

<file path=customXml/itemProps3.xml><?xml version="1.0" encoding="utf-8"?>
<ds:datastoreItem xmlns:ds="http://schemas.openxmlformats.org/officeDocument/2006/customXml" ds:itemID="{8FE33E83-630B-4549-B4A0-39291B1DF18B}">
  <ds:schemaRefs>
    <ds:schemaRef ds:uri="http://schemas.microsoft.com/office/2006/documentManagement/types"/>
    <ds:schemaRef ds:uri="http://schemas.microsoft.com/office/2006/metadata/properties"/>
    <ds:schemaRef ds:uri="ea095755-da17-44ef-a320-d01db3480f51"/>
    <ds:schemaRef ds:uri="http://purl.org/dc/elements/1.1/"/>
    <ds:schemaRef ds:uri="38a809ab-bf8d-4391-94ea-7f25297ee6a0"/>
    <ds:schemaRef ds:uri="http://schemas.microsoft.com/office/infopath/2007/PartnerControls"/>
    <ds:schemaRef ds:uri="http://purl.org/dc/terms/"/>
    <ds:schemaRef ds:uri="http://schemas.openxmlformats.org/package/2006/metadata/core-properties"/>
    <ds:schemaRef ds:uri="http://schemas.microsoft.com/sharepoint/v3"/>
    <ds:schemaRef ds:uri="http://www.w3.org/XML/1998/namespace"/>
    <ds:schemaRef ds:uri="http://purl.org/dc/dcmitype/"/>
  </ds:schemaRefs>
</ds:datastoreItem>
</file>

<file path=docMetadata/LabelInfo.xml><?xml version="1.0" encoding="utf-8"?>
<clbl:labelList xmlns:clbl="http://schemas.microsoft.com/office/2020/mipLabelMetadata">
  <clbl:label id="{763da656-5c75-4f6d-9461-4a3ce9a537cc}" enabled="1" method="Standar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 Tables</vt:lpstr>
      <vt:lpstr>Pivot</vt:lpstr>
      <vt:lpstr>Data</vt:lpstr>
      <vt:lpstr>Trajectory</vt:lpstr>
      <vt:lpstr>Non-Self-Contained</vt:lpstr>
      <vt:lpstr>_2020_AMR__COMBINED</vt:lpstr>
      <vt:lpstr>'Summary Tables'!Print_Area</vt:lpstr>
      <vt:lpstr>Trajectory!Print_Area</vt:lpstr>
      <vt:lpstr>'Summary Tables'!Print_Titles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Williams, Chris</cp:lastModifiedBy>
  <cp:revision/>
  <dcterms:created xsi:type="dcterms:W3CDTF">2021-04-27T13:16:15Z</dcterms:created>
  <dcterms:modified xsi:type="dcterms:W3CDTF">2022-07-01T09:02:44Z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3da656-5c75-4f6d-9461-4a3ce9a537cc_Enabled">
    <vt:lpwstr>true</vt:lpwstr>
  </property>
  <property fmtid="{D5CDD505-2E9C-101B-9397-08002B2CF9AE}" pid="3" name="MSIP_Label_763da656-5c75-4f6d-9461-4a3ce9a537cc_SetDate">
    <vt:lpwstr>2022-01-18T09:04:24Z</vt:lpwstr>
  </property>
  <property fmtid="{D5CDD505-2E9C-101B-9397-08002B2CF9AE}" pid="4" name="MSIP_Label_763da656-5c75-4f6d-9461-4a3ce9a537cc_Method">
    <vt:lpwstr>Standard</vt:lpwstr>
  </property>
  <property fmtid="{D5CDD505-2E9C-101B-9397-08002B2CF9AE}" pid="5" name="MSIP_Label_763da656-5c75-4f6d-9461-4a3ce9a537cc_Name">
    <vt:lpwstr>763da656-5c75-4f6d-9461-4a3ce9a537cc</vt:lpwstr>
  </property>
  <property fmtid="{D5CDD505-2E9C-101B-9397-08002B2CF9AE}" pid="6" name="MSIP_Label_763da656-5c75-4f6d-9461-4a3ce9a537cc_SiteId">
    <vt:lpwstr>d9d3f5ac-f803-49be-949f-14a7074d74a7</vt:lpwstr>
  </property>
  <property fmtid="{D5CDD505-2E9C-101B-9397-08002B2CF9AE}" pid="7" name="MSIP_Label_763da656-5c75-4f6d-9461-4a3ce9a537cc_ActionId">
    <vt:lpwstr>f10792ae-9aca-4e3f-8fb3-57f84974b076</vt:lpwstr>
  </property>
  <property fmtid="{D5CDD505-2E9C-101B-9397-08002B2CF9AE}" pid="8" name="MSIP_Label_763da656-5c75-4f6d-9461-4a3ce9a537cc_ContentBits">
    <vt:lpwstr>1</vt:lpwstr>
  </property>
  <property fmtid="{D5CDD505-2E9C-101B-9397-08002B2CF9AE}" pid="9" name="ContentTypeId">
    <vt:lpwstr>0x010100EEFC1A0B108CD54597290592311E8462</vt:lpwstr>
  </property>
  <property fmtid="{D5CDD505-2E9C-101B-9397-08002B2CF9AE}" pid="10" name="_dlc_DocIdItemGuid">
    <vt:lpwstr>e3e4d41e-b7d9-4a15-a749-20ba4ff493a2</vt:lpwstr>
  </property>
  <property fmtid="{D5CDD505-2E9C-101B-9397-08002B2CF9AE}" pid="11" name="MediaServiceImageTags">
    <vt:lpwstr/>
  </property>
</Properties>
</file>